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Users\Vladimirka Telenta\Desktop\Vlatka\MZO\FINANCIJSKI PLANOVI\planovi 2023\REBALANS 09.2023\"/>
    </mc:Choice>
  </mc:AlternateContent>
  <xr:revisionPtr revIDLastSave="0" documentId="13_ncr:1_{1ED1BBBE-B65D-4270-A47B-18BBE66E946C}" xr6:coauthVersionLast="36" xr6:coauthVersionMax="47" xr10:uidLastSave="{00000000-0000-0000-0000-000000000000}"/>
  <bookViews>
    <workbookView xWindow="-120" yWindow="-120" windowWidth="29040" windowHeight="15840" tabRatio="689" activeTab="5" xr2:uid="{017BD676-DDDB-4F01-904E-21D6CBCB3D5D}"/>
  </bookViews>
  <sheets>
    <sheet name="OPĆI DIO" sheetId="1" r:id="rId1"/>
    <sheet name="Unos prihoda i primitaka" sheetId="2" r:id="rId2"/>
    <sheet name="Unos rashoda i izdataka" sheetId="3" r:id="rId3"/>
    <sheet name="Unos rashoda P4" sheetId="5" r:id="rId4"/>
    <sheet name="Unos prijenosa" sheetId="7" r:id="rId5"/>
    <sheet name="A.1 PRIHODI" sheetId="8" r:id="rId6"/>
    <sheet name="A.2 RASHODI" sheetId="9" r:id="rId7"/>
    <sheet name="A.3 RASHODI IF" sheetId="10" r:id="rId8"/>
    <sheet name="A.4 RASHODI FUNK" sheetId="11" r:id="rId9"/>
    <sheet name="B. RAČUN FIN" sheetId="12" r:id="rId10"/>
    <sheet name="AKT" sheetId="6" state="hidden" r:id="rId11"/>
    <sheet name="p4" sheetId="13" state="hidden" r:id="rId12"/>
    <sheet name="prihodi" sheetId="14" state="hidden" r:id="rId13"/>
    <sheet name="KORISNICI DP" sheetId="15" state="hidden" r:id="rId1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2" l="1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38" i="2"/>
  <c r="D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38" i="2"/>
  <c r="F37" i="2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0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E23" i="7"/>
  <c r="D15" i="7"/>
  <c r="D13" i="7"/>
  <c r="D7" i="7"/>
  <c r="D5" i="7"/>
  <c r="D30" i="1" l="1"/>
  <c r="C30" i="1"/>
  <c r="D29" i="1"/>
  <c r="C29" i="1"/>
  <c r="W35" i="12"/>
  <c r="U35" i="12"/>
  <c r="S35" i="12"/>
  <c r="Q35" i="12"/>
  <c r="P35" i="12"/>
  <c r="O35" i="12"/>
  <c r="M35" i="12"/>
  <c r="L35" i="12"/>
  <c r="H35" i="12"/>
  <c r="W34" i="12"/>
  <c r="U34" i="12"/>
  <c r="S34" i="12"/>
  <c r="Q34" i="12"/>
  <c r="P34" i="12"/>
  <c r="O34" i="12"/>
  <c r="M34" i="12"/>
  <c r="L34" i="12"/>
  <c r="H34" i="12"/>
  <c r="W24" i="12"/>
  <c r="U24" i="12"/>
  <c r="S24" i="12"/>
  <c r="Q24" i="12"/>
  <c r="P24" i="12"/>
  <c r="O24" i="12"/>
  <c r="M24" i="12"/>
  <c r="L24" i="12"/>
  <c r="H24" i="12"/>
  <c r="W23" i="12"/>
  <c r="U23" i="12"/>
  <c r="S23" i="12"/>
  <c r="Q23" i="12"/>
  <c r="P23" i="12"/>
  <c r="O23" i="12"/>
  <c r="M23" i="12"/>
  <c r="L23" i="12"/>
  <c r="H23" i="12"/>
  <c r="W13" i="12"/>
  <c r="U13" i="12"/>
  <c r="S13" i="12"/>
  <c r="Q13" i="12"/>
  <c r="P13" i="12"/>
  <c r="O13" i="12"/>
  <c r="M13" i="12"/>
  <c r="L13" i="12"/>
  <c r="H13" i="12"/>
  <c r="W12" i="12"/>
  <c r="U12" i="12"/>
  <c r="S12" i="12"/>
  <c r="Q12" i="12"/>
  <c r="P12" i="12"/>
  <c r="O12" i="12"/>
  <c r="M12" i="12"/>
  <c r="L12" i="12"/>
  <c r="H12" i="12"/>
  <c r="F23" i="7"/>
  <c r="G23" i="7"/>
  <c r="H23" i="7"/>
  <c r="I23" i="7"/>
  <c r="J23" i="7"/>
  <c r="K23" i="7"/>
  <c r="L23" i="7"/>
  <c r="M23" i="7"/>
  <c r="N23" i="7"/>
  <c r="O23" i="7"/>
  <c r="P23" i="7"/>
  <c r="Q23" i="7"/>
  <c r="R23" i="7"/>
  <c r="S23" i="7"/>
  <c r="T23" i="7"/>
  <c r="U23" i="7"/>
  <c r="V23" i="7"/>
  <c r="W23" i="7"/>
  <c r="F21" i="7"/>
  <c r="G21" i="7"/>
  <c r="H21" i="7"/>
  <c r="I21" i="7"/>
  <c r="J21" i="7"/>
  <c r="K21" i="7"/>
  <c r="L21" i="7"/>
  <c r="M21" i="7"/>
  <c r="N21" i="7"/>
  <c r="O21" i="7"/>
  <c r="P21" i="7"/>
  <c r="Q21" i="7"/>
  <c r="R21" i="7"/>
  <c r="S21" i="7"/>
  <c r="T21" i="7"/>
  <c r="U21" i="7"/>
  <c r="V21" i="7"/>
  <c r="W21" i="7"/>
  <c r="E21" i="7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7" i="5"/>
  <c r="J238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3" i="5"/>
  <c r="J254" i="5"/>
  <c r="J255" i="5"/>
  <c r="J256" i="5"/>
  <c r="J257" i="5"/>
  <c r="J258" i="5"/>
  <c r="J259" i="5"/>
  <c r="J260" i="5"/>
  <c r="J261" i="5"/>
  <c r="J262" i="5"/>
  <c r="J263" i="5"/>
  <c r="J264" i="5"/>
  <c r="J265" i="5"/>
  <c r="J266" i="5"/>
  <c r="J267" i="5"/>
  <c r="J268" i="5"/>
  <c r="J269" i="5"/>
  <c r="J270" i="5"/>
  <c r="J271" i="5"/>
  <c r="J272" i="5"/>
  <c r="J273" i="5"/>
  <c r="J274" i="5"/>
  <c r="J275" i="5"/>
  <c r="J276" i="5"/>
  <c r="J277" i="5"/>
  <c r="J278" i="5"/>
  <c r="J279" i="5"/>
  <c r="J280" i="5"/>
  <c r="J281" i="5"/>
  <c r="J282" i="5"/>
  <c r="J283" i="5"/>
  <c r="J284" i="5"/>
  <c r="J285" i="5"/>
  <c r="J286" i="5"/>
  <c r="J287" i="5"/>
  <c r="J288" i="5"/>
  <c r="J289" i="5"/>
  <c r="J290" i="5"/>
  <c r="J291" i="5"/>
  <c r="J292" i="5"/>
  <c r="J293" i="5"/>
  <c r="J294" i="5"/>
  <c r="J295" i="5"/>
  <c r="J296" i="5"/>
  <c r="J297" i="5"/>
  <c r="J298" i="5"/>
  <c r="J299" i="5"/>
  <c r="J300" i="5"/>
  <c r="J301" i="5"/>
  <c r="J302" i="5"/>
  <c r="J303" i="5"/>
  <c r="J304" i="5"/>
  <c r="J305" i="5"/>
  <c r="J306" i="5"/>
  <c r="J307" i="5"/>
  <c r="J308" i="5"/>
  <c r="J309" i="5"/>
  <c r="J310" i="5"/>
  <c r="J311" i="5"/>
  <c r="J312" i="5"/>
  <c r="J313" i="5"/>
  <c r="J314" i="5"/>
  <c r="J315" i="5"/>
  <c r="J316" i="5"/>
  <c r="J317" i="5"/>
  <c r="J318" i="5"/>
  <c r="J319" i="5"/>
  <c r="J320" i="5"/>
  <c r="J321" i="5"/>
  <c r="J322" i="5"/>
  <c r="J323" i="5"/>
  <c r="J324" i="5"/>
  <c r="J325" i="5"/>
  <c r="J326" i="5"/>
  <c r="J327" i="5"/>
  <c r="J328" i="5"/>
  <c r="J329" i="5"/>
  <c r="J330" i="5"/>
  <c r="J331" i="5"/>
  <c r="J332" i="5"/>
  <c r="J333" i="5"/>
  <c r="J334" i="5"/>
  <c r="J335" i="5"/>
  <c r="J336" i="5"/>
  <c r="J337" i="5"/>
  <c r="J338" i="5"/>
  <c r="J339" i="5"/>
  <c r="J340" i="5"/>
  <c r="J341" i="5"/>
  <c r="J342" i="5"/>
  <c r="J343" i="5"/>
  <c r="J344" i="5"/>
  <c r="J345" i="5"/>
  <c r="J346" i="5"/>
  <c r="J347" i="5"/>
  <c r="J348" i="5"/>
  <c r="J349" i="5"/>
  <c r="J350" i="5"/>
  <c r="J351" i="5"/>
  <c r="J352" i="5"/>
  <c r="J353" i="5"/>
  <c r="J354" i="5"/>
  <c r="J355" i="5"/>
  <c r="J356" i="5"/>
  <c r="J357" i="5"/>
  <c r="J358" i="5"/>
  <c r="J359" i="5"/>
  <c r="J360" i="5"/>
  <c r="J361" i="5"/>
  <c r="J362" i="5"/>
  <c r="J363" i="5"/>
  <c r="J364" i="5"/>
  <c r="J365" i="5"/>
  <c r="J366" i="5"/>
  <c r="J367" i="5"/>
  <c r="J368" i="5"/>
  <c r="J369" i="5"/>
  <c r="J370" i="5"/>
  <c r="J371" i="5"/>
  <c r="J372" i="5"/>
  <c r="J373" i="5"/>
  <c r="J374" i="5"/>
  <c r="J375" i="5"/>
  <c r="J376" i="5"/>
  <c r="J377" i="5"/>
  <c r="J378" i="5"/>
  <c r="J379" i="5"/>
  <c r="J380" i="5"/>
  <c r="J381" i="5"/>
  <c r="J382" i="5"/>
  <c r="J383" i="5"/>
  <c r="J384" i="5"/>
  <c r="J385" i="5"/>
  <c r="J386" i="5"/>
  <c r="J387" i="5"/>
  <c r="J388" i="5"/>
  <c r="J389" i="5"/>
  <c r="J390" i="5"/>
  <c r="J391" i="5"/>
  <c r="J392" i="5"/>
  <c r="J393" i="5"/>
  <c r="J394" i="5"/>
  <c r="J395" i="5"/>
  <c r="J396" i="5"/>
  <c r="J397" i="5"/>
  <c r="J398" i="5"/>
  <c r="J399" i="5"/>
  <c r="J400" i="5"/>
  <c r="J401" i="5"/>
  <c r="J402" i="5"/>
  <c r="J403" i="5"/>
  <c r="J404" i="5"/>
  <c r="J405" i="5"/>
  <c r="J406" i="5"/>
  <c r="J407" i="5"/>
  <c r="J408" i="5"/>
  <c r="J409" i="5"/>
  <c r="J410" i="5"/>
  <c r="J411" i="5"/>
  <c r="J412" i="5"/>
  <c r="J413" i="5"/>
  <c r="J414" i="5"/>
  <c r="J415" i="5"/>
  <c r="J416" i="5"/>
  <c r="J417" i="5"/>
  <c r="J418" i="5"/>
  <c r="J419" i="5"/>
  <c r="J420" i="5"/>
  <c r="J421" i="5"/>
  <c r="J422" i="5"/>
  <c r="J423" i="5"/>
  <c r="J424" i="5"/>
  <c r="J425" i="5"/>
  <c r="J426" i="5"/>
  <c r="J427" i="5"/>
  <c r="J428" i="5"/>
  <c r="J429" i="5"/>
  <c r="J430" i="5"/>
  <c r="J431" i="5"/>
  <c r="J432" i="5"/>
  <c r="J433" i="5"/>
  <c r="J434" i="5"/>
  <c r="J435" i="5"/>
  <c r="J436" i="5"/>
  <c r="J437" i="5"/>
  <c r="J438" i="5"/>
  <c r="J439" i="5"/>
  <c r="J440" i="5"/>
  <c r="J441" i="5"/>
  <c r="J442" i="5"/>
  <c r="J443" i="5"/>
  <c r="J444" i="5"/>
  <c r="J445" i="5"/>
  <c r="J446" i="5"/>
  <c r="J447" i="5"/>
  <c r="J448" i="5"/>
  <c r="J449" i="5"/>
  <c r="J450" i="5"/>
  <c r="J451" i="5"/>
  <c r="J452" i="5"/>
  <c r="J453" i="5"/>
  <c r="J454" i="5"/>
  <c r="J455" i="5"/>
  <c r="J456" i="5"/>
  <c r="J457" i="5"/>
  <c r="J458" i="5"/>
  <c r="J459" i="5"/>
  <c r="J460" i="5"/>
  <c r="J461" i="5"/>
  <c r="J462" i="5"/>
  <c r="J463" i="5"/>
  <c r="J464" i="5"/>
  <c r="J465" i="5"/>
  <c r="J466" i="5"/>
  <c r="J467" i="5"/>
  <c r="J468" i="5"/>
  <c r="J469" i="5"/>
  <c r="J470" i="5"/>
  <c r="J471" i="5"/>
  <c r="J472" i="5"/>
  <c r="J473" i="5"/>
  <c r="J474" i="5"/>
  <c r="J475" i="5"/>
  <c r="J476" i="5"/>
  <c r="J477" i="5"/>
  <c r="J478" i="5"/>
  <c r="J479" i="5"/>
  <c r="J480" i="5"/>
  <c r="J481" i="5"/>
  <c r="J482" i="5"/>
  <c r="J483" i="5"/>
  <c r="J484" i="5"/>
  <c r="J485" i="5"/>
  <c r="J486" i="5"/>
  <c r="J487" i="5"/>
  <c r="J488" i="5"/>
  <c r="J489" i="5"/>
  <c r="J490" i="5"/>
  <c r="J491" i="5"/>
  <c r="J492" i="5"/>
  <c r="J493" i="5"/>
  <c r="J494" i="5"/>
  <c r="J495" i="5"/>
  <c r="J496" i="5"/>
  <c r="J497" i="5"/>
  <c r="J498" i="5"/>
  <c r="J499" i="5"/>
  <c r="J500" i="5"/>
  <c r="J501" i="5"/>
  <c r="J3" i="5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8" i="3"/>
  <c r="L349" i="3"/>
  <c r="L350" i="3"/>
  <c r="L351" i="3"/>
  <c r="L352" i="3"/>
  <c r="L353" i="3"/>
  <c r="L354" i="3"/>
  <c r="L355" i="3"/>
  <c r="L356" i="3"/>
  <c r="L357" i="3"/>
  <c r="L358" i="3"/>
  <c r="L359" i="3"/>
  <c r="L360" i="3"/>
  <c r="L361" i="3"/>
  <c r="L362" i="3"/>
  <c r="L363" i="3"/>
  <c r="L364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5" i="3"/>
  <c r="L416" i="3"/>
  <c r="L417" i="3"/>
  <c r="L418" i="3"/>
  <c r="L419" i="3"/>
  <c r="L420" i="3"/>
  <c r="L421" i="3"/>
  <c r="L422" i="3"/>
  <c r="L423" i="3"/>
  <c r="L424" i="3"/>
  <c r="L425" i="3"/>
  <c r="L426" i="3"/>
  <c r="L427" i="3"/>
  <c r="L428" i="3"/>
  <c r="L429" i="3"/>
  <c r="L430" i="3"/>
  <c r="L431" i="3"/>
  <c r="L432" i="3"/>
  <c r="L433" i="3"/>
  <c r="L434" i="3"/>
  <c r="L435" i="3"/>
  <c r="L436" i="3"/>
  <c r="L437" i="3"/>
  <c r="L438" i="3"/>
  <c r="L439" i="3"/>
  <c r="L440" i="3"/>
  <c r="L441" i="3"/>
  <c r="L442" i="3"/>
  <c r="L443" i="3"/>
  <c r="L444" i="3"/>
  <c r="L445" i="3"/>
  <c r="L446" i="3"/>
  <c r="L447" i="3"/>
  <c r="L448" i="3"/>
  <c r="L449" i="3"/>
  <c r="L450" i="3"/>
  <c r="L451" i="3"/>
  <c r="L452" i="3"/>
  <c r="L453" i="3"/>
  <c r="L454" i="3"/>
  <c r="L455" i="3"/>
  <c r="L456" i="3"/>
  <c r="L457" i="3"/>
  <c r="L458" i="3"/>
  <c r="L459" i="3"/>
  <c r="L460" i="3"/>
  <c r="L461" i="3"/>
  <c r="L462" i="3"/>
  <c r="L463" i="3"/>
  <c r="L464" i="3"/>
  <c r="L465" i="3"/>
  <c r="L466" i="3"/>
  <c r="L467" i="3"/>
  <c r="L468" i="3"/>
  <c r="L469" i="3"/>
  <c r="L470" i="3"/>
  <c r="L471" i="3"/>
  <c r="L472" i="3"/>
  <c r="L473" i="3"/>
  <c r="L474" i="3"/>
  <c r="L475" i="3"/>
  <c r="L476" i="3"/>
  <c r="L477" i="3"/>
  <c r="L478" i="3"/>
  <c r="L479" i="3"/>
  <c r="L480" i="3"/>
  <c r="L481" i="3"/>
  <c r="L482" i="3"/>
  <c r="L483" i="3"/>
  <c r="L484" i="3"/>
  <c r="L485" i="3"/>
  <c r="L486" i="3"/>
  <c r="L487" i="3"/>
  <c r="L488" i="3"/>
  <c r="L489" i="3"/>
  <c r="L490" i="3"/>
  <c r="L491" i="3"/>
  <c r="L492" i="3"/>
  <c r="L493" i="3"/>
  <c r="L494" i="3"/>
  <c r="L495" i="3"/>
  <c r="L496" i="3"/>
  <c r="L497" i="3"/>
  <c r="L498" i="3"/>
  <c r="L499" i="3"/>
  <c r="L500" i="3"/>
  <c r="L501" i="3"/>
  <c r="L3" i="3"/>
  <c r="W52" i="9"/>
  <c r="U52" i="9"/>
  <c r="S52" i="9"/>
  <c r="Q52" i="9"/>
  <c r="P52" i="9"/>
  <c r="O52" i="9"/>
  <c r="M52" i="9"/>
  <c r="L52" i="9"/>
  <c r="H52" i="9"/>
  <c r="W51" i="9"/>
  <c r="U51" i="9"/>
  <c r="S51" i="9"/>
  <c r="Q51" i="9"/>
  <c r="P51" i="9"/>
  <c r="O51" i="9"/>
  <c r="M51" i="9"/>
  <c r="L51" i="9"/>
  <c r="H51" i="9"/>
  <c r="W50" i="9"/>
  <c r="U50" i="9"/>
  <c r="S50" i="9"/>
  <c r="Q50" i="9"/>
  <c r="P50" i="9"/>
  <c r="O50" i="9"/>
  <c r="M50" i="9"/>
  <c r="L50" i="9"/>
  <c r="H50" i="9"/>
  <c r="W49" i="9"/>
  <c r="U49" i="9"/>
  <c r="S49" i="9"/>
  <c r="Q49" i="9"/>
  <c r="P49" i="9"/>
  <c r="O49" i="9"/>
  <c r="M49" i="9"/>
  <c r="L49" i="9"/>
  <c r="H49" i="9"/>
  <c r="W48" i="9"/>
  <c r="U48" i="9"/>
  <c r="S48" i="9"/>
  <c r="Q48" i="9"/>
  <c r="P48" i="9"/>
  <c r="O48" i="9"/>
  <c r="M48" i="9"/>
  <c r="L48" i="9"/>
  <c r="H48" i="9"/>
  <c r="W46" i="9"/>
  <c r="U46" i="9"/>
  <c r="S46" i="9"/>
  <c r="Q46" i="9"/>
  <c r="P46" i="9"/>
  <c r="O46" i="9"/>
  <c r="M46" i="9"/>
  <c r="L46" i="9"/>
  <c r="H46" i="9"/>
  <c r="W45" i="9"/>
  <c r="U45" i="9"/>
  <c r="S45" i="9"/>
  <c r="Q45" i="9"/>
  <c r="P45" i="9"/>
  <c r="O45" i="9"/>
  <c r="M45" i="9"/>
  <c r="L45" i="9"/>
  <c r="H45" i="9"/>
  <c r="W44" i="9"/>
  <c r="U44" i="9"/>
  <c r="S44" i="9"/>
  <c r="Q44" i="9"/>
  <c r="P44" i="9"/>
  <c r="O44" i="9"/>
  <c r="M44" i="9"/>
  <c r="L44" i="9"/>
  <c r="H44" i="9"/>
  <c r="W43" i="9"/>
  <c r="U43" i="9"/>
  <c r="S43" i="9"/>
  <c r="Q43" i="9"/>
  <c r="P43" i="9"/>
  <c r="O43" i="9"/>
  <c r="M43" i="9"/>
  <c r="L43" i="9"/>
  <c r="H43" i="9"/>
  <c r="W42" i="9"/>
  <c r="U42" i="9"/>
  <c r="S42" i="9"/>
  <c r="Q42" i="9"/>
  <c r="P42" i="9"/>
  <c r="O42" i="9"/>
  <c r="M42" i="9"/>
  <c r="L42" i="9"/>
  <c r="H42" i="9"/>
  <c r="W41" i="9"/>
  <c r="U41" i="9"/>
  <c r="S41" i="9"/>
  <c r="Q41" i="9"/>
  <c r="P41" i="9"/>
  <c r="O41" i="9"/>
  <c r="M41" i="9"/>
  <c r="L41" i="9"/>
  <c r="H41" i="9"/>
  <c r="W40" i="9"/>
  <c r="U40" i="9"/>
  <c r="S40" i="9"/>
  <c r="Q40" i="9"/>
  <c r="P40" i="9"/>
  <c r="O40" i="9"/>
  <c r="M40" i="9"/>
  <c r="L40" i="9"/>
  <c r="H40" i="9"/>
  <c r="W35" i="9"/>
  <c r="U35" i="9"/>
  <c r="S35" i="9"/>
  <c r="Q35" i="9"/>
  <c r="P35" i="9"/>
  <c r="O35" i="9"/>
  <c r="M35" i="9"/>
  <c r="L35" i="9"/>
  <c r="H35" i="9"/>
  <c r="W34" i="9"/>
  <c r="U34" i="9"/>
  <c r="S34" i="9"/>
  <c r="Q34" i="9"/>
  <c r="P34" i="9"/>
  <c r="O34" i="9"/>
  <c r="M34" i="9"/>
  <c r="L34" i="9"/>
  <c r="H34" i="9"/>
  <c r="W33" i="9"/>
  <c r="U33" i="9"/>
  <c r="S33" i="9"/>
  <c r="Q33" i="9"/>
  <c r="P33" i="9"/>
  <c r="O33" i="9"/>
  <c r="M33" i="9"/>
  <c r="L33" i="9"/>
  <c r="H33" i="9"/>
  <c r="W32" i="9"/>
  <c r="U32" i="9"/>
  <c r="S32" i="9"/>
  <c r="Q32" i="9"/>
  <c r="P32" i="9"/>
  <c r="O32" i="9"/>
  <c r="M32" i="9"/>
  <c r="L32" i="9"/>
  <c r="H32" i="9"/>
  <c r="W31" i="9"/>
  <c r="U31" i="9"/>
  <c r="S31" i="9"/>
  <c r="Q31" i="9"/>
  <c r="P31" i="9"/>
  <c r="O31" i="9"/>
  <c r="M31" i="9"/>
  <c r="L31" i="9"/>
  <c r="H31" i="9"/>
  <c r="W29" i="9"/>
  <c r="U29" i="9"/>
  <c r="S29" i="9"/>
  <c r="Q29" i="9"/>
  <c r="P29" i="9"/>
  <c r="O29" i="9"/>
  <c r="M29" i="9"/>
  <c r="L29" i="9"/>
  <c r="H29" i="9"/>
  <c r="W28" i="9"/>
  <c r="U28" i="9"/>
  <c r="S28" i="9"/>
  <c r="Q28" i="9"/>
  <c r="P28" i="9"/>
  <c r="O28" i="9"/>
  <c r="M28" i="9"/>
  <c r="L28" i="9"/>
  <c r="H28" i="9"/>
  <c r="W27" i="9"/>
  <c r="U27" i="9"/>
  <c r="S27" i="9"/>
  <c r="Q27" i="9"/>
  <c r="P27" i="9"/>
  <c r="O27" i="9"/>
  <c r="M27" i="9"/>
  <c r="L27" i="9"/>
  <c r="H27" i="9"/>
  <c r="W26" i="9"/>
  <c r="U26" i="9"/>
  <c r="S26" i="9"/>
  <c r="Q26" i="9"/>
  <c r="P26" i="9"/>
  <c r="O26" i="9"/>
  <c r="M26" i="9"/>
  <c r="L26" i="9"/>
  <c r="H26" i="9"/>
  <c r="W25" i="9"/>
  <c r="U25" i="9"/>
  <c r="S25" i="9"/>
  <c r="Q25" i="9"/>
  <c r="P25" i="9"/>
  <c r="O25" i="9"/>
  <c r="M25" i="9"/>
  <c r="L25" i="9"/>
  <c r="H25" i="9"/>
  <c r="W24" i="9"/>
  <c r="U24" i="9"/>
  <c r="S24" i="9"/>
  <c r="Q24" i="9"/>
  <c r="P24" i="9"/>
  <c r="O24" i="9"/>
  <c r="M24" i="9"/>
  <c r="L24" i="9"/>
  <c r="H24" i="9"/>
  <c r="W23" i="9"/>
  <c r="U23" i="9"/>
  <c r="S23" i="9"/>
  <c r="Q23" i="9"/>
  <c r="P23" i="9"/>
  <c r="O23" i="9"/>
  <c r="M23" i="9"/>
  <c r="L23" i="9"/>
  <c r="H23" i="9"/>
  <c r="W18" i="9"/>
  <c r="U18" i="9"/>
  <c r="S18" i="9"/>
  <c r="Q18" i="9"/>
  <c r="P18" i="9"/>
  <c r="O18" i="9"/>
  <c r="M18" i="9"/>
  <c r="L18" i="9"/>
  <c r="H18" i="9"/>
  <c r="W17" i="9"/>
  <c r="U17" i="9"/>
  <c r="S17" i="9"/>
  <c r="Q17" i="9"/>
  <c r="P17" i="9"/>
  <c r="O17" i="9"/>
  <c r="M17" i="9"/>
  <c r="L17" i="9"/>
  <c r="H17" i="9"/>
  <c r="W16" i="9"/>
  <c r="U16" i="9"/>
  <c r="S16" i="9"/>
  <c r="Q16" i="9"/>
  <c r="P16" i="9"/>
  <c r="O16" i="9"/>
  <c r="M16" i="9"/>
  <c r="L16" i="9"/>
  <c r="H16" i="9"/>
  <c r="W15" i="9"/>
  <c r="U15" i="9"/>
  <c r="S15" i="9"/>
  <c r="Q15" i="9"/>
  <c r="P15" i="9"/>
  <c r="O15" i="9"/>
  <c r="M15" i="9"/>
  <c r="L15" i="9"/>
  <c r="H15" i="9"/>
  <c r="W14" i="9"/>
  <c r="U14" i="9"/>
  <c r="S14" i="9"/>
  <c r="Q14" i="9"/>
  <c r="P14" i="9"/>
  <c r="O14" i="9"/>
  <c r="M14" i="9"/>
  <c r="L14" i="9"/>
  <c r="H14" i="9"/>
  <c r="W12" i="9"/>
  <c r="U12" i="9"/>
  <c r="S12" i="9"/>
  <c r="Q12" i="9"/>
  <c r="P12" i="9"/>
  <c r="O12" i="9"/>
  <c r="M12" i="9"/>
  <c r="L12" i="9"/>
  <c r="H12" i="9"/>
  <c r="W11" i="9"/>
  <c r="U11" i="9"/>
  <c r="S11" i="9"/>
  <c r="Q11" i="9"/>
  <c r="P11" i="9"/>
  <c r="O11" i="9"/>
  <c r="M11" i="9"/>
  <c r="L11" i="9"/>
  <c r="H11" i="9"/>
  <c r="W10" i="9"/>
  <c r="U10" i="9"/>
  <c r="S10" i="9"/>
  <c r="Q10" i="9"/>
  <c r="P10" i="9"/>
  <c r="O10" i="9"/>
  <c r="M10" i="9"/>
  <c r="L10" i="9"/>
  <c r="H10" i="9"/>
  <c r="W9" i="9"/>
  <c r="U9" i="9"/>
  <c r="S9" i="9"/>
  <c r="Q9" i="9"/>
  <c r="P9" i="9"/>
  <c r="O9" i="9"/>
  <c r="M9" i="9"/>
  <c r="L9" i="9"/>
  <c r="H9" i="9"/>
  <c r="W8" i="9"/>
  <c r="U8" i="9"/>
  <c r="S8" i="9"/>
  <c r="Q8" i="9"/>
  <c r="P8" i="9"/>
  <c r="O8" i="9"/>
  <c r="M8" i="9"/>
  <c r="L8" i="9"/>
  <c r="H8" i="9"/>
  <c r="W7" i="9"/>
  <c r="U7" i="9"/>
  <c r="S7" i="9"/>
  <c r="Q7" i="9"/>
  <c r="P7" i="9"/>
  <c r="O7" i="9"/>
  <c r="M7" i="9"/>
  <c r="L7" i="9"/>
  <c r="H7" i="9"/>
  <c r="W6" i="9"/>
  <c r="U6" i="9"/>
  <c r="S6" i="9"/>
  <c r="Q6" i="9"/>
  <c r="P6" i="9"/>
  <c r="O6" i="9"/>
  <c r="M6" i="9"/>
  <c r="L6" i="9"/>
  <c r="H6" i="9"/>
  <c r="C1" i="5"/>
  <c r="AF1090" i="5"/>
  <c r="AG1090" i="5" s="1"/>
  <c r="AF1089" i="5"/>
  <c r="AG1089" i="5" s="1"/>
  <c r="AF1088" i="5"/>
  <c r="AG1088" i="5" s="1"/>
  <c r="AF1087" i="5"/>
  <c r="AG1087" i="5" s="1"/>
  <c r="AF1086" i="5"/>
  <c r="AG1086" i="5" s="1"/>
  <c r="AF1085" i="5"/>
  <c r="AG1085" i="5" s="1"/>
  <c r="AF1084" i="5"/>
  <c r="AG1084" i="5" s="1"/>
  <c r="AF1083" i="5"/>
  <c r="AG1083" i="5" s="1"/>
  <c r="AF1082" i="5"/>
  <c r="AG1082" i="5" s="1"/>
  <c r="AF1081" i="5"/>
  <c r="AG1081" i="5" s="1"/>
  <c r="AF1080" i="5"/>
  <c r="AG1080" i="5" s="1"/>
  <c r="AF1079" i="5"/>
  <c r="AG1079" i="5" s="1"/>
  <c r="AF1078" i="5"/>
  <c r="AG1078" i="5" s="1"/>
  <c r="AF1077" i="5"/>
  <c r="AG1077" i="5" s="1"/>
  <c r="AF1076" i="5"/>
  <c r="AG1076" i="5" s="1"/>
  <c r="AF1075" i="5"/>
  <c r="AG1075" i="5" s="1"/>
  <c r="AF1074" i="5"/>
  <c r="AG1074" i="5" s="1"/>
  <c r="AF1073" i="5"/>
  <c r="AG1073" i="5" s="1"/>
  <c r="AF1072" i="5"/>
  <c r="AG1072" i="5" s="1"/>
  <c r="AF1071" i="5"/>
  <c r="AG1071" i="5" s="1"/>
  <c r="AF1070" i="5"/>
  <c r="AG1070" i="5" s="1"/>
  <c r="AF1069" i="5"/>
  <c r="AG1069" i="5" s="1"/>
  <c r="AF1068" i="5"/>
  <c r="AG1068" i="5" s="1"/>
  <c r="AF1067" i="5"/>
  <c r="AG1067" i="5" s="1"/>
  <c r="AF1066" i="5"/>
  <c r="AG1066" i="5" s="1"/>
  <c r="AF1065" i="5"/>
  <c r="AG1065" i="5" s="1"/>
  <c r="AF1064" i="5"/>
  <c r="AG1064" i="5" s="1"/>
  <c r="AF1063" i="5"/>
  <c r="AG1063" i="5" s="1"/>
  <c r="AF1062" i="5"/>
  <c r="AG1062" i="5" s="1"/>
  <c r="AF1061" i="5"/>
  <c r="AG1061" i="5" s="1"/>
  <c r="AF1060" i="5"/>
  <c r="AG1060" i="5" s="1"/>
  <c r="AF1059" i="5"/>
  <c r="AG1059" i="5" s="1"/>
  <c r="AF1058" i="5"/>
  <c r="AG1058" i="5" s="1"/>
  <c r="AF1057" i="5"/>
  <c r="AG1057" i="5" s="1"/>
  <c r="AF1056" i="5"/>
  <c r="AG1056" i="5" s="1"/>
  <c r="AF1055" i="5"/>
  <c r="AG1055" i="5" s="1"/>
  <c r="AF1054" i="5"/>
  <c r="AG1054" i="5" s="1"/>
  <c r="AF1053" i="5"/>
  <c r="AG1053" i="5" s="1"/>
  <c r="AF1052" i="5"/>
  <c r="AG1052" i="5" s="1"/>
  <c r="AF1051" i="5"/>
  <c r="AG1051" i="5" s="1"/>
  <c r="AF1050" i="5"/>
  <c r="AG1050" i="5" s="1"/>
  <c r="AF1049" i="5"/>
  <c r="AG1049" i="5" s="1"/>
  <c r="AF1048" i="5"/>
  <c r="AG1048" i="5" s="1"/>
  <c r="AF1047" i="5"/>
  <c r="AG1047" i="5" s="1"/>
  <c r="AF1046" i="5"/>
  <c r="AG1046" i="5" s="1"/>
  <c r="AF1045" i="5"/>
  <c r="AG1045" i="5" s="1"/>
  <c r="AF1044" i="5"/>
  <c r="AG1044" i="5" s="1"/>
  <c r="AF1043" i="5"/>
  <c r="AG1043" i="5" s="1"/>
  <c r="AF1042" i="5"/>
  <c r="AG1042" i="5" s="1"/>
  <c r="AF1041" i="5"/>
  <c r="AG1041" i="5" s="1"/>
  <c r="AF1040" i="5"/>
  <c r="AG1040" i="5" s="1"/>
  <c r="AF1039" i="5"/>
  <c r="AG1039" i="5" s="1"/>
  <c r="AF1038" i="5"/>
  <c r="AG1038" i="5" s="1"/>
  <c r="AF1037" i="5"/>
  <c r="AG1037" i="5" s="1"/>
  <c r="AF1036" i="5"/>
  <c r="AG1036" i="5" s="1"/>
  <c r="AF1035" i="5"/>
  <c r="AG1035" i="5" s="1"/>
  <c r="AF1034" i="5"/>
  <c r="AG1034" i="5" s="1"/>
  <c r="AF1033" i="5"/>
  <c r="AG1033" i="5" s="1"/>
  <c r="AF1032" i="5"/>
  <c r="AG1032" i="5" s="1"/>
  <c r="AF1031" i="5"/>
  <c r="AG1031" i="5" s="1"/>
  <c r="AF1030" i="5"/>
  <c r="AG1030" i="5" s="1"/>
  <c r="AF1029" i="5"/>
  <c r="AG1029" i="5" s="1"/>
  <c r="AF1028" i="5"/>
  <c r="AG1028" i="5" s="1"/>
  <c r="AF1027" i="5"/>
  <c r="AG1027" i="5" s="1"/>
  <c r="AF1026" i="5"/>
  <c r="AG1026" i="5" s="1"/>
  <c r="AF1025" i="5"/>
  <c r="AG1025" i="5" s="1"/>
  <c r="AF1024" i="5"/>
  <c r="AG1024" i="5" s="1"/>
  <c r="AF1023" i="5"/>
  <c r="AG1023" i="5" s="1"/>
  <c r="AF1022" i="5"/>
  <c r="AG1022" i="5" s="1"/>
  <c r="AF1021" i="5"/>
  <c r="AG1021" i="5" s="1"/>
  <c r="AF1020" i="5"/>
  <c r="AG1020" i="5" s="1"/>
  <c r="AF1019" i="5"/>
  <c r="AG1019" i="5" s="1"/>
  <c r="AF1018" i="5"/>
  <c r="AG1018" i="5" s="1"/>
  <c r="AF1017" i="5"/>
  <c r="AG1017" i="5" s="1"/>
  <c r="AF1016" i="5"/>
  <c r="AG1016" i="5" s="1"/>
  <c r="AF1015" i="5"/>
  <c r="AG1015" i="5" s="1"/>
  <c r="AF1014" i="5"/>
  <c r="AG1014" i="5" s="1"/>
  <c r="AF1013" i="5"/>
  <c r="AG1013" i="5" s="1"/>
  <c r="AF1012" i="5"/>
  <c r="AG1012" i="5" s="1"/>
  <c r="AF1011" i="5"/>
  <c r="AG1011" i="5" s="1"/>
  <c r="AF1010" i="5"/>
  <c r="AG1010" i="5" s="1"/>
  <c r="AF1009" i="5"/>
  <c r="AG1009" i="5" s="1"/>
  <c r="AF1008" i="5"/>
  <c r="AG1008" i="5" s="1"/>
  <c r="AF1007" i="5"/>
  <c r="AG1007" i="5" s="1"/>
  <c r="AF1006" i="5"/>
  <c r="AG1006" i="5" s="1"/>
  <c r="AF1005" i="5"/>
  <c r="AG1005" i="5" s="1"/>
  <c r="AF1004" i="5"/>
  <c r="AG1004" i="5" s="1"/>
  <c r="AF1003" i="5"/>
  <c r="AG1003" i="5" s="1"/>
  <c r="AF1002" i="5"/>
  <c r="AG1002" i="5" s="1"/>
  <c r="AF1001" i="5"/>
  <c r="AG1001" i="5" s="1"/>
  <c r="AF1000" i="5"/>
  <c r="AG1000" i="5" s="1"/>
  <c r="AF999" i="5"/>
  <c r="AG999" i="5" s="1"/>
  <c r="AF998" i="5"/>
  <c r="AG998" i="5" s="1"/>
  <c r="AF997" i="5"/>
  <c r="AG997" i="5" s="1"/>
  <c r="AF996" i="5"/>
  <c r="AG996" i="5" s="1"/>
  <c r="AF995" i="5"/>
  <c r="AG995" i="5" s="1"/>
  <c r="AF994" i="5"/>
  <c r="AG994" i="5" s="1"/>
  <c r="AF993" i="5"/>
  <c r="AG993" i="5" s="1"/>
  <c r="AF992" i="5"/>
  <c r="AG992" i="5" s="1"/>
  <c r="AF991" i="5"/>
  <c r="AG991" i="5" s="1"/>
  <c r="AF990" i="5"/>
  <c r="AG990" i="5" s="1"/>
  <c r="AF989" i="5"/>
  <c r="AG989" i="5" s="1"/>
  <c r="AF988" i="5"/>
  <c r="AG988" i="5" s="1"/>
  <c r="AF987" i="5"/>
  <c r="AG987" i="5" s="1"/>
  <c r="AF986" i="5"/>
  <c r="AG986" i="5" s="1"/>
  <c r="AF985" i="5"/>
  <c r="AG985" i="5" s="1"/>
  <c r="AF984" i="5"/>
  <c r="AG984" i="5" s="1"/>
  <c r="AF983" i="5"/>
  <c r="AG983" i="5" s="1"/>
  <c r="AF982" i="5"/>
  <c r="AG982" i="5" s="1"/>
  <c r="AF981" i="5"/>
  <c r="AG981" i="5" s="1"/>
  <c r="AF980" i="5"/>
  <c r="AG980" i="5" s="1"/>
  <c r="AF979" i="5"/>
  <c r="AG979" i="5" s="1"/>
  <c r="AF978" i="5"/>
  <c r="AG978" i="5" s="1"/>
  <c r="AF977" i="5"/>
  <c r="AG977" i="5" s="1"/>
  <c r="AF976" i="5"/>
  <c r="AG976" i="5" s="1"/>
  <c r="AF975" i="5"/>
  <c r="AG975" i="5" s="1"/>
  <c r="AF974" i="5"/>
  <c r="AG974" i="5" s="1"/>
  <c r="AF973" i="5"/>
  <c r="AG973" i="5" s="1"/>
  <c r="AF972" i="5"/>
  <c r="AG972" i="5" s="1"/>
  <c r="AF971" i="5"/>
  <c r="AG971" i="5" s="1"/>
  <c r="AF970" i="5"/>
  <c r="AG970" i="5" s="1"/>
  <c r="AF969" i="5"/>
  <c r="AG969" i="5" s="1"/>
  <c r="AF968" i="5"/>
  <c r="AG968" i="5" s="1"/>
  <c r="AF967" i="5"/>
  <c r="AG967" i="5" s="1"/>
  <c r="AF966" i="5"/>
  <c r="AG966" i="5" s="1"/>
  <c r="AF965" i="5"/>
  <c r="AG965" i="5" s="1"/>
  <c r="AF964" i="5"/>
  <c r="AG964" i="5" s="1"/>
  <c r="AF963" i="5"/>
  <c r="AG963" i="5" s="1"/>
  <c r="AF962" i="5"/>
  <c r="AG962" i="5" s="1"/>
  <c r="AF961" i="5"/>
  <c r="AG961" i="5" s="1"/>
  <c r="AF960" i="5"/>
  <c r="AG960" i="5" s="1"/>
  <c r="AF959" i="5"/>
  <c r="AG959" i="5" s="1"/>
  <c r="AF958" i="5"/>
  <c r="AG958" i="5" s="1"/>
  <c r="AF957" i="5"/>
  <c r="AG957" i="5" s="1"/>
  <c r="AF956" i="5"/>
  <c r="AG956" i="5" s="1"/>
  <c r="AF955" i="5"/>
  <c r="AG955" i="5" s="1"/>
  <c r="AF954" i="5"/>
  <c r="AG954" i="5" s="1"/>
  <c r="AF953" i="5"/>
  <c r="AG953" i="5" s="1"/>
  <c r="AF952" i="5"/>
  <c r="AG952" i="5" s="1"/>
  <c r="AF951" i="5"/>
  <c r="AG951" i="5" s="1"/>
  <c r="AF950" i="5"/>
  <c r="AG950" i="5" s="1"/>
  <c r="AF949" i="5"/>
  <c r="AG949" i="5" s="1"/>
  <c r="AF948" i="5"/>
  <c r="AG948" i="5" s="1"/>
  <c r="AF947" i="5"/>
  <c r="AG947" i="5" s="1"/>
  <c r="AF946" i="5"/>
  <c r="AG946" i="5" s="1"/>
  <c r="AF945" i="5"/>
  <c r="AG945" i="5" s="1"/>
  <c r="AF944" i="5"/>
  <c r="AG944" i="5" s="1"/>
  <c r="AF943" i="5"/>
  <c r="AG943" i="5" s="1"/>
  <c r="AF942" i="5"/>
  <c r="AG942" i="5" s="1"/>
  <c r="AF941" i="5"/>
  <c r="AG941" i="5" s="1"/>
  <c r="AF940" i="5"/>
  <c r="AG940" i="5" s="1"/>
  <c r="AF939" i="5"/>
  <c r="AG939" i="5" s="1"/>
  <c r="AF938" i="5"/>
  <c r="AG938" i="5" s="1"/>
  <c r="AF937" i="5"/>
  <c r="AG937" i="5" s="1"/>
  <c r="AF936" i="5"/>
  <c r="AG936" i="5" s="1"/>
  <c r="AF935" i="5"/>
  <c r="AG935" i="5" s="1"/>
  <c r="AF934" i="5"/>
  <c r="AG934" i="5" s="1"/>
  <c r="AF933" i="5"/>
  <c r="AG933" i="5" s="1"/>
  <c r="AF932" i="5"/>
  <c r="AG932" i="5" s="1"/>
  <c r="AF931" i="5"/>
  <c r="AG931" i="5" s="1"/>
  <c r="AF930" i="5"/>
  <c r="AG930" i="5" s="1"/>
  <c r="AF929" i="5"/>
  <c r="AG929" i="5" s="1"/>
  <c r="AF928" i="5"/>
  <c r="AG928" i="5" s="1"/>
  <c r="AF927" i="5"/>
  <c r="AG927" i="5" s="1"/>
  <c r="AF926" i="5"/>
  <c r="AG926" i="5" s="1"/>
  <c r="AF925" i="5"/>
  <c r="AG925" i="5" s="1"/>
  <c r="AF924" i="5"/>
  <c r="AG924" i="5" s="1"/>
  <c r="AF923" i="5"/>
  <c r="AG923" i="5" s="1"/>
  <c r="AF922" i="5"/>
  <c r="AG922" i="5" s="1"/>
  <c r="AF921" i="5"/>
  <c r="AG921" i="5" s="1"/>
  <c r="AF920" i="5"/>
  <c r="AG920" i="5" s="1"/>
  <c r="AF919" i="5"/>
  <c r="AG919" i="5" s="1"/>
  <c r="AF918" i="5"/>
  <c r="AG918" i="5" s="1"/>
  <c r="AF917" i="5"/>
  <c r="AG917" i="5" s="1"/>
  <c r="AF916" i="5"/>
  <c r="AG916" i="5" s="1"/>
  <c r="AF915" i="5"/>
  <c r="AG915" i="5" s="1"/>
  <c r="AF914" i="5"/>
  <c r="AG914" i="5" s="1"/>
  <c r="AF913" i="5"/>
  <c r="AG913" i="5" s="1"/>
  <c r="AF912" i="5"/>
  <c r="AG912" i="5" s="1"/>
  <c r="AF911" i="5"/>
  <c r="AG911" i="5" s="1"/>
  <c r="AF910" i="5"/>
  <c r="AG910" i="5" s="1"/>
  <c r="AF909" i="5"/>
  <c r="AG909" i="5" s="1"/>
  <c r="AF908" i="5"/>
  <c r="AG908" i="5" s="1"/>
  <c r="AF907" i="5"/>
  <c r="AG907" i="5" s="1"/>
  <c r="AF906" i="5"/>
  <c r="AG906" i="5" s="1"/>
  <c r="AF905" i="5"/>
  <c r="AG905" i="5" s="1"/>
  <c r="AF904" i="5"/>
  <c r="AG904" i="5" s="1"/>
  <c r="AF903" i="5"/>
  <c r="AG903" i="5" s="1"/>
  <c r="AF902" i="5"/>
  <c r="AG902" i="5" s="1"/>
  <c r="AF901" i="5"/>
  <c r="AG901" i="5" s="1"/>
  <c r="AF900" i="5"/>
  <c r="AG900" i="5" s="1"/>
  <c r="AF899" i="5"/>
  <c r="AG899" i="5" s="1"/>
  <c r="AF898" i="5"/>
  <c r="AG898" i="5" s="1"/>
  <c r="AF897" i="5"/>
  <c r="AG897" i="5" s="1"/>
  <c r="AF896" i="5"/>
  <c r="AG896" i="5" s="1"/>
  <c r="AF895" i="5"/>
  <c r="AG895" i="5" s="1"/>
  <c r="AF894" i="5"/>
  <c r="AG894" i="5" s="1"/>
  <c r="AF893" i="5"/>
  <c r="AG893" i="5" s="1"/>
  <c r="AF892" i="5"/>
  <c r="AG892" i="5" s="1"/>
  <c r="AF891" i="5"/>
  <c r="AG891" i="5" s="1"/>
  <c r="AF890" i="5"/>
  <c r="AG890" i="5" s="1"/>
  <c r="AF889" i="5"/>
  <c r="AG889" i="5" s="1"/>
  <c r="AF888" i="5"/>
  <c r="AG888" i="5" s="1"/>
  <c r="AF887" i="5"/>
  <c r="AG887" i="5" s="1"/>
  <c r="AF886" i="5"/>
  <c r="AG886" i="5" s="1"/>
  <c r="AF885" i="5"/>
  <c r="AG885" i="5" s="1"/>
  <c r="AF884" i="5"/>
  <c r="AG884" i="5" s="1"/>
  <c r="AF883" i="5"/>
  <c r="AG883" i="5" s="1"/>
  <c r="AF882" i="5"/>
  <c r="AG882" i="5" s="1"/>
  <c r="AF881" i="5"/>
  <c r="AG881" i="5" s="1"/>
  <c r="AF880" i="5"/>
  <c r="AG880" i="5" s="1"/>
  <c r="AF879" i="5"/>
  <c r="AG879" i="5" s="1"/>
  <c r="AF878" i="5"/>
  <c r="AG878" i="5" s="1"/>
  <c r="AF877" i="5"/>
  <c r="AG877" i="5" s="1"/>
  <c r="AF876" i="5"/>
  <c r="AG876" i="5" s="1"/>
  <c r="AF875" i="5"/>
  <c r="AG875" i="5" s="1"/>
  <c r="AF874" i="5"/>
  <c r="AG874" i="5" s="1"/>
  <c r="AF873" i="5"/>
  <c r="AG873" i="5" s="1"/>
  <c r="AF872" i="5"/>
  <c r="AG872" i="5" s="1"/>
  <c r="AF871" i="5"/>
  <c r="AG871" i="5" s="1"/>
  <c r="AF870" i="5"/>
  <c r="AG870" i="5" s="1"/>
  <c r="AF869" i="5"/>
  <c r="AG869" i="5" s="1"/>
  <c r="AF868" i="5"/>
  <c r="AG868" i="5" s="1"/>
  <c r="AF867" i="5"/>
  <c r="AG867" i="5" s="1"/>
  <c r="AF866" i="5"/>
  <c r="AG866" i="5" s="1"/>
  <c r="AF865" i="5"/>
  <c r="AG865" i="5" s="1"/>
  <c r="AF864" i="5"/>
  <c r="AG864" i="5" s="1"/>
  <c r="AF863" i="5"/>
  <c r="AG863" i="5" s="1"/>
  <c r="AF862" i="5"/>
  <c r="AG862" i="5" s="1"/>
  <c r="AF861" i="5"/>
  <c r="AG861" i="5" s="1"/>
  <c r="AF860" i="5"/>
  <c r="AG860" i="5" s="1"/>
  <c r="AF859" i="5"/>
  <c r="AG859" i="5" s="1"/>
  <c r="AF858" i="5"/>
  <c r="AG858" i="5" s="1"/>
  <c r="AF857" i="5"/>
  <c r="AG857" i="5" s="1"/>
  <c r="AF856" i="5"/>
  <c r="AG856" i="5" s="1"/>
  <c r="AF855" i="5"/>
  <c r="AG855" i="5" s="1"/>
  <c r="AF854" i="5"/>
  <c r="AG854" i="5" s="1"/>
  <c r="AF853" i="5"/>
  <c r="AG853" i="5" s="1"/>
  <c r="AF852" i="5"/>
  <c r="AG852" i="5" s="1"/>
  <c r="AF851" i="5"/>
  <c r="AG851" i="5" s="1"/>
  <c r="AF850" i="5"/>
  <c r="AG850" i="5" s="1"/>
  <c r="AF849" i="5"/>
  <c r="AG849" i="5" s="1"/>
  <c r="AF848" i="5"/>
  <c r="AG848" i="5" s="1"/>
  <c r="AF847" i="5"/>
  <c r="AG847" i="5" s="1"/>
  <c r="AF846" i="5"/>
  <c r="AG846" i="5" s="1"/>
  <c r="AF845" i="5"/>
  <c r="AG845" i="5" s="1"/>
  <c r="AF844" i="5"/>
  <c r="AG844" i="5" s="1"/>
  <c r="AF843" i="5"/>
  <c r="AG843" i="5" s="1"/>
  <c r="AF842" i="5"/>
  <c r="AG842" i="5" s="1"/>
  <c r="AF841" i="5"/>
  <c r="AG841" i="5" s="1"/>
  <c r="AF840" i="5"/>
  <c r="AG840" i="5" s="1"/>
  <c r="AF839" i="5"/>
  <c r="AG839" i="5" s="1"/>
  <c r="AF838" i="5"/>
  <c r="AG838" i="5" s="1"/>
  <c r="AF837" i="5"/>
  <c r="AG837" i="5" s="1"/>
  <c r="AF836" i="5"/>
  <c r="AG836" i="5" s="1"/>
  <c r="AF835" i="5"/>
  <c r="AG835" i="5" s="1"/>
  <c r="AF834" i="5"/>
  <c r="AG834" i="5" s="1"/>
  <c r="AF833" i="5"/>
  <c r="AG833" i="5" s="1"/>
  <c r="AF832" i="5"/>
  <c r="AG832" i="5" s="1"/>
  <c r="AF831" i="5"/>
  <c r="AG831" i="5" s="1"/>
  <c r="AF830" i="5"/>
  <c r="AG830" i="5" s="1"/>
  <c r="AF829" i="5"/>
  <c r="AG829" i="5" s="1"/>
  <c r="AF828" i="5"/>
  <c r="AG828" i="5" s="1"/>
  <c r="AF827" i="5"/>
  <c r="AG827" i="5" s="1"/>
  <c r="AF826" i="5"/>
  <c r="AG826" i="5" s="1"/>
  <c r="AF825" i="5"/>
  <c r="AG825" i="5" s="1"/>
  <c r="AF824" i="5"/>
  <c r="AG824" i="5" s="1"/>
  <c r="AF823" i="5"/>
  <c r="AG823" i="5" s="1"/>
  <c r="AF822" i="5"/>
  <c r="AG822" i="5" s="1"/>
  <c r="AF821" i="5"/>
  <c r="AG821" i="5" s="1"/>
  <c r="AF820" i="5"/>
  <c r="AG820" i="5" s="1"/>
  <c r="AF819" i="5"/>
  <c r="AG819" i="5" s="1"/>
  <c r="AF818" i="5"/>
  <c r="AG818" i="5" s="1"/>
  <c r="AF817" i="5"/>
  <c r="AG817" i="5" s="1"/>
  <c r="AF816" i="5"/>
  <c r="AG816" i="5" s="1"/>
  <c r="AF815" i="5"/>
  <c r="AG815" i="5" s="1"/>
  <c r="AF814" i="5"/>
  <c r="AG814" i="5" s="1"/>
  <c r="AF813" i="5"/>
  <c r="AG813" i="5" s="1"/>
  <c r="AF812" i="5"/>
  <c r="AG812" i="5" s="1"/>
  <c r="AF811" i="5"/>
  <c r="AG811" i="5" s="1"/>
  <c r="AF810" i="5"/>
  <c r="AG810" i="5" s="1"/>
  <c r="AF809" i="5"/>
  <c r="AG809" i="5" s="1"/>
  <c r="AF808" i="5"/>
  <c r="AG808" i="5" s="1"/>
  <c r="AF807" i="5"/>
  <c r="AG807" i="5" s="1"/>
  <c r="AF806" i="5"/>
  <c r="AG806" i="5" s="1"/>
  <c r="AF805" i="5"/>
  <c r="AG805" i="5" s="1"/>
  <c r="AF804" i="5"/>
  <c r="AG804" i="5" s="1"/>
  <c r="AF803" i="5"/>
  <c r="AG803" i="5" s="1"/>
  <c r="AF802" i="5"/>
  <c r="AG802" i="5" s="1"/>
  <c r="AF801" i="5"/>
  <c r="AG801" i="5" s="1"/>
  <c r="AF800" i="5"/>
  <c r="AG800" i="5" s="1"/>
  <c r="AF799" i="5"/>
  <c r="AG799" i="5" s="1"/>
  <c r="AF798" i="5"/>
  <c r="AG798" i="5" s="1"/>
  <c r="AF797" i="5"/>
  <c r="AG797" i="5" s="1"/>
  <c r="AF796" i="5"/>
  <c r="AG796" i="5" s="1"/>
  <c r="AF795" i="5"/>
  <c r="AG795" i="5" s="1"/>
  <c r="AF794" i="5"/>
  <c r="AG794" i="5" s="1"/>
  <c r="AF793" i="5"/>
  <c r="AG793" i="5" s="1"/>
  <c r="AF792" i="5"/>
  <c r="AG792" i="5" s="1"/>
  <c r="AF791" i="5"/>
  <c r="AG791" i="5" s="1"/>
  <c r="AF790" i="5"/>
  <c r="AG790" i="5" s="1"/>
  <c r="AF789" i="5"/>
  <c r="AG789" i="5" s="1"/>
  <c r="AF788" i="5"/>
  <c r="AG788" i="5" s="1"/>
  <c r="AF787" i="5"/>
  <c r="AG787" i="5" s="1"/>
  <c r="AF786" i="5"/>
  <c r="AG786" i="5" s="1"/>
  <c r="AF785" i="5"/>
  <c r="AG785" i="5" s="1"/>
  <c r="AF784" i="5"/>
  <c r="AG784" i="5" s="1"/>
  <c r="AF783" i="5"/>
  <c r="AG783" i="5" s="1"/>
  <c r="AF782" i="5"/>
  <c r="AG782" i="5" s="1"/>
  <c r="AF781" i="5"/>
  <c r="AG781" i="5" s="1"/>
  <c r="AF780" i="5"/>
  <c r="AG780" i="5" s="1"/>
  <c r="AF779" i="5"/>
  <c r="AG779" i="5" s="1"/>
  <c r="AF778" i="5"/>
  <c r="AG778" i="5" s="1"/>
  <c r="AF777" i="5"/>
  <c r="AG777" i="5" s="1"/>
  <c r="AF776" i="5"/>
  <c r="AG776" i="5" s="1"/>
  <c r="AF775" i="5"/>
  <c r="AG775" i="5" s="1"/>
  <c r="AF774" i="5"/>
  <c r="AG774" i="5" s="1"/>
  <c r="AF773" i="5"/>
  <c r="AG773" i="5" s="1"/>
  <c r="AF772" i="5"/>
  <c r="AG772" i="5" s="1"/>
  <c r="AF771" i="5"/>
  <c r="AG771" i="5" s="1"/>
  <c r="AF770" i="5"/>
  <c r="AG770" i="5" s="1"/>
  <c r="AF769" i="5"/>
  <c r="AG769" i="5" s="1"/>
  <c r="AF768" i="5"/>
  <c r="AG768" i="5" s="1"/>
  <c r="AF767" i="5"/>
  <c r="AG767" i="5" s="1"/>
  <c r="AF766" i="5"/>
  <c r="AG766" i="5" s="1"/>
  <c r="AF765" i="5"/>
  <c r="AG765" i="5" s="1"/>
  <c r="AF764" i="5"/>
  <c r="AG764" i="5" s="1"/>
  <c r="AF763" i="5"/>
  <c r="AG763" i="5" s="1"/>
  <c r="AF762" i="5"/>
  <c r="AG762" i="5" s="1"/>
  <c r="AF761" i="5"/>
  <c r="AG761" i="5" s="1"/>
  <c r="AF760" i="5"/>
  <c r="AG760" i="5" s="1"/>
  <c r="AF759" i="5"/>
  <c r="AG759" i="5" s="1"/>
  <c r="AF758" i="5"/>
  <c r="AG758" i="5" s="1"/>
  <c r="AF757" i="5"/>
  <c r="AG757" i="5" s="1"/>
  <c r="AF756" i="5"/>
  <c r="AG756" i="5" s="1"/>
  <c r="AF755" i="5"/>
  <c r="AG755" i="5" s="1"/>
  <c r="AF754" i="5"/>
  <c r="AG754" i="5" s="1"/>
  <c r="AF753" i="5"/>
  <c r="AG753" i="5" s="1"/>
  <c r="AF752" i="5"/>
  <c r="AG752" i="5" s="1"/>
  <c r="AF751" i="5"/>
  <c r="AG751" i="5" s="1"/>
  <c r="AF750" i="5"/>
  <c r="AG750" i="5" s="1"/>
  <c r="AF749" i="5"/>
  <c r="AG749" i="5" s="1"/>
  <c r="AF748" i="5"/>
  <c r="AG748" i="5" s="1"/>
  <c r="AF747" i="5"/>
  <c r="AG747" i="5" s="1"/>
  <c r="AF746" i="5"/>
  <c r="AG746" i="5" s="1"/>
  <c r="AF745" i="5"/>
  <c r="AG745" i="5" s="1"/>
  <c r="AF744" i="5"/>
  <c r="AG744" i="5" s="1"/>
  <c r="AF743" i="5"/>
  <c r="AG743" i="5" s="1"/>
  <c r="AF742" i="5"/>
  <c r="AG742" i="5" s="1"/>
  <c r="AF741" i="5"/>
  <c r="AG741" i="5" s="1"/>
  <c r="AF740" i="5"/>
  <c r="AG740" i="5" s="1"/>
  <c r="AF739" i="5"/>
  <c r="AG739" i="5" s="1"/>
  <c r="AF738" i="5"/>
  <c r="AG738" i="5" s="1"/>
  <c r="AF737" i="5"/>
  <c r="AG737" i="5" s="1"/>
  <c r="AF736" i="5"/>
  <c r="AG736" i="5" s="1"/>
  <c r="AF735" i="5"/>
  <c r="AG735" i="5" s="1"/>
  <c r="AF734" i="5"/>
  <c r="AG734" i="5" s="1"/>
  <c r="AF733" i="5"/>
  <c r="AG733" i="5" s="1"/>
  <c r="AF732" i="5"/>
  <c r="AG732" i="5" s="1"/>
  <c r="AF731" i="5"/>
  <c r="AG731" i="5" s="1"/>
  <c r="AF730" i="5"/>
  <c r="AG730" i="5" s="1"/>
  <c r="AF729" i="5"/>
  <c r="AG729" i="5" s="1"/>
  <c r="AF728" i="5"/>
  <c r="AG728" i="5" s="1"/>
  <c r="AF727" i="5"/>
  <c r="AG727" i="5" s="1"/>
  <c r="AF726" i="5"/>
  <c r="AG726" i="5" s="1"/>
  <c r="AF725" i="5"/>
  <c r="AG725" i="5" s="1"/>
  <c r="AF724" i="5"/>
  <c r="AG724" i="5" s="1"/>
  <c r="AF723" i="5"/>
  <c r="AG723" i="5" s="1"/>
  <c r="AF722" i="5"/>
  <c r="AG722" i="5" s="1"/>
  <c r="AF721" i="5"/>
  <c r="AG721" i="5" s="1"/>
  <c r="AF720" i="5"/>
  <c r="AG720" i="5" s="1"/>
  <c r="AF719" i="5"/>
  <c r="AG719" i="5" s="1"/>
  <c r="AF718" i="5"/>
  <c r="AG718" i="5" s="1"/>
  <c r="AF717" i="5"/>
  <c r="AG717" i="5" s="1"/>
  <c r="AF716" i="5"/>
  <c r="AG716" i="5" s="1"/>
  <c r="AF715" i="5"/>
  <c r="AG715" i="5" s="1"/>
  <c r="AF714" i="5"/>
  <c r="AG714" i="5" s="1"/>
  <c r="AF713" i="5"/>
  <c r="AG713" i="5" s="1"/>
  <c r="AF712" i="5"/>
  <c r="AG712" i="5" s="1"/>
  <c r="AF711" i="5"/>
  <c r="AG711" i="5" s="1"/>
  <c r="AF710" i="5"/>
  <c r="AG710" i="5" s="1"/>
  <c r="AF709" i="5"/>
  <c r="AG709" i="5" s="1"/>
  <c r="AF708" i="5"/>
  <c r="AG708" i="5" s="1"/>
  <c r="AF707" i="5"/>
  <c r="AG707" i="5" s="1"/>
  <c r="AF706" i="5"/>
  <c r="AG706" i="5" s="1"/>
  <c r="AF705" i="5"/>
  <c r="AG705" i="5" s="1"/>
  <c r="AF704" i="5"/>
  <c r="AG704" i="5" s="1"/>
  <c r="AF703" i="5"/>
  <c r="AG703" i="5" s="1"/>
  <c r="AF702" i="5"/>
  <c r="AG702" i="5" s="1"/>
  <c r="AF701" i="5"/>
  <c r="AG701" i="5" s="1"/>
  <c r="AF700" i="5"/>
  <c r="AG700" i="5" s="1"/>
  <c r="AF699" i="5"/>
  <c r="AG699" i="5" s="1"/>
  <c r="AF698" i="5"/>
  <c r="AG698" i="5" s="1"/>
  <c r="AF697" i="5"/>
  <c r="AG697" i="5" s="1"/>
  <c r="AF696" i="5"/>
  <c r="AG696" i="5" s="1"/>
  <c r="AF695" i="5"/>
  <c r="AG695" i="5" s="1"/>
  <c r="AF694" i="5"/>
  <c r="AG694" i="5" s="1"/>
  <c r="AF693" i="5"/>
  <c r="AG693" i="5" s="1"/>
  <c r="AF692" i="5"/>
  <c r="AG692" i="5" s="1"/>
  <c r="AF691" i="5"/>
  <c r="AG691" i="5" s="1"/>
  <c r="AF690" i="5"/>
  <c r="AG690" i="5" s="1"/>
  <c r="AF689" i="5"/>
  <c r="AG689" i="5" s="1"/>
  <c r="AF688" i="5"/>
  <c r="AG688" i="5" s="1"/>
  <c r="AF687" i="5"/>
  <c r="AG687" i="5" s="1"/>
  <c r="AF686" i="5"/>
  <c r="AG686" i="5" s="1"/>
  <c r="AF685" i="5"/>
  <c r="AG685" i="5" s="1"/>
  <c r="AF684" i="5"/>
  <c r="AG684" i="5" s="1"/>
  <c r="AF683" i="5"/>
  <c r="AG683" i="5" s="1"/>
  <c r="AF682" i="5"/>
  <c r="AG682" i="5" s="1"/>
  <c r="AF681" i="5"/>
  <c r="AG681" i="5" s="1"/>
  <c r="AF680" i="5"/>
  <c r="AG680" i="5" s="1"/>
  <c r="AF679" i="5"/>
  <c r="AG679" i="5" s="1"/>
  <c r="AF678" i="5"/>
  <c r="AG678" i="5" s="1"/>
  <c r="AF677" i="5"/>
  <c r="AG677" i="5" s="1"/>
  <c r="AF676" i="5"/>
  <c r="AG676" i="5" s="1"/>
  <c r="AF675" i="5"/>
  <c r="AG675" i="5" s="1"/>
  <c r="AF674" i="5"/>
  <c r="AG674" i="5" s="1"/>
  <c r="AF673" i="5"/>
  <c r="AG673" i="5" s="1"/>
  <c r="AF672" i="5"/>
  <c r="AG672" i="5" s="1"/>
  <c r="AF671" i="5"/>
  <c r="AG671" i="5" s="1"/>
  <c r="AF670" i="5"/>
  <c r="AG670" i="5" s="1"/>
  <c r="AF669" i="5"/>
  <c r="AG669" i="5" s="1"/>
  <c r="AF668" i="5"/>
  <c r="AG668" i="5" s="1"/>
  <c r="AF667" i="5"/>
  <c r="AG667" i="5" s="1"/>
  <c r="AF666" i="5"/>
  <c r="AG666" i="5" s="1"/>
  <c r="AF665" i="5"/>
  <c r="AG665" i="5" s="1"/>
  <c r="AF664" i="5"/>
  <c r="AG664" i="5" s="1"/>
  <c r="AF663" i="5"/>
  <c r="AG663" i="5" s="1"/>
  <c r="AF662" i="5"/>
  <c r="AG662" i="5" s="1"/>
  <c r="AF661" i="5"/>
  <c r="AG661" i="5" s="1"/>
  <c r="AF660" i="5"/>
  <c r="AG660" i="5" s="1"/>
  <c r="AF659" i="5"/>
  <c r="AG659" i="5" s="1"/>
  <c r="AF658" i="5"/>
  <c r="AG658" i="5" s="1"/>
  <c r="AF657" i="5"/>
  <c r="AG657" i="5" s="1"/>
  <c r="AF656" i="5"/>
  <c r="AG656" i="5" s="1"/>
  <c r="AF655" i="5"/>
  <c r="AG655" i="5" s="1"/>
  <c r="AF654" i="5"/>
  <c r="AG654" i="5" s="1"/>
  <c r="AF653" i="5"/>
  <c r="AG653" i="5" s="1"/>
  <c r="AF652" i="5"/>
  <c r="AG652" i="5" s="1"/>
  <c r="AF651" i="5"/>
  <c r="AG651" i="5" s="1"/>
  <c r="AF650" i="5"/>
  <c r="AG650" i="5" s="1"/>
  <c r="AF649" i="5"/>
  <c r="AG649" i="5" s="1"/>
  <c r="AF648" i="5"/>
  <c r="AG648" i="5" s="1"/>
  <c r="AF647" i="5"/>
  <c r="AG647" i="5" s="1"/>
  <c r="AF646" i="5"/>
  <c r="AG646" i="5" s="1"/>
  <c r="AF645" i="5"/>
  <c r="AG645" i="5" s="1"/>
  <c r="AF644" i="5"/>
  <c r="AG644" i="5" s="1"/>
  <c r="AF643" i="5"/>
  <c r="AG643" i="5" s="1"/>
  <c r="AF642" i="5"/>
  <c r="AG642" i="5" s="1"/>
  <c r="AF641" i="5"/>
  <c r="AG641" i="5" s="1"/>
  <c r="AF640" i="5"/>
  <c r="AG640" i="5" s="1"/>
  <c r="AF639" i="5"/>
  <c r="AG639" i="5" s="1"/>
  <c r="AF638" i="5"/>
  <c r="AG638" i="5" s="1"/>
  <c r="AF637" i="5"/>
  <c r="AG637" i="5" s="1"/>
  <c r="AF636" i="5"/>
  <c r="AG636" i="5" s="1"/>
  <c r="AF635" i="5"/>
  <c r="AG635" i="5" s="1"/>
  <c r="AF634" i="5"/>
  <c r="AG634" i="5" s="1"/>
  <c r="AF633" i="5"/>
  <c r="AG633" i="5" s="1"/>
  <c r="AF632" i="5"/>
  <c r="AG632" i="5" s="1"/>
  <c r="AF631" i="5"/>
  <c r="AG631" i="5" s="1"/>
  <c r="AF630" i="5"/>
  <c r="AG630" i="5" s="1"/>
  <c r="AF629" i="5"/>
  <c r="AG629" i="5" s="1"/>
  <c r="AF628" i="5"/>
  <c r="AG628" i="5" s="1"/>
  <c r="AF627" i="5"/>
  <c r="AG627" i="5" s="1"/>
  <c r="AF626" i="5"/>
  <c r="AG626" i="5" s="1"/>
  <c r="AF625" i="5"/>
  <c r="AG625" i="5" s="1"/>
  <c r="AF624" i="5"/>
  <c r="AG624" i="5" s="1"/>
  <c r="AF623" i="5"/>
  <c r="AG623" i="5" s="1"/>
  <c r="AF622" i="5"/>
  <c r="AG622" i="5" s="1"/>
  <c r="AF621" i="5"/>
  <c r="AG621" i="5" s="1"/>
  <c r="AF620" i="5"/>
  <c r="AG620" i="5" s="1"/>
  <c r="AF619" i="5"/>
  <c r="AG619" i="5" s="1"/>
  <c r="AF618" i="5"/>
  <c r="AG618" i="5" s="1"/>
  <c r="AF617" i="5"/>
  <c r="AG617" i="5" s="1"/>
  <c r="AF616" i="5"/>
  <c r="AG616" i="5" s="1"/>
  <c r="AF615" i="5"/>
  <c r="AG615" i="5" s="1"/>
  <c r="AF614" i="5"/>
  <c r="AG614" i="5" s="1"/>
  <c r="AF613" i="5"/>
  <c r="AG613" i="5" s="1"/>
  <c r="AF612" i="5"/>
  <c r="AG612" i="5" s="1"/>
  <c r="AF611" i="5"/>
  <c r="AG611" i="5" s="1"/>
  <c r="AF610" i="5"/>
  <c r="AG610" i="5" s="1"/>
  <c r="AF609" i="5"/>
  <c r="AG609" i="5" s="1"/>
  <c r="AF608" i="5"/>
  <c r="AG608" i="5" s="1"/>
  <c r="AF607" i="5"/>
  <c r="AG607" i="5" s="1"/>
  <c r="AF606" i="5"/>
  <c r="AG606" i="5" s="1"/>
  <c r="AF605" i="5"/>
  <c r="AG605" i="5" s="1"/>
  <c r="AF604" i="5"/>
  <c r="AG604" i="5" s="1"/>
  <c r="AF603" i="5"/>
  <c r="AG603" i="5" s="1"/>
  <c r="AF602" i="5"/>
  <c r="AG602" i="5" s="1"/>
  <c r="AF601" i="5"/>
  <c r="AG601" i="5" s="1"/>
  <c r="AF600" i="5"/>
  <c r="AG600" i="5" s="1"/>
  <c r="AF599" i="5"/>
  <c r="AG599" i="5" s="1"/>
  <c r="AF598" i="5"/>
  <c r="AG598" i="5" s="1"/>
  <c r="AF597" i="5"/>
  <c r="AG597" i="5" s="1"/>
  <c r="AF596" i="5"/>
  <c r="AG596" i="5" s="1"/>
  <c r="AF595" i="5"/>
  <c r="AG595" i="5" s="1"/>
  <c r="AF594" i="5"/>
  <c r="AG594" i="5" s="1"/>
  <c r="AF593" i="5"/>
  <c r="AG593" i="5" s="1"/>
  <c r="AF592" i="5"/>
  <c r="AG592" i="5" s="1"/>
  <c r="AF591" i="5"/>
  <c r="AG591" i="5" s="1"/>
  <c r="AF590" i="5"/>
  <c r="AG590" i="5" s="1"/>
  <c r="AF589" i="5"/>
  <c r="AG589" i="5" s="1"/>
  <c r="AF588" i="5"/>
  <c r="AG588" i="5" s="1"/>
  <c r="AF587" i="5"/>
  <c r="AG587" i="5" s="1"/>
  <c r="AF586" i="5"/>
  <c r="AG586" i="5" s="1"/>
  <c r="AF585" i="5"/>
  <c r="AG585" i="5" s="1"/>
  <c r="AF584" i="5"/>
  <c r="AG584" i="5" s="1"/>
  <c r="AF583" i="5"/>
  <c r="AG583" i="5" s="1"/>
  <c r="AF582" i="5"/>
  <c r="AG582" i="5" s="1"/>
  <c r="AF581" i="5"/>
  <c r="AG581" i="5" s="1"/>
  <c r="AF580" i="5"/>
  <c r="AG580" i="5" s="1"/>
  <c r="AF579" i="5"/>
  <c r="AG579" i="5" s="1"/>
  <c r="AF578" i="5"/>
  <c r="AG578" i="5" s="1"/>
  <c r="AF577" i="5"/>
  <c r="AG577" i="5" s="1"/>
  <c r="AF576" i="5"/>
  <c r="AG576" i="5" s="1"/>
  <c r="AF575" i="5"/>
  <c r="AG575" i="5" s="1"/>
  <c r="AF574" i="5"/>
  <c r="AG574" i="5" s="1"/>
  <c r="AF573" i="5"/>
  <c r="AG573" i="5" s="1"/>
  <c r="AF572" i="5"/>
  <c r="AG572" i="5" s="1"/>
  <c r="AF571" i="5"/>
  <c r="AG571" i="5" s="1"/>
  <c r="AF570" i="5"/>
  <c r="AG570" i="5" s="1"/>
  <c r="AF569" i="5"/>
  <c r="AG569" i="5" s="1"/>
  <c r="AF568" i="5"/>
  <c r="AG568" i="5" s="1"/>
  <c r="AF567" i="5"/>
  <c r="AG567" i="5" s="1"/>
  <c r="AF566" i="5"/>
  <c r="AG566" i="5" s="1"/>
  <c r="AF565" i="5"/>
  <c r="AG565" i="5" s="1"/>
  <c r="AF564" i="5"/>
  <c r="AG564" i="5" s="1"/>
  <c r="AF563" i="5"/>
  <c r="AG563" i="5" s="1"/>
  <c r="AF562" i="5"/>
  <c r="AG562" i="5" s="1"/>
  <c r="AF561" i="5"/>
  <c r="AG561" i="5" s="1"/>
  <c r="AF560" i="5"/>
  <c r="AG560" i="5" s="1"/>
  <c r="AF559" i="5"/>
  <c r="AG559" i="5" s="1"/>
  <c r="AF558" i="5"/>
  <c r="AG558" i="5" s="1"/>
  <c r="AF557" i="5"/>
  <c r="AG557" i="5" s="1"/>
  <c r="AF556" i="5"/>
  <c r="AG556" i="5" s="1"/>
  <c r="AF555" i="5"/>
  <c r="AG555" i="5" s="1"/>
  <c r="AF554" i="5"/>
  <c r="AG554" i="5" s="1"/>
  <c r="AF553" i="5"/>
  <c r="AG553" i="5" s="1"/>
  <c r="AF552" i="5"/>
  <c r="AG552" i="5" s="1"/>
  <c r="AF551" i="5"/>
  <c r="AG551" i="5" s="1"/>
  <c r="AF550" i="5"/>
  <c r="AG550" i="5" s="1"/>
  <c r="AF549" i="5"/>
  <c r="AG549" i="5" s="1"/>
  <c r="AF548" i="5"/>
  <c r="AG548" i="5" s="1"/>
  <c r="AF547" i="5"/>
  <c r="AG547" i="5" s="1"/>
  <c r="AF546" i="5"/>
  <c r="AG546" i="5" s="1"/>
  <c r="AF545" i="5"/>
  <c r="AG545" i="5" s="1"/>
  <c r="AF544" i="5"/>
  <c r="AG544" i="5" s="1"/>
  <c r="AF543" i="5"/>
  <c r="AG543" i="5" s="1"/>
  <c r="AF542" i="5"/>
  <c r="AG542" i="5" s="1"/>
  <c r="AF541" i="5"/>
  <c r="AG541" i="5" s="1"/>
  <c r="AF540" i="5"/>
  <c r="AG540" i="5" s="1"/>
  <c r="AF539" i="5"/>
  <c r="AG539" i="5" s="1"/>
  <c r="AF538" i="5"/>
  <c r="AG538" i="5" s="1"/>
  <c r="AF537" i="5"/>
  <c r="AG537" i="5" s="1"/>
  <c r="AF536" i="5"/>
  <c r="AG536" i="5" s="1"/>
  <c r="AF535" i="5"/>
  <c r="AG535" i="5" s="1"/>
  <c r="AF534" i="5"/>
  <c r="AG534" i="5" s="1"/>
  <c r="AF533" i="5"/>
  <c r="AG533" i="5" s="1"/>
  <c r="AF532" i="5"/>
  <c r="AG532" i="5" s="1"/>
  <c r="AF531" i="5"/>
  <c r="AG531" i="5" s="1"/>
  <c r="AF530" i="5"/>
  <c r="AG530" i="5" s="1"/>
  <c r="AF529" i="5"/>
  <c r="AG529" i="5" s="1"/>
  <c r="AF528" i="5"/>
  <c r="AG528" i="5" s="1"/>
  <c r="AF527" i="5"/>
  <c r="AG527" i="5" s="1"/>
  <c r="AF526" i="5"/>
  <c r="AG526" i="5" s="1"/>
  <c r="AF525" i="5"/>
  <c r="AG525" i="5" s="1"/>
  <c r="AF524" i="5"/>
  <c r="AG524" i="5" s="1"/>
  <c r="AF523" i="5"/>
  <c r="AG523" i="5" s="1"/>
  <c r="AF522" i="5"/>
  <c r="AG522" i="5" s="1"/>
  <c r="AF521" i="5"/>
  <c r="AG521" i="5" s="1"/>
  <c r="AF520" i="5"/>
  <c r="AG520" i="5" s="1"/>
  <c r="AF519" i="5"/>
  <c r="AG519" i="5" s="1"/>
  <c r="AF518" i="5"/>
  <c r="AG518" i="5" s="1"/>
  <c r="AF517" i="5"/>
  <c r="AG517" i="5" s="1"/>
  <c r="AF516" i="5"/>
  <c r="AG516" i="5" s="1"/>
  <c r="AF515" i="5"/>
  <c r="AG515" i="5" s="1"/>
  <c r="AF514" i="5"/>
  <c r="AG514" i="5" s="1"/>
  <c r="AF513" i="5"/>
  <c r="AG513" i="5" s="1"/>
  <c r="AF512" i="5"/>
  <c r="AG512" i="5" s="1"/>
  <c r="AF511" i="5"/>
  <c r="AG511" i="5" s="1"/>
  <c r="AF510" i="5"/>
  <c r="AG510" i="5" s="1"/>
  <c r="AF509" i="5"/>
  <c r="AG509" i="5" s="1"/>
  <c r="AF508" i="5"/>
  <c r="AG508" i="5" s="1"/>
  <c r="AF507" i="5"/>
  <c r="AG507" i="5" s="1"/>
  <c r="AF506" i="5"/>
  <c r="AG506" i="5" s="1"/>
  <c r="AF505" i="5"/>
  <c r="AG505" i="5" s="1"/>
  <c r="AF504" i="5"/>
  <c r="AG504" i="5" s="1"/>
  <c r="AF503" i="5"/>
  <c r="AG503" i="5" s="1"/>
  <c r="AF502" i="5"/>
  <c r="AG502" i="5" s="1"/>
  <c r="AF501" i="5"/>
  <c r="AG501" i="5" s="1"/>
  <c r="S501" i="5"/>
  <c r="R501" i="5"/>
  <c r="G501" i="5"/>
  <c r="T501" i="5" s="1"/>
  <c r="F501" i="5"/>
  <c r="D501" i="5"/>
  <c r="B501" i="5"/>
  <c r="AF500" i="5"/>
  <c r="AG500" i="5" s="1"/>
  <c r="S500" i="5"/>
  <c r="R500" i="5"/>
  <c r="G500" i="5"/>
  <c r="T500" i="5" s="1"/>
  <c r="F500" i="5"/>
  <c r="D500" i="5"/>
  <c r="B500" i="5"/>
  <c r="AF499" i="5"/>
  <c r="AG499" i="5" s="1"/>
  <c r="S499" i="5"/>
  <c r="R499" i="5"/>
  <c r="G499" i="5"/>
  <c r="T499" i="5" s="1"/>
  <c r="F499" i="5"/>
  <c r="D499" i="5"/>
  <c r="B499" i="5"/>
  <c r="AF498" i="5"/>
  <c r="AG498" i="5" s="1"/>
  <c r="S498" i="5"/>
  <c r="R498" i="5"/>
  <c r="G498" i="5"/>
  <c r="T498" i="5" s="1"/>
  <c r="F498" i="5"/>
  <c r="D498" i="5"/>
  <c r="B498" i="5"/>
  <c r="AF497" i="5"/>
  <c r="AG497" i="5" s="1"/>
  <c r="S497" i="5"/>
  <c r="R497" i="5"/>
  <c r="G497" i="5"/>
  <c r="T497" i="5" s="1"/>
  <c r="F497" i="5"/>
  <c r="D497" i="5"/>
  <c r="B497" i="5"/>
  <c r="AF496" i="5"/>
  <c r="AG496" i="5" s="1"/>
  <c r="S496" i="5"/>
  <c r="R496" i="5"/>
  <c r="G496" i="5"/>
  <c r="T496" i="5" s="1"/>
  <c r="F496" i="5"/>
  <c r="D496" i="5"/>
  <c r="B496" i="5"/>
  <c r="AF495" i="5"/>
  <c r="AG495" i="5" s="1"/>
  <c r="S495" i="5"/>
  <c r="R495" i="5"/>
  <c r="G495" i="5"/>
  <c r="T495" i="5" s="1"/>
  <c r="F495" i="5"/>
  <c r="D495" i="5"/>
  <c r="B495" i="5"/>
  <c r="AF494" i="5"/>
  <c r="AG494" i="5" s="1"/>
  <c r="S494" i="5"/>
  <c r="R494" i="5"/>
  <c r="G494" i="5"/>
  <c r="T494" i="5" s="1"/>
  <c r="F494" i="5"/>
  <c r="D494" i="5"/>
  <c r="B494" i="5"/>
  <c r="AF493" i="5"/>
  <c r="AG493" i="5" s="1"/>
  <c r="S493" i="5"/>
  <c r="R493" i="5"/>
  <c r="G493" i="5"/>
  <c r="T493" i="5" s="1"/>
  <c r="F493" i="5"/>
  <c r="D493" i="5"/>
  <c r="B493" i="5"/>
  <c r="AF492" i="5"/>
  <c r="AG492" i="5" s="1"/>
  <c r="S492" i="5"/>
  <c r="R492" i="5"/>
  <c r="G492" i="5"/>
  <c r="T492" i="5" s="1"/>
  <c r="F492" i="5"/>
  <c r="D492" i="5"/>
  <c r="B492" i="5"/>
  <c r="AF491" i="5"/>
  <c r="AG491" i="5" s="1"/>
  <c r="S491" i="5"/>
  <c r="R491" i="5"/>
  <c r="G491" i="5"/>
  <c r="T491" i="5" s="1"/>
  <c r="F491" i="5"/>
  <c r="D491" i="5"/>
  <c r="B491" i="5"/>
  <c r="AF490" i="5"/>
  <c r="AG490" i="5" s="1"/>
  <c r="S490" i="5"/>
  <c r="R490" i="5"/>
  <c r="G490" i="5"/>
  <c r="T490" i="5" s="1"/>
  <c r="F490" i="5"/>
  <c r="D490" i="5"/>
  <c r="B490" i="5"/>
  <c r="AF489" i="5"/>
  <c r="AG489" i="5" s="1"/>
  <c r="S489" i="5"/>
  <c r="R489" i="5"/>
  <c r="G489" i="5"/>
  <c r="T489" i="5" s="1"/>
  <c r="F489" i="5"/>
  <c r="D489" i="5"/>
  <c r="B489" i="5"/>
  <c r="AF488" i="5"/>
  <c r="AG488" i="5" s="1"/>
  <c r="S488" i="5"/>
  <c r="R488" i="5"/>
  <c r="G488" i="5"/>
  <c r="T488" i="5" s="1"/>
  <c r="F488" i="5"/>
  <c r="D488" i="5"/>
  <c r="B488" i="5"/>
  <c r="AF487" i="5"/>
  <c r="AG487" i="5" s="1"/>
  <c r="S487" i="5"/>
  <c r="R487" i="5"/>
  <c r="G487" i="5"/>
  <c r="T487" i="5" s="1"/>
  <c r="F487" i="5"/>
  <c r="D487" i="5"/>
  <c r="B487" i="5"/>
  <c r="AF486" i="5"/>
  <c r="AG486" i="5" s="1"/>
  <c r="S486" i="5"/>
  <c r="R486" i="5"/>
  <c r="G486" i="5"/>
  <c r="T486" i="5" s="1"/>
  <c r="F486" i="5"/>
  <c r="D486" i="5"/>
  <c r="B486" i="5"/>
  <c r="AF485" i="5"/>
  <c r="AG485" i="5" s="1"/>
  <c r="S485" i="5"/>
  <c r="R485" i="5"/>
  <c r="G485" i="5"/>
  <c r="T485" i="5" s="1"/>
  <c r="F485" i="5"/>
  <c r="D485" i="5"/>
  <c r="B485" i="5"/>
  <c r="AF484" i="5"/>
  <c r="AG484" i="5" s="1"/>
  <c r="S484" i="5"/>
  <c r="R484" i="5"/>
  <c r="G484" i="5"/>
  <c r="T484" i="5" s="1"/>
  <c r="F484" i="5"/>
  <c r="D484" i="5"/>
  <c r="B484" i="5"/>
  <c r="AF483" i="5"/>
  <c r="AG483" i="5" s="1"/>
  <c r="S483" i="5"/>
  <c r="R483" i="5"/>
  <c r="G483" i="5"/>
  <c r="T483" i="5" s="1"/>
  <c r="F483" i="5"/>
  <c r="D483" i="5"/>
  <c r="B483" i="5"/>
  <c r="AF482" i="5"/>
  <c r="AG482" i="5" s="1"/>
  <c r="S482" i="5"/>
  <c r="R482" i="5"/>
  <c r="G482" i="5"/>
  <c r="T482" i="5" s="1"/>
  <c r="F482" i="5"/>
  <c r="D482" i="5"/>
  <c r="B482" i="5"/>
  <c r="AF481" i="5"/>
  <c r="AG481" i="5" s="1"/>
  <c r="S481" i="5"/>
  <c r="R481" i="5"/>
  <c r="G481" i="5"/>
  <c r="T481" i="5" s="1"/>
  <c r="F481" i="5"/>
  <c r="D481" i="5"/>
  <c r="B481" i="5"/>
  <c r="AF480" i="5"/>
  <c r="AG480" i="5" s="1"/>
  <c r="S480" i="5"/>
  <c r="R480" i="5"/>
  <c r="G480" i="5"/>
  <c r="T480" i="5" s="1"/>
  <c r="F480" i="5"/>
  <c r="D480" i="5"/>
  <c r="B480" i="5"/>
  <c r="AF479" i="5"/>
  <c r="AG479" i="5" s="1"/>
  <c r="S479" i="5"/>
  <c r="R479" i="5"/>
  <c r="G479" i="5"/>
  <c r="T479" i="5" s="1"/>
  <c r="F479" i="5"/>
  <c r="D479" i="5"/>
  <c r="B479" i="5"/>
  <c r="AF478" i="5"/>
  <c r="AG478" i="5" s="1"/>
  <c r="S478" i="5"/>
  <c r="R478" i="5"/>
  <c r="G478" i="5"/>
  <c r="T478" i="5" s="1"/>
  <c r="F478" i="5"/>
  <c r="D478" i="5"/>
  <c r="B478" i="5"/>
  <c r="AF477" i="5"/>
  <c r="AG477" i="5" s="1"/>
  <c r="S477" i="5"/>
  <c r="R477" i="5"/>
  <c r="G477" i="5"/>
  <c r="T477" i="5" s="1"/>
  <c r="F477" i="5"/>
  <c r="D477" i="5"/>
  <c r="B477" i="5"/>
  <c r="AF476" i="5"/>
  <c r="AG476" i="5" s="1"/>
  <c r="S476" i="5"/>
  <c r="R476" i="5"/>
  <c r="G476" i="5"/>
  <c r="T476" i="5" s="1"/>
  <c r="F476" i="5"/>
  <c r="D476" i="5"/>
  <c r="B476" i="5"/>
  <c r="AF475" i="5"/>
  <c r="AG475" i="5" s="1"/>
  <c r="S475" i="5"/>
  <c r="R475" i="5"/>
  <c r="G475" i="5"/>
  <c r="T475" i="5" s="1"/>
  <c r="F475" i="5"/>
  <c r="D475" i="5"/>
  <c r="B475" i="5"/>
  <c r="AF474" i="5"/>
  <c r="AG474" i="5" s="1"/>
  <c r="S474" i="5"/>
  <c r="R474" i="5"/>
  <c r="G474" i="5"/>
  <c r="T474" i="5" s="1"/>
  <c r="F474" i="5"/>
  <c r="D474" i="5"/>
  <c r="B474" i="5"/>
  <c r="AF473" i="5"/>
  <c r="AG473" i="5" s="1"/>
  <c r="S473" i="5"/>
  <c r="R473" i="5"/>
  <c r="G473" i="5"/>
  <c r="T473" i="5" s="1"/>
  <c r="F473" i="5"/>
  <c r="D473" i="5"/>
  <c r="B473" i="5"/>
  <c r="AF472" i="5"/>
  <c r="AG472" i="5" s="1"/>
  <c r="S472" i="5"/>
  <c r="R472" i="5"/>
  <c r="G472" i="5"/>
  <c r="T472" i="5" s="1"/>
  <c r="F472" i="5"/>
  <c r="D472" i="5"/>
  <c r="B472" i="5"/>
  <c r="AF471" i="5"/>
  <c r="AG471" i="5" s="1"/>
  <c r="S471" i="5"/>
  <c r="R471" i="5"/>
  <c r="G471" i="5"/>
  <c r="T471" i="5" s="1"/>
  <c r="F471" i="5"/>
  <c r="D471" i="5"/>
  <c r="B471" i="5"/>
  <c r="AF470" i="5"/>
  <c r="AG470" i="5" s="1"/>
  <c r="S470" i="5"/>
  <c r="R470" i="5"/>
  <c r="G470" i="5"/>
  <c r="T470" i="5" s="1"/>
  <c r="F470" i="5"/>
  <c r="D470" i="5"/>
  <c r="B470" i="5"/>
  <c r="AF469" i="5"/>
  <c r="AG469" i="5" s="1"/>
  <c r="S469" i="5"/>
  <c r="R469" i="5"/>
  <c r="G469" i="5"/>
  <c r="T469" i="5" s="1"/>
  <c r="F469" i="5"/>
  <c r="D469" i="5"/>
  <c r="B469" i="5"/>
  <c r="AF468" i="5"/>
  <c r="AG468" i="5" s="1"/>
  <c r="S468" i="5"/>
  <c r="R468" i="5"/>
  <c r="G468" i="5"/>
  <c r="T468" i="5" s="1"/>
  <c r="F468" i="5"/>
  <c r="D468" i="5"/>
  <c r="B468" i="5"/>
  <c r="AF467" i="5"/>
  <c r="AG467" i="5" s="1"/>
  <c r="S467" i="5"/>
  <c r="R467" i="5"/>
  <c r="G467" i="5"/>
  <c r="T467" i="5" s="1"/>
  <c r="F467" i="5"/>
  <c r="D467" i="5"/>
  <c r="B467" i="5"/>
  <c r="AF466" i="5"/>
  <c r="AG466" i="5" s="1"/>
  <c r="S466" i="5"/>
  <c r="R466" i="5"/>
  <c r="G466" i="5"/>
  <c r="T466" i="5" s="1"/>
  <c r="F466" i="5"/>
  <c r="D466" i="5"/>
  <c r="B466" i="5"/>
  <c r="AF465" i="5"/>
  <c r="AG465" i="5" s="1"/>
  <c r="S465" i="5"/>
  <c r="R465" i="5"/>
  <c r="G465" i="5"/>
  <c r="T465" i="5" s="1"/>
  <c r="F465" i="5"/>
  <c r="D465" i="5"/>
  <c r="B465" i="5"/>
  <c r="AF464" i="5"/>
  <c r="AG464" i="5" s="1"/>
  <c r="S464" i="5"/>
  <c r="R464" i="5"/>
  <c r="G464" i="5"/>
  <c r="T464" i="5" s="1"/>
  <c r="F464" i="5"/>
  <c r="D464" i="5"/>
  <c r="B464" i="5"/>
  <c r="AF463" i="5"/>
  <c r="AG463" i="5" s="1"/>
  <c r="S463" i="5"/>
  <c r="R463" i="5"/>
  <c r="G463" i="5"/>
  <c r="T463" i="5" s="1"/>
  <c r="F463" i="5"/>
  <c r="D463" i="5"/>
  <c r="B463" i="5"/>
  <c r="AF462" i="5"/>
  <c r="AG462" i="5" s="1"/>
  <c r="S462" i="5"/>
  <c r="R462" i="5"/>
  <c r="G462" i="5"/>
  <c r="T462" i="5" s="1"/>
  <c r="F462" i="5"/>
  <c r="D462" i="5"/>
  <c r="B462" i="5"/>
  <c r="AF461" i="5"/>
  <c r="AG461" i="5" s="1"/>
  <c r="S461" i="5"/>
  <c r="R461" i="5"/>
  <c r="G461" i="5"/>
  <c r="T461" i="5" s="1"/>
  <c r="F461" i="5"/>
  <c r="D461" i="5"/>
  <c r="B461" i="5"/>
  <c r="AF460" i="5"/>
  <c r="AG460" i="5" s="1"/>
  <c r="S460" i="5"/>
  <c r="R460" i="5"/>
  <c r="G460" i="5"/>
  <c r="T460" i="5" s="1"/>
  <c r="F460" i="5"/>
  <c r="D460" i="5"/>
  <c r="B460" i="5"/>
  <c r="AF459" i="5"/>
  <c r="AG459" i="5" s="1"/>
  <c r="S459" i="5"/>
  <c r="R459" i="5"/>
  <c r="G459" i="5"/>
  <c r="T459" i="5" s="1"/>
  <c r="F459" i="5"/>
  <c r="D459" i="5"/>
  <c r="B459" i="5"/>
  <c r="AF458" i="5"/>
  <c r="AG458" i="5" s="1"/>
  <c r="S458" i="5"/>
  <c r="R458" i="5"/>
  <c r="G458" i="5"/>
  <c r="T458" i="5" s="1"/>
  <c r="F458" i="5"/>
  <c r="D458" i="5"/>
  <c r="B458" i="5"/>
  <c r="AF457" i="5"/>
  <c r="AG457" i="5" s="1"/>
  <c r="S457" i="5"/>
  <c r="R457" i="5"/>
  <c r="G457" i="5"/>
  <c r="T457" i="5" s="1"/>
  <c r="F457" i="5"/>
  <c r="D457" i="5"/>
  <c r="B457" i="5"/>
  <c r="AF456" i="5"/>
  <c r="AG456" i="5" s="1"/>
  <c r="S456" i="5"/>
  <c r="R456" i="5"/>
  <c r="G456" i="5"/>
  <c r="T456" i="5" s="1"/>
  <c r="F456" i="5"/>
  <c r="D456" i="5"/>
  <c r="B456" i="5"/>
  <c r="AF455" i="5"/>
  <c r="AG455" i="5" s="1"/>
  <c r="S455" i="5"/>
  <c r="R455" i="5"/>
  <c r="G455" i="5"/>
  <c r="T455" i="5" s="1"/>
  <c r="F455" i="5"/>
  <c r="D455" i="5"/>
  <c r="B455" i="5"/>
  <c r="AF454" i="5"/>
  <c r="AG454" i="5" s="1"/>
  <c r="S454" i="5"/>
  <c r="R454" i="5"/>
  <c r="G454" i="5"/>
  <c r="T454" i="5" s="1"/>
  <c r="F454" i="5"/>
  <c r="D454" i="5"/>
  <c r="B454" i="5"/>
  <c r="AF453" i="5"/>
  <c r="AG453" i="5" s="1"/>
  <c r="S453" i="5"/>
  <c r="R453" i="5"/>
  <c r="G453" i="5"/>
  <c r="T453" i="5" s="1"/>
  <c r="F453" i="5"/>
  <c r="D453" i="5"/>
  <c r="B453" i="5"/>
  <c r="AF452" i="5"/>
  <c r="AG452" i="5" s="1"/>
  <c r="S452" i="5"/>
  <c r="R452" i="5"/>
  <c r="G452" i="5"/>
  <c r="T452" i="5" s="1"/>
  <c r="F452" i="5"/>
  <c r="D452" i="5"/>
  <c r="B452" i="5"/>
  <c r="AF451" i="5"/>
  <c r="AG451" i="5" s="1"/>
  <c r="S451" i="5"/>
  <c r="R451" i="5"/>
  <c r="G451" i="5"/>
  <c r="T451" i="5" s="1"/>
  <c r="F451" i="5"/>
  <c r="D451" i="5"/>
  <c r="B451" i="5"/>
  <c r="AF450" i="5"/>
  <c r="AG450" i="5" s="1"/>
  <c r="S450" i="5"/>
  <c r="R450" i="5"/>
  <c r="G450" i="5"/>
  <c r="T450" i="5" s="1"/>
  <c r="F450" i="5"/>
  <c r="D450" i="5"/>
  <c r="B450" i="5"/>
  <c r="AF449" i="5"/>
  <c r="AG449" i="5" s="1"/>
  <c r="S449" i="5"/>
  <c r="R449" i="5"/>
  <c r="G449" i="5"/>
  <c r="T449" i="5" s="1"/>
  <c r="F449" i="5"/>
  <c r="D449" i="5"/>
  <c r="B449" i="5"/>
  <c r="AF448" i="5"/>
  <c r="AG448" i="5" s="1"/>
  <c r="S448" i="5"/>
  <c r="R448" i="5"/>
  <c r="G448" i="5"/>
  <c r="T448" i="5" s="1"/>
  <c r="F448" i="5"/>
  <c r="D448" i="5"/>
  <c r="B448" i="5"/>
  <c r="AF447" i="5"/>
  <c r="AG447" i="5" s="1"/>
  <c r="S447" i="5"/>
  <c r="R447" i="5"/>
  <c r="G447" i="5"/>
  <c r="T447" i="5" s="1"/>
  <c r="F447" i="5"/>
  <c r="D447" i="5"/>
  <c r="B447" i="5"/>
  <c r="AF446" i="5"/>
  <c r="AG446" i="5" s="1"/>
  <c r="S446" i="5"/>
  <c r="R446" i="5"/>
  <c r="G446" i="5"/>
  <c r="T446" i="5" s="1"/>
  <c r="F446" i="5"/>
  <c r="D446" i="5"/>
  <c r="B446" i="5"/>
  <c r="AF445" i="5"/>
  <c r="AG445" i="5" s="1"/>
  <c r="S445" i="5"/>
  <c r="R445" i="5"/>
  <c r="G445" i="5"/>
  <c r="T445" i="5" s="1"/>
  <c r="F445" i="5"/>
  <c r="D445" i="5"/>
  <c r="B445" i="5"/>
  <c r="AF444" i="5"/>
  <c r="AG444" i="5" s="1"/>
  <c r="S444" i="5"/>
  <c r="R444" i="5"/>
  <c r="G444" i="5"/>
  <c r="T444" i="5" s="1"/>
  <c r="F444" i="5"/>
  <c r="D444" i="5"/>
  <c r="B444" i="5"/>
  <c r="AF443" i="5"/>
  <c r="AG443" i="5" s="1"/>
  <c r="S443" i="5"/>
  <c r="R443" i="5"/>
  <c r="G443" i="5"/>
  <c r="T443" i="5" s="1"/>
  <c r="F443" i="5"/>
  <c r="D443" i="5"/>
  <c r="B443" i="5"/>
  <c r="AF442" i="5"/>
  <c r="AG442" i="5" s="1"/>
  <c r="S442" i="5"/>
  <c r="R442" i="5"/>
  <c r="G442" i="5"/>
  <c r="T442" i="5" s="1"/>
  <c r="F442" i="5"/>
  <c r="D442" i="5"/>
  <c r="B442" i="5"/>
  <c r="AF441" i="5"/>
  <c r="AG441" i="5" s="1"/>
  <c r="S441" i="5"/>
  <c r="R441" i="5"/>
  <c r="G441" i="5"/>
  <c r="T441" i="5" s="1"/>
  <c r="F441" i="5"/>
  <c r="D441" i="5"/>
  <c r="B441" i="5"/>
  <c r="AF440" i="5"/>
  <c r="AG440" i="5" s="1"/>
  <c r="S440" i="5"/>
  <c r="R440" i="5"/>
  <c r="G440" i="5"/>
  <c r="T440" i="5" s="1"/>
  <c r="F440" i="5"/>
  <c r="D440" i="5"/>
  <c r="B440" i="5"/>
  <c r="AF439" i="5"/>
  <c r="AG439" i="5" s="1"/>
  <c r="S439" i="5"/>
  <c r="R439" i="5"/>
  <c r="G439" i="5"/>
  <c r="T439" i="5" s="1"/>
  <c r="F439" i="5"/>
  <c r="D439" i="5"/>
  <c r="B439" i="5"/>
  <c r="AF438" i="5"/>
  <c r="AG438" i="5" s="1"/>
  <c r="S438" i="5"/>
  <c r="R438" i="5"/>
  <c r="G438" i="5"/>
  <c r="T438" i="5" s="1"/>
  <c r="F438" i="5"/>
  <c r="D438" i="5"/>
  <c r="B438" i="5"/>
  <c r="AF437" i="5"/>
  <c r="AG437" i="5" s="1"/>
  <c r="S437" i="5"/>
  <c r="R437" i="5"/>
  <c r="G437" i="5"/>
  <c r="T437" i="5" s="1"/>
  <c r="F437" i="5"/>
  <c r="D437" i="5"/>
  <c r="B437" i="5"/>
  <c r="AF436" i="5"/>
  <c r="AG436" i="5" s="1"/>
  <c r="S436" i="5"/>
  <c r="R436" i="5"/>
  <c r="G436" i="5"/>
  <c r="T436" i="5" s="1"/>
  <c r="F436" i="5"/>
  <c r="D436" i="5"/>
  <c r="B436" i="5"/>
  <c r="AF435" i="5"/>
  <c r="AG435" i="5" s="1"/>
  <c r="S435" i="5"/>
  <c r="R435" i="5"/>
  <c r="G435" i="5"/>
  <c r="T435" i="5" s="1"/>
  <c r="F435" i="5"/>
  <c r="D435" i="5"/>
  <c r="B435" i="5"/>
  <c r="AF434" i="5"/>
  <c r="AG434" i="5" s="1"/>
  <c r="S434" i="5"/>
  <c r="R434" i="5"/>
  <c r="G434" i="5"/>
  <c r="T434" i="5" s="1"/>
  <c r="F434" i="5"/>
  <c r="D434" i="5"/>
  <c r="B434" i="5"/>
  <c r="AF433" i="5"/>
  <c r="AG433" i="5" s="1"/>
  <c r="S433" i="5"/>
  <c r="R433" i="5"/>
  <c r="G433" i="5"/>
  <c r="T433" i="5" s="1"/>
  <c r="F433" i="5"/>
  <c r="D433" i="5"/>
  <c r="B433" i="5"/>
  <c r="AF432" i="5"/>
  <c r="AG432" i="5" s="1"/>
  <c r="S432" i="5"/>
  <c r="R432" i="5"/>
  <c r="G432" i="5"/>
  <c r="T432" i="5" s="1"/>
  <c r="F432" i="5"/>
  <c r="D432" i="5"/>
  <c r="B432" i="5"/>
  <c r="AF431" i="5"/>
  <c r="AG431" i="5" s="1"/>
  <c r="S431" i="5"/>
  <c r="R431" i="5"/>
  <c r="G431" i="5"/>
  <c r="T431" i="5" s="1"/>
  <c r="F431" i="5"/>
  <c r="D431" i="5"/>
  <c r="B431" i="5"/>
  <c r="AF430" i="5"/>
  <c r="AG430" i="5" s="1"/>
  <c r="S430" i="5"/>
  <c r="R430" i="5"/>
  <c r="G430" i="5"/>
  <c r="T430" i="5" s="1"/>
  <c r="F430" i="5"/>
  <c r="D430" i="5"/>
  <c r="B430" i="5"/>
  <c r="AF429" i="5"/>
  <c r="AG429" i="5" s="1"/>
  <c r="S429" i="5"/>
  <c r="R429" i="5"/>
  <c r="G429" i="5"/>
  <c r="T429" i="5" s="1"/>
  <c r="F429" i="5"/>
  <c r="D429" i="5"/>
  <c r="B429" i="5"/>
  <c r="AF428" i="5"/>
  <c r="AG428" i="5" s="1"/>
  <c r="S428" i="5"/>
  <c r="R428" i="5"/>
  <c r="G428" i="5"/>
  <c r="T428" i="5" s="1"/>
  <c r="F428" i="5"/>
  <c r="D428" i="5"/>
  <c r="B428" i="5"/>
  <c r="AF427" i="5"/>
  <c r="AG427" i="5" s="1"/>
  <c r="S427" i="5"/>
  <c r="R427" i="5"/>
  <c r="G427" i="5"/>
  <c r="T427" i="5" s="1"/>
  <c r="F427" i="5"/>
  <c r="D427" i="5"/>
  <c r="B427" i="5"/>
  <c r="AF426" i="5"/>
  <c r="AG426" i="5" s="1"/>
  <c r="S426" i="5"/>
  <c r="R426" i="5"/>
  <c r="G426" i="5"/>
  <c r="T426" i="5" s="1"/>
  <c r="F426" i="5"/>
  <c r="D426" i="5"/>
  <c r="B426" i="5"/>
  <c r="AF425" i="5"/>
  <c r="AG425" i="5" s="1"/>
  <c r="S425" i="5"/>
  <c r="R425" i="5"/>
  <c r="G425" i="5"/>
  <c r="T425" i="5" s="1"/>
  <c r="F425" i="5"/>
  <c r="D425" i="5"/>
  <c r="B425" i="5"/>
  <c r="AF424" i="5"/>
  <c r="AG424" i="5" s="1"/>
  <c r="S424" i="5"/>
  <c r="R424" i="5"/>
  <c r="G424" i="5"/>
  <c r="T424" i="5" s="1"/>
  <c r="F424" i="5"/>
  <c r="D424" i="5"/>
  <c r="B424" i="5"/>
  <c r="AF423" i="5"/>
  <c r="AG423" i="5" s="1"/>
  <c r="S423" i="5"/>
  <c r="R423" i="5"/>
  <c r="G423" i="5"/>
  <c r="T423" i="5" s="1"/>
  <c r="F423" i="5"/>
  <c r="D423" i="5"/>
  <c r="B423" i="5"/>
  <c r="AF422" i="5"/>
  <c r="AG422" i="5" s="1"/>
  <c r="S422" i="5"/>
  <c r="R422" i="5"/>
  <c r="G422" i="5"/>
  <c r="T422" i="5" s="1"/>
  <c r="F422" i="5"/>
  <c r="D422" i="5"/>
  <c r="B422" i="5"/>
  <c r="AF421" i="5"/>
  <c r="AG421" i="5" s="1"/>
  <c r="S421" i="5"/>
  <c r="R421" i="5"/>
  <c r="G421" i="5"/>
  <c r="T421" i="5" s="1"/>
  <c r="F421" i="5"/>
  <c r="D421" i="5"/>
  <c r="B421" i="5"/>
  <c r="AF420" i="5"/>
  <c r="AG420" i="5" s="1"/>
  <c r="S420" i="5"/>
  <c r="R420" i="5"/>
  <c r="G420" i="5"/>
  <c r="T420" i="5" s="1"/>
  <c r="F420" i="5"/>
  <c r="D420" i="5"/>
  <c r="B420" i="5"/>
  <c r="AF419" i="5"/>
  <c r="AG419" i="5" s="1"/>
  <c r="S419" i="5"/>
  <c r="R419" i="5"/>
  <c r="G419" i="5"/>
  <c r="T419" i="5" s="1"/>
  <c r="F419" i="5"/>
  <c r="D419" i="5"/>
  <c r="B419" i="5"/>
  <c r="AF418" i="5"/>
  <c r="AG418" i="5" s="1"/>
  <c r="S418" i="5"/>
  <c r="R418" i="5"/>
  <c r="G418" i="5"/>
  <c r="T418" i="5" s="1"/>
  <c r="F418" i="5"/>
  <c r="D418" i="5"/>
  <c r="B418" i="5"/>
  <c r="AF417" i="5"/>
  <c r="AG417" i="5" s="1"/>
  <c r="S417" i="5"/>
  <c r="R417" i="5"/>
  <c r="G417" i="5"/>
  <c r="T417" i="5" s="1"/>
  <c r="F417" i="5"/>
  <c r="D417" i="5"/>
  <c r="B417" i="5"/>
  <c r="AF416" i="5"/>
  <c r="AG416" i="5" s="1"/>
  <c r="S416" i="5"/>
  <c r="R416" i="5"/>
  <c r="G416" i="5"/>
  <c r="T416" i="5" s="1"/>
  <c r="F416" i="5"/>
  <c r="D416" i="5"/>
  <c r="B416" i="5"/>
  <c r="AF415" i="5"/>
  <c r="AG415" i="5" s="1"/>
  <c r="S415" i="5"/>
  <c r="R415" i="5"/>
  <c r="G415" i="5"/>
  <c r="T415" i="5" s="1"/>
  <c r="F415" i="5"/>
  <c r="D415" i="5"/>
  <c r="B415" i="5"/>
  <c r="AF414" i="5"/>
  <c r="AG414" i="5" s="1"/>
  <c r="S414" i="5"/>
  <c r="R414" i="5"/>
  <c r="G414" i="5"/>
  <c r="T414" i="5" s="1"/>
  <c r="F414" i="5"/>
  <c r="D414" i="5"/>
  <c r="B414" i="5"/>
  <c r="AF413" i="5"/>
  <c r="AG413" i="5" s="1"/>
  <c r="S413" i="5"/>
  <c r="R413" i="5"/>
  <c r="G413" i="5"/>
  <c r="T413" i="5" s="1"/>
  <c r="F413" i="5"/>
  <c r="D413" i="5"/>
  <c r="B413" i="5"/>
  <c r="AF412" i="5"/>
  <c r="AG412" i="5" s="1"/>
  <c r="S412" i="5"/>
  <c r="R412" i="5"/>
  <c r="G412" i="5"/>
  <c r="T412" i="5" s="1"/>
  <c r="F412" i="5"/>
  <c r="D412" i="5"/>
  <c r="B412" i="5"/>
  <c r="AF411" i="5"/>
  <c r="AG411" i="5" s="1"/>
  <c r="S411" i="5"/>
  <c r="R411" i="5"/>
  <c r="G411" i="5"/>
  <c r="T411" i="5" s="1"/>
  <c r="F411" i="5"/>
  <c r="D411" i="5"/>
  <c r="B411" i="5"/>
  <c r="AF410" i="5"/>
  <c r="AG410" i="5" s="1"/>
  <c r="S410" i="5"/>
  <c r="R410" i="5"/>
  <c r="G410" i="5"/>
  <c r="T410" i="5" s="1"/>
  <c r="F410" i="5"/>
  <c r="D410" i="5"/>
  <c r="B410" i="5"/>
  <c r="AF409" i="5"/>
  <c r="AG409" i="5" s="1"/>
  <c r="S409" i="5"/>
  <c r="R409" i="5"/>
  <c r="G409" i="5"/>
  <c r="T409" i="5" s="1"/>
  <c r="F409" i="5"/>
  <c r="D409" i="5"/>
  <c r="B409" i="5"/>
  <c r="AF408" i="5"/>
  <c r="AG408" i="5" s="1"/>
  <c r="S408" i="5"/>
  <c r="R408" i="5"/>
  <c r="G408" i="5"/>
  <c r="T408" i="5" s="1"/>
  <c r="F408" i="5"/>
  <c r="D408" i="5"/>
  <c r="B408" i="5"/>
  <c r="AF407" i="5"/>
  <c r="AG407" i="5" s="1"/>
  <c r="S407" i="5"/>
  <c r="R407" i="5"/>
  <c r="G407" i="5"/>
  <c r="T407" i="5" s="1"/>
  <c r="F407" i="5"/>
  <c r="D407" i="5"/>
  <c r="B407" i="5"/>
  <c r="AF406" i="5"/>
  <c r="AG406" i="5" s="1"/>
  <c r="S406" i="5"/>
  <c r="R406" i="5"/>
  <c r="G406" i="5"/>
  <c r="T406" i="5" s="1"/>
  <c r="F406" i="5"/>
  <c r="D406" i="5"/>
  <c r="B406" i="5"/>
  <c r="AF405" i="5"/>
  <c r="AG405" i="5" s="1"/>
  <c r="S405" i="5"/>
  <c r="R405" i="5"/>
  <c r="G405" i="5"/>
  <c r="T405" i="5" s="1"/>
  <c r="F405" i="5"/>
  <c r="D405" i="5"/>
  <c r="B405" i="5"/>
  <c r="AF404" i="5"/>
  <c r="AG404" i="5" s="1"/>
  <c r="S404" i="5"/>
  <c r="R404" i="5"/>
  <c r="G404" i="5"/>
  <c r="T404" i="5" s="1"/>
  <c r="F404" i="5"/>
  <c r="D404" i="5"/>
  <c r="B404" i="5"/>
  <c r="AF403" i="5"/>
  <c r="AG403" i="5" s="1"/>
  <c r="S403" i="5"/>
  <c r="R403" i="5"/>
  <c r="G403" i="5"/>
  <c r="T403" i="5" s="1"/>
  <c r="F403" i="5"/>
  <c r="D403" i="5"/>
  <c r="B403" i="5"/>
  <c r="AF402" i="5"/>
  <c r="AG402" i="5" s="1"/>
  <c r="S402" i="5"/>
  <c r="R402" i="5"/>
  <c r="G402" i="5"/>
  <c r="T402" i="5" s="1"/>
  <c r="F402" i="5"/>
  <c r="D402" i="5"/>
  <c r="B402" i="5"/>
  <c r="AF401" i="5"/>
  <c r="AG401" i="5" s="1"/>
  <c r="S401" i="5"/>
  <c r="R401" i="5"/>
  <c r="G401" i="5"/>
  <c r="T401" i="5" s="1"/>
  <c r="F401" i="5"/>
  <c r="D401" i="5"/>
  <c r="B401" i="5"/>
  <c r="AF400" i="5"/>
  <c r="AG400" i="5" s="1"/>
  <c r="S400" i="5"/>
  <c r="R400" i="5"/>
  <c r="G400" i="5"/>
  <c r="T400" i="5" s="1"/>
  <c r="F400" i="5"/>
  <c r="D400" i="5"/>
  <c r="B400" i="5"/>
  <c r="AF399" i="5"/>
  <c r="AG399" i="5" s="1"/>
  <c r="S399" i="5"/>
  <c r="R399" i="5"/>
  <c r="G399" i="5"/>
  <c r="T399" i="5" s="1"/>
  <c r="F399" i="5"/>
  <c r="D399" i="5"/>
  <c r="B399" i="5"/>
  <c r="AF398" i="5"/>
  <c r="AG398" i="5" s="1"/>
  <c r="S398" i="5"/>
  <c r="R398" i="5"/>
  <c r="G398" i="5"/>
  <c r="T398" i="5" s="1"/>
  <c r="F398" i="5"/>
  <c r="D398" i="5"/>
  <c r="B398" i="5"/>
  <c r="AF397" i="5"/>
  <c r="AG397" i="5" s="1"/>
  <c r="S397" i="5"/>
  <c r="R397" i="5"/>
  <c r="G397" i="5"/>
  <c r="T397" i="5" s="1"/>
  <c r="F397" i="5"/>
  <c r="D397" i="5"/>
  <c r="B397" i="5"/>
  <c r="AF396" i="5"/>
  <c r="AG396" i="5" s="1"/>
  <c r="S396" i="5"/>
  <c r="R396" i="5"/>
  <c r="G396" i="5"/>
  <c r="T396" i="5" s="1"/>
  <c r="F396" i="5"/>
  <c r="D396" i="5"/>
  <c r="B396" i="5"/>
  <c r="AF395" i="5"/>
  <c r="AG395" i="5" s="1"/>
  <c r="S395" i="5"/>
  <c r="R395" i="5"/>
  <c r="G395" i="5"/>
  <c r="T395" i="5" s="1"/>
  <c r="F395" i="5"/>
  <c r="D395" i="5"/>
  <c r="B395" i="5"/>
  <c r="AF394" i="5"/>
  <c r="AG394" i="5" s="1"/>
  <c r="S394" i="5"/>
  <c r="R394" i="5"/>
  <c r="G394" i="5"/>
  <c r="T394" i="5" s="1"/>
  <c r="F394" i="5"/>
  <c r="D394" i="5"/>
  <c r="B394" i="5"/>
  <c r="AF393" i="5"/>
  <c r="AG393" i="5" s="1"/>
  <c r="S393" i="5"/>
  <c r="R393" i="5"/>
  <c r="G393" i="5"/>
  <c r="T393" i="5" s="1"/>
  <c r="F393" i="5"/>
  <c r="D393" i="5"/>
  <c r="B393" i="5"/>
  <c r="AF392" i="5"/>
  <c r="AG392" i="5" s="1"/>
  <c r="S392" i="5"/>
  <c r="R392" i="5"/>
  <c r="G392" i="5"/>
  <c r="T392" i="5" s="1"/>
  <c r="F392" i="5"/>
  <c r="D392" i="5"/>
  <c r="B392" i="5"/>
  <c r="AF391" i="5"/>
  <c r="AG391" i="5" s="1"/>
  <c r="S391" i="5"/>
  <c r="R391" i="5"/>
  <c r="G391" i="5"/>
  <c r="T391" i="5" s="1"/>
  <c r="F391" i="5"/>
  <c r="D391" i="5"/>
  <c r="B391" i="5"/>
  <c r="AF390" i="5"/>
  <c r="AG390" i="5" s="1"/>
  <c r="S390" i="5"/>
  <c r="R390" i="5"/>
  <c r="G390" i="5"/>
  <c r="T390" i="5" s="1"/>
  <c r="F390" i="5"/>
  <c r="D390" i="5"/>
  <c r="B390" i="5"/>
  <c r="AF389" i="5"/>
  <c r="AG389" i="5" s="1"/>
  <c r="S389" i="5"/>
  <c r="R389" i="5"/>
  <c r="G389" i="5"/>
  <c r="T389" i="5" s="1"/>
  <c r="F389" i="5"/>
  <c r="D389" i="5"/>
  <c r="B389" i="5"/>
  <c r="AF388" i="5"/>
  <c r="AG388" i="5" s="1"/>
  <c r="S388" i="5"/>
  <c r="R388" i="5"/>
  <c r="G388" i="5"/>
  <c r="T388" i="5" s="1"/>
  <c r="F388" i="5"/>
  <c r="D388" i="5"/>
  <c r="B388" i="5"/>
  <c r="AF387" i="5"/>
  <c r="AG387" i="5" s="1"/>
  <c r="S387" i="5"/>
  <c r="R387" i="5"/>
  <c r="G387" i="5"/>
  <c r="T387" i="5" s="1"/>
  <c r="F387" i="5"/>
  <c r="D387" i="5"/>
  <c r="B387" i="5"/>
  <c r="AF386" i="5"/>
  <c r="AG386" i="5" s="1"/>
  <c r="S386" i="5"/>
  <c r="R386" i="5"/>
  <c r="G386" i="5"/>
  <c r="T386" i="5" s="1"/>
  <c r="F386" i="5"/>
  <c r="D386" i="5"/>
  <c r="B386" i="5"/>
  <c r="AF385" i="5"/>
  <c r="AG385" i="5" s="1"/>
  <c r="S385" i="5"/>
  <c r="R385" i="5"/>
  <c r="G385" i="5"/>
  <c r="T385" i="5" s="1"/>
  <c r="F385" i="5"/>
  <c r="D385" i="5"/>
  <c r="B385" i="5"/>
  <c r="AF384" i="5"/>
  <c r="AG384" i="5" s="1"/>
  <c r="S384" i="5"/>
  <c r="R384" i="5"/>
  <c r="G384" i="5"/>
  <c r="T384" i="5" s="1"/>
  <c r="F384" i="5"/>
  <c r="D384" i="5"/>
  <c r="B384" i="5"/>
  <c r="AF383" i="5"/>
  <c r="AG383" i="5" s="1"/>
  <c r="S383" i="5"/>
  <c r="R383" i="5"/>
  <c r="G383" i="5"/>
  <c r="T383" i="5" s="1"/>
  <c r="F383" i="5"/>
  <c r="D383" i="5"/>
  <c r="B383" i="5"/>
  <c r="AF382" i="5"/>
  <c r="AG382" i="5" s="1"/>
  <c r="S382" i="5"/>
  <c r="R382" i="5"/>
  <c r="G382" i="5"/>
  <c r="T382" i="5" s="1"/>
  <c r="F382" i="5"/>
  <c r="D382" i="5"/>
  <c r="B382" i="5"/>
  <c r="AF381" i="5"/>
  <c r="AG381" i="5" s="1"/>
  <c r="S381" i="5"/>
  <c r="R381" i="5"/>
  <c r="G381" i="5"/>
  <c r="T381" i="5" s="1"/>
  <c r="F381" i="5"/>
  <c r="D381" i="5"/>
  <c r="B381" i="5"/>
  <c r="AF380" i="5"/>
  <c r="AG380" i="5" s="1"/>
  <c r="S380" i="5"/>
  <c r="R380" i="5"/>
  <c r="G380" i="5"/>
  <c r="T380" i="5" s="1"/>
  <c r="F380" i="5"/>
  <c r="D380" i="5"/>
  <c r="B380" i="5"/>
  <c r="AF379" i="5"/>
  <c r="AG379" i="5" s="1"/>
  <c r="S379" i="5"/>
  <c r="R379" i="5"/>
  <c r="G379" i="5"/>
  <c r="T379" i="5" s="1"/>
  <c r="F379" i="5"/>
  <c r="D379" i="5"/>
  <c r="B379" i="5"/>
  <c r="AF378" i="5"/>
  <c r="AG378" i="5" s="1"/>
  <c r="S378" i="5"/>
  <c r="R378" i="5"/>
  <c r="G378" i="5"/>
  <c r="T378" i="5" s="1"/>
  <c r="F378" i="5"/>
  <c r="D378" i="5"/>
  <c r="B378" i="5"/>
  <c r="AF377" i="5"/>
  <c r="AG377" i="5" s="1"/>
  <c r="S377" i="5"/>
  <c r="R377" i="5"/>
  <c r="G377" i="5"/>
  <c r="T377" i="5" s="1"/>
  <c r="F377" i="5"/>
  <c r="D377" i="5"/>
  <c r="B377" i="5"/>
  <c r="AF376" i="5"/>
  <c r="AG376" i="5" s="1"/>
  <c r="S376" i="5"/>
  <c r="R376" i="5"/>
  <c r="G376" i="5"/>
  <c r="T376" i="5" s="1"/>
  <c r="F376" i="5"/>
  <c r="D376" i="5"/>
  <c r="B376" i="5"/>
  <c r="AF375" i="5"/>
  <c r="AG375" i="5" s="1"/>
  <c r="S375" i="5"/>
  <c r="R375" i="5"/>
  <c r="G375" i="5"/>
  <c r="T375" i="5" s="1"/>
  <c r="F375" i="5"/>
  <c r="D375" i="5"/>
  <c r="B375" i="5"/>
  <c r="AF374" i="5"/>
  <c r="AG374" i="5" s="1"/>
  <c r="S374" i="5"/>
  <c r="R374" i="5"/>
  <c r="G374" i="5"/>
  <c r="T374" i="5" s="1"/>
  <c r="F374" i="5"/>
  <c r="D374" i="5"/>
  <c r="B374" i="5"/>
  <c r="AF373" i="5"/>
  <c r="AG373" i="5" s="1"/>
  <c r="S373" i="5"/>
  <c r="R373" i="5"/>
  <c r="G373" i="5"/>
  <c r="T373" i="5" s="1"/>
  <c r="F373" i="5"/>
  <c r="D373" i="5"/>
  <c r="B373" i="5"/>
  <c r="AF372" i="5"/>
  <c r="AG372" i="5" s="1"/>
  <c r="S372" i="5"/>
  <c r="R372" i="5"/>
  <c r="G372" i="5"/>
  <c r="T372" i="5" s="1"/>
  <c r="F372" i="5"/>
  <c r="D372" i="5"/>
  <c r="B372" i="5"/>
  <c r="AF371" i="5"/>
  <c r="AG371" i="5" s="1"/>
  <c r="S371" i="5"/>
  <c r="R371" i="5"/>
  <c r="G371" i="5"/>
  <c r="T371" i="5" s="1"/>
  <c r="F371" i="5"/>
  <c r="D371" i="5"/>
  <c r="B371" i="5"/>
  <c r="AF370" i="5"/>
  <c r="AG370" i="5" s="1"/>
  <c r="S370" i="5"/>
  <c r="R370" i="5"/>
  <c r="G370" i="5"/>
  <c r="T370" i="5" s="1"/>
  <c r="F370" i="5"/>
  <c r="D370" i="5"/>
  <c r="B370" i="5"/>
  <c r="AF369" i="5"/>
  <c r="AG369" i="5" s="1"/>
  <c r="S369" i="5"/>
  <c r="R369" i="5"/>
  <c r="G369" i="5"/>
  <c r="T369" i="5" s="1"/>
  <c r="F369" i="5"/>
  <c r="D369" i="5"/>
  <c r="B369" i="5"/>
  <c r="AF368" i="5"/>
  <c r="AG368" i="5" s="1"/>
  <c r="S368" i="5"/>
  <c r="R368" i="5"/>
  <c r="G368" i="5"/>
  <c r="T368" i="5" s="1"/>
  <c r="F368" i="5"/>
  <c r="D368" i="5"/>
  <c r="B368" i="5"/>
  <c r="AF367" i="5"/>
  <c r="AG367" i="5" s="1"/>
  <c r="S367" i="5"/>
  <c r="R367" i="5"/>
  <c r="G367" i="5"/>
  <c r="T367" i="5" s="1"/>
  <c r="F367" i="5"/>
  <c r="D367" i="5"/>
  <c r="B367" i="5"/>
  <c r="AF366" i="5"/>
  <c r="AG366" i="5" s="1"/>
  <c r="S366" i="5"/>
  <c r="R366" i="5"/>
  <c r="G366" i="5"/>
  <c r="T366" i="5" s="1"/>
  <c r="F366" i="5"/>
  <c r="D366" i="5"/>
  <c r="B366" i="5"/>
  <c r="AF365" i="5"/>
  <c r="AG365" i="5" s="1"/>
  <c r="S365" i="5"/>
  <c r="R365" i="5"/>
  <c r="G365" i="5"/>
  <c r="T365" i="5" s="1"/>
  <c r="F365" i="5"/>
  <c r="D365" i="5"/>
  <c r="B365" i="5"/>
  <c r="AF364" i="5"/>
  <c r="AG364" i="5" s="1"/>
  <c r="S364" i="5"/>
  <c r="R364" i="5"/>
  <c r="G364" i="5"/>
  <c r="T364" i="5" s="1"/>
  <c r="F364" i="5"/>
  <c r="D364" i="5"/>
  <c r="B364" i="5"/>
  <c r="AF363" i="5"/>
  <c r="AG363" i="5" s="1"/>
  <c r="S363" i="5"/>
  <c r="R363" i="5"/>
  <c r="G363" i="5"/>
  <c r="T363" i="5" s="1"/>
  <c r="F363" i="5"/>
  <c r="D363" i="5"/>
  <c r="B363" i="5"/>
  <c r="AF362" i="5"/>
  <c r="AG362" i="5" s="1"/>
  <c r="S362" i="5"/>
  <c r="R362" i="5"/>
  <c r="G362" i="5"/>
  <c r="T362" i="5" s="1"/>
  <c r="F362" i="5"/>
  <c r="D362" i="5"/>
  <c r="B362" i="5"/>
  <c r="AF361" i="5"/>
  <c r="AG361" i="5" s="1"/>
  <c r="S361" i="5"/>
  <c r="R361" i="5"/>
  <c r="G361" i="5"/>
  <c r="T361" i="5" s="1"/>
  <c r="F361" i="5"/>
  <c r="D361" i="5"/>
  <c r="B361" i="5"/>
  <c r="AF360" i="5"/>
  <c r="AG360" i="5" s="1"/>
  <c r="S360" i="5"/>
  <c r="R360" i="5"/>
  <c r="G360" i="5"/>
  <c r="T360" i="5" s="1"/>
  <c r="F360" i="5"/>
  <c r="D360" i="5"/>
  <c r="B360" i="5"/>
  <c r="AF359" i="5"/>
  <c r="AG359" i="5" s="1"/>
  <c r="S359" i="5"/>
  <c r="R359" i="5"/>
  <c r="G359" i="5"/>
  <c r="T359" i="5" s="1"/>
  <c r="F359" i="5"/>
  <c r="D359" i="5"/>
  <c r="B359" i="5"/>
  <c r="AF358" i="5"/>
  <c r="AG358" i="5" s="1"/>
  <c r="S358" i="5"/>
  <c r="R358" i="5"/>
  <c r="G358" i="5"/>
  <c r="T358" i="5" s="1"/>
  <c r="F358" i="5"/>
  <c r="D358" i="5"/>
  <c r="B358" i="5"/>
  <c r="AF357" i="5"/>
  <c r="AG357" i="5" s="1"/>
  <c r="S357" i="5"/>
  <c r="R357" i="5"/>
  <c r="G357" i="5"/>
  <c r="T357" i="5" s="1"/>
  <c r="F357" i="5"/>
  <c r="D357" i="5"/>
  <c r="B357" i="5"/>
  <c r="AF356" i="5"/>
  <c r="AG356" i="5" s="1"/>
  <c r="S356" i="5"/>
  <c r="R356" i="5"/>
  <c r="G356" i="5"/>
  <c r="T356" i="5" s="1"/>
  <c r="F356" i="5"/>
  <c r="D356" i="5"/>
  <c r="B356" i="5"/>
  <c r="AF355" i="5"/>
  <c r="AG355" i="5" s="1"/>
  <c r="S355" i="5"/>
  <c r="R355" i="5"/>
  <c r="G355" i="5"/>
  <c r="T355" i="5" s="1"/>
  <c r="F355" i="5"/>
  <c r="D355" i="5"/>
  <c r="B355" i="5"/>
  <c r="AF354" i="5"/>
  <c r="AG354" i="5" s="1"/>
  <c r="S354" i="5"/>
  <c r="R354" i="5"/>
  <c r="G354" i="5"/>
  <c r="T354" i="5" s="1"/>
  <c r="F354" i="5"/>
  <c r="D354" i="5"/>
  <c r="B354" i="5"/>
  <c r="AF353" i="5"/>
  <c r="AG353" i="5" s="1"/>
  <c r="S353" i="5"/>
  <c r="R353" i="5"/>
  <c r="G353" i="5"/>
  <c r="T353" i="5" s="1"/>
  <c r="F353" i="5"/>
  <c r="D353" i="5"/>
  <c r="B353" i="5"/>
  <c r="AF352" i="5"/>
  <c r="AG352" i="5" s="1"/>
  <c r="S352" i="5"/>
  <c r="R352" i="5"/>
  <c r="G352" i="5"/>
  <c r="T352" i="5" s="1"/>
  <c r="F352" i="5"/>
  <c r="D352" i="5"/>
  <c r="B352" i="5"/>
  <c r="AF351" i="5"/>
  <c r="AG351" i="5" s="1"/>
  <c r="S351" i="5"/>
  <c r="R351" i="5"/>
  <c r="G351" i="5"/>
  <c r="T351" i="5" s="1"/>
  <c r="F351" i="5"/>
  <c r="D351" i="5"/>
  <c r="B351" i="5"/>
  <c r="AF350" i="5"/>
  <c r="AG350" i="5" s="1"/>
  <c r="S350" i="5"/>
  <c r="R350" i="5"/>
  <c r="G350" i="5"/>
  <c r="T350" i="5" s="1"/>
  <c r="F350" i="5"/>
  <c r="D350" i="5"/>
  <c r="B350" i="5"/>
  <c r="AF349" i="5"/>
  <c r="AG349" i="5" s="1"/>
  <c r="S349" i="5"/>
  <c r="R349" i="5"/>
  <c r="G349" i="5"/>
  <c r="T349" i="5" s="1"/>
  <c r="F349" i="5"/>
  <c r="D349" i="5"/>
  <c r="B349" i="5"/>
  <c r="AF348" i="5"/>
  <c r="AG348" i="5" s="1"/>
  <c r="S348" i="5"/>
  <c r="R348" i="5"/>
  <c r="G348" i="5"/>
  <c r="T348" i="5" s="1"/>
  <c r="F348" i="5"/>
  <c r="D348" i="5"/>
  <c r="B348" i="5"/>
  <c r="AF347" i="5"/>
  <c r="AG347" i="5" s="1"/>
  <c r="S347" i="5"/>
  <c r="R347" i="5"/>
  <c r="G347" i="5"/>
  <c r="T347" i="5" s="1"/>
  <c r="F347" i="5"/>
  <c r="D347" i="5"/>
  <c r="B347" i="5"/>
  <c r="AF346" i="5"/>
  <c r="AG346" i="5" s="1"/>
  <c r="S346" i="5"/>
  <c r="R346" i="5"/>
  <c r="G346" i="5"/>
  <c r="T346" i="5" s="1"/>
  <c r="F346" i="5"/>
  <c r="D346" i="5"/>
  <c r="B346" i="5"/>
  <c r="AF345" i="5"/>
  <c r="AG345" i="5" s="1"/>
  <c r="S345" i="5"/>
  <c r="R345" i="5"/>
  <c r="G345" i="5"/>
  <c r="T345" i="5" s="1"/>
  <c r="F345" i="5"/>
  <c r="D345" i="5"/>
  <c r="B345" i="5"/>
  <c r="AF344" i="5"/>
  <c r="AG344" i="5" s="1"/>
  <c r="S344" i="5"/>
  <c r="R344" i="5"/>
  <c r="G344" i="5"/>
  <c r="T344" i="5" s="1"/>
  <c r="F344" i="5"/>
  <c r="D344" i="5"/>
  <c r="B344" i="5"/>
  <c r="AF343" i="5"/>
  <c r="AG343" i="5" s="1"/>
  <c r="S343" i="5"/>
  <c r="R343" i="5"/>
  <c r="G343" i="5"/>
  <c r="T343" i="5" s="1"/>
  <c r="F343" i="5"/>
  <c r="D343" i="5"/>
  <c r="B343" i="5"/>
  <c r="AF342" i="5"/>
  <c r="AG342" i="5" s="1"/>
  <c r="S342" i="5"/>
  <c r="R342" i="5"/>
  <c r="G342" i="5"/>
  <c r="T342" i="5" s="1"/>
  <c r="F342" i="5"/>
  <c r="D342" i="5"/>
  <c r="B342" i="5"/>
  <c r="AF341" i="5"/>
  <c r="AG341" i="5" s="1"/>
  <c r="S341" i="5"/>
  <c r="R341" i="5"/>
  <c r="G341" i="5"/>
  <c r="T341" i="5" s="1"/>
  <c r="F341" i="5"/>
  <c r="D341" i="5"/>
  <c r="B341" i="5"/>
  <c r="AF340" i="5"/>
  <c r="AG340" i="5" s="1"/>
  <c r="S340" i="5"/>
  <c r="R340" i="5"/>
  <c r="G340" i="5"/>
  <c r="T340" i="5" s="1"/>
  <c r="F340" i="5"/>
  <c r="D340" i="5"/>
  <c r="B340" i="5"/>
  <c r="AF339" i="5"/>
  <c r="AG339" i="5" s="1"/>
  <c r="S339" i="5"/>
  <c r="R339" i="5"/>
  <c r="G339" i="5"/>
  <c r="T339" i="5" s="1"/>
  <c r="F339" i="5"/>
  <c r="D339" i="5"/>
  <c r="B339" i="5"/>
  <c r="AF338" i="5"/>
  <c r="AG338" i="5" s="1"/>
  <c r="S338" i="5"/>
  <c r="R338" i="5"/>
  <c r="G338" i="5"/>
  <c r="T338" i="5" s="1"/>
  <c r="F338" i="5"/>
  <c r="D338" i="5"/>
  <c r="B338" i="5"/>
  <c r="AF337" i="5"/>
  <c r="AG337" i="5" s="1"/>
  <c r="S337" i="5"/>
  <c r="R337" i="5"/>
  <c r="G337" i="5"/>
  <c r="T337" i="5" s="1"/>
  <c r="F337" i="5"/>
  <c r="D337" i="5"/>
  <c r="B337" i="5"/>
  <c r="AF336" i="5"/>
  <c r="AG336" i="5" s="1"/>
  <c r="S336" i="5"/>
  <c r="R336" i="5"/>
  <c r="G336" i="5"/>
  <c r="T336" i="5" s="1"/>
  <c r="F336" i="5"/>
  <c r="D336" i="5"/>
  <c r="B336" i="5"/>
  <c r="AF335" i="5"/>
  <c r="AG335" i="5" s="1"/>
  <c r="S335" i="5"/>
  <c r="R335" i="5"/>
  <c r="G335" i="5"/>
  <c r="T335" i="5" s="1"/>
  <c r="F335" i="5"/>
  <c r="D335" i="5"/>
  <c r="B335" i="5"/>
  <c r="AF334" i="5"/>
  <c r="AG334" i="5" s="1"/>
  <c r="S334" i="5"/>
  <c r="R334" i="5"/>
  <c r="G334" i="5"/>
  <c r="T334" i="5" s="1"/>
  <c r="F334" i="5"/>
  <c r="D334" i="5"/>
  <c r="B334" i="5"/>
  <c r="AF333" i="5"/>
  <c r="AG333" i="5" s="1"/>
  <c r="S333" i="5"/>
  <c r="R333" i="5"/>
  <c r="G333" i="5"/>
  <c r="T333" i="5" s="1"/>
  <c r="F333" i="5"/>
  <c r="D333" i="5"/>
  <c r="B333" i="5"/>
  <c r="AF332" i="5"/>
  <c r="AG332" i="5" s="1"/>
  <c r="S332" i="5"/>
  <c r="R332" i="5"/>
  <c r="G332" i="5"/>
  <c r="T332" i="5" s="1"/>
  <c r="F332" i="5"/>
  <c r="D332" i="5"/>
  <c r="B332" i="5"/>
  <c r="AF331" i="5"/>
  <c r="AG331" i="5" s="1"/>
  <c r="S331" i="5"/>
  <c r="R331" i="5"/>
  <c r="G331" i="5"/>
  <c r="T331" i="5" s="1"/>
  <c r="F331" i="5"/>
  <c r="D331" i="5"/>
  <c r="B331" i="5"/>
  <c r="AF330" i="5"/>
  <c r="AG330" i="5" s="1"/>
  <c r="S330" i="5"/>
  <c r="R330" i="5"/>
  <c r="G330" i="5"/>
  <c r="T330" i="5" s="1"/>
  <c r="F330" i="5"/>
  <c r="D330" i="5"/>
  <c r="B330" i="5"/>
  <c r="AF329" i="5"/>
  <c r="AG329" i="5" s="1"/>
  <c r="S329" i="5"/>
  <c r="R329" i="5"/>
  <c r="G329" i="5"/>
  <c r="T329" i="5" s="1"/>
  <c r="F329" i="5"/>
  <c r="D329" i="5"/>
  <c r="B329" i="5"/>
  <c r="AF328" i="5"/>
  <c r="AG328" i="5" s="1"/>
  <c r="S328" i="5"/>
  <c r="R328" i="5"/>
  <c r="G328" i="5"/>
  <c r="T328" i="5" s="1"/>
  <c r="F328" i="5"/>
  <c r="D328" i="5"/>
  <c r="B328" i="5"/>
  <c r="AF327" i="5"/>
  <c r="AG327" i="5" s="1"/>
  <c r="S327" i="5"/>
  <c r="R327" i="5"/>
  <c r="G327" i="5"/>
  <c r="T327" i="5" s="1"/>
  <c r="F327" i="5"/>
  <c r="D327" i="5"/>
  <c r="B327" i="5"/>
  <c r="AF326" i="5"/>
  <c r="AG326" i="5" s="1"/>
  <c r="S326" i="5"/>
  <c r="R326" i="5"/>
  <c r="G326" i="5"/>
  <c r="T326" i="5" s="1"/>
  <c r="F326" i="5"/>
  <c r="D326" i="5"/>
  <c r="B326" i="5"/>
  <c r="AF325" i="5"/>
  <c r="AG325" i="5" s="1"/>
  <c r="S325" i="5"/>
  <c r="R325" i="5"/>
  <c r="G325" i="5"/>
  <c r="T325" i="5" s="1"/>
  <c r="F325" i="5"/>
  <c r="D325" i="5"/>
  <c r="B325" i="5"/>
  <c r="AF324" i="5"/>
  <c r="AG324" i="5" s="1"/>
  <c r="S324" i="5"/>
  <c r="R324" i="5"/>
  <c r="G324" i="5"/>
  <c r="T324" i="5" s="1"/>
  <c r="F324" i="5"/>
  <c r="D324" i="5"/>
  <c r="B324" i="5"/>
  <c r="AF323" i="5"/>
  <c r="AG323" i="5" s="1"/>
  <c r="S323" i="5"/>
  <c r="R323" i="5"/>
  <c r="G323" i="5"/>
  <c r="T323" i="5" s="1"/>
  <c r="F323" i="5"/>
  <c r="D323" i="5"/>
  <c r="B323" i="5"/>
  <c r="AF322" i="5"/>
  <c r="AG322" i="5" s="1"/>
  <c r="S322" i="5"/>
  <c r="R322" i="5"/>
  <c r="G322" i="5"/>
  <c r="T322" i="5" s="1"/>
  <c r="F322" i="5"/>
  <c r="D322" i="5"/>
  <c r="B322" i="5"/>
  <c r="AF321" i="5"/>
  <c r="AG321" i="5" s="1"/>
  <c r="S321" i="5"/>
  <c r="R321" i="5"/>
  <c r="G321" i="5"/>
  <c r="T321" i="5" s="1"/>
  <c r="F321" i="5"/>
  <c r="D321" i="5"/>
  <c r="B321" i="5"/>
  <c r="AF320" i="5"/>
  <c r="AG320" i="5" s="1"/>
  <c r="S320" i="5"/>
  <c r="R320" i="5"/>
  <c r="G320" i="5"/>
  <c r="T320" i="5" s="1"/>
  <c r="F320" i="5"/>
  <c r="D320" i="5"/>
  <c r="B320" i="5"/>
  <c r="AF319" i="5"/>
  <c r="AG319" i="5" s="1"/>
  <c r="S319" i="5"/>
  <c r="R319" i="5"/>
  <c r="G319" i="5"/>
  <c r="T319" i="5" s="1"/>
  <c r="F319" i="5"/>
  <c r="D319" i="5"/>
  <c r="B319" i="5"/>
  <c r="AF318" i="5"/>
  <c r="AG318" i="5" s="1"/>
  <c r="S318" i="5"/>
  <c r="R318" i="5"/>
  <c r="G318" i="5"/>
  <c r="T318" i="5" s="1"/>
  <c r="F318" i="5"/>
  <c r="D318" i="5"/>
  <c r="B318" i="5"/>
  <c r="AF317" i="5"/>
  <c r="AG317" i="5" s="1"/>
  <c r="S317" i="5"/>
  <c r="R317" i="5"/>
  <c r="G317" i="5"/>
  <c r="T317" i="5" s="1"/>
  <c r="F317" i="5"/>
  <c r="D317" i="5"/>
  <c r="B317" i="5"/>
  <c r="AF316" i="5"/>
  <c r="AG316" i="5" s="1"/>
  <c r="S316" i="5"/>
  <c r="R316" i="5"/>
  <c r="G316" i="5"/>
  <c r="T316" i="5" s="1"/>
  <c r="F316" i="5"/>
  <c r="D316" i="5"/>
  <c r="B316" i="5"/>
  <c r="AF315" i="5"/>
  <c r="AG315" i="5" s="1"/>
  <c r="S315" i="5"/>
  <c r="R315" i="5"/>
  <c r="G315" i="5"/>
  <c r="T315" i="5" s="1"/>
  <c r="F315" i="5"/>
  <c r="D315" i="5"/>
  <c r="B315" i="5"/>
  <c r="AF314" i="5"/>
  <c r="AG314" i="5" s="1"/>
  <c r="S314" i="5"/>
  <c r="R314" i="5"/>
  <c r="G314" i="5"/>
  <c r="T314" i="5" s="1"/>
  <c r="F314" i="5"/>
  <c r="D314" i="5"/>
  <c r="B314" i="5"/>
  <c r="AF313" i="5"/>
  <c r="AG313" i="5" s="1"/>
  <c r="S313" i="5"/>
  <c r="R313" i="5"/>
  <c r="G313" i="5"/>
  <c r="T313" i="5" s="1"/>
  <c r="F313" i="5"/>
  <c r="D313" i="5"/>
  <c r="B313" i="5"/>
  <c r="AF312" i="5"/>
  <c r="AG312" i="5" s="1"/>
  <c r="S312" i="5"/>
  <c r="R312" i="5"/>
  <c r="G312" i="5"/>
  <c r="T312" i="5" s="1"/>
  <c r="F312" i="5"/>
  <c r="D312" i="5"/>
  <c r="B312" i="5"/>
  <c r="AF311" i="5"/>
  <c r="AG311" i="5" s="1"/>
  <c r="S311" i="5"/>
  <c r="R311" i="5"/>
  <c r="G311" i="5"/>
  <c r="T311" i="5" s="1"/>
  <c r="F311" i="5"/>
  <c r="D311" i="5"/>
  <c r="B311" i="5"/>
  <c r="AF310" i="5"/>
  <c r="AG310" i="5" s="1"/>
  <c r="S310" i="5"/>
  <c r="R310" i="5"/>
  <c r="G310" i="5"/>
  <c r="T310" i="5" s="1"/>
  <c r="F310" i="5"/>
  <c r="D310" i="5"/>
  <c r="B310" i="5"/>
  <c r="AF309" i="5"/>
  <c r="AG309" i="5" s="1"/>
  <c r="S309" i="5"/>
  <c r="R309" i="5"/>
  <c r="G309" i="5"/>
  <c r="T309" i="5" s="1"/>
  <c r="F309" i="5"/>
  <c r="D309" i="5"/>
  <c r="B309" i="5"/>
  <c r="AF308" i="5"/>
  <c r="AG308" i="5" s="1"/>
  <c r="S308" i="5"/>
  <c r="R308" i="5"/>
  <c r="G308" i="5"/>
  <c r="T308" i="5" s="1"/>
  <c r="F308" i="5"/>
  <c r="D308" i="5"/>
  <c r="B308" i="5"/>
  <c r="AF307" i="5"/>
  <c r="AG307" i="5" s="1"/>
  <c r="S307" i="5"/>
  <c r="R307" i="5"/>
  <c r="G307" i="5"/>
  <c r="T307" i="5" s="1"/>
  <c r="F307" i="5"/>
  <c r="D307" i="5"/>
  <c r="B307" i="5"/>
  <c r="AF306" i="5"/>
  <c r="AG306" i="5" s="1"/>
  <c r="S306" i="5"/>
  <c r="R306" i="5"/>
  <c r="G306" i="5"/>
  <c r="T306" i="5" s="1"/>
  <c r="F306" i="5"/>
  <c r="D306" i="5"/>
  <c r="B306" i="5"/>
  <c r="AF305" i="5"/>
  <c r="AG305" i="5" s="1"/>
  <c r="S305" i="5"/>
  <c r="R305" i="5"/>
  <c r="G305" i="5"/>
  <c r="T305" i="5" s="1"/>
  <c r="F305" i="5"/>
  <c r="D305" i="5"/>
  <c r="B305" i="5"/>
  <c r="AF304" i="5"/>
  <c r="AG304" i="5" s="1"/>
  <c r="S304" i="5"/>
  <c r="R304" i="5"/>
  <c r="G304" i="5"/>
  <c r="T304" i="5" s="1"/>
  <c r="F304" i="5"/>
  <c r="D304" i="5"/>
  <c r="B304" i="5"/>
  <c r="AF303" i="5"/>
  <c r="AG303" i="5" s="1"/>
  <c r="S303" i="5"/>
  <c r="R303" i="5"/>
  <c r="G303" i="5"/>
  <c r="T303" i="5" s="1"/>
  <c r="F303" i="5"/>
  <c r="D303" i="5"/>
  <c r="B303" i="5"/>
  <c r="AF302" i="5"/>
  <c r="AG302" i="5" s="1"/>
  <c r="S302" i="5"/>
  <c r="R302" i="5"/>
  <c r="G302" i="5"/>
  <c r="T302" i="5" s="1"/>
  <c r="F302" i="5"/>
  <c r="D302" i="5"/>
  <c r="B302" i="5"/>
  <c r="AF301" i="5"/>
  <c r="AG301" i="5" s="1"/>
  <c r="S301" i="5"/>
  <c r="R301" i="5"/>
  <c r="G301" i="5"/>
  <c r="T301" i="5" s="1"/>
  <c r="F301" i="5"/>
  <c r="D301" i="5"/>
  <c r="B301" i="5"/>
  <c r="AF300" i="5"/>
  <c r="AG300" i="5" s="1"/>
  <c r="S300" i="5"/>
  <c r="R300" i="5"/>
  <c r="G300" i="5"/>
  <c r="T300" i="5" s="1"/>
  <c r="F300" i="5"/>
  <c r="D300" i="5"/>
  <c r="B300" i="5"/>
  <c r="AF299" i="5"/>
  <c r="AG299" i="5" s="1"/>
  <c r="S299" i="5"/>
  <c r="R299" i="5"/>
  <c r="G299" i="5"/>
  <c r="T299" i="5" s="1"/>
  <c r="F299" i="5"/>
  <c r="D299" i="5"/>
  <c r="B299" i="5"/>
  <c r="AF298" i="5"/>
  <c r="AG298" i="5" s="1"/>
  <c r="S298" i="5"/>
  <c r="R298" i="5"/>
  <c r="G298" i="5"/>
  <c r="T298" i="5" s="1"/>
  <c r="F298" i="5"/>
  <c r="D298" i="5"/>
  <c r="B298" i="5"/>
  <c r="AF297" i="5"/>
  <c r="AG297" i="5" s="1"/>
  <c r="S297" i="5"/>
  <c r="R297" i="5"/>
  <c r="G297" i="5"/>
  <c r="T297" i="5" s="1"/>
  <c r="F297" i="5"/>
  <c r="D297" i="5"/>
  <c r="B297" i="5"/>
  <c r="AF296" i="5"/>
  <c r="AG296" i="5" s="1"/>
  <c r="S296" i="5"/>
  <c r="R296" i="5"/>
  <c r="G296" i="5"/>
  <c r="T296" i="5" s="1"/>
  <c r="F296" i="5"/>
  <c r="D296" i="5"/>
  <c r="B296" i="5"/>
  <c r="AF295" i="5"/>
  <c r="AG295" i="5" s="1"/>
  <c r="S295" i="5"/>
  <c r="R295" i="5"/>
  <c r="G295" i="5"/>
  <c r="T295" i="5" s="1"/>
  <c r="F295" i="5"/>
  <c r="D295" i="5"/>
  <c r="B295" i="5"/>
  <c r="AF294" i="5"/>
  <c r="AG294" i="5" s="1"/>
  <c r="S294" i="5"/>
  <c r="R294" i="5"/>
  <c r="G294" i="5"/>
  <c r="T294" i="5" s="1"/>
  <c r="F294" i="5"/>
  <c r="D294" i="5"/>
  <c r="B294" i="5"/>
  <c r="AF293" i="5"/>
  <c r="AG293" i="5" s="1"/>
  <c r="S293" i="5"/>
  <c r="R293" i="5"/>
  <c r="G293" i="5"/>
  <c r="T293" i="5" s="1"/>
  <c r="F293" i="5"/>
  <c r="D293" i="5"/>
  <c r="B293" i="5"/>
  <c r="AF292" i="5"/>
  <c r="AG292" i="5" s="1"/>
  <c r="S292" i="5"/>
  <c r="R292" i="5"/>
  <c r="G292" i="5"/>
  <c r="T292" i="5" s="1"/>
  <c r="F292" i="5"/>
  <c r="D292" i="5"/>
  <c r="B292" i="5"/>
  <c r="AF291" i="5"/>
  <c r="AG291" i="5" s="1"/>
  <c r="S291" i="5"/>
  <c r="R291" i="5"/>
  <c r="G291" i="5"/>
  <c r="T291" i="5" s="1"/>
  <c r="F291" i="5"/>
  <c r="D291" i="5"/>
  <c r="B291" i="5"/>
  <c r="AF290" i="5"/>
  <c r="AG290" i="5" s="1"/>
  <c r="S290" i="5"/>
  <c r="R290" i="5"/>
  <c r="G290" i="5"/>
  <c r="T290" i="5" s="1"/>
  <c r="F290" i="5"/>
  <c r="D290" i="5"/>
  <c r="B290" i="5"/>
  <c r="AF289" i="5"/>
  <c r="AG289" i="5" s="1"/>
  <c r="S289" i="5"/>
  <c r="R289" i="5"/>
  <c r="G289" i="5"/>
  <c r="T289" i="5" s="1"/>
  <c r="F289" i="5"/>
  <c r="D289" i="5"/>
  <c r="B289" i="5"/>
  <c r="AF288" i="5"/>
  <c r="AG288" i="5" s="1"/>
  <c r="S288" i="5"/>
  <c r="R288" i="5"/>
  <c r="G288" i="5"/>
  <c r="T288" i="5" s="1"/>
  <c r="F288" i="5"/>
  <c r="D288" i="5"/>
  <c r="B288" i="5"/>
  <c r="AF287" i="5"/>
  <c r="AG287" i="5" s="1"/>
  <c r="S287" i="5"/>
  <c r="R287" i="5"/>
  <c r="G287" i="5"/>
  <c r="T287" i="5" s="1"/>
  <c r="F287" i="5"/>
  <c r="D287" i="5"/>
  <c r="B287" i="5"/>
  <c r="AF286" i="5"/>
  <c r="AG286" i="5" s="1"/>
  <c r="S286" i="5"/>
  <c r="R286" i="5"/>
  <c r="G286" i="5"/>
  <c r="T286" i="5" s="1"/>
  <c r="F286" i="5"/>
  <c r="D286" i="5"/>
  <c r="B286" i="5"/>
  <c r="AF285" i="5"/>
  <c r="AG285" i="5" s="1"/>
  <c r="S285" i="5"/>
  <c r="R285" i="5"/>
  <c r="G285" i="5"/>
  <c r="T285" i="5" s="1"/>
  <c r="F285" i="5"/>
  <c r="D285" i="5"/>
  <c r="B285" i="5"/>
  <c r="AF284" i="5"/>
  <c r="AG284" i="5" s="1"/>
  <c r="S284" i="5"/>
  <c r="R284" i="5"/>
  <c r="G284" i="5"/>
  <c r="T284" i="5" s="1"/>
  <c r="F284" i="5"/>
  <c r="D284" i="5"/>
  <c r="B284" i="5"/>
  <c r="AF283" i="5"/>
  <c r="AG283" i="5" s="1"/>
  <c r="S283" i="5"/>
  <c r="R283" i="5"/>
  <c r="G283" i="5"/>
  <c r="T283" i="5" s="1"/>
  <c r="F283" i="5"/>
  <c r="D283" i="5"/>
  <c r="B283" i="5"/>
  <c r="AF282" i="5"/>
  <c r="AG282" i="5" s="1"/>
  <c r="S282" i="5"/>
  <c r="R282" i="5"/>
  <c r="G282" i="5"/>
  <c r="T282" i="5" s="1"/>
  <c r="F282" i="5"/>
  <c r="D282" i="5"/>
  <c r="B282" i="5"/>
  <c r="AF281" i="5"/>
  <c r="AG281" i="5" s="1"/>
  <c r="S281" i="5"/>
  <c r="R281" i="5"/>
  <c r="G281" i="5"/>
  <c r="T281" i="5" s="1"/>
  <c r="F281" i="5"/>
  <c r="D281" i="5"/>
  <c r="B281" i="5"/>
  <c r="AF280" i="5"/>
  <c r="AG280" i="5" s="1"/>
  <c r="S280" i="5"/>
  <c r="R280" i="5"/>
  <c r="G280" i="5"/>
  <c r="T280" i="5" s="1"/>
  <c r="F280" i="5"/>
  <c r="D280" i="5"/>
  <c r="B280" i="5"/>
  <c r="AF279" i="5"/>
  <c r="AG279" i="5" s="1"/>
  <c r="S279" i="5"/>
  <c r="R279" i="5"/>
  <c r="G279" i="5"/>
  <c r="T279" i="5" s="1"/>
  <c r="F279" i="5"/>
  <c r="D279" i="5"/>
  <c r="B279" i="5"/>
  <c r="AF278" i="5"/>
  <c r="AG278" i="5" s="1"/>
  <c r="S278" i="5"/>
  <c r="R278" i="5"/>
  <c r="G278" i="5"/>
  <c r="T278" i="5" s="1"/>
  <c r="F278" i="5"/>
  <c r="D278" i="5"/>
  <c r="B278" i="5"/>
  <c r="AF277" i="5"/>
  <c r="AG277" i="5" s="1"/>
  <c r="S277" i="5"/>
  <c r="R277" i="5"/>
  <c r="G277" i="5"/>
  <c r="T277" i="5" s="1"/>
  <c r="F277" i="5"/>
  <c r="D277" i="5"/>
  <c r="B277" i="5"/>
  <c r="AF276" i="5"/>
  <c r="AG276" i="5" s="1"/>
  <c r="S276" i="5"/>
  <c r="R276" i="5"/>
  <c r="G276" i="5"/>
  <c r="T276" i="5" s="1"/>
  <c r="F276" i="5"/>
  <c r="D276" i="5"/>
  <c r="B276" i="5"/>
  <c r="AF275" i="5"/>
  <c r="AG275" i="5" s="1"/>
  <c r="S275" i="5"/>
  <c r="R275" i="5"/>
  <c r="G275" i="5"/>
  <c r="T275" i="5" s="1"/>
  <c r="F275" i="5"/>
  <c r="D275" i="5"/>
  <c r="B275" i="5"/>
  <c r="AF274" i="5"/>
  <c r="AG274" i="5" s="1"/>
  <c r="S274" i="5"/>
  <c r="R274" i="5"/>
  <c r="G274" i="5"/>
  <c r="T274" i="5" s="1"/>
  <c r="F274" i="5"/>
  <c r="D274" i="5"/>
  <c r="B274" i="5"/>
  <c r="AF273" i="5"/>
  <c r="AG273" i="5" s="1"/>
  <c r="S273" i="5"/>
  <c r="R273" i="5"/>
  <c r="G273" i="5"/>
  <c r="T273" i="5" s="1"/>
  <c r="F273" i="5"/>
  <c r="D273" i="5"/>
  <c r="B273" i="5"/>
  <c r="AF272" i="5"/>
  <c r="AG272" i="5" s="1"/>
  <c r="S272" i="5"/>
  <c r="R272" i="5"/>
  <c r="G272" i="5"/>
  <c r="T272" i="5" s="1"/>
  <c r="F272" i="5"/>
  <c r="D272" i="5"/>
  <c r="B272" i="5"/>
  <c r="AF271" i="5"/>
  <c r="AG271" i="5" s="1"/>
  <c r="S271" i="5"/>
  <c r="R271" i="5"/>
  <c r="G271" i="5"/>
  <c r="T271" i="5" s="1"/>
  <c r="F271" i="5"/>
  <c r="D271" i="5"/>
  <c r="B271" i="5"/>
  <c r="AF270" i="5"/>
  <c r="AG270" i="5" s="1"/>
  <c r="S270" i="5"/>
  <c r="R270" i="5"/>
  <c r="G270" i="5"/>
  <c r="T270" i="5" s="1"/>
  <c r="F270" i="5"/>
  <c r="D270" i="5"/>
  <c r="B270" i="5"/>
  <c r="AF269" i="5"/>
  <c r="AG269" i="5" s="1"/>
  <c r="S269" i="5"/>
  <c r="R269" i="5"/>
  <c r="G269" i="5"/>
  <c r="T269" i="5" s="1"/>
  <c r="F269" i="5"/>
  <c r="D269" i="5"/>
  <c r="B269" i="5"/>
  <c r="AF268" i="5"/>
  <c r="AG268" i="5" s="1"/>
  <c r="S268" i="5"/>
  <c r="R268" i="5"/>
  <c r="G268" i="5"/>
  <c r="T268" i="5" s="1"/>
  <c r="F268" i="5"/>
  <c r="D268" i="5"/>
  <c r="B268" i="5"/>
  <c r="AF267" i="5"/>
  <c r="AG267" i="5" s="1"/>
  <c r="S267" i="5"/>
  <c r="R267" i="5"/>
  <c r="G267" i="5"/>
  <c r="T267" i="5" s="1"/>
  <c r="F267" i="5"/>
  <c r="D267" i="5"/>
  <c r="B267" i="5"/>
  <c r="AF266" i="5"/>
  <c r="AG266" i="5" s="1"/>
  <c r="S266" i="5"/>
  <c r="R266" i="5"/>
  <c r="G266" i="5"/>
  <c r="T266" i="5" s="1"/>
  <c r="F266" i="5"/>
  <c r="D266" i="5"/>
  <c r="B266" i="5"/>
  <c r="AF265" i="5"/>
  <c r="AG265" i="5" s="1"/>
  <c r="S265" i="5"/>
  <c r="R265" i="5"/>
  <c r="G265" i="5"/>
  <c r="T265" i="5" s="1"/>
  <c r="F265" i="5"/>
  <c r="D265" i="5"/>
  <c r="B265" i="5"/>
  <c r="AF264" i="5"/>
  <c r="AG264" i="5" s="1"/>
  <c r="S264" i="5"/>
  <c r="R264" i="5"/>
  <c r="G264" i="5"/>
  <c r="T264" i="5" s="1"/>
  <c r="F264" i="5"/>
  <c r="D264" i="5"/>
  <c r="B264" i="5"/>
  <c r="AF263" i="5"/>
  <c r="AG263" i="5" s="1"/>
  <c r="S263" i="5"/>
  <c r="R263" i="5"/>
  <c r="G263" i="5"/>
  <c r="T263" i="5" s="1"/>
  <c r="F263" i="5"/>
  <c r="D263" i="5"/>
  <c r="B263" i="5"/>
  <c r="AF262" i="5"/>
  <c r="AG262" i="5" s="1"/>
  <c r="S262" i="5"/>
  <c r="R262" i="5"/>
  <c r="G262" i="5"/>
  <c r="T262" i="5" s="1"/>
  <c r="F262" i="5"/>
  <c r="D262" i="5"/>
  <c r="B262" i="5"/>
  <c r="AF261" i="5"/>
  <c r="AG261" i="5" s="1"/>
  <c r="S261" i="5"/>
  <c r="R261" i="5"/>
  <c r="G261" i="5"/>
  <c r="T261" i="5" s="1"/>
  <c r="F261" i="5"/>
  <c r="D261" i="5"/>
  <c r="B261" i="5"/>
  <c r="AF260" i="5"/>
  <c r="AG260" i="5" s="1"/>
  <c r="S260" i="5"/>
  <c r="R260" i="5"/>
  <c r="G260" i="5"/>
  <c r="T260" i="5" s="1"/>
  <c r="F260" i="5"/>
  <c r="D260" i="5"/>
  <c r="B260" i="5"/>
  <c r="AF259" i="5"/>
  <c r="AG259" i="5" s="1"/>
  <c r="S259" i="5"/>
  <c r="R259" i="5"/>
  <c r="G259" i="5"/>
  <c r="T259" i="5" s="1"/>
  <c r="F259" i="5"/>
  <c r="D259" i="5"/>
  <c r="B259" i="5"/>
  <c r="AF258" i="5"/>
  <c r="AG258" i="5" s="1"/>
  <c r="S258" i="5"/>
  <c r="R258" i="5"/>
  <c r="G258" i="5"/>
  <c r="T258" i="5" s="1"/>
  <c r="F258" i="5"/>
  <c r="D258" i="5"/>
  <c r="B258" i="5"/>
  <c r="AF257" i="5"/>
  <c r="AG257" i="5" s="1"/>
  <c r="S257" i="5"/>
  <c r="R257" i="5"/>
  <c r="G257" i="5"/>
  <c r="T257" i="5" s="1"/>
  <c r="F257" i="5"/>
  <c r="D257" i="5"/>
  <c r="B257" i="5"/>
  <c r="AF256" i="5"/>
  <c r="AG256" i="5" s="1"/>
  <c r="S256" i="5"/>
  <c r="R256" i="5"/>
  <c r="G256" i="5"/>
  <c r="T256" i="5" s="1"/>
  <c r="F256" i="5"/>
  <c r="D256" i="5"/>
  <c r="B256" i="5"/>
  <c r="AF255" i="5"/>
  <c r="AG255" i="5" s="1"/>
  <c r="S255" i="5"/>
  <c r="R255" i="5"/>
  <c r="G255" i="5"/>
  <c r="T255" i="5" s="1"/>
  <c r="F255" i="5"/>
  <c r="D255" i="5"/>
  <c r="B255" i="5"/>
  <c r="AF254" i="5"/>
  <c r="AG254" i="5" s="1"/>
  <c r="S254" i="5"/>
  <c r="R254" i="5"/>
  <c r="G254" i="5"/>
  <c r="T254" i="5" s="1"/>
  <c r="F254" i="5"/>
  <c r="D254" i="5"/>
  <c r="B254" i="5"/>
  <c r="AF253" i="5"/>
  <c r="AG253" i="5" s="1"/>
  <c r="S253" i="5"/>
  <c r="R253" i="5"/>
  <c r="G253" i="5"/>
  <c r="T253" i="5" s="1"/>
  <c r="F253" i="5"/>
  <c r="D253" i="5"/>
  <c r="B253" i="5"/>
  <c r="AF252" i="5"/>
  <c r="AG252" i="5" s="1"/>
  <c r="S252" i="5"/>
  <c r="R252" i="5"/>
  <c r="G252" i="5"/>
  <c r="T252" i="5" s="1"/>
  <c r="F252" i="5"/>
  <c r="D252" i="5"/>
  <c r="B252" i="5"/>
  <c r="AF251" i="5"/>
  <c r="AG251" i="5" s="1"/>
  <c r="S251" i="5"/>
  <c r="R251" i="5"/>
  <c r="G251" i="5"/>
  <c r="T251" i="5" s="1"/>
  <c r="F251" i="5"/>
  <c r="D251" i="5"/>
  <c r="B251" i="5"/>
  <c r="AF250" i="5"/>
  <c r="AG250" i="5" s="1"/>
  <c r="S250" i="5"/>
  <c r="R250" i="5"/>
  <c r="G250" i="5"/>
  <c r="T250" i="5" s="1"/>
  <c r="F250" i="5"/>
  <c r="D250" i="5"/>
  <c r="B250" i="5"/>
  <c r="AF249" i="5"/>
  <c r="AG249" i="5" s="1"/>
  <c r="S249" i="5"/>
  <c r="R249" i="5"/>
  <c r="G249" i="5"/>
  <c r="T249" i="5" s="1"/>
  <c r="F249" i="5"/>
  <c r="D249" i="5"/>
  <c r="B249" i="5"/>
  <c r="AF248" i="5"/>
  <c r="AG248" i="5" s="1"/>
  <c r="S248" i="5"/>
  <c r="R248" i="5"/>
  <c r="G248" i="5"/>
  <c r="T248" i="5" s="1"/>
  <c r="F248" i="5"/>
  <c r="D248" i="5"/>
  <c r="B248" i="5"/>
  <c r="AF247" i="5"/>
  <c r="AG247" i="5" s="1"/>
  <c r="S247" i="5"/>
  <c r="R247" i="5"/>
  <c r="G247" i="5"/>
  <c r="T247" i="5" s="1"/>
  <c r="F247" i="5"/>
  <c r="D247" i="5"/>
  <c r="B247" i="5"/>
  <c r="AF246" i="5"/>
  <c r="AG246" i="5" s="1"/>
  <c r="S246" i="5"/>
  <c r="R246" i="5"/>
  <c r="G246" i="5"/>
  <c r="T246" i="5" s="1"/>
  <c r="F246" i="5"/>
  <c r="D246" i="5"/>
  <c r="B246" i="5"/>
  <c r="AF245" i="5"/>
  <c r="AG245" i="5" s="1"/>
  <c r="S245" i="5"/>
  <c r="R245" i="5"/>
  <c r="G245" i="5"/>
  <c r="T245" i="5" s="1"/>
  <c r="F245" i="5"/>
  <c r="D245" i="5"/>
  <c r="B245" i="5"/>
  <c r="AF244" i="5"/>
  <c r="AG244" i="5" s="1"/>
  <c r="S244" i="5"/>
  <c r="R244" i="5"/>
  <c r="G244" i="5"/>
  <c r="T244" i="5" s="1"/>
  <c r="F244" i="5"/>
  <c r="D244" i="5"/>
  <c r="B244" i="5"/>
  <c r="AF243" i="5"/>
  <c r="AG243" i="5" s="1"/>
  <c r="S243" i="5"/>
  <c r="R243" i="5"/>
  <c r="G243" i="5"/>
  <c r="T243" i="5" s="1"/>
  <c r="F243" i="5"/>
  <c r="D243" i="5"/>
  <c r="B243" i="5"/>
  <c r="AF242" i="5"/>
  <c r="AG242" i="5" s="1"/>
  <c r="S242" i="5"/>
  <c r="R242" i="5"/>
  <c r="G242" i="5"/>
  <c r="T242" i="5" s="1"/>
  <c r="F242" i="5"/>
  <c r="D242" i="5"/>
  <c r="B242" i="5"/>
  <c r="AF241" i="5"/>
  <c r="AG241" i="5" s="1"/>
  <c r="S241" i="5"/>
  <c r="R241" i="5"/>
  <c r="G241" i="5"/>
  <c r="T241" i="5" s="1"/>
  <c r="F241" i="5"/>
  <c r="D241" i="5"/>
  <c r="B241" i="5"/>
  <c r="AF240" i="5"/>
  <c r="AG240" i="5" s="1"/>
  <c r="S240" i="5"/>
  <c r="R240" i="5"/>
  <c r="G240" i="5"/>
  <c r="T240" i="5" s="1"/>
  <c r="F240" i="5"/>
  <c r="D240" i="5"/>
  <c r="B240" i="5"/>
  <c r="AF239" i="5"/>
  <c r="AG239" i="5" s="1"/>
  <c r="S239" i="5"/>
  <c r="R239" i="5"/>
  <c r="G239" i="5"/>
  <c r="T239" i="5" s="1"/>
  <c r="F239" i="5"/>
  <c r="D239" i="5"/>
  <c r="B239" i="5"/>
  <c r="AF238" i="5"/>
  <c r="AG238" i="5" s="1"/>
  <c r="S238" i="5"/>
  <c r="R238" i="5"/>
  <c r="G238" i="5"/>
  <c r="T238" i="5" s="1"/>
  <c r="F238" i="5"/>
  <c r="D238" i="5"/>
  <c r="B238" i="5"/>
  <c r="AF237" i="5"/>
  <c r="AG237" i="5" s="1"/>
  <c r="S237" i="5"/>
  <c r="R237" i="5"/>
  <c r="G237" i="5"/>
  <c r="T237" i="5" s="1"/>
  <c r="F237" i="5"/>
  <c r="D237" i="5"/>
  <c r="B237" i="5"/>
  <c r="AF236" i="5"/>
  <c r="AG236" i="5" s="1"/>
  <c r="S236" i="5"/>
  <c r="R236" i="5"/>
  <c r="G236" i="5"/>
  <c r="T236" i="5" s="1"/>
  <c r="F236" i="5"/>
  <c r="D236" i="5"/>
  <c r="B236" i="5"/>
  <c r="AF235" i="5"/>
  <c r="AG235" i="5" s="1"/>
  <c r="S235" i="5"/>
  <c r="R235" i="5"/>
  <c r="G235" i="5"/>
  <c r="T235" i="5" s="1"/>
  <c r="F235" i="5"/>
  <c r="D235" i="5"/>
  <c r="B235" i="5"/>
  <c r="AF234" i="5"/>
  <c r="AG234" i="5" s="1"/>
  <c r="S234" i="5"/>
  <c r="R234" i="5"/>
  <c r="G234" i="5"/>
  <c r="T234" i="5" s="1"/>
  <c r="F234" i="5"/>
  <c r="D234" i="5"/>
  <c r="B234" i="5"/>
  <c r="AF233" i="5"/>
  <c r="AG233" i="5" s="1"/>
  <c r="S233" i="5"/>
  <c r="R233" i="5"/>
  <c r="G233" i="5"/>
  <c r="T233" i="5" s="1"/>
  <c r="F233" i="5"/>
  <c r="D233" i="5"/>
  <c r="B233" i="5"/>
  <c r="AF232" i="5"/>
  <c r="AG232" i="5" s="1"/>
  <c r="S232" i="5"/>
  <c r="R232" i="5"/>
  <c r="G232" i="5"/>
  <c r="T232" i="5" s="1"/>
  <c r="F232" i="5"/>
  <c r="D232" i="5"/>
  <c r="B232" i="5"/>
  <c r="AF231" i="5"/>
  <c r="AG231" i="5" s="1"/>
  <c r="S231" i="5"/>
  <c r="R231" i="5"/>
  <c r="G231" i="5"/>
  <c r="T231" i="5" s="1"/>
  <c r="F231" i="5"/>
  <c r="D231" i="5"/>
  <c r="B231" i="5"/>
  <c r="AF230" i="5"/>
  <c r="AG230" i="5" s="1"/>
  <c r="S230" i="5"/>
  <c r="R230" i="5"/>
  <c r="G230" i="5"/>
  <c r="T230" i="5" s="1"/>
  <c r="F230" i="5"/>
  <c r="D230" i="5"/>
  <c r="B230" i="5"/>
  <c r="AF229" i="5"/>
  <c r="AG229" i="5" s="1"/>
  <c r="S229" i="5"/>
  <c r="R229" i="5"/>
  <c r="G229" i="5"/>
  <c r="T229" i="5" s="1"/>
  <c r="F229" i="5"/>
  <c r="D229" i="5"/>
  <c r="B229" i="5"/>
  <c r="AF228" i="5"/>
  <c r="AG228" i="5" s="1"/>
  <c r="S228" i="5"/>
  <c r="R228" i="5"/>
  <c r="G228" i="5"/>
  <c r="T228" i="5" s="1"/>
  <c r="F228" i="5"/>
  <c r="D228" i="5"/>
  <c r="B228" i="5"/>
  <c r="AF227" i="5"/>
  <c r="AG227" i="5" s="1"/>
  <c r="S227" i="5"/>
  <c r="R227" i="5"/>
  <c r="G227" i="5"/>
  <c r="T227" i="5" s="1"/>
  <c r="F227" i="5"/>
  <c r="D227" i="5"/>
  <c r="B227" i="5"/>
  <c r="AF226" i="5"/>
  <c r="AG226" i="5" s="1"/>
  <c r="S226" i="5"/>
  <c r="R226" i="5"/>
  <c r="G226" i="5"/>
  <c r="T226" i="5" s="1"/>
  <c r="F226" i="5"/>
  <c r="D226" i="5"/>
  <c r="B226" i="5"/>
  <c r="AF225" i="5"/>
  <c r="AG225" i="5" s="1"/>
  <c r="S225" i="5"/>
  <c r="R225" i="5"/>
  <c r="G225" i="5"/>
  <c r="T225" i="5" s="1"/>
  <c r="F225" i="5"/>
  <c r="D225" i="5"/>
  <c r="B225" i="5"/>
  <c r="AF224" i="5"/>
  <c r="AG224" i="5" s="1"/>
  <c r="S224" i="5"/>
  <c r="R224" i="5"/>
  <c r="G224" i="5"/>
  <c r="T224" i="5" s="1"/>
  <c r="F224" i="5"/>
  <c r="D224" i="5"/>
  <c r="B224" i="5"/>
  <c r="AF223" i="5"/>
  <c r="AG223" i="5" s="1"/>
  <c r="S223" i="5"/>
  <c r="R223" i="5"/>
  <c r="G223" i="5"/>
  <c r="T223" i="5" s="1"/>
  <c r="F223" i="5"/>
  <c r="D223" i="5"/>
  <c r="B223" i="5"/>
  <c r="AF222" i="5"/>
  <c r="AG222" i="5" s="1"/>
  <c r="S222" i="5"/>
  <c r="R222" i="5"/>
  <c r="G222" i="5"/>
  <c r="T222" i="5" s="1"/>
  <c r="F222" i="5"/>
  <c r="D222" i="5"/>
  <c r="B222" i="5"/>
  <c r="AF221" i="5"/>
  <c r="AG221" i="5" s="1"/>
  <c r="S221" i="5"/>
  <c r="R221" i="5"/>
  <c r="G221" i="5"/>
  <c r="T221" i="5" s="1"/>
  <c r="F221" i="5"/>
  <c r="D221" i="5"/>
  <c r="B221" i="5"/>
  <c r="AF220" i="5"/>
  <c r="AG220" i="5" s="1"/>
  <c r="S220" i="5"/>
  <c r="R220" i="5"/>
  <c r="G220" i="5"/>
  <c r="T220" i="5" s="1"/>
  <c r="F220" i="5"/>
  <c r="D220" i="5"/>
  <c r="B220" i="5"/>
  <c r="AF219" i="5"/>
  <c r="AG219" i="5" s="1"/>
  <c r="S219" i="5"/>
  <c r="R219" i="5"/>
  <c r="G219" i="5"/>
  <c r="T219" i="5" s="1"/>
  <c r="F219" i="5"/>
  <c r="D219" i="5"/>
  <c r="B219" i="5"/>
  <c r="AF218" i="5"/>
  <c r="AG218" i="5" s="1"/>
  <c r="S218" i="5"/>
  <c r="R218" i="5"/>
  <c r="G218" i="5"/>
  <c r="T218" i="5" s="1"/>
  <c r="F218" i="5"/>
  <c r="D218" i="5"/>
  <c r="B218" i="5"/>
  <c r="AF217" i="5"/>
  <c r="AG217" i="5" s="1"/>
  <c r="S217" i="5"/>
  <c r="R217" i="5"/>
  <c r="G217" i="5"/>
  <c r="T217" i="5" s="1"/>
  <c r="F217" i="5"/>
  <c r="D217" i="5"/>
  <c r="B217" i="5"/>
  <c r="AF216" i="5"/>
  <c r="AG216" i="5" s="1"/>
  <c r="S216" i="5"/>
  <c r="R216" i="5"/>
  <c r="G216" i="5"/>
  <c r="T216" i="5" s="1"/>
  <c r="F216" i="5"/>
  <c r="D216" i="5"/>
  <c r="B216" i="5"/>
  <c r="AF215" i="5"/>
  <c r="AG215" i="5" s="1"/>
  <c r="S215" i="5"/>
  <c r="R215" i="5"/>
  <c r="G215" i="5"/>
  <c r="T215" i="5" s="1"/>
  <c r="F215" i="5"/>
  <c r="D215" i="5"/>
  <c r="B215" i="5"/>
  <c r="AF214" i="5"/>
  <c r="AG214" i="5" s="1"/>
  <c r="S214" i="5"/>
  <c r="R214" i="5"/>
  <c r="G214" i="5"/>
  <c r="T214" i="5" s="1"/>
  <c r="F214" i="5"/>
  <c r="D214" i="5"/>
  <c r="B214" i="5"/>
  <c r="AF213" i="5"/>
  <c r="AG213" i="5" s="1"/>
  <c r="S213" i="5"/>
  <c r="R213" i="5"/>
  <c r="G213" i="5"/>
  <c r="T213" i="5" s="1"/>
  <c r="F213" i="5"/>
  <c r="D213" i="5"/>
  <c r="B213" i="5"/>
  <c r="AF212" i="5"/>
  <c r="AG212" i="5" s="1"/>
  <c r="S212" i="5"/>
  <c r="R212" i="5"/>
  <c r="G212" i="5"/>
  <c r="T212" i="5" s="1"/>
  <c r="F212" i="5"/>
  <c r="D212" i="5"/>
  <c r="B212" i="5"/>
  <c r="AF211" i="5"/>
  <c r="AG211" i="5" s="1"/>
  <c r="S211" i="5"/>
  <c r="R211" i="5"/>
  <c r="G211" i="5"/>
  <c r="T211" i="5" s="1"/>
  <c r="F211" i="5"/>
  <c r="D211" i="5"/>
  <c r="B211" i="5"/>
  <c r="AF210" i="5"/>
  <c r="AG210" i="5" s="1"/>
  <c r="S210" i="5"/>
  <c r="R210" i="5"/>
  <c r="G210" i="5"/>
  <c r="T210" i="5" s="1"/>
  <c r="F210" i="5"/>
  <c r="D210" i="5"/>
  <c r="B210" i="5"/>
  <c r="AF209" i="5"/>
  <c r="AG209" i="5" s="1"/>
  <c r="S209" i="5"/>
  <c r="R209" i="5"/>
  <c r="G209" i="5"/>
  <c r="T209" i="5" s="1"/>
  <c r="F209" i="5"/>
  <c r="D209" i="5"/>
  <c r="B209" i="5"/>
  <c r="AF208" i="5"/>
  <c r="AG208" i="5" s="1"/>
  <c r="S208" i="5"/>
  <c r="R208" i="5"/>
  <c r="G208" i="5"/>
  <c r="T208" i="5" s="1"/>
  <c r="F208" i="5"/>
  <c r="D208" i="5"/>
  <c r="B208" i="5"/>
  <c r="AF207" i="5"/>
  <c r="AG207" i="5" s="1"/>
  <c r="S207" i="5"/>
  <c r="R207" i="5"/>
  <c r="G207" i="5"/>
  <c r="T207" i="5" s="1"/>
  <c r="F207" i="5"/>
  <c r="D207" i="5"/>
  <c r="B207" i="5"/>
  <c r="AF206" i="5"/>
  <c r="AG206" i="5" s="1"/>
  <c r="S206" i="5"/>
  <c r="R206" i="5"/>
  <c r="G206" i="5"/>
  <c r="T206" i="5" s="1"/>
  <c r="F206" i="5"/>
  <c r="D206" i="5"/>
  <c r="B206" i="5"/>
  <c r="AF205" i="5"/>
  <c r="AG205" i="5" s="1"/>
  <c r="S205" i="5"/>
  <c r="R205" i="5"/>
  <c r="G205" i="5"/>
  <c r="T205" i="5" s="1"/>
  <c r="F205" i="5"/>
  <c r="D205" i="5"/>
  <c r="B205" i="5"/>
  <c r="AF204" i="5"/>
  <c r="AG204" i="5" s="1"/>
  <c r="S204" i="5"/>
  <c r="R204" i="5"/>
  <c r="G204" i="5"/>
  <c r="T204" i="5" s="1"/>
  <c r="F204" i="5"/>
  <c r="D204" i="5"/>
  <c r="B204" i="5"/>
  <c r="AF203" i="5"/>
  <c r="AG203" i="5" s="1"/>
  <c r="S203" i="5"/>
  <c r="R203" i="5"/>
  <c r="G203" i="5"/>
  <c r="T203" i="5" s="1"/>
  <c r="F203" i="5"/>
  <c r="D203" i="5"/>
  <c r="B203" i="5"/>
  <c r="AF202" i="5"/>
  <c r="AG202" i="5" s="1"/>
  <c r="S202" i="5"/>
  <c r="R202" i="5"/>
  <c r="G202" i="5"/>
  <c r="T202" i="5" s="1"/>
  <c r="F202" i="5"/>
  <c r="D202" i="5"/>
  <c r="B202" i="5"/>
  <c r="AF201" i="5"/>
  <c r="AG201" i="5" s="1"/>
  <c r="S201" i="5"/>
  <c r="R201" i="5"/>
  <c r="G201" i="5"/>
  <c r="T201" i="5" s="1"/>
  <c r="F201" i="5"/>
  <c r="D201" i="5"/>
  <c r="B201" i="5"/>
  <c r="AF200" i="5"/>
  <c r="AG200" i="5" s="1"/>
  <c r="S200" i="5"/>
  <c r="R200" i="5"/>
  <c r="G200" i="5"/>
  <c r="T200" i="5" s="1"/>
  <c r="F200" i="5"/>
  <c r="D200" i="5"/>
  <c r="B200" i="5"/>
  <c r="AF199" i="5"/>
  <c r="AG199" i="5" s="1"/>
  <c r="S199" i="5"/>
  <c r="R199" i="5"/>
  <c r="G199" i="5"/>
  <c r="T199" i="5" s="1"/>
  <c r="F199" i="5"/>
  <c r="D199" i="5"/>
  <c r="B199" i="5"/>
  <c r="AF198" i="5"/>
  <c r="AG198" i="5" s="1"/>
  <c r="S198" i="5"/>
  <c r="R198" i="5"/>
  <c r="G198" i="5"/>
  <c r="T198" i="5" s="1"/>
  <c r="F198" i="5"/>
  <c r="D198" i="5"/>
  <c r="B198" i="5"/>
  <c r="AF197" i="5"/>
  <c r="AG197" i="5" s="1"/>
  <c r="S197" i="5"/>
  <c r="R197" i="5"/>
  <c r="G197" i="5"/>
  <c r="T197" i="5" s="1"/>
  <c r="F197" i="5"/>
  <c r="D197" i="5"/>
  <c r="B197" i="5"/>
  <c r="AF196" i="5"/>
  <c r="AG196" i="5" s="1"/>
  <c r="S196" i="5"/>
  <c r="R196" i="5"/>
  <c r="G196" i="5"/>
  <c r="T196" i="5" s="1"/>
  <c r="F196" i="5"/>
  <c r="D196" i="5"/>
  <c r="B196" i="5"/>
  <c r="AF195" i="5"/>
  <c r="AG195" i="5" s="1"/>
  <c r="S195" i="5"/>
  <c r="R195" i="5"/>
  <c r="G195" i="5"/>
  <c r="T195" i="5" s="1"/>
  <c r="F195" i="5"/>
  <c r="D195" i="5"/>
  <c r="B195" i="5"/>
  <c r="AF194" i="5"/>
  <c r="AG194" i="5" s="1"/>
  <c r="S194" i="5"/>
  <c r="R194" i="5"/>
  <c r="G194" i="5"/>
  <c r="T194" i="5" s="1"/>
  <c r="F194" i="5"/>
  <c r="D194" i="5"/>
  <c r="B194" i="5"/>
  <c r="AF193" i="5"/>
  <c r="AG193" i="5" s="1"/>
  <c r="S193" i="5"/>
  <c r="R193" i="5"/>
  <c r="G193" i="5"/>
  <c r="T193" i="5" s="1"/>
  <c r="F193" i="5"/>
  <c r="D193" i="5"/>
  <c r="B193" i="5"/>
  <c r="AF192" i="5"/>
  <c r="AG192" i="5" s="1"/>
  <c r="S192" i="5"/>
  <c r="R192" i="5"/>
  <c r="G192" i="5"/>
  <c r="T192" i="5" s="1"/>
  <c r="F192" i="5"/>
  <c r="D192" i="5"/>
  <c r="B192" i="5"/>
  <c r="AF191" i="5"/>
  <c r="AG191" i="5" s="1"/>
  <c r="S191" i="5"/>
  <c r="R191" i="5"/>
  <c r="G191" i="5"/>
  <c r="T191" i="5" s="1"/>
  <c r="F191" i="5"/>
  <c r="D191" i="5"/>
  <c r="B191" i="5"/>
  <c r="AF190" i="5"/>
  <c r="AG190" i="5" s="1"/>
  <c r="S190" i="5"/>
  <c r="R190" i="5"/>
  <c r="G190" i="5"/>
  <c r="T190" i="5" s="1"/>
  <c r="F190" i="5"/>
  <c r="D190" i="5"/>
  <c r="B190" i="5"/>
  <c r="AF189" i="5"/>
  <c r="AG189" i="5" s="1"/>
  <c r="S189" i="5"/>
  <c r="R189" i="5"/>
  <c r="G189" i="5"/>
  <c r="T189" i="5" s="1"/>
  <c r="F189" i="5"/>
  <c r="D189" i="5"/>
  <c r="B189" i="5"/>
  <c r="AF188" i="5"/>
  <c r="AG188" i="5" s="1"/>
  <c r="S188" i="5"/>
  <c r="R188" i="5"/>
  <c r="G188" i="5"/>
  <c r="T188" i="5" s="1"/>
  <c r="F188" i="5"/>
  <c r="D188" i="5"/>
  <c r="B188" i="5"/>
  <c r="AF187" i="5"/>
  <c r="AG187" i="5" s="1"/>
  <c r="S187" i="5"/>
  <c r="R187" i="5"/>
  <c r="G187" i="5"/>
  <c r="T187" i="5" s="1"/>
  <c r="F187" i="5"/>
  <c r="D187" i="5"/>
  <c r="B187" i="5"/>
  <c r="AF186" i="5"/>
  <c r="AG186" i="5" s="1"/>
  <c r="S186" i="5"/>
  <c r="R186" i="5"/>
  <c r="G186" i="5"/>
  <c r="T186" i="5" s="1"/>
  <c r="F186" i="5"/>
  <c r="D186" i="5"/>
  <c r="B186" i="5"/>
  <c r="AF185" i="5"/>
  <c r="AG185" i="5" s="1"/>
  <c r="S185" i="5"/>
  <c r="R185" i="5"/>
  <c r="G185" i="5"/>
  <c r="T185" i="5" s="1"/>
  <c r="F185" i="5"/>
  <c r="D185" i="5"/>
  <c r="B185" i="5"/>
  <c r="AF184" i="5"/>
  <c r="AG184" i="5" s="1"/>
  <c r="S184" i="5"/>
  <c r="R184" i="5"/>
  <c r="G184" i="5"/>
  <c r="T184" i="5" s="1"/>
  <c r="F184" i="5"/>
  <c r="D184" i="5"/>
  <c r="B184" i="5"/>
  <c r="AF183" i="5"/>
  <c r="AG183" i="5" s="1"/>
  <c r="S183" i="5"/>
  <c r="R183" i="5"/>
  <c r="G183" i="5"/>
  <c r="T183" i="5" s="1"/>
  <c r="F183" i="5"/>
  <c r="D183" i="5"/>
  <c r="B183" i="5"/>
  <c r="AF182" i="5"/>
  <c r="AG182" i="5" s="1"/>
  <c r="S182" i="5"/>
  <c r="R182" i="5"/>
  <c r="G182" i="5"/>
  <c r="T182" i="5" s="1"/>
  <c r="F182" i="5"/>
  <c r="D182" i="5"/>
  <c r="B182" i="5"/>
  <c r="AF181" i="5"/>
  <c r="AG181" i="5" s="1"/>
  <c r="S181" i="5"/>
  <c r="R181" i="5"/>
  <c r="G181" i="5"/>
  <c r="T181" i="5" s="1"/>
  <c r="F181" i="5"/>
  <c r="D181" i="5"/>
  <c r="B181" i="5"/>
  <c r="AF180" i="5"/>
  <c r="AG180" i="5" s="1"/>
  <c r="S180" i="5"/>
  <c r="R180" i="5"/>
  <c r="G180" i="5"/>
  <c r="T180" i="5" s="1"/>
  <c r="F180" i="5"/>
  <c r="D180" i="5"/>
  <c r="B180" i="5"/>
  <c r="AF179" i="5"/>
  <c r="AG179" i="5" s="1"/>
  <c r="S179" i="5"/>
  <c r="R179" i="5"/>
  <c r="G179" i="5"/>
  <c r="T179" i="5" s="1"/>
  <c r="F179" i="5"/>
  <c r="D179" i="5"/>
  <c r="B179" i="5"/>
  <c r="AF178" i="5"/>
  <c r="AG178" i="5" s="1"/>
  <c r="S178" i="5"/>
  <c r="R178" i="5"/>
  <c r="G178" i="5"/>
  <c r="T178" i="5" s="1"/>
  <c r="F178" i="5"/>
  <c r="D178" i="5"/>
  <c r="B178" i="5"/>
  <c r="AF177" i="5"/>
  <c r="AG177" i="5" s="1"/>
  <c r="S177" i="5"/>
  <c r="R177" i="5"/>
  <c r="G177" i="5"/>
  <c r="T177" i="5" s="1"/>
  <c r="F177" i="5"/>
  <c r="D177" i="5"/>
  <c r="B177" i="5"/>
  <c r="AF176" i="5"/>
  <c r="AG176" i="5" s="1"/>
  <c r="S176" i="5"/>
  <c r="R176" i="5"/>
  <c r="G176" i="5"/>
  <c r="T176" i="5" s="1"/>
  <c r="F176" i="5"/>
  <c r="D176" i="5"/>
  <c r="B176" i="5"/>
  <c r="AF175" i="5"/>
  <c r="AG175" i="5" s="1"/>
  <c r="S175" i="5"/>
  <c r="R175" i="5"/>
  <c r="G175" i="5"/>
  <c r="T175" i="5" s="1"/>
  <c r="F175" i="5"/>
  <c r="D175" i="5"/>
  <c r="B175" i="5"/>
  <c r="AF174" i="5"/>
  <c r="AG174" i="5" s="1"/>
  <c r="S174" i="5"/>
  <c r="R174" i="5"/>
  <c r="G174" i="5"/>
  <c r="T174" i="5" s="1"/>
  <c r="F174" i="5"/>
  <c r="D174" i="5"/>
  <c r="B174" i="5"/>
  <c r="AF173" i="5"/>
  <c r="AG173" i="5" s="1"/>
  <c r="S173" i="5"/>
  <c r="R173" i="5"/>
  <c r="G173" i="5"/>
  <c r="T173" i="5" s="1"/>
  <c r="F173" i="5"/>
  <c r="D173" i="5"/>
  <c r="B173" i="5"/>
  <c r="AF172" i="5"/>
  <c r="AG172" i="5" s="1"/>
  <c r="S172" i="5"/>
  <c r="R172" i="5"/>
  <c r="G172" i="5"/>
  <c r="T172" i="5" s="1"/>
  <c r="F172" i="5"/>
  <c r="D172" i="5"/>
  <c r="B172" i="5"/>
  <c r="AF171" i="5"/>
  <c r="AG171" i="5" s="1"/>
  <c r="S171" i="5"/>
  <c r="R171" i="5"/>
  <c r="G171" i="5"/>
  <c r="T171" i="5" s="1"/>
  <c r="F171" i="5"/>
  <c r="D171" i="5"/>
  <c r="B171" i="5"/>
  <c r="AF170" i="5"/>
  <c r="AG170" i="5" s="1"/>
  <c r="S170" i="5"/>
  <c r="R170" i="5"/>
  <c r="G170" i="5"/>
  <c r="T170" i="5" s="1"/>
  <c r="F170" i="5"/>
  <c r="D170" i="5"/>
  <c r="B170" i="5"/>
  <c r="AF169" i="5"/>
  <c r="AG169" i="5" s="1"/>
  <c r="S169" i="5"/>
  <c r="R169" i="5"/>
  <c r="G169" i="5"/>
  <c r="T169" i="5" s="1"/>
  <c r="F169" i="5"/>
  <c r="D169" i="5"/>
  <c r="B169" i="5"/>
  <c r="AF168" i="5"/>
  <c r="AG168" i="5" s="1"/>
  <c r="S168" i="5"/>
  <c r="R168" i="5"/>
  <c r="G168" i="5"/>
  <c r="T168" i="5" s="1"/>
  <c r="F168" i="5"/>
  <c r="D168" i="5"/>
  <c r="B168" i="5"/>
  <c r="AF167" i="5"/>
  <c r="AG167" i="5" s="1"/>
  <c r="S167" i="5"/>
  <c r="R167" i="5"/>
  <c r="G167" i="5"/>
  <c r="T167" i="5" s="1"/>
  <c r="F167" i="5"/>
  <c r="D167" i="5"/>
  <c r="B167" i="5"/>
  <c r="AF166" i="5"/>
  <c r="AG166" i="5" s="1"/>
  <c r="S166" i="5"/>
  <c r="R166" i="5"/>
  <c r="G166" i="5"/>
  <c r="T166" i="5" s="1"/>
  <c r="F166" i="5"/>
  <c r="D166" i="5"/>
  <c r="B166" i="5"/>
  <c r="AF165" i="5"/>
  <c r="AG165" i="5" s="1"/>
  <c r="S165" i="5"/>
  <c r="R165" i="5"/>
  <c r="G165" i="5"/>
  <c r="T165" i="5" s="1"/>
  <c r="F165" i="5"/>
  <c r="D165" i="5"/>
  <c r="B165" i="5"/>
  <c r="AF164" i="5"/>
  <c r="AG164" i="5" s="1"/>
  <c r="S164" i="5"/>
  <c r="R164" i="5"/>
  <c r="G164" i="5"/>
  <c r="T164" i="5" s="1"/>
  <c r="F164" i="5"/>
  <c r="D164" i="5"/>
  <c r="B164" i="5"/>
  <c r="AF163" i="5"/>
  <c r="AG163" i="5" s="1"/>
  <c r="S163" i="5"/>
  <c r="R163" i="5"/>
  <c r="G163" i="5"/>
  <c r="T163" i="5" s="1"/>
  <c r="F163" i="5"/>
  <c r="D163" i="5"/>
  <c r="B163" i="5"/>
  <c r="AF162" i="5"/>
  <c r="AG162" i="5" s="1"/>
  <c r="S162" i="5"/>
  <c r="R162" i="5"/>
  <c r="G162" i="5"/>
  <c r="T162" i="5" s="1"/>
  <c r="F162" i="5"/>
  <c r="D162" i="5"/>
  <c r="B162" i="5"/>
  <c r="AF161" i="5"/>
  <c r="AG161" i="5" s="1"/>
  <c r="G52" i="5" s="1"/>
  <c r="T52" i="5" s="1"/>
  <c r="S161" i="5"/>
  <c r="R161" i="5"/>
  <c r="G161" i="5"/>
  <c r="T161" i="5" s="1"/>
  <c r="F161" i="5"/>
  <c r="D161" i="5"/>
  <c r="B161" i="5"/>
  <c r="AF160" i="5"/>
  <c r="AG160" i="5" s="1"/>
  <c r="G56" i="5" s="1"/>
  <c r="T56" i="5" s="1"/>
  <c r="S160" i="5"/>
  <c r="R160" i="5"/>
  <c r="G160" i="5"/>
  <c r="T160" i="5" s="1"/>
  <c r="F160" i="5"/>
  <c r="D160" i="5"/>
  <c r="B160" i="5"/>
  <c r="AF159" i="5"/>
  <c r="AG159" i="5" s="1"/>
  <c r="S159" i="5"/>
  <c r="R159" i="5"/>
  <c r="G159" i="5"/>
  <c r="T159" i="5" s="1"/>
  <c r="F159" i="5"/>
  <c r="D159" i="5"/>
  <c r="B159" i="5"/>
  <c r="AF158" i="5"/>
  <c r="AG158" i="5" s="1"/>
  <c r="S158" i="5"/>
  <c r="R158" i="5"/>
  <c r="G158" i="5"/>
  <c r="T158" i="5" s="1"/>
  <c r="F158" i="5"/>
  <c r="D158" i="5"/>
  <c r="B158" i="5"/>
  <c r="AF157" i="5"/>
  <c r="AG157" i="5" s="1"/>
  <c r="S157" i="5"/>
  <c r="R157" i="5"/>
  <c r="G157" i="5"/>
  <c r="T157" i="5" s="1"/>
  <c r="F157" i="5"/>
  <c r="D157" i="5"/>
  <c r="B157" i="5"/>
  <c r="AF156" i="5"/>
  <c r="AG156" i="5" s="1"/>
  <c r="S156" i="5"/>
  <c r="R156" i="5"/>
  <c r="G156" i="5"/>
  <c r="T156" i="5" s="1"/>
  <c r="F156" i="5"/>
  <c r="D156" i="5"/>
  <c r="B156" i="5"/>
  <c r="AF155" i="5"/>
  <c r="AG155" i="5" s="1"/>
  <c r="S155" i="5"/>
  <c r="R155" i="5"/>
  <c r="G155" i="5"/>
  <c r="T155" i="5" s="1"/>
  <c r="F155" i="5"/>
  <c r="D155" i="5"/>
  <c r="B155" i="5"/>
  <c r="AF154" i="5"/>
  <c r="AG154" i="5" s="1"/>
  <c r="S154" i="5"/>
  <c r="R154" i="5"/>
  <c r="G154" i="5"/>
  <c r="T154" i="5" s="1"/>
  <c r="F154" i="5"/>
  <c r="D154" i="5"/>
  <c r="B154" i="5"/>
  <c r="AF153" i="5"/>
  <c r="AG153" i="5" s="1"/>
  <c r="S153" i="5"/>
  <c r="R153" i="5"/>
  <c r="G153" i="5"/>
  <c r="T153" i="5" s="1"/>
  <c r="F153" i="5"/>
  <c r="D153" i="5"/>
  <c r="B153" i="5"/>
  <c r="AF152" i="5"/>
  <c r="AG152" i="5" s="1"/>
  <c r="S152" i="5"/>
  <c r="R152" i="5"/>
  <c r="G152" i="5"/>
  <c r="T152" i="5" s="1"/>
  <c r="F152" i="5"/>
  <c r="D152" i="5"/>
  <c r="B152" i="5"/>
  <c r="AF151" i="5"/>
  <c r="AG151" i="5" s="1"/>
  <c r="S151" i="5"/>
  <c r="R151" i="5"/>
  <c r="G151" i="5"/>
  <c r="T151" i="5" s="1"/>
  <c r="F151" i="5"/>
  <c r="D151" i="5"/>
  <c r="B151" i="5"/>
  <c r="AF150" i="5"/>
  <c r="AG150" i="5" s="1"/>
  <c r="S150" i="5"/>
  <c r="R150" i="5"/>
  <c r="G150" i="5"/>
  <c r="T150" i="5" s="1"/>
  <c r="F150" i="5"/>
  <c r="D150" i="5"/>
  <c r="B150" i="5"/>
  <c r="AF149" i="5"/>
  <c r="AG149" i="5" s="1"/>
  <c r="S149" i="5"/>
  <c r="R149" i="5"/>
  <c r="G149" i="5"/>
  <c r="T149" i="5" s="1"/>
  <c r="F149" i="5"/>
  <c r="D149" i="5"/>
  <c r="B149" i="5"/>
  <c r="AF148" i="5"/>
  <c r="AG148" i="5" s="1"/>
  <c r="S148" i="5"/>
  <c r="R148" i="5"/>
  <c r="G148" i="5"/>
  <c r="T148" i="5" s="1"/>
  <c r="F148" i="5"/>
  <c r="D148" i="5"/>
  <c r="B148" i="5"/>
  <c r="AF147" i="5"/>
  <c r="AG147" i="5" s="1"/>
  <c r="S147" i="5"/>
  <c r="R147" i="5"/>
  <c r="G147" i="5"/>
  <c r="T147" i="5" s="1"/>
  <c r="F147" i="5"/>
  <c r="D147" i="5"/>
  <c r="B147" i="5"/>
  <c r="AF146" i="5"/>
  <c r="AG146" i="5" s="1"/>
  <c r="S146" i="5"/>
  <c r="R146" i="5"/>
  <c r="G146" i="5"/>
  <c r="T146" i="5" s="1"/>
  <c r="F146" i="5"/>
  <c r="D146" i="5"/>
  <c r="B146" i="5"/>
  <c r="AF145" i="5"/>
  <c r="AG145" i="5" s="1"/>
  <c r="S145" i="5"/>
  <c r="R145" i="5"/>
  <c r="G145" i="5"/>
  <c r="T145" i="5" s="1"/>
  <c r="F145" i="5"/>
  <c r="D145" i="5"/>
  <c r="B145" i="5"/>
  <c r="AF144" i="5"/>
  <c r="AG144" i="5" s="1"/>
  <c r="S144" i="5"/>
  <c r="R144" i="5"/>
  <c r="G144" i="5"/>
  <c r="T144" i="5" s="1"/>
  <c r="F144" i="5"/>
  <c r="D144" i="5"/>
  <c r="B144" i="5"/>
  <c r="AF143" i="5"/>
  <c r="AG143" i="5" s="1"/>
  <c r="S143" i="5"/>
  <c r="R143" i="5"/>
  <c r="G143" i="5"/>
  <c r="T143" i="5" s="1"/>
  <c r="F143" i="5"/>
  <c r="D143" i="5"/>
  <c r="B143" i="5"/>
  <c r="AF142" i="5"/>
  <c r="AG142" i="5" s="1"/>
  <c r="S142" i="5"/>
  <c r="R142" i="5"/>
  <c r="G142" i="5"/>
  <c r="T142" i="5" s="1"/>
  <c r="F142" i="5"/>
  <c r="D142" i="5"/>
  <c r="B142" i="5"/>
  <c r="AF141" i="5"/>
  <c r="AG141" i="5" s="1"/>
  <c r="S141" i="5"/>
  <c r="R141" i="5"/>
  <c r="G141" i="5"/>
  <c r="T141" i="5" s="1"/>
  <c r="F141" i="5"/>
  <c r="D141" i="5"/>
  <c r="B141" i="5"/>
  <c r="AF140" i="5"/>
  <c r="AG140" i="5" s="1"/>
  <c r="S140" i="5"/>
  <c r="R140" i="5"/>
  <c r="G140" i="5"/>
  <c r="T140" i="5" s="1"/>
  <c r="F140" i="5"/>
  <c r="D140" i="5"/>
  <c r="B140" i="5"/>
  <c r="AF139" i="5"/>
  <c r="AG139" i="5" s="1"/>
  <c r="S139" i="5"/>
  <c r="R139" i="5"/>
  <c r="G139" i="5"/>
  <c r="T139" i="5" s="1"/>
  <c r="F139" i="5"/>
  <c r="D139" i="5"/>
  <c r="B139" i="5"/>
  <c r="AF138" i="5"/>
  <c r="AG138" i="5" s="1"/>
  <c r="S138" i="5"/>
  <c r="R138" i="5"/>
  <c r="G138" i="5"/>
  <c r="T138" i="5" s="1"/>
  <c r="F138" i="5"/>
  <c r="D138" i="5"/>
  <c r="B138" i="5"/>
  <c r="AF137" i="5"/>
  <c r="AG137" i="5" s="1"/>
  <c r="S137" i="5"/>
  <c r="R137" i="5"/>
  <c r="G137" i="5"/>
  <c r="T137" i="5" s="1"/>
  <c r="F137" i="5"/>
  <c r="D137" i="5"/>
  <c r="B137" i="5"/>
  <c r="AF136" i="5"/>
  <c r="AG136" i="5" s="1"/>
  <c r="S136" i="5"/>
  <c r="R136" i="5"/>
  <c r="G136" i="5"/>
  <c r="T136" i="5" s="1"/>
  <c r="F136" i="5"/>
  <c r="D136" i="5"/>
  <c r="B136" i="5"/>
  <c r="AF135" i="5"/>
  <c r="AG135" i="5" s="1"/>
  <c r="S135" i="5"/>
  <c r="R135" i="5"/>
  <c r="G135" i="5"/>
  <c r="T135" i="5" s="1"/>
  <c r="F135" i="5"/>
  <c r="D135" i="5"/>
  <c r="B135" i="5"/>
  <c r="AF134" i="5"/>
  <c r="AG134" i="5" s="1"/>
  <c r="S134" i="5"/>
  <c r="R134" i="5"/>
  <c r="G134" i="5"/>
  <c r="T134" i="5" s="1"/>
  <c r="F134" i="5"/>
  <c r="D134" i="5"/>
  <c r="B134" i="5"/>
  <c r="AF133" i="5"/>
  <c r="AG133" i="5" s="1"/>
  <c r="S133" i="5"/>
  <c r="R133" i="5"/>
  <c r="G133" i="5"/>
  <c r="T133" i="5" s="1"/>
  <c r="F133" i="5"/>
  <c r="D133" i="5"/>
  <c r="B133" i="5"/>
  <c r="AF132" i="5"/>
  <c r="AG132" i="5" s="1"/>
  <c r="S132" i="5"/>
  <c r="R132" i="5"/>
  <c r="G132" i="5"/>
  <c r="T132" i="5" s="1"/>
  <c r="F132" i="5"/>
  <c r="D132" i="5"/>
  <c r="B132" i="5"/>
  <c r="AF131" i="5"/>
  <c r="AG131" i="5" s="1"/>
  <c r="S131" i="5"/>
  <c r="R131" i="5"/>
  <c r="G131" i="5"/>
  <c r="T131" i="5" s="1"/>
  <c r="F131" i="5"/>
  <c r="D131" i="5"/>
  <c r="B131" i="5"/>
  <c r="AF130" i="5"/>
  <c r="AG130" i="5" s="1"/>
  <c r="S130" i="5"/>
  <c r="R130" i="5"/>
  <c r="G130" i="5"/>
  <c r="T130" i="5" s="1"/>
  <c r="F130" i="5"/>
  <c r="D130" i="5"/>
  <c r="B130" i="5"/>
  <c r="AF129" i="5"/>
  <c r="AG129" i="5" s="1"/>
  <c r="AB129" i="5"/>
  <c r="AA129" i="5"/>
  <c r="S129" i="5"/>
  <c r="R129" i="5"/>
  <c r="G129" i="5"/>
  <c r="T129" i="5" s="1"/>
  <c r="F129" i="5"/>
  <c r="D129" i="5"/>
  <c r="B129" i="5"/>
  <c r="AF128" i="5"/>
  <c r="AG128" i="5" s="1"/>
  <c r="AB128" i="5"/>
  <c r="AA128" i="5"/>
  <c r="S128" i="5"/>
  <c r="R128" i="5"/>
  <c r="G128" i="5"/>
  <c r="T128" i="5" s="1"/>
  <c r="F128" i="5"/>
  <c r="D128" i="5"/>
  <c r="B128" i="5"/>
  <c r="AF127" i="5"/>
  <c r="AG127" i="5" s="1"/>
  <c r="AB127" i="5"/>
  <c r="AA127" i="5"/>
  <c r="S127" i="5"/>
  <c r="R127" i="5"/>
  <c r="G127" i="5"/>
  <c r="T127" i="5" s="1"/>
  <c r="F127" i="5"/>
  <c r="D127" i="5"/>
  <c r="B127" i="5"/>
  <c r="AF126" i="5"/>
  <c r="AG126" i="5" s="1"/>
  <c r="AB126" i="5"/>
  <c r="AA126" i="5"/>
  <c r="S126" i="5"/>
  <c r="R126" i="5"/>
  <c r="G126" i="5"/>
  <c r="T126" i="5" s="1"/>
  <c r="F126" i="5"/>
  <c r="D126" i="5"/>
  <c r="B126" i="5"/>
  <c r="AF125" i="5"/>
  <c r="AG125" i="5" s="1"/>
  <c r="AB125" i="5"/>
  <c r="AA125" i="5"/>
  <c r="S125" i="5"/>
  <c r="R125" i="5"/>
  <c r="G125" i="5"/>
  <c r="T125" i="5" s="1"/>
  <c r="F125" i="5"/>
  <c r="D125" i="5"/>
  <c r="B125" i="5"/>
  <c r="AF124" i="5"/>
  <c r="AG124" i="5" s="1"/>
  <c r="AB124" i="5"/>
  <c r="AA124" i="5"/>
  <c r="S124" i="5"/>
  <c r="R124" i="5"/>
  <c r="G124" i="5"/>
  <c r="T124" i="5" s="1"/>
  <c r="F124" i="5"/>
  <c r="D124" i="5"/>
  <c r="B124" i="5"/>
  <c r="AF123" i="5"/>
  <c r="AG123" i="5" s="1"/>
  <c r="AB123" i="5"/>
  <c r="AA123" i="5"/>
  <c r="S123" i="5"/>
  <c r="R123" i="5"/>
  <c r="G123" i="5"/>
  <c r="T123" i="5" s="1"/>
  <c r="F123" i="5"/>
  <c r="D123" i="5"/>
  <c r="B123" i="5"/>
  <c r="AF122" i="5"/>
  <c r="AG122" i="5" s="1"/>
  <c r="G50" i="5" s="1"/>
  <c r="T50" i="5" s="1"/>
  <c r="AB122" i="5"/>
  <c r="AA122" i="5"/>
  <c r="S122" i="5"/>
  <c r="R122" i="5"/>
  <c r="G122" i="5"/>
  <c r="T122" i="5" s="1"/>
  <c r="F122" i="5"/>
  <c r="D122" i="5"/>
  <c r="B122" i="5"/>
  <c r="AF121" i="5"/>
  <c r="AG121" i="5" s="1"/>
  <c r="AB121" i="5"/>
  <c r="AA121" i="5"/>
  <c r="S121" i="5"/>
  <c r="R121" i="5"/>
  <c r="G121" i="5"/>
  <c r="T121" i="5" s="1"/>
  <c r="F121" i="5"/>
  <c r="D121" i="5"/>
  <c r="B121" i="5"/>
  <c r="AF120" i="5"/>
  <c r="AG120" i="5" s="1"/>
  <c r="AB120" i="5"/>
  <c r="AA120" i="5"/>
  <c r="S120" i="5"/>
  <c r="R120" i="5"/>
  <c r="G120" i="5"/>
  <c r="T120" i="5" s="1"/>
  <c r="F120" i="5"/>
  <c r="D120" i="5"/>
  <c r="B120" i="5"/>
  <c r="AF119" i="5"/>
  <c r="AG119" i="5" s="1"/>
  <c r="AB119" i="5"/>
  <c r="AA119" i="5"/>
  <c r="S119" i="5"/>
  <c r="R119" i="5"/>
  <c r="G119" i="5"/>
  <c r="T119" i="5" s="1"/>
  <c r="F119" i="5"/>
  <c r="D119" i="5"/>
  <c r="B119" i="5"/>
  <c r="AF118" i="5"/>
  <c r="AG118" i="5" s="1"/>
  <c r="AB118" i="5"/>
  <c r="AA118" i="5"/>
  <c r="S118" i="5"/>
  <c r="R118" i="5"/>
  <c r="G118" i="5"/>
  <c r="T118" i="5" s="1"/>
  <c r="F118" i="5"/>
  <c r="D118" i="5"/>
  <c r="B118" i="5"/>
  <c r="AF117" i="5"/>
  <c r="AG117" i="5" s="1"/>
  <c r="AB117" i="5"/>
  <c r="AA117" i="5"/>
  <c r="S117" i="5"/>
  <c r="R117" i="5"/>
  <c r="G117" i="5"/>
  <c r="T117" i="5" s="1"/>
  <c r="F117" i="5"/>
  <c r="D117" i="5"/>
  <c r="B117" i="5"/>
  <c r="AF116" i="5"/>
  <c r="AG116" i="5" s="1"/>
  <c r="AB116" i="5"/>
  <c r="AA116" i="5"/>
  <c r="S116" i="5"/>
  <c r="R116" i="5"/>
  <c r="G116" i="5"/>
  <c r="T116" i="5" s="1"/>
  <c r="F116" i="5"/>
  <c r="D116" i="5"/>
  <c r="B116" i="5"/>
  <c r="AF115" i="5"/>
  <c r="AG115" i="5" s="1"/>
  <c r="AB115" i="5"/>
  <c r="AA115" i="5"/>
  <c r="S115" i="5"/>
  <c r="R115" i="5"/>
  <c r="G115" i="5"/>
  <c r="T115" i="5" s="1"/>
  <c r="F115" i="5"/>
  <c r="D115" i="5"/>
  <c r="B115" i="5"/>
  <c r="AF114" i="5"/>
  <c r="AG114" i="5" s="1"/>
  <c r="AB114" i="5"/>
  <c r="AA114" i="5"/>
  <c r="S114" i="5"/>
  <c r="R114" i="5"/>
  <c r="G114" i="5"/>
  <c r="T114" i="5" s="1"/>
  <c r="F114" i="5"/>
  <c r="D114" i="5"/>
  <c r="B114" i="5"/>
  <c r="AF113" i="5"/>
  <c r="AG113" i="5" s="1"/>
  <c r="AB113" i="5"/>
  <c r="AA113" i="5"/>
  <c r="S113" i="5"/>
  <c r="R113" i="5"/>
  <c r="G113" i="5"/>
  <c r="T113" i="5" s="1"/>
  <c r="F113" i="5"/>
  <c r="D113" i="5"/>
  <c r="B113" i="5"/>
  <c r="AF112" i="5"/>
  <c r="AG112" i="5" s="1"/>
  <c r="AB112" i="5"/>
  <c r="AA112" i="5"/>
  <c r="S112" i="5"/>
  <c r="R112" i="5"/>
  <c r="G112" i="5"/>
  <c r="T112" i="5" s="1"/>
  <c r="F112" i="5"/>
  <c r="D112" i="5"/>
  <c r="B112" i="5"/>
  <c r="AF111" i="5"/>
  <c r="AG111" i="5" s="1"/>
  <c r="AB111" i="5"/>
  <c r="AA111" i="5"/>
  <c r="S111" i="5"/>
  <c r="R111" i="5"/>
  <c r="G111" i="5"/>
  <c r="T111" i="5" s="1"/>
  <c r="F111" i="5"/>
  <c r="D111" i="5"/>
  <c r="B111" i="5"/>
  <c r="AF110" i="5"/>
  <c r="AG110" i="5" s="1"/>
  <c r="AB110" i="5"/>
  <c r="AA110" i="5"/>
  <c r="S110" i="5"/>
  <c r="R110" i="5"/>
  <c r="G110" i="5"/>
  <c r="T110" i="5" s="1"/>
  <c r="F110" i="5"/>
  <c r="D110" i="5"/>
  <c r="B110" i="5"/>
  <c r="AF109" i="5"/>
  <c r="AG109" i="5" s="1"/>
  <c r="AB109" i="5"/>
  <c r="AA109" i="5"/>
  <c r="S109" i="5"/>
  <c r="R109" i="5"/>
  <c r="G109" i="5"/>
  <c r="T109" i="5" s="1"/>
  <c r="F109" i="5"/>
  <c r="D109" i="5"/>
  <c r="B109" i="5"/>
  <c r="AF108" i="5"/>
  <c r="AG108" i="5" s="1"/>
  <c r="AB108" i="5"/>
  <c r="AA108" i="5"/>
  <c r="S108" i="5"/>
  <c r="R108" i="5"/>
  <c r="G108" i="5"/>
  <c r="T108" i="5" s="1"/>
  <c r="F108" i="5"/>
  <c r="D108" i="5"/>
  <c r="B108" i="5"/>
  <c r="AF107" i="5"/>
  <c r="AG107" i="5" s="1"/>
  <c r="AB107" i="5"/>
  <c r="AA107" i="5"/>
  <c r="S107" i="5"/>
  <c r="R107" i="5"/>
  <c r="G107" i="5"/>
  <c r="T107" i="5" s="1"/>
  <c r="F107" i="5"/>
  <c r="D107" i="5"/>
  <c r="B107" i="5"/>
  <c r="AF106" i="5"/>
  <c r="AG106" i="5" s="1"/>
  <c r="AB106" i="5"/>
  <c r="AA106" i="5"/>
  <c r="S106" i="5"/>
  <c r="R106" i="5"/>
  <c r="G106" i="5"/>
  <c r="T106" i="5" s="1"/>
  <c r="F106" i="5"/>
  <c r="D106" i="5"/>
  <c r="B106" i="5"/>
  <c r="AF105" i="5"/>
  <c r="AG105" i="5" s="1"/>
  <c r="AB105" i="5"/>
  <c r="AA105" i="5"/>
  <c r="S105" i="5"/>
  <c r="R105" i="5"/>
  <c r="G105" i="5"/>
  <c r="T105" i="5" s="1"/>
  <c r="F105" i="5"/>
  <c r="D105" i="5"/>
  <c r="B105" i="5"/>
  <c r="AF104" i="5"/>
  <c r="AG104" i="5" s="1"/>
  <c r="AB104" i="5"/>
  <c r="AA104" i="5"/>
  <c r="S104" i="5"/>
  <c r="R104" i="5"/>
  <c r="G104" i="5"/>
  <c r="T104" i="5" s="1"/>
  <c r="F104" i="5"/>
  <c r="D104" i="5"/>
  <c r="B104" i="5"/>
  <c r="AF103" i="5"/>
  <c r="AG103" i="5" s="1"/>
  <c r="AB103" i="5"/>
  <c r="AA103" i="5"/>
  <c r="S103" i="5"/>
  <c r="R103" i="5"/>
  <c r="G103" i="5"/>
  <c r="T103" i="5" s="1"/>
  <c r="F103" i="5"/>
  <c r="D103" i="5"/>
  <c r="B103" i="5"/>
  <c r="AF102" i="5"/>
  <c r="AG102" i="5" s="1"/>
  <c r="AB102" i="5"/>
  <c r="AA102" i="5"/>
  <c r="S102" i="5"/>
  <c r="R102" i="5"/>
  <c r="G102" i="5"/>
  <c r="T102" i="5" s="1"/>
  <c r="F102" i="5"/>
  <c r="D102" i="5"/>
  <c r="B102" i="5"/>
  <c r="AF101" i="5"/>
  <c r="AG101" i="5" s="1"/>
  <c r="AB101" i="5"/>
  <c r="AA101" i="5"/>
  <c r="S101" i="5"/>
  <c r="R101" i="5"/>
  <c r="G101" i="5"/>
  <c r="T101" i="5" s="1"/>
  <c r="F101" i="5"/>
  <c r="D101" i="5"/>
  <c r="B101" i="5"/>
  <c r="AF100" i="5"/>
  <c r="AG100" i="5" s="1"/>
  <c r="AB100" i="5"/>
  <c r="AA100" i="5"/>
  <c r="S100" i="5"/>
  <c r="R100" i="5"/>
  <c r="G100" i="5"/>
  <c r="T100" i="5" s="1"/>
  <c r="F100" i="5"/>
  <c r="D100" i="5"/>
  <c r="B100" i="5"/>
  <c r="AF99" i="5"/>
  <c r="AG99" i="5" s="1"/>
  <c r="AB99" i="5"/>
  <c r="AA99" i="5"/>
  <c r="S99" i="5"/>
  <c r="R99" i="5"/>
  <c r="G99" i="5"/>
  <c r="T99" i="5" s="1"/>
  <c r="F99" i="5"/>
  <c r="D99" i="5"/>
  <c r="B99" i="5"/>
  <c r="AF98" i="5"/>
  <c r="AG98" i="5" s="1"/>
  <c r="AB98" i="5"/>
  <c r="AA98" i="5"/>
  <c r="S98" i="5"/>
  <c r="R98" i="5"/>
  <c r="G98" i="5"/>
  <c r="T98" i="5" s="1"/>
  <c r="F98" i="5"/>
  <c r="D98" i="5"/>
  <c r="B98" i="5"/>
  <c r="AF97" i="5"/>
  <c r="AG97" i="5" s="1"/>
  <c r="AB97" i="5"/>
  <c r="AA97" i="5"/>
  <c r="S97" i="5"/>
  <c r="R97" i="5"/>
  <c r="G97" i="5"/>
  <c r="T97" i="5" s="1"/>
  <c r="F97" i="5"/>
  <c r="D97" i="5"/>
  <c r="B97" i="5"/>
  <c r="AF96" i="5"/>
  <c r="AG96" i="5" s="1"/>
  <c r="AB96" i="5"/>
  <c r="AA96" i="5"/>
  <c r="S96" i="5"/>
  <c r="R96" i="5"/>
  <c r="G96" i="5"/>
  <c r="T96" i="5" s="1"/>
  <c r="F96" i="5"/>
  <c r="D96" i="5"/>
  <c r="B96" i="5"/>
  <c r="AF95" i="5"/>
  <c r="AG95" i="5" s="1"/>
  <c r="AB95" i="5"/>
  <c r="AA95" i="5"/>
  <c r="S95" i="5"/>
  <c r="R95" i="5"/>
  <c r="G95" i="5"/>
  <c r="T95" i="5" s="1"/>
  <c r="F95" i="5"/>
  <c r="D95" i="5"/>
  <c r="B95" i="5"/>
  <c r="AF94" i="5"/>
  <c r="AG94" i="5" s="1"/>
  <c r="AB94" i="5"/>
  <c r="AA94" i="5"/>
  <c r="S94" i="5"/>
  <c r="R94" i="5"/>
  <c r="G94" i="5"/>
  <c r="T94" i="5" s="1"/>
  <c r="F94" i="5"/>
  <c r="D94" i="5"/>
  <c r="B94" i="5"/>
  <c r="AF93" i="5"/>
  <c r="AG93" i="5" s="1"/>
  <c r="AB93" i="5"/>
  <c r="AA93" i="5"/>
  <c r="S93" i="5"/>
  <c r="R93" i="5"/>
  <c r="G93" i="5"/>
  <c r="T93" i="5" s="1"/>
  <c r="F93" i="5"/>
  <c r="D93" i="5"/>
  <c r="B93" i="5"/>
  <c r="AF92" i="5"/>
  <c r="AG92" i="5" s="1"/>
  <c r="AB92" i="5"/>
  <c r="AA92" i="5"/>
  <c r="S92" i="5"/>
  <c r="R92" i="5"/>
  <c r="G92" i="5"/>
  <c r="T92" i="5" s="1"/>
  <c r="F92" i="5"/>
  <c r="D92" i="5"/>
  <c r="B92" i="5"/>
  <c r="AF91" i="5"/>
  <c r="AG91" i="5" s="1"/>
  <c r="AB91" i="5"/>
  <c r="AA91" i="5"/>
  <c r="S91" i="5"/>
  <c r="R91" i="5"/>
  <c r="G91" i="5"/>
  <c r="T91" i="5" s="1"/>
  <c r="F91" i="5"/>
  <c r="D91" i="5"/>
  <c r="B91" i="5"/>
  <c r="AF90" i="5"/>
  <c r="AG90" i="5" s="1"/>
  <c r="AB90" i="5"/>
  <c r="AA90" i="5"/>
  <c r="S90" i="5"/>
  <c r="R90" i="5"/>
  <c r="G90" i="5"/>
  <c r="T90" i="5" s="1"/>
  <c r="F90" i="5"/>
  <c r="D90" i="5"/>
  <c r="B90" i="5"/>
  <c r="AF89" i="5"/>
  <c r="AG89" i="5" s="1"/>
  <c r="AB89" i="5"/>
  <c r="AA89" i="5"/>
  <c r="S89" i="5"/>
  <c r="R89" i="5"/>
  <c r="G89" i="5"/>
  <c r="T89" i="5" s="1"/>
  <c r="F89" i="5"/>
  <c r="D89" i="5"/>
  <c r="B89" i="5"/>
  <c r="AF88" i="5"/>
  <c r="AG88" i="5" s="1"/>
  <c r="AB88" i="5"/>
  <c r="AA88" i="5"/>
  <c r="S88" i="5"/>
  <c r="R88" i="5"/>
  <c r="G88" i="5"/>
  <c r="T88" i="5" s="1"/>
  <c r="F88" i="5"/>
  <c r="D88" i="5"/>
  <c r="B88" i="5"/>
  <c r="AF87" i="5"/>
  <c r="AG87" i="5" s="1"/>
  <c r="AB87" i="5"/>
  <c r="AA87" i="5"/>
  <c r="S87" i="5"/>
  <c r="R87" i="5"/>
  <c r="G87" i="5"/>
  <c r="T87" i="5" s="1"/>
  <c r="F87" i="5"/>
  <c r="D87" i="5"/>
  <c r="B87" i="5"/>
  <c r="AF86" i="5"/>
  <c r="AG86" i="5" s="1"/>
  <c r="AB86" i="5"/>
  <c r="AA86" i="5"/>
  <c r="S86" i="5"/>
  <c r="R86" i="5"/>
  <c r="G86" i="5"/>
  <c r="T86" i="5" s="1"/>
  <c r="F86" i="5"/>
  <c r="D86" i="5"/>
  <c r="B86" i="5"/>
  <c r="AF85" i="5"/>
  <c r="AG85" i="5" s="1"/>
  <c r="AB85" i="5"/>
  <c r="AA85" i="5"/>
  <c r="S85" i="5"/>
  <c r="R85" i="5"/>
  <c r="G85" i="5"/>
  <c r="T85" i="5" s="1"/>
  <c r="F85" i="5"/>
  <c r="D85" i="5"/>
  <c r="B85" i="5"/>
  <c r="AF84" i="5"/>
  <c r="AG84" i="5" s="1"/>
  <c r="AB84" i="5"/>
  <c r="AA84" i="5"/>
  <c r="S84" i="5"/>
  <c r="R84" i="5"/>
  <c r="G84" i="5"/>
  <c r="T84" i="5" s="1"/>
  <c r="F84" i="5"/>
  <c r="D84" i="5"/>
  <c r="B84" i="5"/>
  <c r="AF83" i="5"/>
  <c r="AG83" i="5" s="1"/>
  <c r="AB83" i="5"/>
  <c r="AA83" i="5"/>
  <c r="S83" i="5"/>
  <c r="R83" i="5"/>
  <c r="G83" i="5"/>
  <c r="T83" i="5" s="1"/>
  <c r="F83" i="5"/>
  <c r="D83" i="5"/>
  <c r="B83" i="5"/>
  <c r="AF82" i="5"/>
  <c r="AG82" i="5" s="1"/>
  <c r="AB82" i="5"/>
  <c r="AA82" i="5"/>
  <c r="S82" i="5"/>
  <c r="R82" i="5"/>
  <c r="G82" i="5"/>
  <c r="T82" i="5" s="1"/>
  <c r="F82" i="5"/>
  <c r="D82" i="5"/>
  <c r="B82" i="5"/>
  <c r="AF81" i="5"/>
  <c r="AG81" i="5" s="1"/>
  <c r="AB81" i="5"/>
  <c r="AA81" i="5"/>
  <c r="S81" i="5"/>
  <c r="R81" i="5"/>
  <c r="G81" i="5"/>
  <c r="T81" i="5" s="1"/>
  <c r="F81" i="5"/>
  <c r="D81" i="5"/>
  <c r="B81" i="5"/>
  <c r="AF80" i="5"/>
  <c r="AG80" i="5" s="1"/>
  <c r="AB80" i="5"/>
  <c r="AA80" i="5"/>
  <c r="S80" i="5"/>
  <c r="R80" i="5"/>
  <c r="G80" i="5"/>
  <c r="T80" i="5" s="1"/>
  <c r="F80" i="5"/>
  <c r="D80" i="5"/>
  <c r="B80" i="5"/>
  <c r="AF79" i="5"/>
  <c r="AG79" i="5" s="1"/>
  <c r="AB79" i="5"/>
  <c r="AA79" i="5"/>
  <c r="S79" i="5"/>
  <c r="R79" i="5"/>
  <c r="G79" i="5"/>
  <c r="T79" i="5" s="1"/>
  <c r="F79" i="5"/>
  <c r="D79" i="5"/>
  <c r="B79" i="5"/>
  <c r="AF78" i="5"/>
  <c r="AG78" i="5" s="1"/>
  <c r="AB78" i="5"/>
  <c r="AA78" i="5"/>
  <c r="S78" i="5"/>
  <c r="R78" i="5"/>
  <c r="G78" i="5"/>
  <c r="T78" i="5" s="1"/>
  <c r="F78" i="5"/>
  <c r="D78" i="5"/>
  <c r="B78" i="5"/>
  <c r="AF77" i="5"/>
  <c r="AG77" i="5" s="1"/>
  <c r="AB77" i="5"/>
  <c r="AA77" i="5"/>
  <c r="S77" i="5"/>
  <c r="R77" i="5"/>
  <c r="G77" i="5"/>
  <c r="T77" i="5" s="1"/>
  <c r="F77" i="5"/>
  <c r="D77" i="5"/>
  <c r="B77" i="5"/>
  <c r="AF76" i="5"/>
  <c r="AG76" i="5" s="1"/>
  <c r="AB76" i="5"/>
  <c r="AA76" i="5"/>
  <c r="S76" i="5"/>
  <c r="R76" i="5"/>
  <c r="G76" i="5"/>
  <c r="T76" i="5" s="1"/>
  <c r="F76" i="5"/>
  <c r="D76" i="5"/>
  <c r="B76" i="5"/>
  <c r="AF75" i="5"/>
  <c r="AG75" i="5" s="1"/>
  <c r="AB75" i="5"/>
  <c r="AA75" i="5"/>
  <c r="S75" i="5"/>
  <c r="R75" i="5"/>
  <c r="G75" i="5"/>
  <c r="T75" i="5" s="1"/>
  <c r="F75" i="5"/>
  <c r="D75" i="5"/>
  <c r="B75" i="5"/>
  <c r="AF74" i="5"/>
  <c r="AG74" i="5" s="1"/>
  <c r="AB74" i="5"/>
  <c r="AA74" i="5"/>
  <c r="S74" i="5"/>
  <c r="R74" i="5"/>
  <c r="G74" i="5"/>
  <c r="T74" i="5" s="1"/>
  <c r="F74" i="5"/>
  <c r="D74" i="5"/>
  <c r="B74" i="5"/>
  <c r="AF73" i="5"/>
  <c r="AG73" i="5" s="1"/>
  <c r="AB73" i="5"/>
  <c r="AA73" i="5"/>
  <c r="S73" i="5"/>
  <c r="R73" i="5"/>
  <c r="G73" i="5"/>
  <c r="T73" i="5" s="1"/>
  <c r="F73" i="5"/>
  <c r="D73" i="5"/>
  <c r="B73" i="5"/>
  <c r="AF72" i="5"/>
  <c r="AG72" i="5" s="1"/>
  <c r="AB72" i="5"/>
  <c r="AA72" i="5"/>
  <c r="S72" i="5"/>
  <c r="R72" i="5"/>
  <c r="G72" i="5"/>
  <c r="T72" i="5" s="1"/>
  <c r="F72" i="5"/>
  <c r="D72" i="5"/>
  <c r="B72" i="5"/>
  <c r="AF71" i="5"/>
  <c r="AG71" i="5" s="1"/>
  <c r="AB71" i="5"/>
  <c r="AA71" i="5"/>
  <c r="S71" i="5"/>
  <c r="R71" i="5"/>
  <c r="G71" i="5"/>
  <c r="T71" i="5" s="1"/>
  <c r="F71" i="5"/>
  <c r="D71" i="5"/>
  <c r="B71" i="5"/>
  <c r="AF70" i="5"/>
  <c r="AG70" i="5" s="1"/>
  <c r="AB70" i="5"/>
  <c r="AA70" i="5"/>
  <c r="S70" i="5"/>
  <c r="R70" i="5"/>
  <c r="G70" i="5"/>
  <c r="T70" i="5" s="1"/>
  <c r="F70" i="5"/>
  <c r="D70" i="5"/>
  <c r="B70" i="5"/>
  <c r="AF69" i="5"/>
  <c r="AG69" i="5" s="1"/>
  <c r="AB69" i="5"/>
  <c r="AA69" i="5"/>
  <c r="S69" i="5"/>
  <c r="R69" i="5"/>
  <c r="G69" i="5"/>
  <c r="T69" i="5" s="1"/>
  <c r="F69" i="5"/>
  <c r="D69" i="5"/>
  <c r="B69" i="5"/>
  <c r="AF68" i="5"/>
  <c r="AG68" i="5" s="1"/>
  <c r="AB68" i="5"/>
  <c r="AA68" i="5"/>
  <c r="S68" i="5"/>
  <c r="R68" i="5"/>
  <c r="G68" i="5"/>
  <c r="T68" i="5" s="1"/>
  <c r="F68" i="5"/>
  <c r="D68" i="5"/>
  <c r="B68" i="5"/>
  <c r="AF67" i="5"/>
  <c r="AG67" i="5" s="1"/>
  <c r="AB67" i="5"/>
  <c r="AA67" i="5"/>
  <c r="S67" i="5"/>
  <c r="R67" i="5"/>
  <c r="G67" i="5"/>
  <c r="T67" i="5" s="1"/>
  <c r="F67" i="5"/>
  <c r="D67" i="5"/>
  <c r="B67" i="5"/>
  <c r="AF66" i="5"/>
  <c r="AG66" i="5" s="1"/>
  <c r="AB66" i="5"/>
  <c r="AA66" i="5"/>
  <c r="S66" i="5"/>
  <c r="R66" i="5"/>
  <c r="F66" i="5"/>
  <c r="D66" i="5"/>
  <c r="B66" i="5"/>
  <c r="AF65" i="5"/>
  <c r="AG65" i="5" s="1"/>
  <c r="AB65" i="5"/>
  <c r="AA65" i="5"/>
  <c r="S65" i="5"/>
  <c r="R65" i="5"/>
  <c r="F65" i="5"/>
  <c r="D65" i="5"/>
  <c r="B65" i="5"/>
  <c r="AF64" i="5"/>
  <c r="AG64" i="5" s="1"/>
  <c r="AB64" i="5"/>
  <c r="AA64" i="5"/>
  <c r="S64" i="5"/>
  <c r="R64" i="5"/>
  <c r="G64" i="5"/>
  <c r="T64" i="5" s="1"/>
  <c r="F64" i="5"/>
  <c r="D64" i="5"/>
  <c r="B64" i="5"/>
  <c r="AF63" i="5"/>
  <c r="AG63" i="5" s="1"/>
  <c r="AB63" i="5"/>
  <c r="AA63" i="5"/>
  <c r="S63" i="5"/>
  <c r="R63" i="5"/>
  <c r="F63" i="5"/>
  <c r="D63" i="5"/>
  <c r="B63" i="5"/>
  <c r="AF62" i="5"/>
  <c r="AG62" i="5" s="1"/>
  <c r="AB62" i="5"/>
  <c r="AA62" i="5"/>
  <c r="S62" i="5"/>
  <c r="R62" i="5"/>
  <c r="G62" i="5"/>
  <c r="T62" i="5" s="1"/>
  <c r="F62" i="5"/>
  <c r="D62" i="5"/>
  <c r="B62" i="5"/>
  <c r="AF61" i="5"/>
  <c r="AG61" i="5" s="1"/>
  <c r="AB61" i="5"/>
  <c r="AA61" i="5"/>
  <c r="S61" i="5"/>
  <c r="R61" i="5"/>
  <c r="F61" i="5"/>
  <c r="D61" i="5"/>
  <c r="B61" i="5"/>
  <c r="AF60" i="5"/>
  <c r="AG60" i="5" s="1"/>
  <c r="AB60" i="5"/>
  <c r="AA60" i="5"/>
  <c r="S60" i="5"/>
  <c r="R60" i="5"/>
  <c r="G60" i="5"/>
  <c r="T60" i="5" s="1"/>
  <c r="F60" i="5"/>
  <c r="D60" i="5"/>
  <c r="B60" i="5"/>
  <c r="AF59" i="5"/>
  <c r="AG59" i="5" s="1"/>
  <c r="AB59" i="5"/>
  <c r="AA59" i="5"/>
  <c r="S59" i="5"/>
  <c r="R59" i="5"/>
  <c r="G59" i="5"/>
  <c r="T59" i="5" s="1"/>
  <c r="F59" i="5"/>
  <c r="D59" i="5"/>
  <c r="B59" i="5"/>
  <c r="AF58" i="5"/>
  <c r="AG58" i="5" s="1"/>
  <c r="AB58" i="5"/>
  <c r="AA58" i="5"/>
  <c r="S58" i="5"/>
  <c r="R58" i="5"/>
  <c r="F58" i="5"/>
  <c r="D58" i="5"/>
  <c r="B58" i="5"/>
  <c r="AF57" i="5"/>
  <c r="AG57" i="5" s="1"/>
  <c r="AB57" i="5"/>
  <c r="AA57" i="5"/>
  <c r="S57" i="5"/>
  <c r="R57" i="5"/>
  <c r="G57" i="5"/>
  <c r="T57" i="5" s="1"/>
  <c r="F57" i="5"/>
  <c r="D57" i="5"/>
  <c r="B57" i="5"/>
  <c r="AF56" i="5"/>
  <c r="AG56" i="5" s="1"/>
  <c r="AB56" i="5"/>
  <c r="AA56" i="5"/>
  <c r="S56" i="5"/>
  <c r="R56" i="5"/>
  <c r="F56" i="5"/>
  <c r="D56" i="5"/>
  <c r="B56" i="5"/>
  <c r="AF55" i="5"/>
  <c r="AG55" i="5" s="1"/>
  <c r="AB55" i="5"/>
  <c r="AA55" i="5"/>
  <c r="S55" i="5"/>
  <c r="R55" i="5"/>
  <c r="G55" i="5"/>
  <c r="T55" i="5" s="1"/>
  <c r="F55" i="5"/>
  <c r="D55" i="5"/>
  <c r="B55" i="5"/>
  <c r="AF54" i="5"/>
  <c r="AG54" i="5" s="1"/>
  <c r="AB54" i="5"/>
  <c r="AA54" i="5"/>
  <c r="S54" i="5"/>
  <c r="R54" i="5"/>
  <c r="F54" i="5"/>
  <c r="D54" i="5"/>
  <c r="B54" i="5"/>
  <c r="AF53" i="5"/>
  <c r="AG53" i="5" s="1"/>
  <c r="AB53" i="5"/>
  <c r="AA53" i="5"/>
  <c r="S53" i="5"/>
  <c r="R53" i="5"/>
  <c r="G53" i="5"/>
  <c r="T53" i="5" s="1"/>
  <c r="F53" i="5"/>
  <c r="D53" i="5"/>
  <c r="B53" i="5"/>
  <c r="AF52" i="5"/>
  <c r="AG52" i="5" s="1"/>
  <c r="AB52" i="5"/>
  <c r="AA52" i="5"/>
  <c r="S52" i="5"/>
  <c r="R52" i="5"/>
  <c r="F52" i="5"/>
  <c r="D52" i="5"/>
  <c r="B52" i="5"/>
  <c r="AF51" i="5"/>
  <c r="AG51" i="5" s="1"/>
  <c r="AB51" i="5"/>
  <c r="AA51" i="5"/>
  <c r="S51" i="5"/>
  <c r="R51" i="5"/>
  <c r="G51" i="5"/>
  <c r="T51" i="5" s="1"/>
  <c r="F51" i="5"/>
  <c r="D51" i="5"/>
  <c r="B51" i="5"/>
  <c r="AF50" i="5"/>
  <c r="AG50" i="5" s="1"/>
  <c r="AB50" i="5"/>
  <c r="AA50" i="5"/>
  <c r="S50" i="5"/>
  <c r="R50" i="5"/>
  <c r="F50" i="5"/>
  <c r="D50" i="5"/>
  <c r="B50" i="5"/>
  <c r="AF49" i="5"/>
  <c r="AG49" i="5" s="1"/>
  <c r="AB49" i="5"/>
  <c r="AA49" i="5"/>
  <c r="S49" i="5"/>
  <c r="R49" i="5"/>
  <c r="G49" i="5"/>
  <c r="T49" i="5" s="1"/>
  <c r="F49" i="5"/>
  <c r="D49" i="5"/>
  <c r="B49" i="5"/>
  <c r="AF48" i="5"/>
  <c r="AG48" i="5" s="1"/>
  <c r="AB48" i="5"/>
  <c r="AA48" i="5"/>
  <c r="S48" i="5"/>
  <c r="R48" i="5"/>
  <c r="G48" i="5"/>
  <c r="T48" i="5" s="1"/>
  <c r="F48" i="5"/>
  <c r="D48" i="5"/>
  <c r="B48" i="5"/>
  <c r="AF47" i="5"/>
  <c r="AG47" i="5" s="1"/>
  <c r="AB47" i="5"/>
  <c r="AA47" i="5"/>
  <c r="S47" i="5"/>
  <c r="R47" i="5"/>
  <c r="G47" i="5"/>
  <c r="T47" i="5" s="1"/>
  <c r="F47" i="5"/>
  <c r="D47" i="5"/>
  <c r="B47" i="5"/>
  <c r="AF46" i="5"/>
  <c r="AG46" i="5" s="1"/>
  <c r="AB46" i="5"/>
  <c r="AA46" i="5"/>
  <c r="S46" i="5"/>
  <c r="R46" i="5"/>
  <c r="G46" i="5"/>
  <c r="T46" i="5" s="1"/>
  <c r="F46" i="5"/>
  <c r="D46" i="5"/>
  <c r="B46" i="5"/>
  <c r="AF45" i="5"/>
  <c r="AG45" i="5" s="1"/>
  <c r="AB45" i="5"/>
  <c r="AA45" i="5"/>
  <c r="S45" i="5"/>
  <c r="R45" i="5"/>
  <c r="G45" i="5"/>
  <c r="T45" i="5" s="1"/>
  <c r="F45" i="5"/>
  <c r="D45" i="5"/>
  <c r="B45" i="5"/>
  <c r="AF44" i="5"/>
  <c r="AG44" i="5" s="1"/>
  <c r="AB44" i="5"/>
  <c r="AA44" i="5"/>
  <c r="S44" i="5"/>
  <c r="R44" i="5"/>
  <c r="G44" i="5"/>
  <c r="T44" i="5" s="1"/>
  <c r="F44" i="5"/>
  <c r="D44" i="5"/>
  <c r="B44" i="5"/>
  <c r="AF43" i="5"/>
  <c r="AG43" i="5" s="1"/>
  <c r="AB43" i="5"/>
  <c r="AA43" i="5"/>
  <c r="S43" i="5"/>
  <c r="R43" i="5"/>
  <c r="G43" i="5"/>
  <c r="T43" i="5" s="1"/>
  <c r="F43" i="5"/>
  <c r="D43" i="5"/>
  <c r="B43" i="5"/>
  <c r="AF42" i="5"/>
  <c r="AG42" i="5" s="1"/>
  <c r="AB42" i="5"/>
  <c r="AA42" i="5"/>
  <c r="S42" i="5"/>
  <c r="R42" i="5"/>
  <c r="G42" i="5"/>
  <c r="T42" i="5" s="1"/>
  <c r="F42" i="5"/>
  <c r="D42" i="5"/>
  <c r="B42" i="5"/>
  <c r="AF41" i="5"/>
  <c r="AG41" i="5" s="1"/>
  <c r="AB41" i="5"/>
  <c r="AA41" i="5"/>
  <c r="S41" i="5"/>
  <c r="R41" i="5"/>
  <c r="G41" i="5"/>
  <c r="T41" i="5" s="1"/>
  <c r="F41" i="5"/>
  <c r="D41" i="5"/>
  <c r="B41" i="5"/>
  <c r="AF40" i="5"/>
  <c r="AG40" i="5" s="1"/>
  <c r="AB40" i="5"/>
  <c r="AA40" i="5"/>
  <c r="S40" i="5"/>
  <c r="R40" i="5"/>
  <c r="G40" i="5"/>
  <c r="T40" i="5" s="1"/>
  <c r="F40" i="5"/>
  <c r="D40" i="5"/>
  <c r="B40" i="5"/>
  <c r="AF39" i="5"/>
  <c r="AG39" i="5" s="1"/>
  <c r="AB39" i="5"/>
  <c r="AA39" i="5"/>
  <c r="S39" i="5"/>
  <c r="R39" i="5"/>
  <c r="G39" i="5"/>
  <c r="T39" i="5" s="1"/>
  <c r="F39" i="5"/>
  <c r="D39" i="5"/>
  <c r="B39" i="5"/>
  <c r="AF38" i="5"/>
  <c r="AG38" i="5" s="1"/>
  <c r="AB38" i="5"/>
  <c r="AA38" i="5"/>
  <c r="S38" i="5"/>
  <c r="R38" i="5"/>
  <c r="G38" i="5"/>
  <c r="T38" i="5" s="1"/>
  <c r="F38" i="5"/>
  <c r="D38" i="5"/>
  <c r="B38" i="5"/>
  <c r="AF37" i="5"/>
  <c r="AG37" i="5" s="1"/>
  <c r="AB37" i="5"/>
  <c r="AA37" i="5"/>
  <c r="S37" i="5"/>
  <c r="R37" i="5"/>
  <c r="G37" i="5"/>
  <c r="T37" i="5" s="1"/>
  <c r="F37" i="5"/>
  <c r="D37" i="5"/>
  <c r="B37" i="5"/>
  <c r="AF36" i="5"/>
  <c r="AG36" i="5" s="1"/>
  <c r="AB36" i="5"/>
  <c r="AA36" i="5"/>
  <c r="S36" i="5"/>
  <c r="R36" i="5"/>
  <c r="G36" i="5"/>
  <c r="T36" i="5" s="1"/>
  <c r="F36" i="5"/>
  <c r="D36" i="5"/>
  <c r="B36" i="5"/>
  <c r="AF35" i="5"/>
  <c r="AG35" i="5" s="1"/>
  <c r="AB35" i="5"/>
  <c r="AA35" i="5"/>
  <c r="S35" i="5"/>
  <c r="R35" i="5"/>
  <c r="G35" i="5"/>
  <c r="T35" i="5" s="1"/>
  <c r="F35" i="5"/>
  <c r="D35" i="5"/>
  <c r="B35" i="5"/>
  <c r="AF34" i="5"/>
  <c r="AG34" i="5" s="1"/>
  <c r="AB34" i="5"/>
  <c r="AA34" i="5"/>
  <c r="S34" i="5"/>
  <c r="R34" i="5"/>
  <c r="G34" i="5"/>
  <c r="T34" i="5" s="1"/>
  <c r="F34" i="5"/>
  <c r="D34" i="5"/>
  <c r="B34" i="5"/>
  <c r="AF33" i="5"/>
  <c r="AG33" i="5" s="1"/>
  <c r="AB33" i="5"/>
  <c r="AA33" i="5"/>
  <c r="S33" i="5"/>
  <c r="R33" i="5"/>
  <c r="G33" i="5"/>
  <c r="T33" i="5" s="1"/>
  <c r="F33" i="5"/>
  <c r="D33" i="5"/>
  <c r="B33" i="5"/>
  <c r="AF32" i="5"/>
  <c r="AG32" i="5" s="1"/>
  <c r="AB32" i="5"/>
  <c r="AA32" i="5"/>
  <c r="S32" i="5"/>
  <c r="F23" i="12" s="1"/>
  <c r="R32" i="5"/>
  <c r="G32" i="5"/>
  <c r="T32" i="5" s="1"/>
  <c r="F32" i="5"/>
  <c r="D32" i="5"/>
  <c r="B32" i="5"/>
  <c r="AF31" i="5"/>
  <c r="AG31" i="5" s="1"/>
  <c r="AB31" i="5"/>
  <c r="AA31" i="5"/>
  <c r="S31" i="5"/>
  <c r="R31" i="5"/>
  <c r="G31" i="5"/>
  <c r="T31" i="5" s="1"/>
  <c r="F31" i="5"/>
  <c r="D31" i="5"/>
  <c r="B31" i="5"/>
  <c r="AF30" i="5"/>
  <c r="AG30" i="5" s="1"/>
  <c r="AB30" i="5"/>
  <c r="AA30" i="5"/>
  <c r="S30" i="5"/>
  <c r="R30" i="5"/>
  <c r="G30" i="5"/>
  <c r="T30" i="5" s="1"/>
  <c r="F30" i="5"/>
  <c r="D30" i="5"/>
  <c r="B30" i="5"/>
  <c r="AF29" i="5"/>
  <c r="AG29" i="5" s="1"/>
  <c r="AB29" i="5"/>
  <c r="AA29" i="5"/>
  <c r="S29" i="5"/>
  <c r="R29" i="5"/>
  <c r="G29" i="5"/>
  <c r="T29" i="5" s="1"/>
  <c r="F29" i="5"/>
  <c r="D29" i="5"/>
  <c r="B29" i="5"/>
  <c r="AF28" i="5"/>
  <c r="AG28" i="5" s="1"/>
  <c r="AB28" i="5"/>
  <c r="AA28" i="5"/>
  <c r="S28" i="5"/>
  <c r="R28" i="5"/>
  <c r="G28" i="5"/>
  <c r="T28" i="5" s="1"/>
  <c r="F28" i="5"/>
  <c r="D28" i="5"/>
  <c r="B28" i="5"/>
  <c r="AF27" i="5"/>
  <c r="AG27" i="5" s="1"/>
  <c r="AB27" i="5"/>
  <c r="AA27" i="5"/>
  <c r="S27" i="5"/>
  <c r="R27" i="5"/>
  <c r="F27" i="5"/>
  <c r="D27" i="5"/>
  <c r="B27" i="5"/>
  <c r="AF26" i="5"/>
  <c r="AG26" i="5" s="1"/>
  <c r="AB26" i="5"/>
  <c r="AA26" i="5"/>
  <c r="S26" i="5"/>
  <c r="R26" i="5"/>
  <c r="F26" i="5"/>
  <c r="D26" i="5"/>
  <c r="B26" i="5"/>
  <c r="AF25" i="5"/>
  <c r="AG25" i="5" s="1"/>
  <c r="AB25" i="5"/>
  <c r="AA25" i="5"/>
  <c r="S25" i="5"/>
  <c r="R25" i="5"/>
  <c r="G25" i="5"/>
  <c r="T25" i="5" s="1"/>
  <c r="F25" i="5"/>
  <c r="D25" i="5"/>
  <c r="B25" i="5"/>
  <c r="AF24" i="5"/>
  <c r="AG24" i="5" s="1"/>
  <c r="AB24" i="5"/>
  <c r="AA24" i="5"/>
  <c r="S24" i="5"/>
  <c r="R24" i="5"/>
  <c r="F24" i="5"/>
  <c r="D24" i="5"/>
  <c r="B24" i="5"/>
  <c r="AF23" i="5"/>
  <c r="AG23" i="5" s="1"/>
  <c r="AB23" i="5"/>
  <c r="AA23" i="5"/>
  <c r="S23" i="5"/>
  <c r="R23" i="5"/>
  <c r="F23" i="5"/>
  <c r="D23" i="5"/>
  <c r="B23" i="5"/>
  <c r="AF22" i="5"/>
  <c r="AG22" i="5" s="1"/>
  <c r="AB22" i="5"/>
  <c r="AA22" i="5"/>
  <c r="S22" i="5"/>
  <c r="R22" i="5"/>
  <c r="F22" i="5"/>
  <c r="D22" i="5"/>
  <c r="B22" i="5"/>
  <c r="AF21" i="5"/>
  <c r="AG21" i="5" s="1"/>
  <c r="AB21" i="5"/>
  <c r="AA21" i="5"/>
  <c r="S21" i="5"/>
  <c r="R21" i="5"/>
  <c r="G21" i="5"/>
  <c r="T21" i="5" s="1"/>
  <c r="F21" i="5"/>
  <c r="D21" i="5"/>
  <c r="B21" i="5"/>
  <c r="AF20" i="5"/>
  <c r="AG20" i="5" s="1"/>
  <c r="AB20" i="5"/>
  <c r="AA20" i="5"/>
  <c r="S20" i="5"/>
  <c r="R20" i="5"/>
  <c r="F20" i="5"/>
  <c r="D20" i="5"/>
  <c r="B20" i="5"/>
  <c r="AF19" i="5"/>
  <c r="AG19" i="5" s="1"/>
  <c r="AB19" i="5"/>
  <c r="AA19" i="5"/>
  <c r="S19" i="5"/>
  <c r="R19" i="5"/>
  <c r="F19" i="5"/>
  <c r="D19" i="5"/>
  <c r="B19" i="5"/>
  <c r="AF18" i="5"/>
  <c r="AG18" i="5" s="1"/>
  <c r="AB18" i="5"/>
  <c r="AA18" i="5"/>
  <c r="S18" i="5"/>
  <c r="R18" i="5"/>
  <c r="F18" i="5"/>
  <c r="D18" i="5"/>
  <c r="B18" i="5"/>
  <c r="AF17" i="5"/>
  <c r="AG17" i="5" s="1"/>
  <c r="AB17" i="5"/>
  <c r="AA17" i="5"/>
  <c r="S17" i="5"/>
  <c r="R17" i="5"/>
  <c r="F17" i="5"/>
  <c r="D17" i="5"/>
  <c r="B17" i="5"/>
  <c r="AF16" i="5"/>
  <c r="AG16" i="5" s="1"/>
  <c r="AB16" i="5"/>
  <c r="AA16" i="5"/>
  <c r="S16" i="5"/>
  <c r="R16" i="5"/>
  <c r="G16" i="5"/>
  <c r="T16" i="5" s="1"/>
  <c r="F16" i="5"/>
  <c r="D16" i="5"/>
  <c r="B16" i="5"/>
  <c r="AF15" i="5"/>
  <c r="AG15" i="5" s="1"/>
  <c r="AB15" i="5"/>
  <c r="AA15" i="5"/>
  <c r="S15" i="5"/>
  <c r="R15" i="5"/>
  <c r="G15" i="5"/>
  <c r="T15" i="5" s="1"/>
  <c r="F15" i="5"/>
  <c r="D15" i="5"/>
  <c r="B15" i="5"/>
  <c r="AF14" i="5"/>
  <c r="AG14" i="5" s="1"/>
  <c r="AB14" i="5"/>
  <c r="AA14" i="5"/>
  <c r="S14" i="5"/>
  <c r="R14" i="5"/>
  <c r="F14" i="5"/>
  <c r="D14" i="5"/>
  <c r="B14" i="5"/>
  <c r="AF13" i="5"/>
  <c r="AG13" i="5" s="1"/>
  <c r="AB13" i="5"/>
  <c r="AA13" i="5"/>
  <c r="S13" i="5"/>
  <c r="R13" i="5"/>
  <c r="G13" i="5"/>
  <c r="T13" i="5" s="1"/>
  <c r="F13" i="5"/>
  <c r="D13" i="5"/>
  <c r="B13" i="5"/>
  <c r="AF12" i="5"/>
  <c r="AG12" i="5" s="1"/>
  <c r="AB12" i="5"/>
  <c r="AA12" i="5"/>
  <c r="S12" i="5"/>
  <c r="R12" i="5"/>
  <c r="G12" i="5"/>
  <c r="T12" i="5" s="1"/>
  <c r="F12" i="5"/>
  <c r="D12" i="5"/>
  <c r="B12" i="5"/>
  <c r="AF11" i="5"/>
  <c r="AG11" i="5" s="1"/>
  <c r="AB11" i="5"/>
  <c r="AA11" i="5"/>
  <c r="S11" i="5"/>
  <c r="R11" i="5"/>
  <c r="G11" i="5"/>
  <c r="T11" i="5" s="1"/>
  <c r="F11" i="5"/>
  <c r="D11" i="5"/>
  <c r="B11" i="5"/>
  <c r="AF10" i="5"/>
  <c r="AG10" i="5" s="1"/>
  <c r="AB10" i="5"/>
  <c r="AA10" i="5"/>
  <c r="S10" i="5"/>
  <c r="R10" i="5"/>
  <c r="F10" i="5"/>
  <c r="D10" i="5"/>
  <c r="B10" i="5"/>
  <c r="AF9" i="5"/>
  <c r="AG9" i="5" s="1"/>
  <c r="AB9" i="5"/>
  <c r="AA9" i="5"/>
  <c r="S9" i="5"/>
  <c r="R9" i="5"/>
  <c r="G9" i="5"/>
  <c r="T9" i="5" s="1"/>
  <c r="F9" i="5"/>
  <c r="D9" i="5"/>
  <c r="B9" i="5"/>
  <c r="AF8" i="5"/>
  <c r="AG8" i="5" s="1"/>
  <c r="AB8" i="5"/>
  <c r="AA8" i="5"/>
  <c r="S8" i="5"/>
  <c r="R8" i="5"/>
  <c r="G8" i="5"/>
  <c r="T8" i="5" s="1"/>
  <c r="F8" i="5"/>
  <c r="D8" i="5"/>
  <c r="B8" i="5"/>
  <c r="AF7" i="5"/>
  <c r="AG7" i="5" s="1"/>
  <c r="AB7" i="5"/>
  <c r="AA7" i="5"/>
  <c r="S7" i="5"/>
  <c r="R7" i="5"/>
  <c r="G7" i="5"/>
  <c r="T7" i="5" s="1"/>
  <c r="F7" i="5"/>
  <c r="D7" i="5"/>
  <c r="B7" i="5"/>
  <c r="AB6" i="5"/>
  <c r="AA6" i="5"/>
  <c r="S6" i="5"/>
  <c r="R6" i="5"/>
  <c r="G6" i="5"/>
  <c r="T6" i="5" s="1"/>
  <c r="F6" i="5"/>
  <c r="D6" i="5"/>
  <c r="B6" i="5"/>
  <c r="AB5" i="5"/>
  <c r="AA5" i="5"/>
  <c r="S5" i="5"/>
  <c r="R5" i="5"/>
  <c r="G5" i="5"/>
  <c r="T5" i="5" s="1"/>
  <c r="F5" i="5"/>
  <c r="D5" i="5"/>
  <c r="B5" i="5"/>
  <c r="S4" i="5"/>
  <c r="R4" i="5"/>
  <c r="G4" i="5"/>
  <c r="T4" i="5" s="1"/>
  <c r="F4" i="5"/>
  <c r="D4" i="5"/>
  <c r="B4" i="5"/>
  <c r="S3" i="5"/>
  <c r="R3" i="5"/>
  <c r="G3" i="5"/>
  <c r="T3" i="5" s="1"/>
  <c r="F3" i="5"/>
  <c r="D3" i="5"/>
  <c r="B3" i="5"/>
  <c r="B501" i="2"/>
  <c r="A501" i="2"/>
  <c r="B500" i="2"/>
  <c r="A500" i="2"/>
  <c r="B499" i="2"/>
  <c r="A499" i="2"/>
  <c r="B498" i="2"/>
  <c r="A498" i="2"/>
  <c r="B497" i="2"/>
  <c r="A497" i="2"/>
  <c r="B496" i="2"/>
  <c r="A496" i="2"/>
  <c r="B495" i="2"/>
  <c r="A495" i="2"/>
  <c r="B494" i="2"/>
  <c r="A494" i="2"/>
  <c r="B493" i="2"/>
  <c r="A493" i="2"/>
  <c r="B492" i="2"/>
  <c r="A492" i="2"/>
  <c r="B491" i="2"/>
  <c r="A491" i="2"/>
  <c r="B490" i="2"/>
  <c r="A490" i="2"/>
  <c r="B489" i="2"/>
  <c r="A489" i="2"/>
  <c r="B488" i="2"/>
  <c r="A488" i="2"/>
  <c r="B487" i="2"/>
  <c r="A487" i="2"/>
  <c r="B486" i="2"/>
  <c r="A486" i="2"/>
  <c r="B485" i="2"/>
  <c r="A485" i="2"/>
  <c r="B484" i="2"/>
  <c r="A484" i="2"/>
  <c r="B483" i="2"/>
  <c r="A483" i="2"/>
  <c r="B482" i="2"/>
  <c r="A482" i="2"/>
  <c r="B481" i="2"/>
  <c r="A481" i="2"/>
  <c r="B480" i="2"/>
  <c r="A480" i="2"/>
  <c r="B479" i="2"/>
  <c r="A479" i="2"/>
  <c r="B478" i="2"/>
  <c r="A478" i="2"/>
  <c r="B477" i="2"/>
  <c r="A477" i="2"/>
  <c r="B476" i="2"/>
  <c r="A476" i="2"/>
  <c r="B475" i="2"/>
  <c r="A475" i="2"/>
  <c r="B474" i="2"/>
  <c r="A474" i="2"/>
  <c r="B473" i="2"/>
  <c r="A473" i="2"/>
  <c r="B472" i="2"/>
  <c r="A472" i="2"/>
  <c r="B471" i="2"/>
  <c r="A471" i="2"/>
  <c r="B470" i="2"/>
  <c r="A470" i="2"/>
  <c r="B469" i="2"/>
  <c r="A469" i="2"/>
  <c r="B468" i="2"/>
  <c r="A468" i="2"/>
  <c r="B467" i="2"/>
  <c r="A467" i="2"/>
  <c r="B466" i="2"/>
  <c r="A466" i="2"/>
  <c r="B465" i="2"/>
  <c r="A465" i="2"/>
  <c r="B464" i="2"/>
  <c r="A464" i="2"/>
  <c r="B463" i="2"/>
  <c r="A463" i="2"/>
  <c r="B462" i="2"/>
  <c r="A462" i="2"/>
  <c r="B461" i="2"/>
  <c r="A461" i="2"/>
  <c r="B460" i="2"/>
  <c r="A460" i="2"/>
  <c r="B459" i="2"/>
  <c r="A459" i="2"/>
  <c r="B458" i="2"/>
  <c r="A458" i="2"/>
  <c r="B457" i="2"/>
  <c r="A457" i="2"/>
  <c r="B456" i="2"/>
  <c r="A456" i="2"/>
  <c r="B455" i="2"/>
  <c r="A455" i="2"/>
  <c r="B454" i="2"/>
  <c r="A454" i="2"/>
  <c r="B453" i="2"/>
  <c r="A453" i="2"/>
  <c r="B452" i="2"/>
  <c r="A452" i="2"/>
  <c r="B451" i="2"/>
  <c r="A451" i="2"/>
  <c r="B450" i="2"/>
  <c r="A450" i="2"/>
  <c r="B449" i="2"/>
  <c r="A449" i="2"/>
  <c r="B448" i="2"/>
  <c r="A448" i="2"/>
  <c r="B447" i="2"/>
  <c r="A447" i="2"/>
  <c r="B446" i="2"/>
  <c r="A446" i="2"/>
  <c r="B445" i="2"/>
  <c r="A445" i="2"/>
  <c r="B444" i="2"/>
  <c r="A444" i="2"/>
  <c r="B443" i="2"/>
  <c r="A443" i="2"/>
  <c r="B442" i="2"/>
  <c r="A442" i="2"/>
  <c r="B441" i="2"/>
  <c r="A441" i="2"/>
  <c r="B440" i="2"/>
  <c r="A440" i="2"/>
  <c r="B439" i="2"/>
  <c r="A439" i="2"/>
  <c r="B438" i="2"/>
  <c r="A438" i="2"/>
  <c r="B437" i="2"/>
  <c r="A437" i="2"/>
  <c r="B436" i="2"/>
  <c r="A436" i="2"/>
  <c r="B435" i="2"/>
  <c r="A435" i="2"/>
  <c r="B434" i="2"/>
  <c r="A434" i="2"/>
  <c r="B433" i="2"/>
  <c r="A433" i="2"/>
  <c r="B432" i="2"/>
  <c r="A432" i="2"/>
  <c r="B431" i="2"/>
  <c r="A431" i="2"/>
  <c r="B430" i="2"/>
  <c r="A430" i="2"/>
  <c r="B429" i="2"/>
  <c r="A429" i="2"/>
  <c r="B428" i="2"/>
  <c r="A428" i="2"/>
  <c r="B427" i="2"/>
  <c r="A427" i="2"/>
  <c r="B426" i="2"/>
  <c r="A426" i="2"/>
  <c r="B425" i="2"/>
  <c r="A425" i="2"/>
  <c r="B424" i="2"/>
  <c r="A424" i="2"/>
  <c r="B423" i="2"/>
  <c r="A423" i="2"/>
  <c r="B422" i="2"/>
  <c r="A422" i="2"/>
  <c r="B421" i="2"/>
  <c r="A421" i="2"/>
  <c r="B420" i="2"/>
  <c r="A420" i="2"/>
  <c r="B419" i="2"/>
  <c r="A419" i="2"/>
  <c r="B418" i="2"/>
  <c r="A418" i="2"/>
  <c r="B417" i="2"/>
  <c r="A417" i="2"/>
  <c r="B416" i="2"/>
  <c r="A416" i="2"/>
  <c r="B415" i="2"/>
  <c r="A415" i="2"/>
  <c r="B414" i="2"/>
  <c r="A414" i="2"/>
  <c r="B413" i="2"/>
  <c r="A413" i="2"/>
  <c r="B412" i="2"/>
  <c r="A412" i="2"/>
  <c r="B411" i="2"/>
  <c r="A411" i="2"/>
  <c r="B410" i="2"/>
  <c r="A410" i="2"/>
  <c r="B409" i="2"/>
  <c r="A409" i="2"/>
  <c r="B408" i="2"/>
  <c r="A408" i="2"/>
  <c r="B407" i="2"/>
  <c r="A407" i="2"/>
  <c r="B406" i="2"/>
  <c r="A406" i="2"/>
  <c r="B405" i="2"/>
  <c r="A405" i="2"/>
  <c r="B404" i="2"/>
  <c r="A404" i="2"/>
  <c r="B403" i="2"/>
  <c r="A403" i="2"/>
  <c r="B402" i="2"/>
  <c r="A402" i="2"/>
  <c r="B401" i="2"/>
  <c r="A401" i="2"/>
  <c r="B400" i="2"/>
  <c r="A400" i="2"/>
  <c r="B399" i="2"/>
  <c r="A399" i="2"/>
  <c r="B398" i="2"/>
  <c r="A398" i="2"/>
  <c r="B397" i="2"/>
  <c r="A397" i="2"/>
  <c r="B396" i="2"/>
  <c r="A396" i="2"/>
  <c r="B395" i="2"/>
  <c r="A395" i="2"/>
  <c r="B394" i="2"/>
  <c r="A394" i="2"/>
  <c r="B393" i="2"/>
  <c r="A393" i="2"/>
  <c r="B392" i="2"/>
  <c r="A392" i="2"/>
  <c r="B391" i="2"/>
  <c r="A391" i="2"/>
  <c r="B390" i="2"/>
  <c r="A390" i="2"/>
  <c r="B389" i="2"/>
  <c r="A389" i="2"/>
  <c r="B388" i="2"/>
  <c r="A388" i="2"/>
  <c r="B387" i="2"/>
  <c r="A387" i="2"/>
  <c r="B386" i="2"/>
  <c r="A386" i="2"/>
  <c r="B385" i="2"/>
  <c r="A385" i="2"/>
  <c r="B384" i="2"/>
  <c r="A384" i="2"/>
  <c r="B383" i="2"/>
  <c r="A383" i="2"/>
  <c r="B382" i="2"/>
  <c r="A382" i="2"/>
  <c r="B381" i="2"/>
  <c r="A381" i="2"/>
  <c r="B380" i="2"/>
  <c r="A380" i="2"/>
  <c r="B379" i="2"/>
  <c r="A379" i="2"/>
  <c r="B378" i="2"/>
  <c r="A378" i="2"/>
  <c r="B377" i="2"/>
  <c r="A377" i="2"/>
  <c r="B376" i="2"/>
  <c r="A376" i="2"/>
  <c r="B375" i="2"/>
  <c r="A375" i="2"/>
  <c r="B374" i="2"/>
  <c r="A374" i="2"/>
  <c r="B373" i="2"/>
  <c r="A373" i="2"/>
  <c r="B372" i="2"/>
  <c r="A372" i="2"/>
  <c r="B371" i="2"/>
  <c r="A371" i="2"/>
  <c r="B370" i="2"/>
  <c r="A370" i="2"/>
  <c r="B369" i="2"/>
  <c r="A369" i="2"/>
  <c r="B368" i="2"/>
  <c r="A368" i="2"/>
  <c r="B367" i="2"/>
  <c r="A367" i="2"/>
  <c r="B366" i="2"/>
  <c r="A366" i="2"/>
  <c r="B365" i="2"/>
  <c r="A365" i="2"/>
  <c r="B364" i="2"/>
  <c r="A364" i="2"/>
  <c r="B363" i="2"/>
  <c r="A363" i="2"/>
  <c r="B362" i="2"/>
  <c r="A362" i="2"/>
  <c r="B361" i="2"/>
  <c r="A361" i="2"/>
  <c r="B360" i="2"/>
  <c r="A360" i="2"/>
  <c r="B359" i="2"/>
  <c r="A359" i="2"/>
  <c r="B358" i="2"/>
  <c r="A358" i="2"/>
  <c r="B357" i="2"/>
  <c r="A357" i="2"/>
  <c r="B356" i="2"/>
  <c r="A356" i="2"/>
  <c r="B355" i="2"/>
  <c r="A355" i="2"/>
  <c r="B354" i="2"/>
  <c r="A354" i="2"/>
  <c r="B353" i="2"/>
  <c r="A353" i="2"/>
  <c r="B352" i="2"/>
  <c r="A352" i="2"/>
  <c r="B351" i="2"/>
  <c r="A351" i="2"/>
  <c r="B350" i="2"/>
  <c r="A350" i="2"/>
  <c r="B349" i="2"/>
  <c r="A349" i="2"/>
  <c r="B348" i="2"/>
  <c r="A348" i="2"/>
  <c r="B347" i="2"/>
  <c r="A347" i="2"/>
  <c r="B346" i="2"/>
  <c r="A346" i="2"/>
  <c r="B345" i="2"/>
  <c r="A345" i="2"/>
  <c r="B344" i="2"/>
  <c r="A344" i="2"/>
  <c r="B343" i="2"/>
  <c r="A343" i="2"/>
  <c r="B342" i="2"/>
  <c r="A342" i="2"/>
  <c r="B341" i="2"/>
  <c r="A341" i="2"/>
  <c r="B340" i="2"/>
  <c r="A340" i="2"/>
  <c r="B339" i="2"/>
  <c r="A339" i="2"/>
  <c r="B338" i="2"/>
  <c r="A338" i="2"/>
  <c r="B337" i="2"/>
  <c r="A337" i="2"/>
  <c r="B336" i="2"/>
  <c r="A336" i="2"/>
  <c r="B335" i="2"/>
  <c r="A335" i="2"/>
  <c r="B334" i="2"/>
  <c r="A334" i="2"/>
  <c r="B333" i="2"/>
  <c r="A333" i="2"/>
  <c r="B332" i="2"/>
  <c r="A332" i="2"/>
  <c r="B331" i="2"/>
  <c r="A331" i="2"/>
  <c r="B330" i="2"/>
  <c r="A330" i="2"/>
  <c r="B329" i="2"/>
  <c r="A329" i="2"/>
  <c r="B328" i="2"/>
  <c r="A328" i="2"/>
  <c r="B327" i="2"/>
  <c r="A327" i="2"/>
  <c r="B326" i="2"/>
  <c r="A326" i="2"/>
  <c r="B325" i="2"/>
  <c r="A325" i="2"/>
  <c r="B324" i="2"/>
  <c r="A324" i="2"/>
  <c r="B323" i="2"/>
  <c r="A323" i="2"/>
  <c r="B322" i="2"/>
  <c r="A322" i="2"/>
  <c r="B321" i="2"/>
  <c r="A321" i="2"/>
  <c r="B320" i="2"/>
  <c r="A320" i="2"/>
  <c r="B319" i="2"/>
  <c r="A319" i="2"/>
  <c r="B318" i="2"/>
  <c r="A318" i="2"/>
  <c r="B317" i="2"/>
  <c r="A317" i="2"/>
  <c r="B316" i="2"/>
  <c r="A316" i="2"/>
  <c r="B315" i="2"/>
  <c r="A315" i="2"/>
  <c r="B314" i="2"/>
  <c r="A314" i="2"/>
  <c r="B313" i="2"/>
  <c r="A313" i="2"/>
  <c r="B312" i="2"/>
  <c r="A312" i="2"/>
  <c r="B311" i="2"/>
  <c r="A311" i="2"/>
  <c r="B310" i="2"/>
  <c r="A310" i="2"/>
  <c r="B309" i="2"/>
  <c r="A309" i="2"/>
  <c r="B308" i="2"/>
  <c r="A308" i="2"/>
  <c r="B307" i="2"/>
  <c r="A307" i="2"/>
  <c r="B306" i="2"/>
  <c r="A306" i="2"/>
  <c r="B305" i="2"/>
  <c r="A305" i="2"/>
  <c r="B304" i="2"/>
  <c r="A304" i="2"/>
  <c r="B303" i="2"/>
  <c r="A303" i="2"/>
  <c r="B302" i="2"/>
  <c r="A302" i="2"/>
  <c r="B301" i="2"/>
  <c r="A301" i="2"/>
  <c r="B300" i="2"/>
  <c r="A300" i="2"/>
  <c r="B299" i="2"/>
  <c r="A299" i="2"/>
  <c r="B298" i="2"/>
  <c r="A298" i="2"/>
  <c r="B297" i="2"/>
  <c r="A297" i="2"/>
  <c r="B296" i="2"/>
  <c r="A296" i="2"/>
  <c r="B295" i="2"/>
  <c r="A295" i="2"/>
  <c r="B294" i="2"/>
  <c r="A294" i="2"/>
  <c r="B293" i="2"/>
  <c r="A293" i="2"/>
  <c r="B292" i="2"/>
  <c r="A292" i="2"/>
  <c r="B291" i="2"/>
  <c r="A291" i="2"/>
  <c r="B290" i="2"/>
  <c r="A290" i="2"/>
  <c r="B289" i="2"/>
  <c r="A289" i="2"/>
  <c r="B288" i="2"/>
  <c r="A288" i="2"/>
  <c r="B287" i="2"/>
  <c r="A287" i="2"/>
  <c r="B286" i="2"/>
  <c r="A286" i="2"/>
  <c r="B285" i="2"/>
  <c r="A285" i="2"/>
  <c r="B284" i="2"/>
  <c r="A284" i="2"/>
  <c r="B283" i="2"/>
  <c r="A283" i="2"/>
  <c r="B282" i="2"/>
  <c r="A282" i="2"/>
  <c r="B281" i="2"/>
  <c r="A281" i="2"/>
  <c r="B280" i="2"/>
  <c r="A280" i="2"/>
  <c r="B279" i="2"/>
  <c r="A279" i="2"/>
  <c r="B278" i="2"/>
  <c r="A278" i="2"/>
  <c r="B277" i="2"/>
  <c r="A277" i="2"/>
  <c r="B276" i="2"/>
  <c r="A276" i="2"/>
  <c r="B275" i="2"/>
  <c r="A275" i="2"/>
  <c r="B274" i="2"/>
  <c r="A274" i="2"/>
  <c r="B273" i="2"/>
  <c r="A273" i="2"/>
  <c r="B272" i="2"/>
  <c r="A272" i="2"/>
  <c r="B271" i="2"/>
  <c r="A271" i="2"/>
  <c r="B270" i="2"/>
  <c r="A270" i="2"/>
  <c r="B269" i="2"/>
  <c r="A269" i="2"/>
  <c r="B268" i="2"/>
  <c r="A268" i="2"/>
  <c r="B267" i="2"/>
  <c r="A267" i="2"/>
  <c r="B266" i="2"/>
  <c r="A266" i="2"/>
  <c r="B265" i="2"/>
  <c r="A265" i="2"/>
  <c r="B264" i="2"/>
  <c r="A264" i="2"/>
  <c r="B263" i="2"/>
  <c r="A263" i="2"/>
  <c r="B262" i="2"/>
  <c r="A262" i="2"/>
  <c r="B261" i="2"/>
  <c r="A261" i="2"/>
  <c r="B260" i="2"/>
  <c r="A260" i="2"/>
  <c r="B259" i="2"/>
  <c r="A259" i="2"/>
  <c r="B258" i="2"/>
  <c r="A258" i="2"/>
  <c r="B257" i="2"/>
  <c r="A257" i="2"/>
  <c r="B256" i="2"/>
  <c r="A256" i="2"/>
  <c r="B255" i="2"/>
  <c r="A255" i="2"/>
  <c r="B254" i="2"/>
  <c r="A254" i="2"/>
  <c r="B253" i="2"/>
  <c r="A253" i="2"/>
  <c r="B252" i="2"/>
  <c r="A252" i="2"/>
  <c r="B251" i="2"/>
  <c r="A251" i="2"/>
  <c r="B250" i="2"/>
  <c r="A250" i="2"/>
  <c r="B249" i="2"/>
  <c r="A249" i="2"/>
  <c r="B248" i="2"/>
  <c r="A248" i="2"/>
  <c r="B247" i="2"/>
  <c r="A247" i="2"/>
  <c r="B246" i="2"/>
  <c r="A246" i="2"/>
  <c r="B245" i="2"/>
  <c r="A245" i="2"/>
  <c r="B244" i="2"/>
  <c r="A244" i="2"/>
  <c r="B243" i="2"/>
  <c r="A243" i="2"/>
  <c r="B242" i="2"/>
  <c r="A242" i="2"/>
  <c r="B241" i="2"/>
  <c r="A241" i="2"/>
  <c r="B240" i="2"/>
  <c r="A240" i="2"/>
  <c r="B239" i="2"/>
  <c r="A239" i="2"/>
  <c r="B238" i="2"/>
  <c r="A238" i="2"/>
  <c r="B237" i="2"/>
  <c r="A237" i="2"/>
  <c r="B236" i="2"/>
  <c r="A236" i="2"/>
  <c r="B235" i="2"/>
  <c r="A235" i="2"/>
  <c r="B234" i="2"/>
  <c r="A234" i="2"/>
  <c r="B233" i="2"/>
  <c r="A233" i="2"/>
  <c r="B232" i="2"/>
  <c r="A232" i="2"/>
  <c r="B231" i="2"/>
  <c r="A231" i="2"/>
  <c r="B230" i="2"/>
  <c r="A230" i="2"/>
  <c r="B229" i="2"/>
  <c r="A229" i="2"/>
  <c r="B228" i="2"/>
  <c r="A228" i="2"/>
  <c r="B227" i="2"/>
  <c r="A227" i="2"/>
  <c r="B226" i="2"/>
  <c r="A226" i="2"/>
  <c r="B225" i="2"/>
  <c r="A225" i="2"/>
  <c r="B224" i="2"/>
  <c r="A224" i="2"/>
  <c r="B223" i="2"/>
  <c r="A223" i="2"/>
  <c r="B222" i="2"/>
  <c r="A222" i="2"/>
  <c r="B221" i="2"/>
  <c r="A221" i="2"/>
  <c r="B220" i="2"/>
  <c r="A220" i="2"/>
  <c r="B219" i="2"/>
  <c r="A219" i="2"/>
  <c r="B218" i="2"/>
  <c r="A218" i="2"/>
  <c r="B217" i="2"/>
  <c r="A217" i="2"/>
  <c r="B216" i="2"/>
  <c r="A216" i="2"/>
  <c r="B215" i="2"/>
  <c r="A215" i="2"/>
  <c r="B214" i="2"/>
  <c r="A214" i="2"/>
  <c r="B213" i="2"/>
  <c r="A213" i="2"/>
  <c r="B212" i="2"/>
  <c r="A212" i="2"/>
  <c r="B211" i="2"/>
  <c r="A211" i="2"/>
  <c r="B210" i="2"/>
  <c r="A210" i="2"/>
  <c r="B209" i="2"/>
  <c r="A209" i="2"/>
  <c r="B208" i="2"/>
  <c r="A208" i="2"/>
  <c r="B207" i="2"/>
  <c r="A207" i="2"/>
  <c r="B206" i="2"/>
  <c r="A206" i="2"/>
  <c r="B205" i="2"/>
  <c r="A205" i="2"/>
  <c r="B204" i="2"/>
  <c r="A204" i="2"/>
  <c r="B203" i="2"/>
  <c r="A203" i="2"/>
  <c r="B202" i="2"/>
  <c r="A202" i="2"/>
  <c r="B201" i="2"/>
  <c r="A201" i="2"/>
  <c r="B200" i="2"/>
  <c r="A200" i="2"/>
  <c r="B199" i="2"/>
  <c r="A199" i="2"/>
  <c r="B198" i="2"/>
  <c r="A198" i="2"/>
  <c r="B197" i="2"/>
  <c r="A197" i="2"/>
  <c r="B196" i="2"/>
  <c r="A196" i="2"/>
  <c r="B195" i="2"/>
  <c r="A195" i="2"/>
  <c r="B194" i="2"/>
  <c r="A194" i="2"/>
  <c r="B193" i="2"/>
  <c r="A193" i="2"/>
  <c r="B192" i="2"/>
  <c r="A192" i="2"/>
  <c r="B191" i="2"/>
  <c r="A191" i="2"/>
  <c r="B190" i="2"/>
  <c r="A190" i="2"/>
  <c r="B189" i="2"/>
  <c r="A189" i="2"/>
  <c r="B188" i="2"/>
  <c r="A188" i="2"/>
  <c r="B187" i="2"/>
  <c r="A187" i="2"/>
  <c r="B186" i="2"/>
  <c r="A186" i="2"/>
  <c r="B185" i="2"/>
  <c r="A185" i="2"/>
  <c r="B184" i="2"/>
  <c r="A184" i="2"/>
  <c r="B183" i="2"/>
  <c r="A183" i="2"/>
  <c r="B182" i="2"/>
  <c r="A182" i="2"/>
  <c r="B181" i="2"/>
  <c r="A181" i="2"/>
  <c r="B180" i="2"/>
  <c r="A180" i="2"/>
  <c r="B179" i="2"/>
  <c r="A179" i="2"/>
  <c r="B178" i="2"/>
  <c r="A178" i="2"/>
  <c r="B177" i="2"/>
  <c r="A177" i="2"/>
  <c r="B176" i="2"/>
  <c r="A176" i="2"/>
  <c r="B175" i="2"/>
  <c r="A175" i="2"/>
  <c r="B174" i="2"/>
  <c r="A174" i="2"/>
  <c r="B173" i="2"/>
  <c r="A173" i="2"/>
  <c r="B172" i="2"/>
  <c r="A172" i="2"/>
  <c r="B171" i="2"/>
  <c r="A171" i="2"/>
  <c r="B170" i="2"/>
  <c r="A170" i="2"/>
  <c r="B169" i="2"/>
  <c r="A169" i="2"/>
  <c r="B168" i="2"/>
  <c r="A168" i="2"/>
  <c r="B167" i="2"/>
  <c r="A167" i="2"/>
  <c r="B166" i="2"/>
  <c r="A166" i="2"/>
  <c r="B165" i="2"/>
  <c r="A165" i="2"/>
  <c r="B164" i="2"/>
  <c r="A164" i="2"/>
  <c r="B163" i="2"/>
  <c r="A163" i="2"/>
  <c r="B162" i="2"/>
  <c r="A162" i="2"/>
  <c r="B161" i="2"/>
  <c r="A161" i="2"/>
  <c r="B160" i="2"/>
  <c r="A160" i="2"/>
  <c r="B159" i="2"/>
  <c r="A159" i="2"/>
  <c r="B158" i="2"/>
  <c r="A158" i="2"/>
  <c r="B157" i="2"/>
  <c r="A157" i="2"/>
  <c r="B156" i="2"/>
  <c r="A156" i="2"/>
  <c r="B155" i="2"/>
  <c r="A155" i="2"/>
  <c r="B154" i="2"/>
  <c r="A154" i="2"/>
  <c r="B153" i="2"/>
  <c r="A153" i="2"/>
  <c r="B152" i="2"/>
  <c r="A152" i="2"/>
  <c r="B151" i="2"/>
  <c r="A151" i="2"/>
  <c r="B150" i="2"/>
  <c r="A150" i="2"/>
  <c r="B149" i="2"/>
  <c r="A149" i="2"/>
  <c r="B148" i="2"/>
  <c r="A148" i="2"/>
  <c r="B147" i="2"/>
  <c r="A147" i="2"/>
  <c r="B146" i="2"/>
  <c r="A146" i="2"/>
  <c r="B145" i="2"/>
  <c r="A145" i="2"/>
  <c r="B144" i="2"/>
  <c r="A144" i="2"/>
  <c r="B143" i="2"/>
  <c r="A143" i="2"/>
  <c r="B142" i="2"/>
  <c r="A142" i="2"/>
  <c r="B141" i="2"/>
  <c r="A141" i="2"/>
  <c r="B140" i="2"/>
  <c r="A140" i="2"/>
  <c r="B139" i="2"/>
  <c r="A139" i="2"/>
  <c r="B138" i="2"/>
  <c r="A138" i="2"/>
  <c r="B137" i="2"/>
  <c r="A137" i="2"/>
  <c r="B136" i="2"/>
  <c r="A136" i="2"/>
  <c r="B135" i="2"/>
  <c r="A135" i="2"/>
  <c r="B134" i="2"/>
  <c r="A134" i="2"/>
  <c r="B133" i="2"/>
  <c r="A133" i="2"/>
  <c r="B132" i="2"/>
  <c r="A132" i="2"/>
  <c r="B131" i="2"/>
  <c r="A131" i="2"/>
  <c r="B130" i="2"/>
  <c r="A130" i="2"/>
  <c r="B129" i="2"/>
  <c r="A129" i="2"/>
  <c r="B128" i="2"/>
  <c r="A128" i="2"/>
  <c r="B127" i="2"/>
  <c r="A127" i="2"/>
  <c r="B126" i="2"/>
  <c r="A126" i="2"/>
  <c r="B125" i="2"/>
  <c r="A125" i="2"/>
  <c r="B124" i="2"/>
  <c r="A124" i="2"/>
  <c r="B123" i="2"/>
  <c r="A123" i="2"/>
  <c r="B122" i="2"/>
  <c r="A122" i="2"/>
  <c r="B121" i="2"/>
  <c r="A121" i="2"/>
  <c r="B120" i="2"/>
  <c r="A120" i="2"/>
  <c r="B119" i="2"/>
  <c r="A119" i="2"/>
  <c r="B118" i="2"/>
  <c r="A118" i="2"/>
  <c r="B117" i="2"/>
  <c r="A117" i="2"/>
  <c r="B116" i="2"/>
  <c r="A116" i="2"/>
  <c r="B115" i="2"/>
  <c r="A115" i="2"/>
  <c r="B114" i="2"/>
  <c r="A114" i="2"/>
  <c r="B113" i="2"/>
  <c r="A113" i="2"/>
  <c r="B112" i="2"/>
  <c r="A112" i="2"/>
  <c r="B111" i="2"/>
  <c r="A111" i="2"/>
  <c r="B110" i="2"/>
  <c r="A110" i="2"/>
  <c r="B109" i="2"/>
  <c r="A109" i="2"/>
  <c r="B108" i="2"/>
  <c r="A108" i="2"/>
  <c r="B107" i="2"/>
  <c r="A107" i="2"/>
  <c r="B106" i="2"/>
  <c r="A106" i="2"/>
  <c r="B105" i="2"/>
  <c r="A105" i="2"/>
  <c r="B104" i="2"/>
  <c r="A104" i="2"/>
  <c r="B103" i="2"/>
  <c r="A103" i="2"/>
  <c r="B102" i="2"/>
  <c r="A102" i="2"/>
  <c r="B101" i="2"/>
  <c r="A101" i="2"/>
  <c r="B100" i="2"/>
  <c r="A100" i="2"/>
  <c r="B99" i="2"/>
  <c r="A99" i="2"/>
  <c r="B98" i="2"/>
  <c r="A98" i="2"/>
  <c r="B97" i="2"/>
  <c r="A97" i="2"/>
  <c r="B96" i="2"/>
  <c r="A96" i="2"/>
  <c r="B95" i="2"/>
  <c r="A95" i="2"/>
  <c r="B94" i="2"/>
  <c r="A94" i="2"/>
  <c r="B93" i="2"/>
  <c r="A93" i="2"/>
  <c r="B92" i="2"/>
  <c r="A92" i="2"/>
  <c r="B91" i="2"/>
  <c r="A91" i="2"/>
  <c r="B90" i="2"/>
  <c r="A90" i="2"/>
  <c r="B89" i="2"/>
  <c r="A89" i="2"/>
  <c r="B88" i="2"/>
  <c r="A88" i="2"/>
  <c r="B87" i="2"/>
  <c r="A87" i="2"/>
  <c r="B86" i="2"/>
  <c r="A86" i="2"/>
  <c r="B85" i="2"/>
  <c r="A85" i="2"/>
  <c r="B84" i="2"/>
  <c r="A84" i="2"/>
  <c r="B83" i="2"/>
  <c r="A83" i="2"/>
  <c r="B82" i="2"/>
  <c r="A82" i="2"/>
  <c r="B81" i="2"/>
  <c r="A81" i="2"/>
  <c r="B80" i="2"/>
  <c r="A80" i="2"/>
  <c r="B79" i="2"/>
  <c r="A79" i="2"/>
  <c r="B78" i="2"/>
  <c r="A78" i="2"/>
  <c r="B77" i="2"/>
  <c r="A77" i="2"/>
  <c r="B76" i="2"/>
  <c r="A76" i="2"/>
  <c r="B75" i="2"/>
  <c r="A75" i="2"/>
  <c r="B74" i="2"/>
  <c r="A74" i="2"/>
  <c r="B73" i="2"/>
  <c r="A73" i="2"/>
  <c r="B72" i="2"/>
  <c r="A72" i="2"/>
  <c r="B71" i="2"/>
  <c r="A71" i="2"/>
  <c r="B70" i="2"/>
  <c r="A70" i="2"/>
  <c r="B69" i="2"/>
  <c r="A69" i="2"/>
  <c r="B68" i="2"/>
  <c r="A68" i="2"/>
  <c r="B67" i="2"/>
  <c r="A67" i="2"/>
  <c r="B66" i="2"/>
  <c r="A66" i="2"/>
  <c r="B65" i="2"/>
  <c r="A65" i="2"/>
  <c r="B64" i="2"/>
  <c r="A64" i="2"/>
  <c r="B63" i="2"/>
  <c r="A63" i="2"/>
  <c r="B62" i="2"/>
  <c r="A62" i="2"/>
  <c r="B61" i="2"/>
  <c r="A61" i="2"/>
  <c r="B60" i="2"/>
  <c r="A60" i="2"/>
  <c r="B59" i="2"/>
  <c r="A59" i="2"/>
  <c r="B58" i="2"/>
  <c r="A58" i="2"/>
  <c r="B57" i="2"/>
  <c r="A57" i="2"/>
  <c r="B56" i="2"/>
  <c r="A56" i="2"/>
  <c r="B55" i="2"/>
  <c r="A55" i="2"/>
  <c r="B54" i="2"/>
  <c r="A54" i="2"/>
  <c r="B53" i="2"/>
  <c r="A53" i="2"/>
  <c r="B52" i="2"/>
  <c r="A52" i="2"/>
  <c r="B51" i="2"/>
  <c r="A51" i="2"/>
  <c r="B50" i="2"/>
  <c r="A50" i="2"/>
  <c r="B49" i="2"/>
  <c r="A49" i="2"/>
  <c r="B48" i="2"/>
  <c r="A48" i="2"/>
  <c r="B47" i="2"/>
  <c r="A47" i="2"/>
  <c r="B46" i="2"/>
  <c r="A46" i="2"/>
  <c r="B45" i="2"/>
  <c r="A45" i="2"/>
  <c r="B44" i="2"/>
  <c r="A44" i="2"/>
  <c r="B43" i="2"/>
  <c r="A43" i="2"/>
  <c r="B42" i="2"/>
  <c r="A42" i="2"/>
  <c r="B41" i="2"/>
  <c r="A41" i="2"/>
  <c r="B40" i="2"/>
  <c r="A40" i="2"/>
  <c r="B39" i="2"/>
  <c r="A39" i="2"/>
  <c r="B38" i="2"/>
  <c r="A38" i="2"/>
  <c r="B37" i="2"/>
  <c r="A37" i="2"/>
  <c r="B36" i="2"/>
  <c r="A36" i="2"/>
  <c r="B35" i="2"/>
  <c r="A35" i="2"/>
  <c r="B34" i="2"/>
  <c r="A34" i="2"/>
  <c r="B33" i="2"/>
  <c r="A33" i="2"/>
  <c r="B32" i="2"/>
  <c r="A32" i="2"/>
  <c r="B31" i="2"/>
  <c r="A31" i="2"/>
  <c r="B30" i="2"/>
  <c r="A30" i="2"/>
  <c r="B29" i="2"/>
  <c r="A29" i="2"/>
  <c r="B28" i="2"/>
  <c r="A28" i="2"/>
  <c r="B27" i="2"/>
  <c r="A27" i="2"/>
  <c r="B26" i="2"/>
  <c r="A26" i="2"/>
  <c r="B25" i="2"/>
  <c r="A25" i="2"/>
  <c r="B24" i="2"/>
  <c r="A24" i="2"/>
  <c r="B23" i="2"/>
  <c r="A23" i="2"/>
  <c r="B22" i="2"/>
  <c r="A22" i="2"/>
  <c r="B21" i="2"/>
  <c r="A21" i="2"/>
  <c r="B20" i="2"/>
  <c r="A20" i="2"/>
  <c r="B19" i="2"/>
  <c r="A19" i="2"/>
  <c r="B18" i="2"/>
  <c r="A18" i="2"/>
  <c r="B17" i="2"/>
  <c r="A17" i="2"/>
  <c r="B16" i="2"/>
  <c r="A16" i="2"/>
  <c r="B15" i="2"/>
  <c r="A15" i="2"/>
  <c r="B14" i="2"/>
  <c r="A14" i="2"/>
  <c r="B13" i="2"/>
  <c r="A13" i="2"/>
  <c r="B12" i="2"/>
  <c r="A12" i="2"/>
  <c r="B11" i="2"/>
  <c r="A11" i="2"/>
  <c r="B10" i="2"/>
  <c r="A10" i="2"/>
  <c r="B9" i="2"/>
  <c r="A9" i="2"/>
  <c r="B8" i="2"/>
  <c r="A8" i="2"/>
  <c r="B7" i="2"/>
  <c r="A7" i="2"/>
  <c r="B6" i="2"/>
  <c r="A6" i="2"/>
  <c r="B5" i="2"/>
  <c r="A5" i="2"/>
  <c r="B4" i="2"/>
  <c r="A4" i="2"/>
  <c r="B3" i="2"/>
  <c r="A3" i="2"/>
  <c r="E1" i="2"/>
  <c r="B151" i="3"/>
  <c r="A151" i="3"/>
  <c r="B150" i="3"/>
  <c r="A150" i="3"/>
  <c r="B149" i="3"/>
  <c r="A149" i="3"/>
  <c r="B148" i="3"/>
  <c r="A148" i="3"/>
  <c r="B147" i="3"/>
  <c r="A147" i="3"/>
  <c r="B146" i="3"/>
  <c r="A146" i="3"/>
  <c r="B145" i="3"/>
  <c r="A145" i="3"/>
  <c r="B144" i="3"/>
  <c r="A144" i="3"/>
  <c r="B143" i="3"/>
  <c r="A143" i="3"/>
  <c r="B142" i="3"/>
  <c r="A142" i="3"/>
  <c r="B141" i="3"/>
  <c r="A141" i="3"/>
  <c r="B140" i="3"/>
  <c r="A140" i="3"/>
  <c r="B139" i="3"/>
  <c r="A139" i="3"/>
  <c r="B138" i="3"/>
  <c r="A138" i="3"/>
  <c r="B137" i="3"/>
  <c r="A137" i="3"/>
  <c r="B136" i="3"/>
  <c r="A136" i="3"/>
  <c r="B135" i="3"/>
  <c r="A135" i="3"/>
  <c r="B134" i="3"/>
  <c r="A134" i="3"/>
  <c r="B133" i="3"/>
  <c r="A133" i="3"/>
  <c r="B132" i="3"/>
  <c r="A132" i="3"/>
  <c r="B131" i="3"/>
  <c r="A131" i="3"/>
  <c r="B130" i="3"/>
  <c r="A130" i="3"/>
  <c r="B129" i="3"/>
  <c r="A129" i="3"/>
  <c r="B128" i="3"/>
  <c r="A128" i="3"/>
  <c r="B127" i="3"/>
  <c r="A127" i="3"/>
  <c r="B126" i="3"/>
  <c r="A126" i="3"/>
  <c r="B125" i="3"/>
  <c r="A125" i="3"/>
  <c r="B124" i="3"/>
  <c r="A124" i="3"/>
  <c r="B123" i="3"/>
  <c r="A123" i="3"/>
  <c r="B122" i="3"/>
  <c r="A122" i="3"/>
  <c r="B121" i="3"/>
  <c r="A121" i="3"/>
  <c r="B120" i="3"/>
  <c r="A120" i="3"/>
  <c r="B119" i="3"/>
  <c r="A119" i="3"/>
  <c r="B118" i="3"/>
  <c r="A118" i="3"/>
  <c r="B117" i="3"/>
  <c r="A117" i="3"/>
  <c r="B116" i="3"/>
  <c r="A116" i="3"/>
  <c r="B115" i="3"/>
  <c r="A115" i="3"/>
  <c r="B114" i="3"/>
  <c r="A114" i="3"/>
  <c r="B113" i="3"/>
  <c r="A113" i="3"/>
  <c r="B112" i="3"/>
  <c r="A112" i="3"/>
  <c r="B111" i="3"/>
  <c r="A111" i="3"/>
  <c r="B110" i="3"/>
  <c r="A110" i="3"/>
  <c r="B109" i="3"/>
  <c r="A109" i="3"/>
  <c r="B108" i="3"/>
  <c r="A108" i="3"/>
  <c r="B107" i="3"/>
  <c r="A107" i="3"/>
  <c r="B106" i="3"/>
  <c r="A106" i="3"/>
  <c r="B105" i="3"/>
  <c r="A105" i="3"/>
  <c r="B104" i="3"/>
  <c r="A104" i="3"/>
  <c r="B103" i="3"/>
  <c r="A103" i="3"/>
  <c r="B102" i="3"/>
  <c r="A102" i="3"/>
  <c r="B101" i="3"/>
  <c r="A101" i="3"/>
  <c r="B100" i="3"/>
  <c r="A100" i="3"/>
  <c r="B99" i="3"/>
  <c r="A99" i="3"/>
  <c r="B98" i="3"/>
  <c r="A98" i="3"/>
  <c r="B97" i="3"/>
  <c r="A97" i="3"/>
  <c r="B96" i="3"/>
  <c r="A96" i="3"/>
  <c r="B95" i="3"/>
  <c r="A95" i="3"/>
  <c r="B94" i="3"/>
  <c r="A94" i="3"/>
  <c r="B93" i="3"/>
  <c r="A93" i="3"/>
  <c r="B92" i="3"/>
  <c r="A92" i="3"/>
  <c r="B91" i="3"/>
  <c r="A91" i="3"/>
  <c r="B90" i="3"/>
  <c r="A90" i="3"/>
  <c r="B89" i="3"/>
  <c r="A89" i="3"/>
  <c r="B88" i="3"/>
  <c r="A88" i="3"/>
  <c r="B87" i="3"/>
  <c r="A87" i="3"/>
  <c r="B86" i="3"/>
  <c r="A86" i="3"/>
  <c r="B85" i="3"/>
  <c r="A85" i="3"/>
  <c r="B84" i="3"/>
  <c r="A84" i="3"/>
  <c r="B83" i="3"/>
  <c r="A83" i="3"/>
  <c r="B82" i="3"/>
  <c r="A82" i="3"/>
  <c r="B81" i="3"/>
  <c r="A81" i="3"/>
  <c r="B80" i="3"/>
  <c r="A80" i="3"/>
  <c r="B79" i="3"/>
  <c r="A79" i="3"/>
  <c r="B78" i="3"/>
  <c r="A78" i="3"/>
  <c r="B77" i="3"/>
  <c r="A77" i="3"/>
  <c r="B76" i="3"/>
  <c r="A76" i="3"/>
  <c r="B75" i="3"/>
  <c r="A75" i="3"/>
  <c r="B74" i="3"/>
  <c r="A74" i="3"/>
  <c r="B73" i="3"/>
  <c r="A73" i="3"/>
  <c r="B72" i="3"/>
  <c r="A72" i="3"/>
  <c r="B71" i="3"/>
  <c r="A71" i="3"/>
  <c r="B70" i="3"/>
  <c r="A70" i="3"/>
  <c r="B69" i="3"/>
  <c r="A69" i="3"/>
  <c r="B68" i="3"/>
  <c r="A68" i="3"/>
  <c r="B67" i="3"/>
  <c r="A67" i="3"/>
  <c r="B66" i="3"/>
  <c r="A66" i="3"/>
  <c r="B65" i="3"/>
  <c r="A65" i="3"/>
  <c r="B64" i="3"/>
  <c r="A64" i="3"/>
  <c r="B63" i="3"/>
  <c r="A63" i="3"/>
  <c r="B62" i="3"/>
  <c r="A62" i="3"/>
  <c r="B61" i="3"/>
  <c r="A61" i="3"/>
  <c r="B60" i="3"/>
  <c r="A60" i="3"/>
  <c r="B59" i="3"/>
  <c r="A59" i="3"/>
  <c r="B58" i="3"/>
  <c r="A58" i="3"/>
  <c r="B57" i="3"/>
  <c r="A57" i="3"/>
  <c r="B56" i="3"/>
  <c r="A56" i="3"/>
  <c r="B55" i="3"/>
  <c r="A55" i="3"/>
  <c r="B54" i="3"/>
  <c r="A54" i="3"/>
  <c r="B53" i="3"/>
  <c r="A53" i="3"/>
  <c r="B52" i="3"/>
  <c r="A52" i="3"/>
  <c r="B51" i="3"/>
  <c r="A51" i="3"/>
  <c r="B50" i="3"/>
  <c r="A50" i="3"/>
  <c r="B49" i="3"/>
  <c r="A49" i="3"/>
  <c r="B48" i="3"/>
  <c r="A48" i="3"/>
  <c r="B47" i="3"/>
  <c r="A47" i="3"/>
  <c r="B46" i="3"/>
  <c r="A46" i="3"/>
  <c r="B45" i="3"/>
  <c r="A45" i="3"/>
  <c r="B44" i="3"/>
  <c r="A44" i="3"/>
  <c r="B43" i="3"/>
  <c r="A43" i="3"/>
  <c r="B42" i="3"/>
  <c r="A42" i="3"/>
  <c r="B41" i="3"/>
  <c r="A41" i="3"/>
  <c r="B40" i="3"/>
  <c r="A40" i="3"/>
  <c r="B39" i="3"/>
  <c r="A39" i="3"/>
  <c r="B38" i="3"/>
  <c r="A38" i="3"/>
  <c r="B37" i="3"/>
  <c r="A37" i="3"/>
  <c r="B36" i="3"/>
  <c r="A36" i="3"/>
  <c r="B35" i="3"/>
  <c r="A35" i="3"/>
  <c r="B34" i="3"/>
  <c r="A34" i="3"/>
  <c r="B33" i="3"/>
  <c r="A33" i="3"/>
  <c r="B32" i="3"/>
  <c r="A32" i="3"/>
  <c r="B31" i="3"/>
  <c r="A31" i="3"/>
  <c r="B30" i="3"/>
  <c r="A30" i="3"/>
  <c r="B29" i="3"/>
  <c r="A29" i="3"/>
  <c r="B28" i="3"/>
  <c r="A28" i="3"/>
  <c r="B27" i="3"/>
  <c r="A27" i="3"/>
  <c r="B26" i="3"/>
  <c r="A26" i="3"/>
  <c r="B25" i="3"/>
  <c r="A25" i="3"/>
  <c r="B24" i="3"/>
  <c r="A24" i="3"/>
  <c r="B23" i="3"/>
  <c r="A23" i="3"/>
  <c r="B22" i="3"/>
  <c r="A22" i="3"/>
  <c r="B21" i="3"/>
  <c r="A21" i="3"/>
  <c r="B20" i="3"/>
  <c r="A20" i="3"/>
  <c r="B19" i="3"/>
  <c r="A19" i="3"/>
  <c r="B18" i="3"/>
  <c r="A18" i="3"/>
  <c r="B17" i="3"/>
  <c r="A17" i="3"/>
  <c r="B16" i="3"/>
  <c r="A16" i="3"/>
  <c r="B15" i="3"/>
  <c r="A15" i="3"/>
  <c r="B14" i="3"/>
  <c r="A14" i="3"/>
  <c r="B13" i="3"/>
  <c r="A13" i="3"/>
  <c r="B12" i="3"/>
  <c r="A12" i="3"/>
  <c r="B11" i="3"/>
  <c r="A11" i="3"/>
  <c r="B10" i="3"/>
  <c r="A10" i="3"/>
  <c r="B9" i="3"/>
  <c r="A9" i="3"/>
  <c r="B8" i="3"/>
  <c r="A8" i="3"/>
  <c r="B7" i="3"/>
  <c r="A7" i="3"/>
  <c r="B6" i="3"/>
  <c r="A6" i="3"/>
  <c r="B5" i="3"/>
  <c r="A5" i="3"/>
  <c r="B4" i="3"/>
  <c r="A4" i="3"/>
  <c r="B3" i="3"/>
  <c r="A3" i="3"/>
  <c r="E1" i="3"/>
  <c r="I3" i="3"/>
  <c r="R3" i="3" s="1"/>
  <c r="Q501" i="3"/>
  <c r="P501" i="3"/>
  <c r="O501" i="3"/>
  <c r="I501" i="3"/>
  <c r="R501" i="3" s="1"/>
  <c r="H501" i="3"/>
  <c r="F501" i="3"/>
  <c r="D501" i="3"/>
  <c r="Q500" i="3"/>
  <c r="P500" i="3"/>
  <c r="O500" i="3"/>
  <c r="I500" i="3"/>
  <c r="R500" i="3" s="1"/>
  <c r="H500" i="3"/>
  <c r="F500" i="3"/>
  <c r="D500" i="3"/>
  <c r="Q499" i="3"/>
  <c r="P499" i="3"/>
  <c r="O499" i="3"/>
  <c r="I499" i="3"/>
  <c r="R499" i="3" s="1"/>
  <c r="H499" i="3"/>
  <c r="F499" i="3"/>
  <c r="D499" i="3"/>
  <c r="Q498" i="3"/>
  <c r="P498" i="3"/>
  <c r="O498" i="3"/>
  <c r="I498" i="3"/>
  <c r="R498" i="3" s="1"/>
  <c r="H498" i="3"/>
  <c r="F498" i="3"/>
  <c r="D498" i="3"/>
  <c r="Q497" i="3"/>
  <c r="P497" i="3"/>
  <c r="O497" i="3"/>
  <c r="I497" i="3"/>
  <c r="R497" i="3" s="1"/>
  <c r="H497" i="3"/>
  <c r="F497" i="3"/>
  <c r="D497" i="3"/>
  <c r="Q496" i="3"/>
  <c r="P496" i="3"/>
  <c r="O496" i="3"/>
  <c r="I496" i="3"/>
  <c r="R496" i="3" s="1"/>
  <c r="H496" i="3"/>
  <c r="F496" i="3"/>
  <c r="D496" i="3"/>
  <c r="Q495" i="3"/>
  <c r="P495" i="3"/>
  <c r="O495" i="3"/>
  <c r="I495" i="3"/>
  <c r="R495" i="3" s="1"/>
  <c r="H495" i="3"/>
  <c r="F495" i="3"/>
  <c r="D495" i="3"/>
  <c r="Q494" i="3"/>
  <c r="P494" i="3"/>
  <c r="O494" i="3"/>
  <c r="I494" i="3"/>
  <c r="R494" i="3" s="1"/>
  <c r="H494" i="3"/>
  <c r="F494" i="3"/>
  <c r="D494" i="3"/>
  <c r="Q493" i="3"/>
  <c r="P493" i="3"/>
  <c r="O493" i="3"/>
  <c r="I493" i="3"/>
  <c r="R493" i="3" s="1"/>
  <c r="H493" i="3"/>
  <c r="F493" i="3"/>
  <c r="D493" i="3"/>
  <c r="Q492" i="3"/>
  <c r="P492" i="3"/>
  <c r="O492" i="3"/>
  <c r="I492" i="3"/>
  <c r="R492" i="3" s="1"/>
  <c r="H492" i="3"/>
  <c r="F492" i="3"/>
  <c r="D492" i="3"/>
  <c r="Q491" i="3"/>
  <c r="P491" i="3"/>
  <c r="O491" i="3"/>
  <c r="I491" i="3"/>
  <c r="R491" i="3" s="1"/>
  <c r="H491" i="3"/>
  <c r="F491" i="3"/>
  <c r="D491" i="3"/>
  <c r="Q490" i="3"/>
  <c r="P490" i="3"/>
  <c r="O490" i="3"/>
  <c r="I490" i="3"/>
  <c r="R490" i="3" s="1"/>
  <c r="H490" i="3"/>
  <c r="F490" i="3"/>
  <c r="D490" i="3"/>
  <c r="Q489" i="3"/>
  <c r="P489" i="3"/>
  <c r="O489" i="3"/>
  <c r="I489" i="3"/>
  <c r="R489" i="3" s="1"/>
  <c r="H489" i="3"/>
  <c r="F489" i="3"/>
  <c r="D489" i="3"/>
  <c r="Q488" i="3"/>
  <c r="P488" i="3"/>
  <c r="O488" i="3"/>
  <c r="I488" i="3"/>
  <c r="R488" i="3" s="1"/>
  <c r="H488" i="3"/>
  <c r="F488" i="3"/>
  <c r="D488" i="3"/>
  <c r="Q487" i="3"/>
  <c r="P487" i="3"/>
  <c r="O487" i="3"/>
  <c r="I487" i="3"/>
  <c r="R487" i="3" s="1"/>
  <c r="H487" i="3"/>
  <c r="F487" i="3"/>
  <c r="D487" i="3"/>
  <c r="Q486" i="3"/>
  <c r="P486" i="3"/>
  <c r="O486" i="3"/>
  <c r="I486" i="3"/>
  <c r="R486" i="3" s="1"/>
  <c r="H486" i="3"/>
  <c r="F486" i="3"/>
  <c r="D486" i="3"/>
  <c r="Q485" i="3"/>
  <c r="P485" i="3"/>
  <c r="O485" i="3"/>
  <c r="I485" i="3"/>
  <c r="R485" i="3" s="1"/>
  <c r="H485" i="3"/>
  <c r="F485" i="3"/>
  <c r="D485" i="3"/>
  <c r="Q484" i="3"/>
  <c r="P484" i="3"/>
  <c r="O484" i="3"/>
  <c r="I484" i="3"/>
  <c r="R484" i="3" s="1"/>
  <c r="H484" i="3"/>
  <c r="F484" i="3"/>
  <c r="D484" i="3"/>
  <c r="Q483" i="3"/>
  <c r="P483" i="3"/>
  <c r="O483" i="3"/>
  <c r="I483" i="3"/>
  <c r="R483" i="3" s="1"/>
  <c r="H483" i="3"/>
  <c r="F483" i="3"/>
  <c r="D483" i="3"/>
  <c r="Q482" i="3"/>
  <c r="P482" i="3"/>
  <c r="O482" i="3"/>
  <c r="I482" i="3"/>
  <c r="R482" i="3" s="1"/>
  <c r="H482" i="3"/>
  <c r="F482" i="3"/>
  <c r="D482" i="3"/>
  <c r="Q481" i="3"/>
  <c r="P481" i="3"/>
  <c r="O481" i="3"/>
  <c r="I481" i="3"/>
  <c r="R481" i="3" s="1"/>
  <c r="H481" i="3"/>
  <c r="F481" i="3"/>
  <c r="D481" i="3"/>
  <c r="Q480" i="3"/>
  <c r="P480" i="3"/>
  <c r="O480" i="3"/>
  <c r="I480" i="3"/>
  <c r="R480" i="3" s="1"/>
  <c r="H480" i="3"/>
  <c r="F480" i="3"/>
  <c r="D480" i="3"/>
  <c r="Q479" i="3"/>
  <c r="P479" i="3"/>
  <c r="O479" i="3"/>
  <c r="I479" i="3"/>
  <c r="R479" i="3" s="1"/>
  <c r="H479" i="3"/>
  <c r="F479" i="3"/>
  <c r="D479" i="3"/>
  <c r="Q478" i="3"/>
  <c r="P478" i="3"/>
  <c r="O478" i="3"/>
  <c r="I478" i="3"/>
  <c r="R478" i="3" s="1"/>
  <c r="H478" i="3"/>
  <c r="F478" i="3"/>
  <c r="D478" i="3"/>
  <c r="Q477" i="3"/>
  <c r="P477" i="3"/>
  <c r="O477" i="3"/>
  <c r="I477" i="3"/>
  <c r="R477" i="3" s="1"/>
  <c r="H477" i="3"/>
  <c r="F477" i="3"/>
  <c r="D477" i="3"/>
  <c r="Q476" i="3"/>
  <c r="P476" i="3"/>
  <c r="O476" i="3"/>
  <c r="I476" i="3"/>
  <c r="R476" i="3" s="1"/>
  <c r="H476" i="3"/>
  <c r="F476" i="3"/>
  <c r="D476" i="3"/>
  <c r="Q475" i="3"/>
  <c r="P475" i="3"/>
  <c r="O475" i="3"/>
  <c r="I475" i="3"/>
  <c r="R475" i="3" s="1"/>
  <c r="H475" i="3"/>
  <c r="F475" i="3"/>
  <c r="D475" i="3"/>
  <c r="Q474" i="3"/>
  <c r="P474" i="3"/>
  <c r="O474" i="3"/>
  <c r="I474" i="3"/>
  <c r="R474" i="3" s="1"/>
  <c r="H474" i="3"/>
  <c r="F474" i="3"/>
  <c r="D474" i="3"/>
  <c r="Q473" i="3"/>
  <c r="P473" i="3"/>
  <c r="O473" i="3"/>
  <c r="I473" i="3"/>
  <c r="R473" i="3" s="1"/>
  <c r="H473" i="3"/>
  <c r="F473" i="3"/>
  <c r="D473" i="3"/>
  <c r="Q472" i="3"/>
  <c r="P472" i="3"/>
  <c r="O472" i="3"/>
  <c r="I472" i="3"/>
  <c r="R472" i="3" s="1"/>
  <c r="H472" i="3"/>
  <c r="F472" i="3"/>
  <c r="D472" i="3"/>
  <c r="Q471" i="3"/>
  <c r="P471" i="3"/>
  <c r="O471" i="3"/>
  <c r="I471" i="3"/>
  <c r="R471" i="3" s="1"/>
  <c r="H471" i="3"/>
  <c r="F471" i="3"/>
  <c r="D471" i="3"/>
  <c r="Q470" i="3"/>
  <c r="P470" i="3"/>
  <c r="O470" i="3"/>
  <c r="I470" i="3"/>
  <c r="R470" i="3" s="1"/>
  <c r="H470" i="3"/>
  <c r="F470" i="3"/>
  <c r="D470" i="3"/>
  <c r="Q469" i="3"/>
  <c r="P469" i="3"/>
  <c r="O469" i="3"/>
  <c r="I469" i="3"/>
  <c r="R469" i="3" s="1"/>
  <c r="H469" i="3"/>
  <c r="F469" i="3"/>
  <c r="D469" i="3"/>
  <c r="Q468" i="3"/>
  <c r="P468" i="3"/>
  <c r="O468" i="3"/>
  <c r="I468" i="3"/>
  <c r="R468" i="3" s="1"/>
  <c r="H468" i="3"/>
  <c r="F468" i="3"/>
  <c r="D468" i="3"/>
  <c r="Q467" i="3"/>
  <c r="P467" i="3"/>
  <c r="O467" i="3"/>
  <c r="I467" i="3"/>
  <c r="R467" i="3" s="1"/>
  <c r="H467" i="3"/>
  <c r="F467" i="3"/>
  <c r="D467" i="3"/>
  <c r="Q466" i="3"/>
  <c r="P466" i="3"/>
  <c r="O466" i="3"/>
  <c r="I466" i="3"/>
  <c r="R466" i="3" s="1"/>
  <c r="H466" i="3"/>
  <c r="F466" i="3"/>
  <c r="D466" i="3"/>
  <c r="Q465" i="3"/>
  <c r="P465" i="3"/>
  <c r="O465" i="3"/>
  <c r="I465" i="3"/>
  <c r="R465" i="3" s="1"/>
  <c r="H465" i="3"/>
  <c r="F465" i="3"/>
  <c r="D465" i="3"/>
  <c r="Q464" i="3"/>
  <c r="P464" i="3"/>
  <c r="O464" i="3"/>
  <c r="I464" i="3"/>
  <c r="R464" i="3" s="1"/>
  <c r="H464" i="3"/>
  <c r="F464" i="3"/>
  <c r="D464" i="3"/>
  <c r="Q463" i="3"/>
  <c r="P463" i="3"/>
  <c r="O463" i="3"/>
  <c r="I463" i="3"/>
  <c r="R463" i="3" s="1"/>
  <c r="H463" i="3"/>
  <c r="F463" i="3"/>
  <c r="D463" i="3"/>
  <c r="Q462" i="3"/>
  <c r="P462" i="3"/>
  <c r="O462" i="3"/>
  <c r="I462" i="3"/>
  <c r="R462" i="3" s="1"/>
  <c r="H462" i="3"/>
  <c r="F462" i="3"/>
  <c r="D462" i="3"/>
  <c r="Q461" i="3"/>
  <c r="P461" i="3"/>
  <c r="O461" i="3"/>
  <c r="I461" i="3"/>
  <c r="R461" i="3" s="1"/>
  <c r="H461" i="3"/>
  <c r="F461" i="3"/>
  <c r="D461" i="3"/>
  <c r="Q460" i="3"/>
  <c r="P460" i="3"/>
  <c r="O460" i="3"/>
  <c r="I460" i="3"/>
  <c r="R460" i="3" s="1"/>
  <c r="H460" i="3"/>
  <c r="F460" i="3"/>
  <c r="D460" i="3"/>
  <c r="Q459" i="3"/>
  <c r="P459" i="3"/>
  <c r="O459" i="3"/>
  <c r="I459" i="3"/>
  <c r="R459" i="3" s="1"/>
  <c r="H459" i="3"/>
  <c r="F459" i="3"/>
  <c r="D459" i="3"/>
  <c r="Q458" i="3"/>
  <c r="P458" i="3"/>
  <c r="O458" i="3"/>
  <c r="I458" i="3"/>
  <c r="R458" i="3" s="1"/>
  <c r="H458" i="3"/>
  <c r="F458" i="3"/>
  <c r="D458" i="3"/>
  <c r="Q457" i="3"/>
  <c r="P457" i="3"/>
  <c r="O457" i="3"/>
  <c r="I457" i="3"/>
  <c r="R457" i="3" s="1"/>
  <c r="H457" i="3"/>
  <c r="F457" i="3"/>
  <c r="D457" i="3"/>
  <c r="Q456" i="3"/>
  <c r="P456" i="3"/>
  <c r="O456" i="3"/>
  <c r="I456" i="3"/>
  <c r="R456" i="3" s="1"/>
  <c r="H456" i="3"/>
  <c r="F456" i="3"/>
  <c r="D456" i="3"/>
  <c r="Q455" i="3"/>
  <c r="P455" i="3"/>
  <c r="O455" i="3"/>
  <c r="I455" i="3"/>
  <c r="R455" i="3" s="1"/>
  <c r="H455" i="3"/>
  <c r="F455" i="3"/>
  <c r="D455" i="3"/>
  <c r="Q454" i="3"/>
  <c r="P454" i="3"/>
  <c r="O454" i="3"/>
  <c r="I454" i="3"/>
  <c r="R454" i="3" s="1"/>
  <c r="H454" i="3"/>
  <c r="F454" i="3"/>
  <c r="D454" i="3"/>
  <c r="Q453" i="3"/>
  <c r="P453" i="3"/>
  <c r="O453" i="3"/>
  <c r="I453" i="3"/>
  <c r="R453" i="3" s="1"/>
  <c r="H453" i="3"/>
  <c r="F453" i="3"/>
  <c r="D453" i="3"/>
  <c r="Q452" i="3"/>
  <c r="P452" i="3"/>
  <c r="O452" i="3"/>
  <c r="I452" i="3"/>
  <c r="R452" i="3" s="1"/>
  <c r="H452" i="3"/>
  <c r="F452" i="3"/>
  <c r="D452" i="3"/>
  <c r="Q451" i="3"/>
  <c r="P451" i="3"/>
  <c r="O451" i="3"/>
  <c r="I451" i="3"/>
  <c r="R451" i="3" s="1"/>
  <c r="H451" i="3"/>
  <c r="F451" i="3"/>
  <c r="D451" i="3"/>
  <c r="Q450" i="3"/>
  <c r="P450" i="3"/>
  <c r="O450" i="3"/>
  <c r="I450" i="3"/>
  <c r="R450" i="3" s="1"/>
  <c r="H450" i="3"/>
  <c r="F450" i="3"/>
  <c r="D450" i="3"/>
  <c r="Q449" i="3"/>
  <c r="P449" i="3"/>
  <c r="O449" i="3"/>
  <c r="I449" i="3"/>
  <c r="R449" i="3" s="1"/>
  <c r="H449" i="3"/>
  <c r="F449" i="3"/>
  <c r="D449" i="3"/>
  <c r="Q448" i="3"/>
  <c r="P448" i="3"/>
  <c r="O448" i="3"/>
  <c r="I448" i="3"/>
  <c r="R448" i="3" s="1"/>
  <c r="H448" i="3"/>
  <c r="F448" i="3"/>
  <c r="D448" i="3"/>
  <c r="Q447" i="3"/>
  <c r="P447" i="3"/>
  <c r="O447" i="3"/>
  <c r="I447" i="3"/>
  <c r="R447" i="3" s="1"/>
  <c r="H447" i="3"/>
  <c r="F447" i="3"/>
  <c r="D447" i="3"/>
  <c r="Q446" i="3"/>
  <c r="P446" i="3"/>
  <c r="O446" i="3"/>
  <c r="I446" i="3"/>
  <c r="R446" i="3" s="1"/>
  <c r="H446" i="3"/>
  <c r="F446" i="3"/>
  <c r="D446" i="3"/>
  <c r="Q445" i="3"/>
  <c r="P445" i="3"/>
  <c r="O445" i="3"/>
  <c r="I445" i="3"/>
  <c r="R445" i="3" s="1"/>
  <c r="H445" i="3"/>
  <c r="F445" i="3"/>
  <c r="D445" i="3"/>
  <c r="Q444" i="3"/>
  <c r="P444" i="3"/>
  <c r="O444" i="3"/>
  <c r="I444" i="3"/>
  <c r="R444" i="3" s="1"/>
  <c r="H444" i="3"/>
  <c r="F444" i="3"/>
  <c r="D444" i="3"/>
  <c r="Q443" i="3"/>
  <c r="P443" i="3"/>
  <c r="O443" i="3"/>
  <c r="I443" i="3"/>
  <c r="R443" i="3" s="1"/>
  <c r="H443" i="3"/>
  <c r="F443" i="3"/>
  <c r="D443" i="3"/>
  <c r="Q442" i="3"/>
  <c r="P442" i="3"/>
  <c r="O442" i="3"/>
  <c r="I442" i="3"/>
  <c r="R442" i="3" s="1"/>
  <c r="H442" i="3"/>
  <c r="F442" i="3"/>
  <c r="D442" i="3"/>
  <c r="Q441" i="3"/>
  <c r="P441" i="3"/>
  <c r="O441" i="3"/>
  <c r="I441" i="3"/>
  <c r="R441" i="3" s="1"/>
  <c r="H441" i="3"/>
  <c r="F441" i="3"/>
  <c r="D441" i="3"/>
  <c r="Q440" i="3"/>
  <c r="P440" i="3"/>
  <c r="O440" i="3"/>
  <c r="I440" i="3"/>
  <c r="R440" i="3" s="1"/>
  <c r="H440" i="3"/>
  <c r="F440" i="3"/>
  <c r="D440" i="3"/>
  <c r="Q439" i="3"/>
  <c r="P439" i="3"/>
  <c r="O439" i="3"/>
  <c r="I439" i="3"/>
  <c r="R439" i="3" s="1"/>
  <c r="H439" i="3"/>
  <c r="F439" i="3"/>
  <c r="D439" i="3"/>
  <c r="Q438" i="3"/>
  <c r="P438" i="3"/>
  <c r="O438" i="3"/>
  <c r="I438" i="3"/>
  <c r="R438" i="3" s="1"/>
  <c r="H438" i="3"/>
  <c r="F438" i="3"/>
  <c r="D438" i="3"/>
  <c r="Q437" i="3"/>
  <c r="P437" i="3"/>
  <c r="O437" i="3"/>
  <c r="I437" i="3"/>
  <c r="R437" i="3" s="1"/>
  <c r="H437" i="3"/>
  <c r="F437" i="3"/>
  <c r="D437" i="3"/>
  <c r="Q436" i="3"/>
  <c r="P436" i="3"/>
  <c r="O436" i="3"/>
  <c r="I436" i="3"/>
  <c r="R436" i="3" s="1"/>
  <c r="H436" i="3"/>
  <c r="F436" i="3"/>
  <c r="D436" i="3"/>
  <c r="Q435" i="3"/>
  <c r="P435" i="3"/>
  <c r="O435" i="3"/>
  <c r="I435" i="3"/>
  <c r="R435" i="3" s="1"/>
  <c r="H435" i="3"/>
  <c r="F435" i="3"/>
  <c r="D435" i="3"/>
  <c r="Q434" i="3"/>
  <c r="P434" i="3"/>
  <c r="O434" i="3"/>
  <c r="I434" i="3"/>
  <c r="R434" i="3" s="1"/>
  <c r="H434" i="3"/>
  <c r="F434" i="3"/>
  <c r="D434" i="3"/>
  <c r="Q433" i="3"/>
  <c r="P433" i="3"/>
  <c r="O433" i="3"/>
  <c r="I433" i="3"/>
  <c r="R433" i="3" s="1"/>
  <c r="H433" i="3"/>
  <c r="F433" i="3"/>
  <c r="D433" i="3"/>
  <c r="Q432" i="3"/>
  <c r="P432" i="3"/>
  <c r="O432" i="3"/>
  <c r="I432" i="3"/>
  <c r="R432" i="3" s="1"/>
  <c r="H432" i="3"/>
  <c r="F432" i="3"/>
  <c r="D432" i="3"/>
  <c r="Q431" i="3"/>
  <c r="P431" i="3"/>
  <c r="O431" i="3"/>
  <c r="I431" i="3"/>
  <c r="R431" i="3" s="1"/>
  <c r="H431" i="3"/>
  <c r="F431" i="3"/>
  <c r="D431" i="3"/>
  <c r="Q430" i="3"/>
  <c r="P430" i="3"/>
  <c r="O430" i="3"/>
  <c r="I430" i="3"/>
  <c r="R430" i="3" s="1"/>
  <c r="H430" i="3"/>
  <c r="F430" i="3"/>
  <c r="D430" i="3"/>
  <c r="Q429" i="3"/>
  <c r="P429" i="3"/>
  <c r="O429" i="3"/>
  <c r="I429" i="3"/>
  <c r="R429" i="3" s="1"/>
  <c r="H429" i="3"/>
  <c r="F429" i="3"/>
  <c r="D429" i="3"/>
  <c r="Q428" i="3"/>
  <c r="P428" i="3"/>
  <c r="O428" i="3"/>
  <c r="I428" i="3"/>
  <c r="R428" i="3" s="1"/>
  <c r="H428" i="3"/>
  <c r="F428" i="3"/>
  <c r="D428" i="3"/>
  <c r="Q427" i="3"/>
  <c r="P427" i="3"/>
  <c r="O427" i="3"/>
  <c r="I427" i="3"/>
  <c r="R427" i="3" s="1"/>
  <c r="H427" i="3"/>
  <c r="F427" i="3"/>
  <c r="D427" i="3"/>
  <c r="Q426" i="3"/>
  <c r="P426" i="3"/>
  <c r="O426" i="3"/>
  <c r="I426" i="3"/>
  <c r="R426" i="3" s="1"/>
  <c r="H426" i="3"/>
  <c r="F426" i="3"/>
  <c r="D426" i="3"/>
  <c r="Q425" i="3"/>
  <c r="P425" i="3"/>
  <c r="O425" i="3"/>
  <c r="I425" i="3"/>
  <c r="R425" i="3" s="1"/>
  <c r="H425" i="3"/>
  <c r="F425" i="3"/>
  <c r="D425" i="3"/>
  <c r="Q424" i="3"/>
  <c r="P424" i="3"/>
  <c r="O424" i="3"/>
  <c r="I424" i="3"/>
  <c r="R424" i="3" s="1"/>
  <c r="H424" i="3"/>
  <c r="F424" i="3"/>
  <c r="D424" i="3"/>
  <c r="Q423" i="3"/>
  <c r="P423" i="3"/>
  <c r="O423" i="3"/>
  <c r="I423" i="3"/>
  <c r="R423" i="3" s="1"/>
  <c r="H423" i="3"/>
  <c r="F423" i="3"/>
  <c r="D423" i="3"/>
  <c r="Q422" i="3"/>
  <c r="P422" i="3"/>
  <c r="O422" i="3"/>
  <c r="I422" i="3"/>
  <c r="R422" i="3" s="1"/>
  <c r="H422" i="3"/>
  <c r="F422" i="3"/>
  <c r="D422" i="3"/>
  <c r="Q421" i="3"/>
  <c r="P421" i="3"/>
  <c r="O421" i="3"/>
  <c r="I421" i="3"/>
  <c r="R421" i="3" s="1"/>
  <c r="H421" i="3"/>
  <c r="F421" i="3"/>
  <c r="D421" i="3"/>
  <c r="Q420" i="3"/>
  <c r="P420" i="3"/>
  <c r="O420" i="3"/>
  <c r="I420" i="3"/>
  <c r="R420" i="3" s="1"/>
  <c r="H420" i="3"/>
  <c r="F420" i="3"/>
  <c r="D420" i="3"/>
  <c r="Q419" i="3"/>
  <c r="P419" i="3"/>
  <c r="O419" i="3"/>
  <c r="I419" i="3"/>
  <c r="R419" i="3" s="1"/>
  <c r="H419" i="3"/>
  <c r="F419" i="3"/>
  <c r="D419" i="3"/>
  <c r="Q418" i="3"/>
  <c r="P418" i="3"/>
  <c r="O418" i="3"/>
  <c r="I418" i="3"/>
  <c r="R418" i="3" s="1"/>
  <c r="H418" i="3"/>
  <c r="F418" i="3"/>
  <c r="D418" i="3"/>
  <c r="Q417" i="3"/>
  <c r="P417" i="3"/>
  <c r="O417" i="3"/>
  <c r="I417" i="3"/>
  <c r="R417" i="3" s="1"/>
  <c r="H417" i="3"/>
  <c r="F417" i="3"/>
  <c r="D417" i="3"/>
  <c r="Q416" i="3"/>
  <c r="P416" i="3"/>
  <c r="O416" i="3"/>
  <c r="I416" i="3"/>
  <c r="R416" i="3" s="1"/>
  <c r="H416" i="3"/>
  <c r="F416" i="3"/>
  <c r="D416" i="3"/>
  <c r="Q415" i="3"/>
  <c r="P415" i="3"/>
  <c r="O415" i="3"/>
  <c r="I415" i="3"/>
  <c r="R415" i="3" s="1"/>
  <c r="H415" i="3"/>
  <c r="F415" i="3"/>
  <c r="D415" i="3"/>
  <c r="Q414" i="3"/>
  <c r="P414" i="3"/>
  <c r="O414" i="3"/>
  <c r="I414" i="3"/>
  <c r="R414" i="3" s="1"/>
  <c r="H414" i="3"/>
  <c r="F414" i="3"/>
  <c r="D414" i="3"/>
  <c r="Q413" i="3"/>
  <c r="P413" i="3"/>
  <c r="O413" i="3"/>
  <c r="I413" i="3"/>
  <c r="R413" i="3" s="1"/>
  <c r="H413" i="3"/>
  <c r="F413" i="3"/>
  <c r="D413" i="3"/>
  <c r="Q412" i="3"/>
  <c r="P412" i="3"/>
  <c r="O412" i="3"/>
  <c r="I412" i="3"/>
  <c r="R412" i="3" s="1"/>
  <c r="H412" i="3"/>
  <c r="F412" i="3"/>
  <c r="D412" i="3"/>
  <c r="Q411" i="3"/>
  <c r="P411" i="3"/>
  <c r="O411" i="3"/>
  <c r="I411" i="3"/>
  <c r="R411" i="3" s="1"/>
  <c r="H411" i="3"/>
  <c r="F411" i="3"/>
  <c r="D411" i="3"/>
  <c r="Q410" i="3"/>
  <c r="P410" i="3"/>
  <c r="O410" i="3"/>
  <c r="I410" i="3"/>
  <c r="R410" i="3" s="1"/>
  <c r="H410" i="3"/>
  <c r="F410" i="3"/>
  <c r="D410" i="3"/>
  <c r="Q409" i="3"/>
  <c r="P409" i="3"/>
  <c r="O409" i="3"/>
  <c r="I409" i="3"/>
  <c r="R409" i="3" s="1"/>
  <c r="H409" i="3"/>
  <c r="F409" i="3"/>
  <c r="D409" i="3"/>
  <c r="Q408" i="3"/>
  <c r="P408" i="3"/>
  <c r="O408" i="3"/>
  <c r="I408" i="3"/>
  <c r="R408" i="3" s="1"/>
  <c r="H408" i="3"/>
  <c r="F408" i="3"/>
  <c r="D408" i="3"/>
  <c r="Q407" i="3"/>
  <c r="P407" i="3"/>
  <c r="O407" i="3"/>
  <c r="I407" i="3"/>
  <c r="R407" i="3" s="1"/>
  <c r="H407" i="3"/>
  <c r="F407" i="3"/>
  <c r="D407" i="3"/>
  <c r="Q406" i="3"/>
  <c r="P406" i="3"/>
  <c r="O406" i="3"/>
  <c r="I406" i="3"/>
  <c r="R406" i="3" s="1"/>
  <c r="H406" i="3"/>
  <c r="F406" i="3"/>
  <c r="D406" i="3"/>
  <c r="Q405" i="3"/>
  <c r="P405" i="3"/>
  <c r="O405" i="3"/>
  <c r="I405" i="3"/>
  <c r="R405" i="3" s="1"/>
  <c r="H405" i="3"/>
  <c r="F405" i="3"/>
  <c r="D405" i="3"/>
  <c r="Q404" i="3"/>
  <c r="P404" i="3"/>
  <c r="O404" i="3"/>
  <c r="I404" i="3"/>
  <c r="R404" i="3" s="1"/>
  <c r="H404" i="3"/>
  <c r="F404" i="3"/>
  <c r="D404" i="3"/>
  <c r="Q403" i="3"/>
  <c r="P403" i="3"/>
  <c r="O403" i="3"/>
  <c r="I403" i="3"/>
  <c r="R403" i="3" s="1"/>
  <c r="H403" i="3"/>
  <c r="F403" i="3"/>
  <c r="D403" i="3"/>
  <c r="Q402" i="3"/>
  <c r="P402" i="3"/>
  <c r="O402" i="3"/>
  <c r="I402" i="3"/>
  <c r="R402" i="3" s="1"/>
  <c r="H402" i="3"/>
  <c r="F402" i="3"/>
  <c r="D402" i="3"/>
  <c r="Q401" i="3"/>
  <c r="P401" i="3"/>
  <c r="O401" i="3"/>
  <c r="I401" i="3"/>
  <c r="R401" i="3" s="1"/>
  <c r="H401" i="3"/>
  <c r="F401" i="3"/>
  <c r="D401" i="3"/>
  <c r="Q400" i="3"/>
  <c r="P400" i="3"/>
  <c r="O400" i="3"/>
  <c r="I400" i="3"/>
  <c r="R400" i="3" s="1"/>
  <c r="H400" i="3"/>
  <c r="F400" i="3"/>
  <c r="D400" i="3"/>
  <c r="Q399" i="3"/>
  <c r="P399" i="3"/>
  <c r="O399" i="3"/>
  <c r="I399" i="3"/>
  <c r="R399" i="3" s="1"/>
  <c r="H399" i="3"/>
  <c r="F399" i="3"/>
  <c r="D399" i="3"/>
  <c r="Q398" i="3"/>
  <c r="P398" i="3"/>
  <c r="O398" i="3"/>
  <c r="I398" i="3"/>
  <c r="R398" i="3" s="1"/>
  <c r="H398" i="3"/>
  <c r="F398" i="3"/>
  <c r="D398" i="3"/>
  <c r="Q397" i="3"/>
  <c r="P397" i="3"/>
  <c r="O397" i="3"/>
  <c r="I397" i="3"/>
  <c r="R397" i="3" s="1"/>
  <c r="H397" i="3"/>
  <c r="F397" i="3"/>
  <c r="D397" i="3"/>
  <c r="Q396" i="3"/>
  <c r="P396" i="3"/>
  <c r="O396" i="3"/>
  <c r="I396" i="3"/>
  <c r="R396" i="3" s="1"/>
  <c r="H396" i="3"/>
  <c r="F396" i="3"/>
  <c r="D396" i="3"/>
  <c r="Q395" i="3"/>
  <c r="P395" i="3"/>
  <c r="O395" i="3"/>
  <c r="I395" i="3"/>
  <c r="R395" i="3" s="1"/>
  <c r="H395" i="3"/>
  <c r="F395" i="3"/>
  <c r="D395" i="3"/>
  <c r="Q394" i="3"/>
  <c r="P394" i="3"/>
  <c r="O394" i="3"/>
  <c r="I394" i="3"/>
  <c r="R394" i="3" s="1"/>
  <c r="H394" i="3"/>
  <c r="F394" i="3"/>
  <c r="D394" i="3"/>
  <c r="Q393" i="3"/>
  <c r="P393" i="3"/>
  <c r="O393" i="3"/>
  <c r="I393" i="3"/>
  <c r="R393" i="3" s="1"/>
  <c r="H393" i="3"/>
  <c r="F393" i="3"/>
  <c r="D393" i="3"/>
  <c r="Q392" i="3"/>
  <c r="P392" i="3"/>
  <c r="O392" i="3"/>
  <c r="I392" i="3"/>
  <c r="R392" i="3" s="1"/>
  <c r="H392" i="3"/>
  <c r="F392" i="3"/>
  <c r="D392" i="3"/>
  <c r="Q391" i="3"/>
  <c r="P391" i="3"/>
  <c r="O391" i="3"/>
  <c r="I391" i="3"/>
  <c r="R391" i="3" s="1"/>
  <c r="H391" i="3"/>
  <c r="F391" i="3"/>
  <c r="D391" i="3"/>
  <c r="Q390" i="3"/>
  <c r="P390" i="3"/>
  <c r="O390" i="3"/>
  <c r="I390" i="3"/>
  <c r="R390" i="3" s="1"/>
  <c r="H390" i="3"/>
  <c r="F390" i="3"/>
  <c r="D390" i="3"/>
  <c r="Q389" i="3"/>
  <c r="P389" i="3"/>
  <c r="O389" i="3"/>
  <c r="I389" i="3"/>
  <c r="R389" i="3" s="1"/>
  <c r="H389" i="3"/>
  <c r="F389" i="3"/>
  <c r="D389" i="3"/>
  <c r="Q388" i="3"/>
  <c r="P388" i="3"/>
  <c r="O388" i="3"/>
  <c r="I388" i="3"/>
  <c r="R388" i="3" s="1"/>
  <c r="H388" i="3"/>
  <c r="F388" i="3"/>
  <c r="D388" i="3"/>
  <c r="Q387" i="3"/>
  <c r="P387" i="3"/>
  <c r="O387" i="3"/>
  <c r="I387" i="3"/>
  <c r="R387" i="3" s="1"/>
  <c r="H387" i="3"/>
  <c r="F387" i="3"/>
  <c r="D387" i="3"/>
  <c r="Q386" i="3"/>
  <c r="P386" i="3"/>
  <c r="O386" i="3"/>
  <c r="I386" i="3"/>
  <c r="R386" i="3" s="1"/>
  <c r="H386" i="3"/>
  <c r="F386" i="3"/>
  <c r="D386" i="3"/>
  <c r="Q385" i="3"/>
  <c r="P385" i="3"/>
  <c r="O385" i="3"/>
  <c r="I385" i="3"/>
  <c r="R385" i="3" s="1"/>
  <c r="H385" i="3"/>
  <c r="F385" i="3"/>
  <c r="D385" i="3"/>
  <c r="Q384" i="3"/>
  <c r="P384" i="3"/>
  <c r="O384" i="3"/>
  <c r="I384" i="3"/>
  <c r="R384" i="3" s="1"/>
  <c r="H384" i="3"/>
  <c r="F384" i="3"/>
  <c r="D384" i="3"/>
  <c r="Q383" i="3"/>
  <c r="P383" i="3"/>
  <c r="O383" i="3"/>
  <c r="I383" i="3"/>
  <c r="R383" i="3" s="1"/>
  <c r="H383" i="3"/>
  <c r="F383" i="3"/>
  <c r="D383" i="3"/>
  <c r="Q382" i="3"/>
  <c r="P382" i="3"/>
  <c r="O382" i="3"/>
  <c r="I382" i="3"/>
  <c r="R382" i="3" s="1"/>
  <c r="H382" i="3"/>
  <c r="F382" i="3"/>
  <c r="D382" i="3"/>
  <c r="Q381" i="3"/>
  <c r="P381" i="3"/>
  <c r="O381" i="3"/>
  <c r="I381" i="3"/>
  <c r="R381" i="3" s="1"/>
  <c r="H381" i="3"/>
  <c r="F381" i="3"/>
  <c r="D381" i="3"/>
  <c r="Q380" i="3"/>
  <c r="P380" i="3"/>
  <c r="O380" i="3"/>
  <c r="I380" i="3"/>
  <c r="R380" i="3" s="1"/>
  <c r="H380" i="3"/>
  <c r="F380" i="3"/>
  <c r="D380" i="3"/>
  <c r="Q379" i="3"/>
  <c r="P379" i="3"/>
  <c r="O379" i="3"/>
  <c r="I379" i="3"/>
  <c r="R379" i="3" s="1"/>
  <c r="H379" i="3"/>
  <c r="F379" i="3"/>
  <c r="D379" i="3"/>
  <c r="Q378" i="3"/>
  <c r="P378" i="3"/>
  <c r="O378" i="3"/>
  <c r="I378" i="3"/>
  <c r="R378" i="3" s="1"/>
  <c r="H378" i="3"/>
  <c r="F378" i="3"/>
  <c r="D378" i="3"/>
  <c r="Q377" i="3"/>
  <c r="P377" i="3"/>
  <c r="O377" i="3"/>
  <c r="I377" i="3"/>
  <c r="R377" i="3" s="1"/>
  <c r="H377" i="3"/>
  <c r="F377" i="3"/>
  <c r="D377" i="3"/>
  <c r="Q376" i="3"/>
  <c r="P376" i="3"/>
  <c r="O376" i="3"/>
  <c r="I376" i="3"/>
  <c r="R376" i="3" s="1"/>
  <c r="H376" i="3"/>
  <c r="F376" i="3"/>
  <c r="D376" i="3"/>
  <c r="Q375" i="3"/>
  <c r="P375" i="3"/>
  <c r="O375" i="3"/>
  <c r="I375" i="3"/>
  <c r="R375" i="3" s="1"/>
  <c r="H375" i="3"/>
  <c r="F375" i="3"/>
  <c r="D375" i="3"/>
  <c r="Q374" i="3"/>
  <c r="P374" i="3"/>
  <c r="O374" i="3"/>
  <c r="I374" i="3"/>
  <c r="R374" i="3" s="1"/>
  <c r="H374" i="3"/>
  <c r="F374" i="3"/>
  <c r="D374" i="3"/>
  <c r="Q373" i="3"/>
  <c r="P373" i="3"/>
  <c r="O373" i="3"/>
  <c r="I373" i="3"/>
  <c r="R373" i="3" s="1"/>
  <c r="H373" i="3"/>
  <c r="F373" i="3"/>
  <c r="D373" i="3"/>
  <c r="Q372" i="3"/>
  <c r="P372" i="3"/>
  <c r="O372" i="3"/>
  <c r="I372" i="3"/>
  <c r="R372" i="3" s="1"/>
  <c r="H372" i="3"/>
  <c r="F372" i="3"/>
  <c r="D372" i="3"/>
  <c r="Q371" i="3"/>
  <c r="P371" i="3"/>
  <c r="O371" i="3"/>
  <c r="I371" i="3"/>
  <c r="R371" i="3" s="1"/>
  <c r="H371" i="3"/>
  <c r="F371" i="3"/>
  <c r="D371" i="3"/>
  <c r="Q370" i="3"/>
  <c r="P370" i="3"/>
  <c r="O370" i="3"/>
  <c r="I370" i="3"/>
  <c r="R370" i="3" s="1"/>
  <c r="H370" i="3"/>
  <c r="F370" i="3"/>
  <c r="D370" i="3"/>
  <c r="Q369" i="3"/>
  <c r="P369" i="3"/>
  <c r="O369" i="3"/>
  <c r="I369" i="3"/>
  <c r="R369" i="3" s="1"/>
  <c r="H369" i="3"/>
  <c r="F369" i="3"/>
  <c r="D369" i="3"/>
  <c r="Q368" i="3"/>
  <c r="P368" i="3"/>
  <c r="O368" i="3"/>
  <c r="I368" i="3"/>
  <c r="R368" i="3" s="1"/>
  <c r="H368" i="3"/>
  <c r="F368" i="3"/>
  <c r="D368" i="3"/>
  <c r="Q367" i="3"/>
  <c r="P367" i="3"/>
  <c r="O367" i="3"/>
  <c r="I367" i="3"/>
  <c r="R367" i="3" s="1"/>
  <c r="H367" i="3"/>
  <c r="F367" i="3"/>
  <c r="D367" i="3"/>
  <c r="Q366" i="3"/>
  <c r="P366" i="3"/>
  <c r="O366" i="3"/>
  <c r="I366" i="3"/>
  <c r="R366" i="3" s="1"/>
  <c r="H366" i="3"/>
  <c r="F366" i="3"/>
  <c r="D366" i="3"/>
  <c r="Q365" i="3"/>
  <c r="P365" i="3"/>
  <c r="O365" i="3"/>
  <c r="I365" i="3"/>
  <c r="R365" i="3" s="1"/>
  <c r="H365" i="3"/>
  <c r="F365" i="3"/>
  <c r="D365" i="3"/>
  <c r="Q364" i="3"/>
  <c r="P364" i="3"/>
  <c r="O364" i="3"/>
  <c r="I364" i="3"/>
  <c r="R364" i="3" s="1"/>
  <c r="H364" i="3"/>
  <c r="F364" i="3"/>
  <c r="D364" i="3"/>
  <c r="Q363" i="3"/>
  <c r="P363" i="3"/>
  <c r="O363" i="3"/>
  <c r="I363" i="3"/>
  <c r="R363" i="3" s="1"/>
  <c r="H363" i="3"/>
  <c r="F363" i="3"/>
  <c r="D363" i="3"/>
  <c r="Q362" i="3"/>
  <c r="P362" i="3"/>
  <c r="O362" i="3"/>
  <c r="I362" i="3"/>
  <c r="R362" i="3" s="1"/>
  <c r="H362" i="3"/>
  <c r="F362" i="3"/>
  <c r="D362" i="3"/>
  <c r="Q361" i="3"/>
  <c r="P361" i="3"/>
  <c r="O361" i="3"/>
  <c r="I361" i="3"/>
  <c r="R361" i="3" s="1"/>
  <c r="H361" i="3"/>
  <c r="F361" i="3"/>
  <c r="D361" i="3"/>
  <c r="Q360" i="3"/>
  <c r="P360" i="3"/>
  <c r="O360" i="3"/>
  <c r="I360" i="3"/>
  <c r="R360" i="3" s="1"/>
  <c r="H360" i="3"/>
  <c r="F360" i="3"/>
  <c r="D360" i="3"/>
  <c r="Q359" i="3"/>
  <c r="P359" i="3"/>
  <c r="O359" i="3"/>
  <c r="I359" i="3"/>
  <c r="R359" i="3" s="1"/>
  <c r="H359" i="3"/>
  <c r="F359" i="3"/>
  <c r="D359" i="3"/>
  <c r="Q358" i="3"/>
  <c r="P358" i="3"/>
  <c r="O358" i="3"/>
  <c r="I358" i="3"/>
  <c r="R358" i="3" s="1"/>
  <c r="H358" i="3"/>
  <c r="F358" i="3"/>
  <c r="D358" i="3"/>
  <c r="Q357" i="3"/>
  <c r="P357" i="3"/>
  <c r="O357" i="3"/>
  <c r="I357" i="3"/>
  <c r="R357" i="3" s="1"/>
  <c r="H357" i="3"/>
  <c r="F357" i="3"/>
  <c r="D357" i="3"/>
  <c r="Q356" i="3"/>
  <c r="P356" i="3"/>
  <c r="O356" i="3"/>
  <c r="I356" i="3"/>
  <c r="R356" i="3" s="1"/>
  <c r="H356" i="3"/>
  <c r="F356" i="3"/>
  <c r="D356" i="3"/>
  <c r="Q355" i="3"/>
  <c r="P355" i="3"/>
  <c r="O355" i="3"/>
  <c r="I355" i="3"/>
  <c r="R355" i="3" s="1"/>
  <c r="H355" i="3"/>
  <c r="F355" i="3"/>
  <c r="D355" i="3"/>
  <c r="Q354" i="3"/>
  <c r="P354" i="3"/>
  <c r="O354" i="3"/>
  <c r="I354" i="3"/>
  <c r="R354" i="3" s="1"/>
  <c r="H354" i="3"/>
  <c r="F354" i="3"/>
  <c r="D354" i="3"/>
  <c r="Q353" i="3"/>
  <c r="P353" i="3"/>
  <c r="O353" i="3"/>
  <c r="I353" i="3"/>
  <c r="R353" i="3" s="1"/>
  <c r="H353" i="3"/>
  <c r="F353" i="3"/>
  <c r="D353" i="3"/>
  <c r="Q352" i="3"/>
  <c r="P352" i="3"/>
  <c r="O352" i="3"/>
  <c r="I352" i="3"/>
  <c r="R352" i="3" s="1"/>
  <c r="H352" i="3"/>
  <c r="F352" i="3"/>
  <c r="D352" i="3"/>
  <c r="Q351" i="3"/>
  <c r="P351" i="3"/>
  <c r="O351" i="3"/>
  <c r="I351" i="3"/>
  <c r="R351" i="3" s="1"/>
  <c r="H351" i="3"/>
  <c r="F351" i="3"/>
  <c r="D351" i="3"/>
  <c r="Q350" i="3"/>
  <c r="P350" i="3"/>
  <c r="O350" i="3"/>
  <c r="I350" i="3"/>
  <c r="R350" i="3" s="1"/>
  <c r="H350" i="3"/>
  <c r="F350" i="3"/>
  <c r="D350" i="3"/>
  <c r="Q349" i="3"/>
  <c r="P349" i="3"/>
  <c r="O349" i="3"/>
  <c r="I349" i="3"/>
  <c r="R349" i="3" s="1"/>
  <c r="H349" i="3"/>
  <c r="F349" i="3"/>
  <c r="D349" i="3"/>
  <c r="Q348" i="3"/>
  <c r="P348" i="3"/>
  <c r="O348" i="3"/>
  <c r="I348" i="3"/>
  <c r="R348" i="3" s="1"/>
  <c r="H348" i="3"/>
  <c r="F348" i="3"/>
  <c r="D348" i="3"/>
  <c r="Q347" i="3"/>
  <c r="P347" i="3"/>
  <c r="O347" i="3"/>
  <c r="I347" i="3"/>
  <c r="R347" i="3" s="1"/>
  <c r="H347" i="3"/>
  <c r="F347" i="3"/>
  <c r="D347" i="3"/>
  <c r="Q346" i="3"/>
  <c r="P346" i="3"/>
  <c r="O346" i="3"/>
  <c r="I346" i="3"/>
  <c r="R346" i="3" s="1"/>
  <c r="H346" i="3"/>
  <c r="F346" i="3"/>
  <c r="D346" i="3"/>
  <c r="Q345" i="3"/>
  <c r="P345" i="3"/>
  <c r="O345" i="3"/>
  <c r="I345" i="3"/>
  <c r="R345" i="3" s="1"/>
  <c r="H345" i="3"/>
  <c r="F345" i="3"/>
  <c r="D345" i="3"/>
  <c r="Q344" i="3"/>
  <c r="P344" i="3"/>
  <c r="O344" i="3"/>
  <c r="I344" i="3"/>
  <c r="R344" i="3" s="1"/>
  <c r="H344" i="3"/>
  <c r="F344" i="3"/>
  <c r="D344" i="3"/>
  <c r="Q343" i="3"/>
  <c r="P343" i="3"/>
  <c r="O343" i="3"/>
  <c r="I343" i="3"/>
  <c r="R343" i="3" s="1"/>
  <c r="H343" i="3"/>
  <c r="F343" i="3"/>
  <c r="D343" i="3"/>
  <c r="Q342" i="3"/>
  <c r="P342" i="3"/>
  <c r="O342" i="3"/>
  <c r="I342" i="3"/>
  <c r="R342" i="3" s="1"/>
  <c r="H342" i="3"/>
  <c r="F342" i="3"/>
  <c r="D342" i="3"/>
  <c r="Q341" i="3"/>
  <c r="P341" i="3"/>
  <c r="O341" i="3"/>
  <c r="I341" i="3"/>
  <c r="R341" i="3" s="1"/>
  <c r="H341" i="3"/>
  <c r="F341" i="3"/>
  <c r="D341" i="3"/>
  <c r="Q340" i="3"/>
  <c r="P340" i="3"/>
  <c r="O340" i="3"/>
  <c r="I340" i="3"/>
  <c r="R340" i="3" s="1"/>
  <c r="H340" i="3"/>
  <c r="F340" i="3"/>
  <c r="D340" i="3"/>
  <c r="Q339" i="3"/>
  <c r="P339" i="3"/>
  <c r="O339" i="3"/>
  <c r="I339" i="3"/>
  <c r="R339" i="3" s="1"/>
  <c r="H339" i="3"/>
  <c r="F339" i="3"/>
  <c r="D339" i="3"/>
  <c r="Q338" i="3"/>
  <c r="P338" i="3"/>
  <c r="O338" i="3"/>
  <c r="I338" i="3"/>
  <c r="R338" i="3" s="1"/>
  <c r="H338" i="3"/>
  <c r="F338" i="3"/>
  <c r="D338" i="3"/>
  <c r="Q337" i="3"/>
  <c r="P337" i="3"/>
  <c r="O337" i="3"/>
  <c r="I337" i="3"/>
  <c r="R337" i="3" s="1"/>
  <c r="H337" i="3"/>
  <c r="F337" i="3"/>
  <c r="D337" i="3"/>
  <c r="Q336" i="3"/>
  <c r="P336" i="3"/>
  <c r="O336" i="3"/>
  <c r="I336" i="3"/>
  <c r="R336" i="3" s="1"/>
  <c r="H336" i="3"/>
  <c r="F336" i="3"/>
  <c r="D336" i="3"/>
  <c r="Q335" i="3"/>
  <c r="P335" i="3"/>
  <c r="O335" i="3"/>
  <c r="I335" i="3"/>
  <c r="R335" i="3" s="1"/>
  <c r="H335" i="3"/>
  <c r="F335" i="3"/>
  <c r="D335" i="3"/>
  <c r="Q334" i="3"/>
  <c r="P334" i="3"/>
  <c r="O334" i="3"/>
  <c r="I334" i="3"/>
  <c r="R334" i="3" s="1"/>
  <c r="H334" i="3"/>
  <c r="F334" i="3"/>
  <c r="D334" i="3"/>
  <c r="Q333" i="3"/>
  <c r="P333" i="3"/>
  <c r="O333" i="3"/>
  <c r="I333" i="3"/>
  <c r="R333" i="3" s="1"/>
  <c r="H333" i="3"/>
  <c r="F333" i="3"/>
  <c r="D333" i="3"/>
  <c r="Q332" i="3"/>
  <c r="P332" i="3"/>
  <c r="O332" i="3"/>
  <c r="I332" i="3"/>
  <c r="R332" i="3" s="1"/>
  <c r="H332" i="3"/>
  <c r="F332" i="3"/>
  <c r="D332" i="3"/>
  <c r="Q331" i="3"/>
  <c r="P331" i="3"/>
  <c r="O331" i="3"/>
  <c r="I331" i="3"/>
  <c r="R331" i="3" s="1"/>
  <c r="H331" i="3"/>
  <c r="F331" i="3"/>
  <c r="D331" i="3"/>
  <c r="Q330" i="3"/>
  <c r="P330" i="3"/>
  <c r="O330" i="3"/>
  <c r="I330" i="3"/>
  <c r="R330" i="3" s="1"/>
  <c r="H330" i="3"/>
  <c r="F330" i="3"/>
  <c r="D330" i="3"/>
  <c r="Q329" i="3"/>
  <c r="P329" i="3"/>
  <c r="O329" i="3"/>
  <c r="I329" i="3"/>
  <c r="R329" i="3" s="1"/>
  <c r="H329" i="3"/>
  <c r="F329" i="3"/>
  <c r="D329" i="3"/>
  <c r="Q328" i="3"/>
  <c r="P328" i="3"/>
  <c r="O328" i="3"/>
  <c r="I328" i="3"/>
  <c r="R328" i="3" s="1"/>
  <c r="H328" i="3"/>
  <c r="F328" i="3"/>
  <c r="D328" i="3"/>
  <c r="Q327" i="3"/>
  <c r="P327" i="3"/>
  <c r="O327" i="3"/>
  <c r="I327" i="3"/>
  <c r="R327" i="3" s="1"/>
  <c r="H327" i="3"/>
  <c r="F327" i="3"/>
  <c r="D327" i="3"/>
  <c r="Q326" i="3"/>
  <c r="P326" i="3"/>
  <c r="O326" i="3"/>
  <c r="I326" i="3"/>
  <c r="R326" i="3" s="1"/>
  <c r="H326" i="3"/>
  <c r="F326" i="3"/>
  <c r="D326" i="3"/>
  <c r="Q325" i="3"/>
  <c r="P325" i="3"/>
  <c r="O325" i="3"/>
  <c r="I325" i="3"/>
  <c r="R325" i="3" s="1"/>
  <c r="H325" i="3"/>
  <c r="F325" i="3"/>
  <c r="D325" i="3"/>
  <c r="Q324" i="3"/>
  <c r="P324" i="3"/>
  <c r="O324" i="3"/>
  <c r="I324" i="3"/>
  <c r="R324" i="3" s="1"/>
  <c r="H324" i="3"/>
  <c r="F324" i="3"/>
  <c r="D324" i="3"/>
  <c r="Q323" i="3"/>
  <c r="P323" i="3"/>
  <c r="O323" i="3"/>
  <c r="I323" i="3"/>
  <c r="R323" i="3" s="1"/>
  <c r="H323" i="3"/>
  <c r="F323" i="3"/>
  <c r="D323" i="3"/>
  <c r="Q322" i="3"/>
  <c r="P322" i="3"/>
  <c r="O322" i="3"/>
  <c r="I322" i="3"/>
  <c r="R322" i="3" s="1"/>
  <c r="H322" i="3"/>
  <c r="F322" i="3"/>
  <c r="D322" i="3"/>
  <c r="Q321" i="3"/>
  <c r="P321" i="3"/>
  <c r="O321" i="3"/>
  <c r="I321" i="3"/>
  <c r="R321" i="3" s="1"/>
  <c r="H321" i="3"/>
  <c r="F321" i="3"/>
  <c r="D321" i="3"/>
  <c r="Q320" i="3"/>
  <c r="P320" i="3"/>
  <c r="O320" i="3"/>
  <c r="I320" i="3"/>
  <c r="R320" i="3" s="1"/>
  <c r="H320" i="3"/>
  <c r="F320" i="3"/>
  <c r="D320" i="3"/>
  <c r="Q319" i="3"/>
  <c r="P319" i="3"/>
  <c r="O319" i="3"/>
  <c r="I319" i="3"/>
  <c r="R319" i="3" s="1"/>
  <c r="H319" i="3"/>
  <c r="F319" i="3"/>
  <c r="D319" i="3"/>
  <c r="Q318" i="3"/>
  <c r="P318" i="3"/>
  <c r="O318" i="3"/>
  <c r="I318" i="3"/>
  <c r="R318" i="3" s="1"/>
  <c r="H318" i="3"/>
  <c r="F318" i="3"/>
  <c r="D318" i="3"/>
  <c r="Q317" i="3"/>
  <c r="P317" i="3"/>
  <c r="O317" i="3"/>
  <c r="I317" i="3"/>
  <c r="R317" i="3" s="1"/>
  <c r="H317" i="3"/>
  <c r="F317" i="3"/>
  <c r="D317" i="3"/>
  <c r="Q316" i="3"/>
  <c r="P316" i="3"/>
  <c r="O316" i="3"/>
  <c r="I316" i="3"/>
  <c r="R316" i="3" s="1"/>
  <c r="H316" i="3"/>
  <c r="F316" i="3"/>
  <c r="D316" i="3"/>
  <c r="Q315" i="3"/>
  <c r="P315" i="3"/>
  <c r="O315" i="3"/>
  <c r="I315" i="3"/>
  <c r="R315" i="3" s="1"/>
  <c r="H315" i="3"/>
  <c r="F315" i="3"/>
  <c r="D315" i="3"/>
  <c r="Q314" i="3"/>
  <c r="P314" i="3"/>
  <c r="O314" i="3"/>
  <c r="I314" i="3"/>
  <c r="R314" i="3" s="1"/>
  <c r="H314" i="3"/>
  <c r="F314" i="3"/>
  <c r="D314" i="3"/>
  <c r="Q313" i="3"/>
  <c r="P313" i="3"/>
  <c r="O313" i="3"/>
  <c r="I313" i="3"/>
  <c r="R313" i="3" s="1"/>
  <c r="H313" i="3"/>
  <c r="F313" i="3"/>
  <c r="D313" i="3"/>
  <c r="Q312" i="3"/>
  <c r="P312" i="3"/>
  <c r="O312" i="3"/>
  <c r="I312" i="3"/>
  <c r="R312" i="3" s="1"/>
  <c r="H312" i="3"/>
  <c r="F312" i="3"/>
  <c r="D312" i="3"/>
  <c r="Q311" i="3"/>
  <c r="P311" i="3"/>
  <c r="O311" i="3"/>
  <c r="I311" i="3"/>
  <c r="R311" i="3" s="1"/>
  <c r="H311" i="3"/>
  <c r="F311" i="3"/>
  <c r="D311" i="3"/>
  <c r="Q310" i="3"/>
  <c r="P310" i="3"/>
  <c r="O310" i="3"/>
  <c r="I310" i="3"/>
  <c r="R310" i="3" s="1"/>
  <c r="H310" i="3"/>
  <c r="F310" i="3"/>
  <c r="D310" i="3"/>
  <c r="Q309" i="3"/>
  <c r="P309" i="3"/>
  <c r="O309" i="3"/>
  <c r="I309" i="3"/>
  <c r="R309" i="3" s="1"/>
  <c r="H309" i="3"/>
  <c r="F309" i="3"/>
  <c r="D309" i="3"/>
  <c r="Q308" i="3"/>
  <c r="P308" i="3"/>
  <c r="O308" i="3"/>
  <c r="I308" i="3"/>
  <c r="R308" i="3" s="1"/>
  <c r="H308" i="3"/>
  <c r="F308" i="3"/>
  <c r="D308" i="3"/>
  <c r="Q307" i="3"/>
  <c r="P307" i="3"/>
  <c r="O307" i="3"/>
  <c r="I307" i="3"/>
  <c r="R307" i="3" s="1"/>
  <c r="H307" i="3"/>
  <c r="F307" i="3"/>
  <c r="D307" i="3"/>
  <c r="Q306" i="3"/>
  <c r="P306" i="3"/>
  <c r="O306" i="3"/>
  <c r="I306" i="3"/>
  <c r="R306" i="3" s="1"/>
  <c r="H306" i="3"/>
  <c r="F306" i="3"/>
  <c r="D306" i="3"/>
  <c r="Q305" i="3"/>
  <c r="P305" i="3"/>
  <c r="O305" i="3"/>
  <c r="I305" i="3"/>
  <c r="R305" i="3" s="1"/>
  <c r="H305" i="3"/>
  <c r="F305" i="3"/>
  <c r="D305" i="3"/>
  <c r="Q304" i="3"/>
  <c r="P304" i="3"/>
  <c r="O304" i="3"/>
  <c r="I304" i="3"/>
  <c r="R304" i="3" s="1"/>
  <c r="H304" i="3"/>
  <c r="F304" i="3"/>
  <c r="D304" i="3"/>
  <c r="Q303" i="3"/>
  <c r="P303" i="3"/>
  <c r="O303" i="3"/>
  <c r="I303" i="3"/>
  <c r="R303" i="3" s="1"/>
  <c r="H303" i="3"/>
  <c r="F303" i="3"/>
  <c r="D303" i="3"/>
  <c r="Q302" i="3"/>
  <c r="P302" i="3"/>
  <c r="O302" i="3"/>
  <c r="I302" i="3"/>
  <c r="R302" i="3" s="1"/>
  <c r="H302" i="3"/>
  <c r="F302" i="3"/>
  <c r="D302" i="3"/>
  <c r="Q301" i="3"/>
  <c r="P301" i="3"/>
  <c r="O301" i="3"/>
  <c r="I301" i="3"/>
  <c r="R301" i="3" s="1"/>
  <c r="H301" i="3"/>
  <c r="F301" i="3"/>
  <c r="D301" i="3"/>
  <c r="Q300" i="3"/>
  <c r="P300" i="3"/>
  <c r="O300" i="3"/>
  <c r="I300" i="3"/>
  <c r="R300" i="3" s="1"/>
  <c r="H300" i="3"/>
  <c r="F300" i="3"/>
  <c r="D300" i="3"/>
  <c r="Q299" i="3"/>
  <c r="P299" i="3"/>
  <c r="O299" i="3"/>
  <c r="I299" i="3"/>
  <c r="R299" i="3" s="1"/>
  <c r="H299" i="3"/>
  <c r="F299" i="3"/>
  <c r="D299" i="3"/>
  <c r="Q298" i="3"/>
  <c r="P298" i="3"/>
  <c r="O298" i="3"/>
  <c r="I298" i="3"/>
  <c r="R298" i="3" s="1"/>
  <c r="H298" i="3"/>
  <c r="F298" i="3"/>
  <c r="D298" i="3"/>
  <c r="Q297" i="3"/>
  <c r="P297" i="3"/>
  <c r="O297" i="3"/>
  <c r="I297" i="3"/>
  <c r="R297" i="3" s="1"/>
  <c r="H297" i="3"/>
  <c r="F297" i="3"/>
  <c r="D297" i="3"/>
  <c r="Q296" i="3"/>
  <c r="P296" i="3"/>
  <c r="O296" i="3"/>
  <c r="I296" i="3"/>
  <c r="R296" i="3" s="1"/>
  <c r="H296" i="3"/>
  <c r="F296" i="3"/>
  <c r="D296" i="3"/>
  <c r="Q295" i="3"/>
  <c r="P295" i="3"/>
  <c r="O295" i="3"/>
  <c r="I295" i="3"/>
  <c r="R295" i="3" s="1"/>
  <c r="H295" i="3"/>
  <c r="F295" i="3"/>
  <c r="D295" i="3"/>
  <c r="Q294" i="3"/>
  <c r="P294" i="3"/>
  <c r="O294" i="3"/>
  <c r="I294" i="3"/>
  <c r="R294" i="3" s="1"/>
  <c r="H294" i="3"/>
  <c r="F294" i="3"/>
  <c r="D294" i="3"/>
  <c r="Q293" i="3"/>
  <c r="P293" i="3"/>
  <c r="O293" i="3"/>
  <c r="I293" i="3"/>
  <c r="R293" i="3" s="1"/>
  <c r="H293" i="3"/>
  <c r="F293" i="3"/>
  <c r="D293" i="3"/>
  <c r="Q292" i="3"/>
  <c r="P292" i="3"/>
  <c r="O292" i="3"/>
  <c r="I292" i="3"/>
  <c r="R292" i="3" s="1"/>
  <c r="H292" i="3"/>
  <c r="F292" i="3"/>
  <c r="D292" i="3"/>
  <c r="Q291" i="3"/>
  <c r="P291" i="3"/>
  <c r="O291" i="3"/>
  <c r="I291" i="3"/>
  <c r="R291" i="3" s="1"/>
  <c r="H291" i="3"/>
  <c r="F291" i="3"/>
  <c r="D291" i="3"/>
  <c r="Q290" i="3"/>
  <c r="P290" i="3"/>
  <c r="O290" i="3"/>
  <c r="I290" i="3"/>
  <c r="R290" i="3" s="1"/>
  <c r="H290" i="3"/>
  <c r="F290" i="3"/>
  <c r="D290" i="3"/>
  <c r="Q289" i="3"/>
  <c r="P289" i="3"/>
  <c r="O289" i="3"/>
  <c r="I289" i="3"/>
  <c r="R289" i="3" s="1"/>
  <c r="H289" i="3"/>
  <c r="F289" i="3"/>
  <c r="D289" i="3"/>
  <c r="Q288" i="3"/>
  <c r="P288" i="3"/>
  <c r="O288" i="3"/>
  <c r="I288" i="3"/>
  <c r="R288" i="3" s="1"/>
  <c r="H288" i="3"/>
  <c r="F288" i="3"/>
  <c r="D288" i="3"/>
  <c r="Q287" i="3"/>
  <c r="P287" i="3"/>
  <c r="O287" i="3"/>
  <c r="I287" i="3"/>
  <c r="R287" i="3" s="1"/>
  <c r="H287" i="3"/>
  <c r="F287" i="3"/>
  <c r="D287" i="3"/>
  <c r="Q286" i="3"/>
  <c r="P286" i="3"/>
  <c r="O286" i="3"/>
  <c r="I286" i="3"/>
  <c r="R286" i="3" s="1"/>
  <c r="H286" i="3"/>
  <c r="F286" i="3"/>
  <c r="D286" i="3"/>
  <c r="Q285" i="3"/>
  <c r="P285" i="3"/>
  <c r="O285" i="3"/>
  <c r="I285" i="3"/>
  <c r="R285" i="3" s="1"/>
  <c r="H285" i="3"/>
  <c r="F285" i="3"/>
  <c r="D285" i="3"/>
  <c r="Q284" i="3"/>
  <c r="P284" i="3"/>
  <c r="O284" i="3"/>
  <c r="I284" i="3"/>
  <c r="R284" i="3" s="1"/>
  <c r="H284" i="3"/>
  <c r="F284" i="3"/>
  <c r="D284" i="3"/>
  <c r="Q283" i="3"/>
  <c r="P283" i="3"/>
  <c r="O283" i="3"/>
  <c r="I283" i="3"/>
  <c r="R283" i="3" s="1"/>
  <c r="H283" i="3"/>
  <c r="F283" i="3"/>
  <c r="D283" i="3"/>
  <c r="Q282" i="3"/>
  <c r="P282" i="3"/>
  <c r="O282" i="3"/>
  <c r="I282" i="3"/>
  <c r="R282" i="3" s="1"/>
  <c r="H282" i="3"/>
  <c r="F282" i="3"/>
  <c r="D282" i="3"/>
  <c r="Q281" i="3"/>
  <c r="P281" i="3"/>
  <c r="O281" i="3"/>
  <c r="I281" i="3"/>
  <c r="R281" i="3" s="1"/>
  <c r="H281" i="3"/>
  <c r="F281" i="3"/>
  <c r="D281" i="3"/>
  <c r="Q280" i="3"/>
  <c r="P280" i="3"/>
  <c r="O280" i="3"/>
  <c r="I280" i="3"/>
  <c r="R280" i="3" s="1"/>
  <c r="H280" i="3"/>
  <c r="F280" i="3"/>
  <c r="D280" i="3"/>
  <c r="Q279" i="3"/>
  <c r="P279" i="3"/>
  <c r="O279" i="3"/>
  <c r="I279" i="3"/>
  <c r="R279" i="3" s="1"/>
  <c r="H279" i="3"/>
  <c r="F279" i="3"/>
  <c r="D279" i="3"/>
  <c r="Q278" i="3"/>
  <c r="P278" i="3"/>
  <c r="O278" i="3"/>
  <c r="I278" i="3"/>
  <c r="R278" i="3" s="1"/>
  <c r="H278" i="3"/>
  <c r="F278" i="3"/>
  <c r="D278" i="3"/>
  <c r="Q277" i="3"/>
  <c r="P277" i="3"/>
  <c r="O277" i="3"/>
  <c r="I277" i="3"/>
  <c r="R277" i="3" s="1"/>
  <c r="H277" i="3"/>
  <c r="F277" i="3"/>
  <c r="D277" i="3"/>
  <c r="Q276" i="3"/>
  <c r="P276" i="3"/>
  <c r="O276" i="3"/>
  <c r="I276" i="3"/>
  <c r="R276" i="3" s="1"/>
  <c r="H276" i="3"/>
  <c r="F276" i="3"/>
  <c r="D276" i="3"/>
  <c r="Q275" i="3"/>
  <c r="P275" i="3"/>
  <c r="O275" i="3"/>
  <c r="I275" i="3"/>
  <c r="R275" i="3" s="1"/>
  <c r="H275" i="3"/>
  <c r="F275" i="3"/>
  <c r="D275" i="3"/>
  <c r="Q274" i="3"/>
  <c r="P274" i="3"/>
  <c r="O274" i="3"/>
  <c r="I274" i="3"/>
  <c r="R274" i="3" s="1"/>
  <c r="H274" i="3"/>
  <c r="F274" i="3"/>
  <c r="D274" i="3"/>
  <c r="Q273" i="3"/>
  <c r="P273" i="3"/>
  <c r="O273" i="3"/>
  <c r="I273" i="3"/>
  <c r="R273" i="3" s="1"/>
  <c r="H273" i="3"/>
  <c r="F273" i="3"/>
  <c r="D273" i="3"/>
  <c r="Q272" i="3"/>
  <c r="P272" i="3"/>
  <c r="O272" i="3"/>
  <c r="I272" i="3"/>
  <c r="R272" i="3" s="1"/>
  <c r="H272" i="3"/>
  <c r="F272" i="3"/>
  <c r="D272" i="3"/>
  <c r="Q271" i="3"/>
  <c r="P271" i="3"/>
  <c r="O271" i="3"/>
  <c r="I271" i="3"/>
  <c r="R271" i="3" s="1"/>
  <c r="H271" i="3"/>
  <c r="F271" i="3"/>
  <c r="D271" i="3"/>
  <c r="Q270" i="3"/>
  <c r="P270" i="3"/>
  <c r="O270" i="3"/>
  <c r="I270" i="3"/>
  <c r="R270" i="3" s="1"/>
  <c r="H270" i="3"/>
  <c r="F270" i="3"/>
  <c r="D270" i="3"/>
  <c r="Q269" i="3"/>
  <c r="P269" i="3"/>
  <c r="O269" i="3"/>
  <c r="I269" i="3"/>
  <c r="R269" i="3" s="1"/>
  <c r="H269" i="3"/>
  <c r="F269" i="3"/>
  <c r="D269" i="3"/>
  <c r="Q268" i="3"/>
  <c r="P268" i="3"/>
  <c r="O268" i="3"/>
  <c r="I268" i="3"/>
  <c r="R268" i="3" s="1"/>
  <c r="H268" i="3"/>
  <c r="F268" i="3"/>
  <c r="D268" i="3"/>
  <c r="Q267" i="3"/>
  <c r="P267" i="3"/>
  <c r="O267" i="3"/>
  <c r="I267" i="3"/>
  <c r="R267" i="3" s="1"/>
  <c r="H267" i="3"/>
  <c r="F267" i="3"/>
  <c r="D267" i="3"/>
  <c r="Q266" i="3"/>
  <c r="P266" i="3"/>
  <c r="O266" i="3"/>
  <c r="I266" i="3"/>
  <c r="R266" i="3" s="1"/>
  <c r="H266" i="3"/>
  <c r="F266" i="3"/>
  <c r="D266" i="3"/>
  <c r="Q265" i="3"/>
  <c r="P265" i="3"/>
  <c r="O265" i="3"/>
  <c r="I265" i="3"/>
  <c r="R265" i="3" s="1"/>
  <c r="H265" i="3"/>
  <c r="F265" i="3"/>
  <c r="D265" i="3"/>
  <c r="Q264" i="3"/>
  <c r="P264" i="3"/>
  <c r="O264" i="3"/>
  <c r="I264" i="3"/>
  <c r="R264" i="3" s="1"/>
  <c r="H264" i="3"/>
  <c r="F264" i="3"/>
  <c r="D264" i="3"/>
  <c r="Q263" i="3"/>
  <c r="P263" i="3"/>
  <c r="O263" i="3"/>
  <c r="I263" i="3"/>
  <c r="R263" i="3" s="1"/>
  <c r="H263" i="3"/>
  <c r="F263" i="3"/>
  <c r="D263" i="3"/>
  <c r="Q262" i="3"/>
  <c r="P262" i="3"/>
  <c r="O262" i="3"/>
  <c r="I262" i="3"/>
  <c r="R262" i="3" s="1"/>
  <c r="H262" i="3"/>
  <c r="F262" i="3"/>
  <c r="D262" i="3"/>
  <c r="Q261" i="3"/>
  <c r="P261" i="3"/>
  <c r="O261" i="3"/>
  <c r="I261" i="3"/>
  <c r="R261" i="3" s="1"/>
  <c r="H261" i="3"/>
  <c r="F261" i="3"/>
  <c r="D261" i="3"/>
  <c r="Q260" i="3"/>
  <c r="P260" i="3"/>
  <c r="O260" i="3"/>
  <c r="I260" i="3"/>
  <c r="R260" i="3" s="1"/>
  <c r="H260" i="3"/>
  <c r="F260" i="3"/>
  <c r="D260" i="3"/>
  <c r="Q259" i="3"/>
  <c r="P259" i="3"/>
  <c r="O259" i="3"/>
  <c r="I259" i="3"/>
  <c r="R259" i="3" s="1"/>
  <c r="H259" i="3"/>
  <c r="F259" i="3"/>
  <c r="D259" i="3"/>
  <c r="Q258" i="3"/>
  <c r="P258" i="3"/>
  <c r="O258" i="3"/>
  <c r="I258" i="3"/>
  <c r="R258" i="3" s="1"/>
  <c r="H258" i="3"/>
  <c r="F258" i="3"/>
  <c r="D258" i="3"/>
  <c r="Q257" i="3"/>
  <c r="P257" i="3"/>
  <c r="O257" i="3"/>
  <c r="I257" i="3"/>
  <c r="R257" i="3" s="1"/>
  <c r="H257" i="3"/>
  <c r="F257" i="3"/>
  <c r="D257" i="3"/>
  <c r="Q256" i="3"/>
  <c r="P256" i="3"/>
  <c r="O256" i="3"/>
  <c r="I256" i="3"/>
  <c r="R256" i="3" s="1"/>
  <c r="H256" i="3"/>
  <c r="F256" i="3"/>
  <c r="D256" i="3"/>
  <c r="Q255" i="3"/>
  <c r="P255" i="3"/>
  <c r="O255" i="3"/>
  <c r="I255" i="3"/>
  <c r="R255" i="3" s="1"/>
  <c r="H255" i="3"/>
  <c r="F255" i="3"/>
  <c r="D255" i="3"/>
  <c r="Q254" i="3"/>
  <c r="P254" i="3"/>
  <c r="O254" i="3"/>
  <c r="I254" i="3"/>
  <c r="R254" i="3" s="1"/>
  <c r="H254" i="3"/>
  <c r="F254" i="3"/>
  <c r="D254" i="3"/>
  <c r="Q253" i="3"/>
  <c r="P253" i="3"/>
  <c r="O253" i="3"/>
  <c r="I253" i="3"/>
  <c r="R253" i="3" s="1"/>
  <c r="H253" i="3"/>
  <c r="F253" i="3"/>
  <c r="D253" i="3"/>
  <c r="Q252" i="3"/>
  <c r="P252" i="3"/>
  <c r="O252" i="3"/>
  <c r="I252" i="3"/>
  <c r="R252" i="3" s="1"/>
  <c r="H252" i="3"/>
  <c r="F252" i="3"/>
  <c r="D252" i="3"/>
  <c r="Q251" i="3"/>
  <c r="P251" i="3"/>
  <c r="O251" i="3"/>
  <c r="I251" i="3"/>
  <c r="R251" i="3" s="1"/>
  <c r="H251" i="3"/>
  <c r="F251" i="3"/>
  <c r="D251" i="3"/>
  <c r="Q250" i="3"/>
  <c r="P250" i="3"/>
  <c r="O250" i="3"/>
  <c r="I250" i="3"/>
  <c r="R250" i="3" s="1"/>
  <c r="H250" i="3"/>
  <c r="F250" i="3"/>
  <c r="D250" i="3"/>
  <c r="Q249" i="3"/>
  <c r="P249" i="3"/>
  <c r="O249" i="3"/>
  <c r="I249" i="3"/>
  <c r="R249" i="3" s="1"/>
  <c r="H249" i="3"/>
  <c r="F249" i="3"/>
  <c r="D249" i="3"/>
  <c r="Q248" i="3"/>
  <c r="P248" i="3"/>
  <c r="O248" i="3"/>
  <c r="I248" i="3"/>
  <c r="R248" i="3" s="1"/>
  <c r="H248" i="3"/>
  <c r="F248" i="3"/>
  <c r="D248" i="3"/>
  <c r="Q247" i="3"/>
  <c r="P247" i="3"/>
  <c r="O247" i="3"/>
  <c r="I247" i="3"/>
  <c r="R247" i="3" s="1"/>
  <c r="H247" i="3"/>
  <c r="F247" i="3"/>
  <c r="D247" i="3"/>
  <c r="Q246" i="3"/>
  <c r="P246" i="3"/>
  <c r="O246" i="3"/>
  <c r="I246" i="3"/>
  <c r="R246" i="3" s="1"/>
  <c r="H246" i="3"/>
  <c r="F246" i="3"/>
  <c r="D246" i="3"/>
  <c r="Q245" i="3"/>
  <c r="P245" i="3"/>
  <c r="O245" i="3"/>
  <c r="I245" i="3"/>
  <c r="R245" i="3" s="1"/>
  <c r="H245" i="3"/>
  <c r="F245" i="3"/>
  <c r="D245" i="3"/>
  <c r="Q244" i="3"/>
  <c r="P244" i="3"/>
  <c r="O244" i="3"/>
  <c r="I244" i="3"/>
  <c r="R244" i="3" s="1"/>
  <c r="H244" i="3"/>
  <c r="F244" i="3"/>
  <c r="D244" i="3"/>
  <c r="Q243" i="3"/>
  <c r="P243" i="3"/>
  <c r="O243" i="3"/>
  <c r="I243" i="3"/>
  <c r="R243" i="3" s="1"/>
  <c r="H243" i="3"/>
  <c r="F243" i="3"/>
  <c r="D243" i="3"/>
  <c r="Q242" i="3"/>
  <c r="P242" i="3"/>
  <c r="O242" i="3"/>
  <c r="I242" i="3"/>
  <c r="R242" i="3" s="1"/>
  <c r="H242" i="3"/>
  <c r="F242" i="3"/>
  <c r="D242" i="3"/>
  <c r="Q241" i="3"/>
  <c r="P241" i="3"/>
  <c r="O241" i="3"/>
  <c r="I241" i="3"/>
  <c r="R241" i="3" s="1"/>
  <c r="H241" i="3"/>
  <c r="F241" i="3"/>
  <c r="D241" i="3"/>
  <c r="Q240" i="3"/>
  <c r="P240" i="3"/>
  <c r="O240" i="3"/>
  <c r="I240" i="3"/>
  <c r="R240" i="3" s="1"/>
  <c r="H240" i="3"/>
  <c r="F240" i="3"/>
  <c r="D240" i="3"/>
  <c r="Q239" i="3"/>
  <c r="P239" i="3"/>
  <c r="O239" i="3"/>
  <c r="I239" i="3"/>
  <c r="R239" i="3" s="1"/>
  <c r="H239" i="3"/>
  <c r="F239" i="3"/>
  <c r="D239" i="3"/>
  <c r="Q238" i="3"/>
  <c r="P238" i="3"/>
  <c r="O238" i="3"/>
  <c r="I238" i="3"/>
  <c r="R238" i="3" s="1"/>
  <c r="H238" i="3"/>
  <c r="F238" i="3"/>
  <c r="D238" i="3"/>
  <c r="Q237" i="3"/>
  <c r="P237" i="3"/>
  <c r="O237" i="3"/>
  <c r="I237" i="3"/>
  <c r="R237" i="3" s="1"/>
  <c r="H237" i="3"/>
  <c r="F237" i="3"/>
  <c r="D237" i="3"/>
  <c r="Q236" i="3"/>
  <c r="P236" i="3"/>
  <c r="O236" i="3"/>
  <c r="I236" i="3"/>
  <c r="R236" i="3" s="1"/>
  <c r="H236" i="3"/>
  <c r="F236" i="3"/>
  <c r="D236" i="3"/>
  <c r="Q235" i="3"/>
  <c r="P235" i="3"/>
  <c r="O235" i="3"/>
  <c r="I235" i="3"/>
  <c r="R235" i="3" s="1"/>
  <c r="H235" i="3"/>
  <c r="F235" i="3"/>
  <c r="D235" i="3"/>
  <c r="Q234" i="3"/>
  <c r="P234" i="3"/>
  <c r="O234" i="3"/>
  <c r="I234" i="3"/>
  <c r="R234" i="3" s="1"/>
  <c r="H234" i="3"/>
  <c r="F234" i="3"/>
  <c r="D234" i="3"/>
  <c r="Q233" i="3"/>
  <c r="P233" i="3"/>
  <c r="O233" i="3"/>
  <c r="I233" i="3"/>
  <c r="R233" i="3" s="1"/>
  <c r="H233" i="3"/>
  <c r="F233" i="3"/>
  <c r="D233" i="3"/>
  <c r="Q232" i="3"/>
  <c r="P232" i="3"/>
  <c r="O232" i="3"/>
  <c r="I232" i="3"/>
  <c r="R232" i="3" s="1"/>
  <c r="H232" i="3"/>
  <c r="F232" i="3"/>
  <c r="D232" i="3"/>
  <c r="Q231" i="3"/>
  <c r="P231" i="3"/>
  <c r="O231" i="3"/>
  <c r="I231" i="3"/>
  <c r="R231" i="3" s="1"/>
  <c r="H231" i="3"/>
  <c r="F231" i="3"/>
  <c r="D231" i="3"/>
  <c r="Q230" i="3"/>
  <c r="P230" i="3"/>
  <c r="O230" i="3"/>
  <c r="I230" i="3"/>
  <c r="R230" i="3" s="1"/>
  <c r="H230" i="3"/>
  <c r="F230" i="3"/>
  <c r="D230" i="3"/>
  <c r="Q229" i="3"/>
  <c r="P229" i="3"/>
  <c r="O229" i="3"/>
  <c r="I229" i="3"/>
  <c r="R229" i="3" s="1"/>
  <c r="H229" i="3"/>
  <c r="F229" i="3"/>
  <c r="D229" i="3"/>
  <c r="Q228" i="3"/>
  <c r="P228" i="3"/>
  <c r="O228" i="3"/>
  <c r="I228" i="3"/>
  <c r="R228" i="3" s="1"/>
  <c r="H228" i="3"/>
  <c r="F228" i="3"/>
  <c r="D228" i="3"/>
  <c r="Q227" i="3"/>
  <c r="P227" i="3"/>
  <c r="O227" i="3"/>
  <c r="I227" i="3"/>
  <c r="R227" i="3" s="1"/>
  <c r="H227" i="3"/>
  <c r="F227" i="3"/>
  <c r="D227" i="3"/>
  <c r="Q226" i="3"/>
  <c r="P226" i="3"/>
  <c r="O226" i="3"/>
  <c r="I226" i="3"/>
  <c r="R226" i="3" s="1"/>
  <c r="H226" i="3"/>
  <c r="F226" i="3"/>
  <c r="D226" i="3"/>
  <c r="Q225" i="3"/>
  <c r="P225" i="3"/>
  <c r="O225" i="3"/>
  <c r="I225" i="3"/>
  <c r="R225" i="3" s="1"/>
  <c r="H225" i="3"/>
  <c r="F225" i="3"/>
  <c r="D225" i="3"/>
  <c r="Q224" i="3"/>
  <c r="P224" i="3"/>
  <c r="O224" i="3"/>
  <c r="I224" i="3"/>
  <c r="R224" i="3" s="1"/>
  <c r="H224" i="3"/>
  <c r="F224" i="3"/>
  <c r="D224" i="3"/>
  <c r="Q223" i="3"/>
  <c r="P223" i="3"/>
  <c r="O223" i="3"/>
  <c r="I223" i="3"/>
  <c r="R223" i="3" s="1"/>
  <c r="H223" i="3"/>
  <c r="F223" i="3"/>
  <c r="D223" i="3"/>
  <c r="Q222" i="3"/>
  <c r="P222" i="3"/>
  <c r="O222" i="3"/>
  <c r="I222" i="3"/>
  <c r="R222" i="3" s="1"/>
  <c r="H222" i="3"/>
  <c r="F222" i="3"/>
  <c r="D222" i="3"/>
  <c r="Q221" i="3"/>
  <c r="P221" i="3"/>
  <c r="O221" i="3"/>
  <c r="I221" i="3"/>
  <c r="R221" i="3" s="1"/>
  <c r="H221" i="3"/>
  <c r="F221" i="3"/>
  <c r="D221" i="3"/>
  <c r="Q220" i="3"/>
  <c r="P220" i="3"/>
  <c r="O220" i="3"/>
  <c r="I220" i="3"/>
  <c r="R220" i="3" s="1"/>
  <c r="H220" i="3"/>
  <c r="F220" i="3"/>
  <c r="D220" i="3"/>
  <c r="Q219" i="3"/>
  <c r="P219" i="3"/>
  <c r="O219" i="3"/>
  <c r="I219" i="3"/>
  <c r="R219" i="3" s="1"/>
  <c r="H219" i="3"/>
  <c r="F219" i="3"/>
  <c r="D219" i="3"/>
  <c r="Q218" i="3"/>
  <c r="P218" i="3"/>
  <c r="O218" i="3"/>
  <c r="I218" i="3"/>
  <c r="R218" i="3" s="1"/>
  <c r="H218" i="3"/>
  <c r="F218" i="3"/>
  <c r="D218" i="3"/>
  <c r="Q217" i="3"/>
  <c r="P217" i="3"/>
  <c r="O217" i="3"/>
  <c r="I217" i="3"/>
  <c r="R217" i="3" s="1"/>
  <c r="H217" i="3"/>
  <c r="F217" i="3"/>
  <c r="D217" i="3"/>
  <c r="Q216" i="3"/>
  <c r="P216" i="3"/>
  <c r="O216" i="3"/>
  <c r="I216" i="3"/>
  <c r="R216" i="3" s="1"/>
  <c r="H216" i="3"/>
  <c r="F216" i="3"/>
  <c r="D216" i="3"/>
  <c r="Q215" i="3"/>
  <c r="P215" i="3"/>
  <c r="O215" i="3"/>
  <c r="I215" i="3"/>
  <c r="R215" i="3" s="1"/>
  <c r="H215" i="3"/>
  <c r="F215" i="3"/>
  <c r="D215" i="3"/>
  <c r="Q214" i="3"/>
  <c r="P214" i="3"/>
  <c r="O214" i="3"/>
  <c r="I214" i="3"/>
  <c r="R214" i="3" s="1"/>
  <c r="H214" i="3"/>
  <c r="F214" i="3"/>
  <c r="D214" i="3"/>
  <c r="Q213" i="3"/>
  <c r="P213" i="3"/>
  <c r="O213" i="3"/>
  <c r="I213" i="3"/>
  <c r="R213" i="3" s="1"/>
  <c r="H213" i="3"/>
  <c r="F213" i="3"/>
  <c r="D213" i="3"/>
  <c r="Q212" i="3"/>
  <c r="P212" i="3"/>
  <c r="O212" i="3"/>
  <c r="I212" i="3"/>
  <c r="R212" i="3" s="1"/>
  <c r="H212" i="3"/>
  <c r="F212" i="3"/>
  <c r="D212" i="3"/>
  <c r="Q211" i="3"/>
  <c r="P211" i="3"/>
  <c r="O211" i="3"/>
  <c r="I211" i="3"/>
  <c r="R211" i="3" s="1"/>
  <c r="H211" i="3"/>
  <c r="F211" i="3"/>
  <c r="D211" i="3"/>
  <c r="Q210" i="3"/>
  <c r="P210" i="3"/>
  <c r="O210" i="3"/>
  <c r="I210" i="3"/>
  <c r="R210" i="3" s="1"/>
  <c r="H210" i="3"/>
  <c r="F210" i="3"/>
  <c r="D210" i="3"/>
  <c r="Q209" i="3"/>
  <c r="P209" i="3"/>
  <c r="O209" i="3"/>
  <c r="I209" i="3"/>
  <c r="R209" i="3" s="1"/>
  <c r="H209" i="3"/>
  <c r="F209" i="3"/>
  <c r="D209" i="3"/>
  <c r="Q208" i="3"/>
  <c r="P208" i="3"/>
  <c r="O208" i="3"/>
  <c r="I208" i="3"/>
  <c r="R208" i="3" s="1"/>
  <c r="H208" i="3"/>
  <c r="F208" i="3"/>
  <c r="D208" i="3"/>
  <c r="Q207" i="3"/>
  <c r="P207" i="3"/>
  <c r="O207" i="3"/>
  <c r="I207" i="3"/>
  <c r="R207" i="3" s="1"/>
  <c r="H207" i="3"/>
  <c r="F207" i="3"/>
  <c r="D207" i="3"/>
  <c r="Q206" i="3"/>
  <c r="P206" i="3"/>
  <c r="O206" i="3"/>
  <c r="I206" i="3"/>
  <c r="R206" i="3" s="1"/>
  <c r="H206" i="3"/>
  <c r="F206" i="3"/>
  <c r="D206" i="3"/>
  <c r="Q205" i="3"/>
  <c r="P205" i="3"/>
  <c r="O205" i="3"/>
  <c r="I205" i="3"/>
  <c r="R205" i="3" s="1"/>
  <c r="H205" i="3"/>
  <c r="F205" i="3"/>
  <c r="D205" i="3"/>
  <c r="Q204" i="3"/>
  <c r="P204" i="3"/>
  <c r="O204" i="3"/>
  <c r="I204" i="3"/>
  <c r="R204" i="3" s="1"/>
  <c r="H204" i="3"/>
  <c r="F204" i="3"/>
  <c r="D204" i="3"/>
  <c r="Q203" i="3"/>
  <c r="P203" i="3"/>
  <c r="O203" i="3"/>
  <c r="I203" i="3"/>
  <c r="R203" i="3" s="1"/>
  <c r="H203" i="3"/>
  <c r="F203" i="3"/>
  <c r="D203" i="3"/>
  <c r="Q202" i="3"/>
  <c r="P202" i="3"/>
  <c r="O202" i="3"/>
  <c r="I202" i="3"/>
  <c r="R202" i="3" s="1"/>
  <c r="H202" i="3"/>
  <c r="F202" i="3"/>
  <c r="D202" i="3"/>
  <c r="Q201" i="3"/>
  <c r="P201" i="3"/>
  <c r="O201" i="3"/>
  <c r="I201" i="3"/>
  <c r="R201" i="3" s="1"/>
  <c r="H201" i="3"/>
  <c r="F201" i="3"/>
  <c r="D201" i="3"/>
  <c r="Q200" i="3"/>
  <c r="P200" i="3"/>
  <c r="O200" i="3"/>
  <c r="I200" i="3"/>
  <c r="R200" i="3" s="1"/>
  <c r="H200" i="3"/>
  <c r="F200" i="3"/>
  <c r="D200" i="3"/>
  <c r="Q199" i="3"/>
  <c r="P199" i="3"/>
  <c r="O199" i="3"/>
  <c r="I199" i="3"/>
  <c r="R199" i="3" s="1"/>
  <c r="H199" i="3"/>
  <c r="F199" i="3"/>
  <c r="D199" i="3"/>
  <c r="Q198" i="3"/>
  <c r="P198" i="3"/>
  <c r="O198" i="3"/>
  <c r="I198" i="3"/>
  <c r="R198" i="3" s="1"/>
  <c r="H198" i="3"/>
  <c r="F198" i="3"/>
  <c r="D198" i="3"/>
  <c r="Q197" i="3"/>
  <c r="P197" i="3"/>
  <c r="O197" i="3"/>
  <c r="I197" i="3"/>
  <c r="R197" i="3" s="1"/>
  <c r="H197" i="3"/>
  <c r="F197" i="3"/>
  <c r="D197" i="3"/>
  <c r="Q196" i="3"/>
  <c r="P196" i="3"/>
  <c r="O196" i="3"/>
  <c r="I196" i="3"/>
  <c r="R196" i="3" s="1"/>
  <c r="H196" i="3"/>
  <c r="F196" i="3"/>
  <c r="D196" i="3"/>
  <c r="Q195" i="3"/>
  <c r="P195" i="3"/>
  <c r="O195" i="3"/>
  <c r="I195" i="3"/>
  <c r="R195" i="3" s="1"/>
  <c r="H195" i="3"/>
  <c r="F195" i="3"/>
  <c r="D195" i="3"/>
  <c r="Q194" i="3"/>
  <c r="P194" i="3"/>
  <c r="O194" i="3"/>
  <c r="I194" i="3"/>
  <c r="R194" i="3" s="1"/>
  <c r="H194" i="3"/>
  <c r="F194" i="3"/>
  <c r="D194" i="3"/>
  <c r="Q193" i="3"/>
  <c r="P193" i="3"/>
  <c r="O193" i="3"/>
  <c r="I193" i="3"/>
  <c r="R193" i="3" s="1"/>
  <c r="H193" i="3"/>
  <c r="F193" i="3"/>
  <c r="D193" i="3"/>
  <c r="Q192" i="3"/>
  <c r="P192" i="3"/>
  <c r="O192" i="3"/>
  <c r="I192" i="3"/>
  <c r="R192" i="3" s="1"/>
  <c r="H192" i="3"/>
  <c r="F192" i="3"/>
  <c r="D192" i="3"/>
  <c r="Q191" i="3"/>
  <c r="P191" i="3"/>
  <c r="O191" i="3"/>
  <c r="I191" i="3"/>
  <c r="R191" i="3" s="1"/>
  <c r="H191" i="3"/>
  <c r="F191" i="3"/>
  <c r="D191" i="3"/>
  <c r="Q190" i="3"/>
  <c r="P190" i="3"/>
  <c r="O190" i="3"/>
  <c r="I190" i="3"/>
  <c r="R190" i="3" s="1"/>
  <c r="H190" i="3"/>
  <c r="F190" i="3"/>
  <c r="D190" i="3"/>
  <c r="Q189" i="3"/>
  <c r="P189" i="3"/>
  <c r="O189" i="3"/>
  <c r="I189" i="3"/>
  <c r="R189" i="3" s="1"/>
  <c r="H189" i="3"/>
  <c r="F189" i="3"/>
  <c r="D189" i="3"/>
  <c r="Q188" i="3"/>
  <c r="P188" i="3"/>
  <c r="O188" i="3"/>
  <c r="I188" i="3"/>
  <c r="R188" i="3" s="1"/>
  <c r="H188" i="3"/>
  <c r="F188" i="3"/>
  <c r="D188" i="3"/>
  <c r="Q187" i="3"/>
  <c r="P187" i="3"/>
  <c r="O187" i="3"/>
  <c r="I187" i="3"/>
  <c r="R187" i="3" s="1"/>
  <c r="H187" i="3"/>
  <c r="F187" i="3"/>
  <c r="D187" i="3"/>
  <c r="Q186" i="3"/>
  <c r="P186" i="3"/>
  <c r="O186" i="3"/>
  <c r="I186" i="3"/>
  <c r="R186" i="3" s="1"/>
  <c r="H186" i="3"/>
  <c r="F186" i="3"/>
  <c r="D186" i="3"/>
  <c r="Q185" i="3"/>
  <c r="P185" i="3"/>
  <c r="O185" i="3"/>
  <c r="I185" i="3"/>
  <c r="R185" i="3" s="1"/>
  <c r="H185" i="3"/>
  <c r="F185" i="3"/>
  <c r="D185" i="3"/>
  <c r="Q184" i="3"/>
  <c r="P184" i="3"/>
  <c r="O184" i="3"/>
  <c r="I184" i="3"/>
  <c r="R184" i="3" s="1"/>
  <c r="H184" i="3"/>
  <c r="F184" i="3"/>
  <c r="D184" i="3"/>
  <c r="Q183" i="3"/>
  <c r="P183" i="3"/>
  <c r="O183" i="3"/>
  <c r="I183" i="3"/>
  <c r="R183" i="3" s="1"/>
  <c r="H183" i="3"/>
  <c r="F183" i="3"/>
  <c r="D183" i="3"/>
  <c r="Q182" i="3"/>
  <c r="P182" i="3"/>
  <c r="O182" i="3"/>
  <c r="I182" i="3"/>
  <c r="R182" i="3" s="1"/>
  <c r="H182" i="3"/>
  <c r="F182" i="3"/>
  <c r="D182" i="3"/>
  <c r="Q181" i="3"/>
  <c r="P181" i="3"/>
  <c r="O181" i="3"/>
  <c r="I181" i="3"/>
  <c r="R181" i="3" s="1"/>
  <c r="H181" i="3"/>
  <c r="F181" i="3"/>
  <c r="D181" i="3"/>
  <c r="Q180" i="3"/>
  <c r="P180" i="3"/>
  <c r="O180" i="3"/>
  <c r="I180" i="3"/>
  <c r="R180" i="3" s="1"/>
  <c r="H180" i="3"/>
  <c r="F180" i="3"/>
  <c r="D180" i="3"/>
  <c r="Q179" i="3"/>
  <c r="P179" i="3"/>
  <c r="O179" i="3"/>
  <c r="I179" i="3"/>
  <c r="R179" i="3" s="1"/>
  <c r="H179" i="3"/>
  <c r="F179" i="3"/>
  <c r="D179" i="3"/>
  <c r="Q178" i="3"/>
  <c r="P178" i="3"/>
  <c r="O178" i="3"/>
  <c r="I178" i="3"/>
  <c r="R178" i="3" s="1"/>
  <c r="H178" i="3"/>
  <c r="F178" i="3"/>
  <c r="D178" i="3"/>
  <c r="Q177" i="3"/>
  <c r="P177" i="3"/>
  <c r="O177" i="3"/>
  <c r="I177" i="3"/>
  <c r="R177" i="3" s="1"/>
  <c r="H177" i="3"/>
  <c r="F177" i="3"/>
  <c r="D177" i="3"/>
  <c r="Q176" i="3"/>
  <c r="P176" i="3"/>
  <c r="O176" i="3"/>
  <c r="I176" i="3"/>
  <c r="R176" i="3" s="1"/>
  <c r="H176" i="3"/>
  <c r="F176" i="3"/>
  <c r="D176" i="3"/>
  <c r="Q175" i="3"/>
  <c r="P175" i="3"/>
  <c r="O175" i="3"/>
  <c r="I175" i="3"/>
  <c r="R175" i="3" s="1"/>
  <c r="H175" i="3"/>
  <c r="F175" i="3"/>
  <c r="D175" i="3"/>
  <c r="Q174" i="3"/>
  <c r="P174" i="3"/>
  <c r="O174" i="3"/>
  <c r="I174" i="3"/>
  <c r="R174" i="3" s="1"/>
  <c r="H174" i="3"/>
  <c r="F174" i="3"/>
  <c r="D174" i="3"/>
  <c r="Q173" i="3"/>
  <c r="P173" i="3"/>
  <c r="O173" i="3"/>
  <c r="I173" i="3"/>
  <c r="R173" i="3" s="1"/>
  <c r="H173" i="3"/>
  <c r="F173" i="3"/>
  <c r="D173" i="3"/>
  <c r="Q172" i="3"/>
  <c r="P172" i="3"/>
  <c r="O172" i="3"/>
  <c r="I172" i="3"/>
  <c r="R172" i="3" s="1"/>
  <c r="H172" i="3"/>
  <c r="F172" i="3"/>
  <c r="D172" i="3"/>
  <c r="Q171" i="3"/>
  <c r="P171" i="3"/>
  <c r="O171" i="3"/>
  <c r="I171" i="3"/>
  <c r="R171" i="3" s="1"/>
  <c r="H171" i="3"/>
  <c r="F171" i="3"/>
  <c r="D171" i="3"/>
  <c r="Q170" i="3"/>
  <c r="P170" i="3"/>
  <c r="O170" i="3"/>
  <c r="I170" i="3"/>
  <c r="R170" i="3" s="1"/>
  <c r="H170" i="3"/>
  <c r="F170" i="3"/>
  <c r="D170" i="3"/>
  <c r="Q169" i="3"/>
  <c r="P169" i="3"/>
  <c r="O169" i="3"/>
  <c r="I169" i="3"/>
  <c r="R169" i="3" s="1"/>
  <c r="H169" i="3"/>
  <c r="F169" i="3"/>
  <c r="D169" i="3"/>
  <c r="Q168" i="3"/>
  <c r="P168" i="3"/>
  <c r="O168" i="3"/>
  <c r="I168" i="3"/>
  <c r="R168" i="3" s="1"/>
  <c r="H168" i="3"/>
  <c r="F168" i="3"/>
  <c r="D168" i="3"/>
  <c r="Q167" i="3"/>
  <c r="P167" i="3"/>
  <c r="O167" i="3"/>
  <c r="I167" i="3"/>
  <c r="R167" i="3" s="1"/>
  <c r="H167" i="3"/>
  <c r="F167" i="3"/>
  <c r="D167" i="3"/>
  <c r="Q166" i="3"/>
  <c r="P166" i="3"/>
  <c r="O166" i="3"/>
  <c r="I166" i="3"/>
  <c r="R166" i="3" s="1"/>
  <c r="H166" i="3"/>
  <c r="F166" i="3"/>
  <c r="D166" i="3"/>
  <c r="Q165" i="3"/>
  <c r="P165" i="3"/>
  <c r="O165" i="3"/>
  <c r="I165" i="3"/>
  <c r="R165" i="3" s="1"/>
  <c r="H165" i="3"/>
  <c r="F165" i="3"/>
  <c r="D165" i="3"/>
  <c r="Q164" i="3"/>
  <c r="P164" i="3"/>
  <c r="O164" i="3"/>
  <c r="I164" i="3"/>
  <c r="R164" i="3" s="1"/>
  <c r="H164" i="3"/>
  <c r="F164" i="3"/>
  <c r="D164" i="3"/>
  <c r="Q163" i="3"/>
  <c r="P163" i="3"/>
  <c r="O163" i="3"/>
  <c r="I163" i="3"/>
  <c r="R163" i="3" s="1"/>
  <c r="H163" i="3"/>
  <c r="F163" i="3"/>
  <c r="D163" i="3"/>
  <c r="Q162" i="3"/>
  <c r="P162" i="3"/>
  <c r="O162" i="3"/>
  <c r="I162" i="3"/>
  <c r="R162" i="3" s="1"/>
  <c r="H162" i="3"/>
  <c r="F162" i="3"/>
  <c r="D162" i="3"/>
  <c r="Q161" i="3"/>
  <c r="P161" i="3"/>
  <c r="O161" i="3"/>
  <c r="I161" i="3"/>
  <c r="R161" i="3" s="1"/>
  <c r="H161" i="3"/>
  <c r="F161" i="3"/>
  <c r="D161" i="3"/>
  <c r="Q160" i="3"/>
  <c r="P160" i="3"/>
  <c r="O160" i="3"/>
  <c r="I160" i="3"/>
  <c r="R160" i="3" s="1"/>
  <c r="H160" i="3"/>
  <c r="F160" i="3"/>
  <c r="D160" i="3"/>
  <c r="Q159" i="3"/>
  <c r="P159" i="3"/>
  <c r="O159" i="3"/>
  <c r="I159" i="3"/>
  <c r="R159" i="3" s="1"/>
  <c r="H159" i="3"/>
  <c r="F159" i="3"/>
  <c r="D159" i="3"/>
  <c r="Q158" i="3"/>
  <c r="P158" i="3"/>
  <c r="O158" i="3"/>
  <c r="I158" i="3"/>
  <c r="R158" i="3" s="1"/>
  <c r="H158" i="3"/>
  <c r="F158" i="3"/>
  <c r="D158" i="3"/>
  <c r="Q157" i="3"/>
  <c r="P157" i="3"/>
  <c r="O157" i="3"/>
  <c r="I157" i="3"/>
  <c r="R157" i="3" s="1"/>
  <c r="H157" i="3"/>
  <c r="F157" i="3"/>
  <c r="D157" i="3"/>
  <c r="Q156" i="3"/>
  <c r="P156" i="3"/>
  <c r="O156" i="3"/>
  <c r="I156" i="3"/>
  <c r="R156" i="3" s="1"/>
  <c r="H156" i="3"/>
  <c r="F156" i="3"/>
  <c r="D156" i="3"/>
  <c r="Q155" i="3"/>
  <c r="P155" i="3"/>
  <c r="O155" i="3"/>
  <c r="I155" i="3"/>
  <c r="R155" i="3" s="1"/>
  <c r="H155" i="3"/>
  <c r="F155" i="3"/>
  <c r="D155" i="3"/>
  <c r="Q154" i="3"/>
  <c r="P154" i="3"/>
  <c r="O154" i="3"/>
  <c r="I154" i="3"/>
  <c r="R154" i="3" s="1"/>
  <c r="H154" i="3"/>
  <c r="F154" i="3"/>
  <c r="D154" i="3"/>
  <c r="Q153" i="3"/>
  <c r="P153" i="3"/>
  <c r="O153" i="3"/>
  <c r="I153" i="3"/>
  <c r="R153" i="3" s="1"/>
  <c r="H153" i="3"/>
  <c r="F153" i="3"/>
  <c r="D153" i="3"/>
  <c r="Q152" i="3"/>
  <c r="P152" i="3"/>
  <c r="O152" i="3"/>
  <c r="I152" i="3"/>
  <c r="R152" i="3" s="1"/>
  <c r="H152" i="3"/>
  <c r="F152" i="3"/>
  <c r="D152" i="3"/>
  <c r="Q151" i="3"/>
  <c r="P151" i="3"/>
  <c r="O151" i="3"/>
  <c r="I151" i="3"/>
  <c r="R151" i="3" s="1"/>
  <c r="H151" i="3"/>
  <c r="F151" i="3"/>
  <c r="D151" i="3"/>
  <c r="Q150" i="3"/>
  <c r="P150" i="3"/>
  <c r="O150" i="3"/>
  <c r="I150" i="3"/>
  <c r="R150" i="3" s="1"/>
  <c r="H150" i="3"/>
  <c r="F150" i="3"/>
  <c r="D150" i="3"/>
  <c r="Q149" i="3"/>
  <c r="P149" i="3"/>
  <c r="O149" i="3"/>
  <c r="I149" i="3"/>
  <c r="R149" i="3" s="1"/>
  <c r="H149" i="3"/>
  <c r="F149" i="3"/>
  <c r="D149" i="3"/>
  <c r="Q148" i="3"/>
  <c r="P148" i="3"/>
  <c r="O148" i="3"/>
  <c r="I148" i="3"/>
  <c r="R148" i="3" s="1"/>
  <c r="H148" i="3"/>
  <c r="F148" i="3"/>
  <c r="D148" i="3"/>
  <c r="Q147" i="3"/>
  <c r="P147" i="3"/>
  <c r="O147" i="3"/>
  <c r="I147" i="3"/>
  <c r="R147" i="3" s="1"/>
  <c r="H147" i="3"/>
  <c r="F147" i="3"/>
  <c r="D147" i="3"/>
  <c r="Q146" i="3"/>
  <c r="P146" i="3"/>
  <c r="O146" i="3"/>
  <c r="I146" i="3"/>
  <c r="R146" i="3" s="1"/>
  <c r="H146" i="3"/>
  <c r="F146" i="3"/>
  <c r="D146" i="3"/>
  <c r="Q145" i="3"/>
  <c r="P145" i="3"/>
  <c r="O145" i="3"/>
  <c r="I145" i="3"/>
  <c r="R145" i="3" s="1"/>
  <c r="H145" i="3"/>
  <c r="F145" i="3"/>
  <c r="D145" i="3"/>
  <c r="Q144" i="3"/>
  <c r="P144" i="3"/>
  <c r="O144" i="3"/>
  <c r="I144" i="3"/>
  <c r="R144" i="3" s="1"/>
  <c r="H144" i="3"/>
  <c r="F144" i="3"/>
  <c r="D144" i="3"/>
  <c r="Q143" i="3"/>
  <c r="P143" i="3"/>
  <c r="O143" i="3"/>
  <c r="I143" i="3"/>
  <c r="R143" i="3" s="1"/>
  <c r="H143" i="3"/>
  <c r="F143" i="3"/>
  <c r="D143" i="3"/>
  <c r="Q142" i="3"/>
  <c r="P142" i="3"/>
  <c r="O142" i="3"/>
  <c r="I142" i="3"/>
  <c r="R142" i="3" s="1"/>
  <c r="H142" i="3"/>
  <c r="F142" i="3"/>
  <c r="D142" i="3"/>
  <c r="Q141" i="3"/>
  <c r="P141" i="3"/>
  <c r="O141" i="3"/>
  <c r="I141" i="3"/>
  <c r="R141" i="3" s="1"/>
  <c r="H141" i="3"/>
  <c r="F141" i="3"/>
  <c r="D141" i="3"/>
  <c r="Q140" i="3"/>
  <c r="P140" i="3"/>
  <c r="O140" i="3"/>
  <c r="I140" i="3"/>
  <c r="R140" i="3" s="1"/>
  <c r="H140" i="3"/>
  <c r="F140" i="3"/>
  <c r="D140" i="3"/>
  <c r="Q139" i="3"/>
  <c r="P139" i="3"/>
  <c r="O139" i="3"/>
  <c r="I139" i="3"/>
  <c r="R139" i="3" s="1"/>
  <c r="H139" i="3"/>
  <c r="F139" i="3"/>
  <c r="D139" i="3"/>
  <c r="Q138" i="3"/>
  <c r="P138" i="3"/>
  <c r="O138" i="3"/>
  <c r="I138" i="3"/>
  <c r="R138" i="3" s="1"/>
  <c r="H138" i="3"/>
  <c r="F138" i="3"/>
  <c r="D138" i="3"/>
  <c r="Q137" i="3"/>
  <c r="P137" i="3"/>
  <c r="O137" i="3"/>
  <c r="I137" i="3"/>
  <c r="R137" i="3" s="1"/>
  <c r="H137" i="3"/>
  <c r="F137" i="3"/>
  <c r="D137" i="3"/>
  <c r="Q136" i="3"/>
  <c r="P136" i="3"/>
  <c r="V23" i="12" s="1"/>
  <c r="O136" i="3"/>
  <c r="I136" i="3"/>
  <c r="R136" i="3" s="1"/>
  <c r="H136" i="3"/>
  <c r="F136" i="3"/>
  <c r="D136" i="3"/>
  <c r="Q135" i="3"/>
  <c r="P135" i="3"/>
  <c r="O135" i="3"/>
  <c r="I135" i="3"/>
  <c r="R135" i="3" s="1"/>
  <c r="H135" i="3"/>
  <c r="F135" i="3"/>
  <c r="D135" i="3"/>
  <c r="Q134" i="3"/>
  <c r="P134" i="3"/>
  <c r="O134" i="3"/>
  <c r="I134" i="3"/>
  <c r="R134" i="3" s="1"/>
  <c r="H134" i="3"/>
  <c r="F134" i="3"/>
  <c r="D134" i="3"/>
  <c r="Q133" i="3"/>
  <c r="P133" i="3"/>
  <c r="O133" i="3"/>
  <c r="I133" i="3"/>
  <c r="R133" i="3" s="1"/>
  <c r="H133" i="3"/>
  <c r="F133" i="3"/>
  <c r="D133" i="3"/>
  <c r="Q132" i="3"/>
  <c r="P132" i="3"/>
  <c r="O132" i="3"/>
  <c r="I132" i="3"/>
  <c r="R132" i="3" s="1"/>
  <c r="H132" i="3"/>
  <c r="F132" i="3"/>
  <c r="D132" i="3"/>
  <c r="Q131" i="3"/>
  <c r="P131" i="3"/>
  <c r="O131" i="3"/>
  <c r="I131" i="3"/>
  <c r="R131" i="3" s="1"/>
  <c r="H131" i="3"/>
  <c r="F131" i="3"/>
  <c r="D131" i="3"/>
  <c r="Q130" i="3"/>
  <c r="P130" i="3"/>
  <c r="O130" i="3"/>
  <c r="I130" i="3"/>
  <c r="R130" i="3" s="1"/>
  <c r="H130" i="3"/>
  <c r="F130" i="3"/>
  <c r="D130" i="3"/>
  <c r="Z129" i="3"/>
  <c r="Y129" i="3"/>
  <c r="Q129" i="3"/>
  <c r="P129" i="3"/>
  <c r="O129" i="3"/>
  <c r="I129" i="3"/>
  <c r="R129" i="3" s="1"/>
  <c r="H129" i="3"/>
  <c r="F129" i="3"/>
  <c r="D129" i="3"/>
  <c r="Z128" i="3"/>
  <c r="Y128" i="3"/>
  <c r="Q128" i="3"/>
  <c r="P128" i="3"/>
  <c r="O128" i="3"/>
  <c r="I128" i="3"/>
  <c r="R128" i="3" s="1"/>
  <c r="H128" i="3"/>
  <c r="F128" i="3"/>
  <c r="D128" i="3"/>
  <c r="Z127" i="3"/>
  <c r="Y127" i="3"/>
  <c r="Q127" i="3"/>
  <c r="P127" i="3"/>
  <c r="O127" i="3"/>
  <c r="I127" i="3"/>
  <c r="R127" i="3" s="1"/>
  <c r="H127" i="3"/>
  <c r="F127" i="3"/>
  <c r="D127" i="3"/>
  <c r="Z126" i="3"/>
  <c r="Y126" i="3"/>
  <c r="Q126" i="3"/>
  <c r="P126" i="3"/>
  <c r="O126" i="3"/>
  <c r="I126" i="3"/>
  <c r="R126" i="3" s="1"/>
  <c r="H126" i="3"/>
  <c r="F126" i="3"/>
  <c r="D126" i="3"/>
  <c r="Z125" i="3"/>
  <c r="Y125" i="3"/>
  <c r="Q125" i="3"/>
  <c r="P125" i="3"/>
  <c r="O125" i="3"/>
  <c r="I125" i="3"/>
  <c r="R125" i="3" s="1"/>
  <c r="H125" i="3"/>
  <c r="F125" i="3"/>
  <c r="D125" i="3"/>
  <c r="Z124" i="3"/>
  <c r="Y124" i="3"/>
  <c r="Q124" i="3"/>
  <c r="P124" i="3"/>
  <c r="O124" i="3"/>
  <c r="I124" i="3"/>
  <c r="R124" i="3" s="1"/>
  <c r="H124" i="3"/>
  <c r="F124" i="3"/>
  <c r="D124" i="3"/>
  <c r="Z123" i="3"/>
  <c r="Y123" i="3"/>
  <c r="Q123" i="3"/>
  <c r="P123" i="3"/>
  <c r="O123" i="3"/>
  <c r="I123" i="3"/>
  <c r="R123" i="3" s="1"/>
  <c r="H123" i="3"/>
  <c r="F123" i="3"/>
  <c r="D123" i="3"/>
  <c r="Z122" i="3"/>
  <c r="Y122" i="3"/>
  <c r="Q122" i="3"/>
  <c r="P122" i="3"/>
  <c r="O122" i="3"/>
  <c r="I122" i="3"/>
  <c r="R122" i="3" s="1"/>
  <c r="H122" i="3"/>
  <c r="F122" i="3"/>
  <c r="D122" i="3"/>
  <c r="Z121" i="3"/>
  <c r="Y121" i="3"/>
  <c r="Q121" i="3"/>
  <c r="P121" i="3"/>
  <c r="O121" i="3"/>
  <c r="I121" i="3"/>
  <c r="R121" i="3" s="1"/>
  <c r="H121" i="3"/>
  <c r="F121" i="3"/>
  <c r="D121" i="3"/>
  <c r="Z120" i="3"/>
  <c r="Y120" i="3"/>
  <c r="Q120" i="3"/>
  <c r="P120" i="3"/>
  <c r="O120" i="3"/>
  <c r="I120" i="3"/>
  <c r="R120" i="3" s="1"/>
  <c r="H120" i="3"/>
  <c r="F120" i="3"/>
  <c r="D120" i="3"/>
  <c r="Z119" i="3"/>
  <c r="Y119" i="3"/>
  <c r="Q119" i="3"/>
  <c r="P119" i="3"/>
  <c r="O119" i="3"/>
  <c r="I119" i="3"/>
  <c r="R119" i="3" s="1"/>
  <c r="H119" i="3"/>
  <c r="F119" i="3"/>
  <c r="D119" i="3"/>
  <c r="Z118" i="3"/>
  <c r="Y118" i="3"/>
  <c r="Q118" i="3"/>
  <c r="P118" i="3"/>
  <c r="O118" i="3"/>
  <c r="I118" i="3"/>
  <c r="R118" i="3" s="1"/>
  <c r="H118" i="3"/>
  <c r="F118" i="3"/>
  <c r="D118" i="3"/>
  <c r="Z117" i="3"/>
  <c r="Y117" i="3"/>
  <c r="Q117" i="3"/>
  <c r="P117" i="3"/>
  <c r="O117" i="3"/>
  <c r="I117" i="3"/>
  <c r="R117" i="3" s="1"/>
  <c r="H117" i="3"/>
  <c r="F117" i="3"/>
  <c r="D117" i="3"/>
  <c r="Z116" i="3"/>
  <c r="Y116" i="3"/>
  <c r="Q116" i="3"/>
  <c r="P116" i="3"/>
  <c r="O116" i="3"/>
  <c r="I116" i="3"/>
  <c r="R116" i="3" s="1"/>
  <c r="H116" i="3"/>
  <c r="F116" i="3"/>
  <c r="D116" i="3"/>
  <c r="Z115" i="3"/>
  <c r="Y115" i="3"/>
  <c r="Q115" i="3"/>
  <c r="P115" i="3"/>
  <c r="O115" i="3"/>
  <c r="I115" i="3"/>
  <c r="R115" i="3" s="1"/>
  <c r="H115" i="3"/>
  <c r="F115" i="3"/>
  <c r="D115" i="3"/>
  <c r="Z114" i="3"/>
  <c r="Y114" i="3"/>
  <c r="Q114" i="3"/>
  <c r="P114" i="3"/>
  <c r="O114" i="3"/>
  <c r="I114" i="3"/>
  <c r="R114" i="3" s="1"/>
  <c r="H114" i="3"/>
  <c r="F114" i="3"/>
  <c r="D114" i="3"/>
  <c r="Z113" i="3"/>
  <c r="Y113" i="3"/>
  <c r="Q113" i="3"/>
  <c r="P113" i="3"/>
  <c r="O113" i="3"/>
  <c r="I113" i="3"/>
  <c r="R113" i="3" s="1"/>
  <c r="H113" i="3"/>
  <c r="F113" i="3"/>
  <c r="D113" i="3"/>
  <c r="Z112" i="3"/>
  <c r="Y112" i="3"/>
  <c r="Q112" i="3"/>
  <c r="P112" i="3"/>
  <c r="O112" i="3"/>
  <c r="I112" i="3"/>
  <c r="R112" i="3" s="1"/>
  <c r="H112" i="3"/>
  <c r="F112" i="3"/>
  <c r="D112" i="3"/>
  <c r="Z111" i="3"/>
  <c r="Y111" i="3"/>
  <c r="Q111" i="3"/>
  <c r="P111" i="3"/>
  <c r="O111" i="3"/>
  <c r="I111" i="3"/>
  <c r="R111" i="3" s="1"/>
  <c r="H111" i="3"/>
  <c r="F111" i="3"/>
  <c r="D111" i="3"/>
  <c r="Z110" i="3"/>
  <c r="Y110" i="3"/>
  <c r="Q110" i="3"/>
  <c r="P110" i="3"/>
  <c r="O110" i="3"/>
  <c r="I110" i="3"/>
  <c r="R110" i="3" s="1"/>
  <c r="H110" i="3"/>
  <c r="F110" i="3"/>
  <c r="D110" i="3"/>
  <c r="Z109" i="3"/>
  <c r="Y109" i="3"/>
  <c r="Q109" i="3"/>
  <c r="P109" i="3"/>
  <c r="O109" i="3"/>
  <c r="I109" i="3"/>
  <c r="R109" i="3" s="1"/>
  <c r="H109" i="3"/>
  <c r="F109" i="3"/>
  <c r="D109" i="3"/>
  <c r="Z108" i="3"/>
  <c r="Y108" i="3"/>
  <c r="Q108" i="3"/>
  <c r="P108" i="3"/>
  <c r="O108" i="3"/>
  <c r="I108" i="3"/>
  <c r="R108" i="3" s="1"/>
  <c r="H108" i="3"/>
  <c r="F108" i="3"/>
  <c r="D108" i="3"/>
  <c r="Z107" i="3"/>
  <c r="Y107" i="3"/>
  <c r="Q107" i="3"/>
  <c r="P107" i="3"/>
  <c r="O107" i="3"/>
  <c r="I107" i="3"/>
  <c r="R107" i="3" s="1"/>
  <c r="H107" i="3"/>
  <c r="F107" i="3"/>
  <c r="D107" i="3"/>
  <c r="Z106" i="3"/>
  <c r="Y106" i="3"/>
  <c r="Q106" i="3"/>
  <c r="P106" i="3"/>
  <c r="O106" i="3"/>
  <c r="I106" i="3"/>
  <c r="R106" i="3" s="1"/>
  <c r="H106" i="3"/>
  <c r="F106" i="3"/>
  <c r="D106" i="3"/>
  <c r="Z105" i="3"/>
  <c r="Y105" i="3"/>
  <c r="Q105" i="3"/>
  <c r="P105" i="3"/>
  <c r="O105" i="3"/>
  <c r="I105" i="3"/>
  <c r="R105" i="3" s="1"/>
  <c r="H105" i="3"/>
  <c r="F105" i="3"/>
  <c r="D105" i="3"/>
  <c r="Z104" i="3"/>
  <c r="Y104" i="3"/>
  <c r="Q104" i="3"/>
  <c r="P104" i="3"/>
  <c r="O104" i="3"/>
  <c r="I104" i="3"/>
  <c r="R104" i="3" s="1"/>
  <c r="H104" i="3"/>
  <c r="F104" i="3"/>
  <c r="D104" i="3"/>
  <c r="Z103" i="3"/>
  <c r="Y103" i="3"/>
  <c r="Q103" i="3"/>
  <c r="P103" i="3"/>
  <c r="O103" i="3"/>
  <c r="I103" i="3"/>
  <c r="R103" i="3" s="1"/>
  <c r="H103" i="3"/>
  <c r="F103" i="3"/>
  <c r="D103" i="3"/>
  <c r="Z102" i="3"/>
  <c r="Y102" i="3"/>
  <c r="Q102" i="3"/>
  <c r="P102" i="3"/>
  <c r="O102" i="3"/>
  <c r="I102" i="3"/>
  <c r="R102" i="3" s="1"/>
  <c r="H102" i="3"/>
  <c r="F102" i="3"/>
  <c r="D102" i="3"/>
  <c r="Z101" i="3"/>
  <c r="Y101" i="3"/>
  <c r="Q101" i="3"/>
  <c r="P101" i="3"/>
  <c r="O101" i="3"/>
  <c r="I101" i="3"/>
  <c r="R101" i="3" s="1"/>
  <c r="H101" i="3"/>
  <c r="F101" i="3"/>
  <c r="D101" i="3"/>
  <c r="Z100" i="3"/>
  <c r="Y100" i="3"/>
  <c r="Q100" i="3"/>
  <c r="P100" i="3"/>
  <c r="O100" i="3"/>
  <c r="I100" i="3"/>
  <c r="R100" i="3" s="1"/>
  <c r="H100" i="3"/>
  <c r="F100" i="3"/>
  <c r="D100" i="3"/>
  <c r="Z99" i="3"/>
  <c r="Y99" i="3"/>
  <c r="Q99" i="3"/>
  <c r="P99" i="3"/>
  <c r="O99" i="3"/>
  <c r="I99" i="3"/>
  <c r="R99" i="3" s="1"/>
  <c r="H99" i="3"/>
  <c r="F99" i="3"/>
  <c r="D99" i="3"/>
  <c r="Z98" i="3"/>
  <c r="Y98" i="3"/>
  <c r="Q98" i="3"/>
  <c r="P98" i="3"/>
  <c r="O98" i="3"/>
  <c r="I98" i="3"/>
  <c r="R98" i="3" s="1"/>
  <c r="H98" i="3"/>
  <c r="F98" i="3"/>
  <c r="D98" i="3"/>
  <c r="Z97" i="3"/>
  <c r="Y97" i="3"/>
  <c r="Q97" i="3"/>
  <c r="P97" i="3"/>
  <c r="O97" i="3"/>
  <c r="I97" i="3"/>
  <c r="R97" i="3" s="1"/>
  <c r="H97" i="3"/>
  <c r="F97" i="3"/>
  <c r="D97" i="3"/>
  <c r="Z96" i="3"/>
  <c r="Y96" i="3"/>
  <c r="Q96" i="3"/>
  <c r="P96" i="3"/>
  <c r="O96" i="3"/>
  <c r="I96" i="3"/>
  <c r="R96" i="3" s="1"/>
  <c r="H96" i="3"/>
  <c r="F96" i="3"/>
  <c r="D96" i="3"/>
  <c r="Z95" i="3"/>
  <c r="Y95" i="3"/>
  <c r="Q95" i="3"/>
  <c r="P95" i="3"/>
  <c r="O95" i="3"/>
  <c r="I95" i="3"/>
  <c r="R95" i="3" s="1"/>
  <c r="H95" i="3"/>
  <c r="F95" i="3"/>
  <c r="D95" i="3"/>
  <c r="Z94" i="3"/>
  <c r="Y94" i="3"/>
  <c r="Q94" i="3"/>
  <c r="P94" i="3"/>
  <c r="O94" i="3"/>
  <c r="I94" i="3"/>
  <c r="R94" i="3" s="1"/>
  <c r="H94" i="3"/>
  <c r="F94" i="3"/>
  <c r="D94" i="3"/>
  <c r="Z93" i="3"/>
  <c r="Y93" i="3"/>
  <c r="Q93" i="3"/>
  <c r="P93" i="3"/>
  <c r="O93" i="3"/>
  <c r="I93" i="3"/>
  <c r="R93" i="3" s="1"/>
  <c r="H93" i="3"/>
  <c r="F93" i="3"/>
  <c r="D93" i="3"/>
  <c r="Z92" i="3"/>
  <c r="Y92" i="3"/>
  <c r="Q92" i="3"/>
  <c r="P92" i="3"/>
  <c r="O92" i="3"/>
  <c r="I92" i="3"/>
  <c r="R92" i="3" s="1"/>
  <c r="H92" i="3"/>
  <c r="F92" i="3"/>
  <c r="D92" i="3"/>
  <c r="Z91" i="3"/>
  <c r="Y91" i="3"/>
  <c r="Q91" i="3"/>
  <c r="P91" i="3"/>
  <c r="O91" i="3"/>
  <c r="I91" i="3"/>
  <c r="R91" i="3" s="1"/>
  <c r="H91" i="3"/>
  <c r="F91" i="3"/>
  <c r="D91" i="3"/>
  <c r="Z90" i="3"/>
  <c r="Y90" i="3"/>
  <c r="Q90" i="3"/>
  <c r="P90" i="3"/>
  <c r="O90" i="3"/>
  <c r="I90" i="3"/>
  <c r="R90" i="3" s="1"/>
  <c r="H90" i="3"/>
  <c r="F90" i="3"/>
  <c r="D90" i="3"/>
  <c r="Z89" i="3"/>
  <c r="Y89" i="3"/>
  <c r="Q89" i="3"/>
  <c r="P89" i="3"/>
  <c r="O89" i="3"/>
  <c r="I89" i="3"/>
  <c r="R89" i="3" s="1"/>
  <c r="H89" i="3"/>
  <c r="F89" i="3"/>
  <c r="D89" i="3"/>
  <c r="Z88" i="3"/>
  <c r="Y88" i="3"/>
  <c r="Q88" i="3"/>
  <c r="P88" i="3"/>
  <c r="O88" i="3"/>
  <c r="I88" i="3"/>
  <c r="R88" i="3" s="1"/>
  <c r="H88" i="3"/>
  <c r="F88" i="3"/>
  <c r="D88" i="3"/>
  <c r="Z87" i="3"/>
  <c r="Y87" i="3"/>
  <c r="Q87" i="3"/>
  <c r="P87" i="3"/>
  <c r="O87" i="3"/>
  <c r="I87" i="3"/>
  <c r="R87" i="3" s="1"/>
  <c r="H87" i="3"/>
  <c r="F87" i="3"/>
  <c r="D87" i="3"/>
  <c r="Z86" i="3"/>
  <c r="Y86" i="3"/>
  <c r="Q86" i="3"/>
  <c r="P86" i="3"/>
  <c r="O86" i="3"/>
  <c r="I86" i="3"/>
  <c r="R86" i="3" s="1"/>
  <c r="H86" i="3"/>
  <c r="F86" i="3"/>
  <c r="D86" i="3"/>
  <c r="Z85" i="3"/>
  <c r="Y85" i="3"/>
  <c r="Q85" i="3"/>
  <c r="P85" i="3"/>
  <c r="O85" i="3"/>
  <c r="I85" i="3"/>
  <c r="R85" i="3" s="1"/>
  <c r="H85" i="3"/>
  <c r="F85" i="3"/>
  <c r="D85" i="3"/>
  <c r="Z84" i="3"/>
  <c r="Y84" i="3"/>
  <c r="Q84" i="3"/>
  <c r="P84" i="3"/>
  <c r="O84" i="3"/>
  <c r="I84" i="3"/>
  <c r="R84" i="3" s="1"/>
  <c r="H84" i="3"/>
  <c r="F84" i="3"/>
  <c r="D84" i="3"/>
  <c r="Z83" i="3"/>
  <c r="Y83" i="3"/>
  <c r="Q83" i="3"/>
  <c r="P83" i="3"/>
  <c r="O83" i="3"/>
  <c r="I83" i="3"/>
  <c r="R83" i="3" s="1"/>
  <c r="H83" i="3"/>
  <c r="F83" i="3"/>
  <c r="D83" i="3"/>
  <c r="Z82" i="3"/>
  <c r="Y82" i="3"/>
  <c r="Q82" i="3"/>
  <c r="P82" i="3"/>
  <c r="O82" i="3"/>
  <c r="I82" i="3"/>
  <c r="R82" i="3" s="1"/>
  <c r="H82" i="3"/>
  <c r="F82" i="3"/>
  <c r="D82" i="3"/>
  <c r="Z81" i="3"/>
  <c r="Y81" i="3"/>
  <c r="Q81" i="3"/>
  <c r="P81" i="3"/>
  <c r="O81" i="3"/>
  <c r="I81" i="3"/>
  <c r="R81" i="3" s="1"/>
  <c r="H81" i="3"/>
  <c r="F81" i="3"/>
  <c r="D81" i="3"/>
  <c r="Z80" i="3"/>
  <c r="Y80" i="3"/>
  <c r="Q80" i="3"/>
  <c r="P80" i="3"/>
  <c r="O80" i="3"/>
  <c r="I80" i="3"/>
  <c r="R80" i="3" s="1"/>
  <c r="H80" i="3"/>
  <c r="F80" i="3"/>
  <c r="D80" i="3"/>
  <c r="Z79" i="3"/>
  <c r="Y79" i="3"/>
  <c r="Q79" i="3"/>
  <c r="P79" i="3"/>
  <c r="O79" i="3"/>
  <c r="I79" i="3"/>
  <c r="R79" i="3" s="1"/>
  <c r="H79" i="3"/>
  <c r="F79" i="3"/>
  <c r="D79" i="3"/>
  <c r="Z78" i="3"/>
  <c r="Y78" i="3"/>
  <c r="Q78" i="3"/>
  <c r="P78" i="3"/>
  <c r="O78" i="3"/>
  <c r="I78" i="3"/>
  <c r="R78" i="3" s="1"/>
  <c r="H78" i="3"/>
  <c r="F78" i="3"/>
  <c r="D78" i="3"/>
  <c r="Z77" i="3"/>
  <c r="Y77" i="3"/>
  <c r="Q77" i="3"/>
  <c r="P77" i="3"/>
  <c r="O77" i="3"/>
  <c r="I77" i="3"/>
  <c r="R77" i="3" s="1"/>
  <c r="H77" i="3"/>
  <c r="F77" i="3"/>
  <c r="D77" i="3"/>
  <c r="Z76" i="3"/>
  <c r="Y76" i="3"/>
  <c r="Q76" i="3"/>
  <c r="P76" i="3"/>
  <c r="O76" i="3"/>
  <c r="I76" i="3"/>
  <c r="R76" i="3" s="1"/>
  <c r="H76" i="3"/>
  <c r="F76" i="3"/>
  <c r="D76" i="3"/>
  <c r="Z75" i="3"/>
  <c r="Y75" i="3"/>
  <c r="Q75" i="3"/>
  <c r="P75" i="3"/>
  <c r="O75" i="3"/>
  <c r="I75" i="3"/>
  <c r="R75" i="3" s="1"/>
  <c r="H75" i="3"/>
  <c r="F75" i="3"/>
  <c r="D75" i="3"/>
  <c r="Z74" i="3"/>
  <c r="Y74" i="3"/>
  <c r="Q74" i="3"/>
  <c r="P74" i="3"/>
  <c r="O74" i="3"/>
  <c r="I74" i="3"/>
  <c r="R74" i="3" s="1"/>
  <c r="H74" i="3"/>
  <c r="F74" i="3"/>
  <c r="D74" i="3"/>
  <c r="Z73" i="3"/>
  <c r="Y73" i="3"/>
  <c r="Q73" i="3"/>
  <c r="P73" i="3"/>
  <c r="O73" i="3"/>
  <c r="I73" i="3"/>
  <c r="R73" i="3" s="1"/>
  <c r="H73" i="3"/>
  <c r="F73" i="3"/>
  <c r="D73" i="3"/>
  <c r="Z72" i="3"/>
  <c r="Y72" i="3"/>
  <c r="Q72" i="3"/>
  <c r="P72" i="3"/>
  <c r="O72" i="3"/>
  <c r="I72" i="3"/>
  <c r="R72" i="3" s="1"/>
  <c r="H72" i="3"/>
  <c r="F72" i="3"/>
  <c r="D72" i="3"/>
  <c r="Z71" i="3"/>
  <c r="Y71" i="3"/>
  <c r="Q71" i="3"/>
  <c r="P71" i="3"/>
  <c r="O71" i="3"/>
  <c r="I71" i="3"/>
  <c r="R71" i="3" s="1"/>
  <c r="H71" i="3"/>
  <c r="F71" i="3"/>
  <c r="D71" i="3"/>
  <c r="Z70" i="3"/>
  <c r="Y70" i="3"/>
  <c r="Q70" i="3"/>
  <c r="P70" i="3"/>
  <c r="O70" i="3"/>
  <c r="I70" i="3"/>
  <c r="R70" i="3" s="1"/>
  <c r="H70" i="3"/>
  <c r="F70" i="3"/>
  <c r="D70" i="3"/>
  <c r="Z69" i="3"/>
  <c r="Y69" i="3"/>
  <c r="Q69" i="3"/>
  <c r="P69" i="3"/>
  <c r="O69" i="3"/>
  <c r="I69" i="3"/>
  <c r="R69" i="3" s="1"/>
  <c r="H69" i="3"/>
  <c r="F69" i="3"/>
  <c r="D69" i="3"/>
  <c r="Z68" i="3"/>
  <c r="Y68" i="3"/>
  <c r="Q68" i="3"/>
  <c r="P68" i="3"/>
  <c r="O68" i="3"/>
  <c r="I68" i="3"/>
  <c r="R68" i="3" s="1"/>
  <c r="H68" i="3"/>
  <c r="F68" i="3"/>
  <c r="D68" i="3"/>
  <c r="Z67" i="3"/>
  <c r="Y67" i="3"/>
  <c r="Q67" i="3"/>
  <c r="P67" i="3"/>
  <c r="O67" i="3"/>
  <c r="I67" i="3"/>
  <c r="R67" i="3" s="1"/>
  <c r="H67" i="3"/>
  <c r="F67" i="3"/>
  <c r="D67" i="3"/>
  <c r="Z66" i="3"/>
  <c r="Y66" i="3"/>
  <c r="Q66" i="3"/>
  <c r="P66" i="3"/>
  <c r="O66" i="3"/>
  <c r="I66" i="3"/>
  <c r="R66" i="3" s="1"/>
  <c r="H66" i="3"/>
  <c r="F66" i="3"/>
  <c r="D66" i="3"/>
  <c r="Z65" i="3"/>
  <c r="Y65" i="3"/>
  <c r="Q65" i="3"/>
  <c r="P65" i="3"/>
  <c r="O65" i="3"/>
  <c r="I65" i="3"/>
  <c r="R65" i="3" s="1"/>
  <c r="H65" i="3"/>
  <c r="F65" i="3"/>
  <c r="D65" i="3"/>
  <c r="Z64" i="3"/>
  <c r="Y64" i="3"/>
  <c r="Q64" i="3"/>
  <c r="P64" i="3"/>
  <c r="O64" i="3"/>
  <c r="I64" i="3"/>
  <c r="R64" i="3" s="1"/>
  <c r="H64" i="3"/>
  <c r="F64" i="3"/>
  <c r="D64" i="3"/>
  <c r="Z63" i="3"/>
  <c r="Y63" i="3"/>
  <c r="Q63" i="3"/>
  <c r="P63" i="3"/>
  <c r="O63" i="3"/>
  <c r="I63" i="3"/>
  <c r="R63" i="3" s="1"/>
  <c r="H63" i="3"/>
  <c r="F63" i="3"/>
  <c r="D63" i="3"/>
  <c r="Z62" i="3"/>
  <c r="Y62" i="3"/>
  <c r="Q62" i="3"/>
  <c r="P62" i="3"/>
  <c r="O62" i="3"/>
  <c r="I62" i="3"/>
  <c r="R62" i="3" s="1"/>
  <c r="H62" i="3"/>
  <c r="F62" i="3"/>
  <c r="D62" i="3"/>
  <c r="Z61" i="3"/>
  <c r="Y61" i="3"/>
  <c r="Q61" i="3"/>
  <c r="P61" i="3"/>
  <c r="O61" i="3"/>
  <c r="I61" i="3"/>
  <c r="R61" i="3" s="1"/>
  <c r="H61" i="3"/>
  <c r="F61" i="3"/>
  <c r="D61" i="3"/>
  <c r="Z60" i="3"/>
  <c r="Y60" i="3"/>
  <c r="Q60" i="3"/>
  <c r="P60" i="3"/>
  <c r="O60" i="3"/>
  <c r="I60" i="3"/>
  <c r="R60" i="3" s="1"/>
  <c r="H60" i="3"/>
  <c r="F60" i="3"/>
  <c r="D60" i="3"/>
  <c r="Z59" i="3"/>
  <c r="Y59" i="3"/>
  <c r="Q59" i="3"/>
  <c r="P59" i="3"/>
  <c r="O59" i="3"/>
  <c r="I59" i="3"/>
  <c r="R59" i="3" s="1"/>
  <c r="H59" i="3"/>
  <c r="F59" i="3"/>
  <c r="D59" i="3"/>
  <c r="Z58" i="3"/>
  <c r="Y58" i="3"/>
  <c r="Q58" i="3"/>
  <c r="P58" i="3"/>
  <c r="O58" i="3"/>
  <c r="I58" i="3"/>
  <c r="R58" i="3" s="1"/>
  <c r="H58" i="3"/>
  <c r="F58" i="3"/>
  <c r="D58" i="3"/>
  <c r="Z57" i="3"/>
  <c r="Y57" i="3"/>
  <c r="Q57" i="3"/>
  <c r="P57" i="3"/>
  <c r="O57" i="3"/>
  <c r="I57" i="3"/>
  <c r="R57" i="3" s="1"/>
  <c r="H57" i="3"/>
  <c r="F57" i="3"/>
  <c r="D57" i="3"/>
  <c r="Z56" i="3"/>
  <c r="Y56" i="3"/>
  <c r="Q56" i="3"/>
  <c r="P56" i="3"/>
  <c r="O56" i="3"/>
  <c r="I56" i="3"/>
  <c r="R56" i="3" s="1"/>
  <c r="H56" i="3"/>
  <c r="F56" i="3"/>
  <c r="D56" i="3"/>
  <c r="Z55" i="3"/>
  <c r="Y55" i="3"/>
  <c r="Q55" i="3"/>
  <c r="P55" i="3"/>
  <c r="O55" i="3"/>
  <c r="I55" i="3"/>
  <c r="R55" i="3" s="1"/>
  <c r="H55" i="3"/>
  <c r="F55" i="3"/>
  <c r="D55" i="3"/>
  <c r="Z54" i="3"/>
  <c r="Y54" i="3"/>
  <c r="Q54" i="3"/>
  <c r="P54" i="3"/>
  <c r="O54" i="3"/>
  <c r="I54" i="3"/>
  <c r="R54" i="3" s="1"/>
  <c r="H54" i="3"/>
  <c r="F54" i="3"/>
  <c r="D54" i="3"/>
  <c r="Z53" i="3"/>
  <c r="Y53" i="3"/>
  <c r="Q53" i="3"/>
  <c r="P53" i="3"/>
  <c r="O53" i="3"/>
  <c r="I53" i="3"/>
  <c r="R53" i="3" s="1"/>
  <c r="H53" i="3"/>
  <c r="F53" i="3"/>
  <c r="D53" i="3"/>
  <c r="Z52" i="3"/>
  <c r="Y52" i="3"/>
  <c r="Q52" i="3"/>
  <c r="P52" i="3"/>
  <c r="O52" i="3"/>
  <c r="I52" i="3"/>
  <c r="R52" i="3" s="1"/>
  <c r="H52" i="3"/>
  <c r="F52" i="3"/>
  <c r="D52" i="3"/>
  <c r="Z51" i="3"/>
  <c r="Y51" i="3"/>
  <c r="Q51" i="3"/>
  <c r="P51" i="3"/>
  <c r="O51" i="3"/>
  <c r="I51" i="3"/>
  <c r="R51" i="3" s="1"/>
  <c r="H51" i="3"/>
  <c r="F51" i="3"/>
  <c r="D51" i="3"/>
  <c r="Z50" i="3"/>
  <c r="Y50" i="3"/>
  <c r="Q50" i="3"/>
  <c r="P50" i="3"/>
  <c r="O50" i="3"/>
  <c r="I50" i="3"/>
  <c r="R50" i="3" s="1"/>
  <c r="H50" i="3"/>
  <c r="F50" i="3"/>
  <c r="D50" i="3"/>
  <c r="Z49" i="3"/>
  <c r="Y49" i="3"/>
  <c r="Q49" i="3"/>
  <c r="P49" i="3"/>
  <c r="O49" i="3"/>
  <c r="I49" i="3"/>
  <c r="R49" i="3" s="1"/>
  <c r="H49" i="3"/>
  <c r="F49" i="3"/>
  <c r="D49" i="3"/>
  <c r="Z48" i="3"/>
  <c r="Y48" i="3"/>
  <c r="Q48" i="3"/>
  <c r="P48" i="3"/>
  <c r="O48" i="3"/>
  <c r="I48" i="3"/>
  <c r="R48" i="3" s="1"/>
  <c r="H48" i="3"/>
  <c r="F48" i="3"/>
  <c r="D48" i="3"/>
  <c r="Z47" i="3"/>
  <c r="Y47" i="3"/>
  <c r="Q47" i="3"/>
  <c r="P47" i="3"/>
  <c r="O47" i="3"/>
  <c r="I47" i="3"/>
  <c r="R47" i="3" s="1"/>
  <c r="H47" i="3"/>
  <c r="F47" i="3"/>
  <c r="D47" i="3"/>
  <c r="Z46" i="3"/>
  <c r="Y46" i="3"/>
  <c r="Q46" i="3"/>
  <c r="P46" i="3"/>
  <c r="O46" i="3"/>
  <c r="I46" i="3"/>
  <c r="R46" i="3" s="1"/>
  <c r="H46" i="3"/>
  <c r="F46" i="3"/>
  <c r="D46" i="3"/>
  <c r="Z45" i="3"/>
  <c r="Y45" i="3"/>
  <c r="Q45" i="3"/>
  <c r="P45" i="3"/>
  <c r="O45" i="3"/>
  <c r="I45" i="3"/>
  <c r="R45" i="3" s="1"/>
  <c r="H45" i="3"/>
  <c r="F45" i="3"/>
  <c r="D45" i="3"/>
  <c r="Z44" i="3"/>
  <c r="Y44" i="3"/>
  <c r="Q44" i="3"/>
  <c r="P44" i="3"/>
  <c r="O44" i="3"/>
  <c r="I44" i="3"/>
  <c r="R44" i="3" s="1"/>
  <c r="H44" i="3"/>
  <c r="F44" i="3"/>
  <c r="D44" i="3"/>
  <c r="Z43" i="3"/>
  <c r="Y43" i="3"/>
  <c r="Q43" i="3"/>
  <c r="P43" i="3"/>
  <c r="O43" i="3"/>
  <c r="I43" i="3"/>
  <c r="R43" i="3" s="1"/>
  <c r="H43" i="3"/>
  <c r="F43" i="3"/>
  <c r="D43" i="3"/>
  <c r="Z42" i="3"/>
  <c r="Y42" i="3"/>
  <c r="Q42" i="3"/>
  <c r="P42" i="3"/>
  <c r="O42" i="3"/>
  <c r="I42" i="3"/>
  <c r="R42" i="3" s="1"/>
  <c r="H42" i="3"/>
  <c r="F42" i="3"/>
  <c r="D42" i="3"/>
  <c r="Z41" i="3"/>
  <c r="Y41" i="3"/>
  <c r="Q41" i="3"/>
  <c r="P41" i="3"/>
  <c r="O41" i="3"/>
  <c r="I41" i="3"/>
  <c r="R41" i="3" s="1"/>
  <c r="H41" i="3"/>
  <c r="F41" i="3"/>
  <c r="D41" i="3"/>
  <c r="Z40" i="3"/>
  <c r="Y40" i="3"/>
  <c r="Q40" i="3"/>
  <c r="P40" i="3"/>
  <c r="O40" i="3"/>
  <c r="I40" i="3"/>
  <c r="R40" i="3" s="1"/>
  <c r="H40" i="3"/>
  <c r="F40" i="3"/>
  <c r="D40" i="3"/>
  <c r="Z39" i="3"/>
  <c r="Y39" i="3"/>
  <c r="Q39" i="3"/>
  <c r="P39" i="3"/>
  <c r="O39" i="3"/>
  <c r="I39" i="3"/>
  <c r="R39" i="3" s="1"/>
  <c r="H39" i="3"/>
  <c r="F39" i="3"/>
  <c r="D39" i="3"/>
  <c r="Z38" i="3"/>
  <c r="Y38" i="3"/>
  <c r="Q38" i="3"/>
  <c r="P38" i="3"/>
  <c r="O38" i="3"/>
  <c r="I38" i="3"/>
  <c r="R38" i="3" s="1"/>
  <c r="H38" i="3"/>
  <c r="F38" i="3"/>
  <c r="D38" i="3"/>
  <c r="Z37" i="3"/>
  <c r="Y37" i="3"/>
  <c r="Q37" i="3"/>
  <c r="P37" i="3"/>
  <c r="O37" i="3"/>
  <c r="I37" i="3"/>
  <c r="R37" i="3" s="1"/>
  <c r="H37" i="3"/>
  <c r="F37" i="3"/>
  <c r="D37" i="3"/>
  <c r="Z36" i="3"/>
  <c r="Y36" i="3"/>
  <c r="Q36" i="3"/>
  <c r="P36" i="3"/>
  <c r="O36" i="3"/>
  <c r="I36" i="3"/>
  <c r="R36" i="3" s="1"/>
  <c r="H36" i="3"/>
  <c r="F36" i="3"/>
  <c r="D36" i="3"/>
  <c r="Z35" i="3"/>
  <c r="Y35" i="3"/>
  <c r="Q35" i="3"/>
  <c r="P35" i="3"/>
  <c r="O35" i="3"/>
  <c r="I35" i="3"/>
  <c r="R35" i="3" s="1"/>
  <c r="H35" i="3"/>
  <c r="F35" i="3"/>
  <c r="D35" i="3"/>
  <c r="Z34" i="3"/>
  <c r="Y34" i="3"/>
  <c r="Q34" i="3"/>
  <c r="P34" i="3"/>
  <c r="O34" i="3"/>
  <c r="I34" i="3"/>
  <c r="R34" i="3" s="1"/>
  <c r="H34" i="3"/>
  <c r="F34" i="3"/>
  <c r="D34" i="3"/>
  <c r="Z33" i="3"/>
  <c r="Y33" i="3"/>
  <c r="Q33" i="3"/>
  <c r="P33" i="3"/>
  <c r="O33" i="3"/>
  <c r="I33" i="3"/>
  <c r="R33" i="3" s="1"/>
  <c r="H33" i="3"/>
  <c r="F33" i="3"/>
  <c r="D33" i="3"/>
  <c r="Z32" i="3"/>
  <c r="Y32" i="3"/>
  <c r="Q32" i="3"/>
  <c r="P32" i="3"/>
  <c r="O32" i="3"/>
  <c r="I32" i="3"/>
  <c r="R32" i="3" s="1"/>
  <c r="H32" i="3"/>
  <c r="F32" i="3"/>
  <c r="D32" i="3"/>
  <c r="Z31" i="3"/>
  <c r="Y31" i="3"/>
  <c r="Q31" i="3"/>
  <c r="P31" i="3"/>
  <c r="O31" i="3"/>
  <c r="I31" i="3"/>
  <c r="R31" i="3" s="1"/>
  <c r="H31" i="3"/>
  <c r="F31" i="3"/>
  <c r="D31" i="3"/>
  <c r="Z30" i="3"/>
  <c r="Y30" i="3"/>
  <c r="Q30" i="3"/>
  <c r="P30" i="3"/>
  <c r="O30" i="3"/>
  <c r="I30" i="3"/>
  <c r="R30" i="3" s="1"/>
  <c r="H30" i="3"/>
  <c r="F30" i="3"/>
  <c r="D30" i="3"/>
  <c r="Z29" i="3"/>
  <c r="Y29" i="3"/>
  <c r="Q29" i="3"/>
  <c r="P29" i="3"/>
  <c r="O29" i="3"/>
  <c r="I29" i="3"/>
  <c r="R29" i="3" s="1"/>
  <c r="H29" i="3"/>
  <c r="F29" i="3"/>
  <c r="D29" i="3"/>
  <c r="Z28" i="3"/>
  <c r="Y28" i="3"/>
  <c r="Q28" i="3"/>
  <c r="P28" i="3"/>
  <c r="O28" i="3"/>
  <c r="I28" i="3"/>
  <c r="R28" i="3" s="1"/>
  <c r="H28" i="3"/>
  <c r="F28" i="3"/>
  <c r="D28" i="3"/>
  <c r="Z27" i="3"/>
  <c r="Y27" i="3"/>
  <c r="Q27" i="3"/>
  <c r="P27" i="3"/>
  <c r="O27" i="3"/>
  <c r="I27" i="3"/>
  <c r="R27" i="3" s="1"/>
  <c r="H27" i="3"/>
  <c r="F27" i="3"/>
  <c r="D27" i="3"/>
  <c r="Z26" i="3"/>
  <c r="Y26" i="3"/>
  <c r="Q26" i="3"/>
  <c r="P26" i="3"/>
  <c r="O26" i="3"/>
  <c r="I26" i="3"/>
  <c r="R26" i="3" s="1"/>
  <c r="H26" i="3"/>
  <c r="F26" i="3"/>
  <c r="D26" i="3"/>
  <c r="Z25" i="3"/>
  <c r="Y25" i="3"/>
  <c r="Q25" i="3"/>
  <c r="P25" i="3"/>
  <c r="O25" i="3"/>
  <c r="I25" i="3"/>
  <c r="R25" i="3" s="1"/>
  <c r="H25" i="3"/>
  <c r="F25" i="3"/>
  <c r="D25" i="3"/>
  <c r="Z24" i="3"/>
  <c r="Y24" i="3"/>
  <c r="Q24" i="3"/>
  <c r="P24" i="3"/>
  <c r="O24" i="3"/>
  <c r="I24" i="3"/>
  <c r="R24" i="3" s="1"/>
  <c r="H24" i="3"/>
  <c r="F24" i="3"/>
  <c r="D24" i="3"/>
  <c r="Z23" i="3"/>
  <c r="Y23" i="3"/>
  <c r="Q23" i="3"/>
  <c r="P23" i="3"/>
  <c r="O23" i="3"/>
  <c r="I23" i="3"/>
  <c r="R23" i="3" s="1"/>
  <c r="H23" i="3"/>
  <c r="F23" i="3"/>
  <c r="D23" i="3"/>
  <c r="Z22" i="3"/>
  <c r="Y22" i="3"/>
  <c r="Q22" i="3"/>
  <c r="P22" i="3"/>
  <c r="O22" i="3"/>
  <c r="I22" i="3"/>
  <c r="R22" i="3" s="1"/>
  <c r="H22" i="3"/>
  <c r="F22" i="3"/>
  <c r="D22" i="3"/>
  <c r="Z21" i="3"/>
  <c r="Y21" i="3"/>
  <c r="Q21" i="3"/>
  <c r="P21" i="3"/>
  <c r="O21" i="3"/>
  <c r="I21" i="3"/>
  <c r="R21" i="3" s="1"/>
  <c r="H21" i="3"/>
  <c r="F21" i="3"/>
  <c r="D21" i="3"/>
  <c r="Z20" i="3"/>
  <c r="Y20" i="3"/>
  <c r="Q20" i="3"/>
  <c r="P20" i="3"/>
  <c r="O20" i="3"/>
  <c r="I20" i="3"/>
  <c r="R20" i="3" s="1"/>
  <c r="H20" i="3"/>
  <c r="F20" i="3"/>
  <c r="D20" i="3"/>
  <c r="Z19" i="3"/>
  <c r="Y19" i="3"/>
  <c r="Q19" i="3"/>
  <c r="P19" i="3"/>
  <c r="O19" i="3"/>
  <c r="I19" i="3"/>
  <c r="R19" i="3" s="1"/>
  <c r="H19" i="3"/>
  <c r="F19" i="3"/>
  <c r="D19" i="3"/>
  <c r="Z18" i="3"/>
  <c r="Y18" i="3"/>
  <c r="Q18" i="3"/>
  <c r="P18" i="3"/>
  <c r="O18" i="3"/>
  <c r="I18" i="3"/>
  <c r="R18" i="3" s="1"/>
  <c r="H18" i="3"/>
  <c r="F18" i="3"/>
  <c r="D18" i="3"/>
  <c r="Z17" i="3"/>
  <c r="Y17" i="3"/>
  <c r="Q17" i="3"/>
  <c r="P17" i="3"/>
  <c r="O17" i="3"/>
  <c r="I17" i="3"/>
  <c r="R17" i="3" s="1"/>
  <c r="H17" i="3"/>
  <c r="F17" i="3"/>
  <c r="D17" i="3"/>
  <c r="Z16" i="3"/>
  <c r="Y16" i="3"/>
  <c r="Q16" i="3"/>
  <c r="P16" i="3"/>
  <c r="O16" i="3"/>
  <c r="I16" i="3"/>
  <c r="R16" i="3" s="1"/>
  <c r="H16" i="3"/>
  <c r="F16" i="3"/>
  <c r="D16" i="3"/>
  <c r="Z15" i="3"/>
  <c r="Y15" i="3"/>
  <c r="Q15" i="3"/>
  <c r="P15" i="3"/>
  <c r="O15" i="3"/>
  <c r="I15" i="3"/>
  <c r="R15" i="3" s="1"/>
  <c r="H15" i="3"/>
  <c r="F15" i="3"/>
  <c r="D15" i="3"/>
  <c r="Z14" i="3"/>
  <c r="Y14" i="3"/>
  <c r="Q14" i="3"/>
  <c r="P14" i="3"/>
  <c r="O14" i="3"/>
  <c r="I14" i="3"/>
  <c r="R14" i="3" s="1"/>
  <c r="H14" i="3"/>
  <c r="F14" i="3"/>
  <c r="D14" i="3"/>
  <c r="Z13" i="3"/>
  <c r="Y13" i="3"/>
  <c r="Q13" i="3"/>
  <c r="P13" i="3"/>
  <c r="O13" i="3"/>
  <c r="I13" i="3"/>
  <c r="R13" i="3" s="1"/>
  <c r="H13" i="3"/>
  <c r="F13" i="3"/>
  <c r="D13" i="3"/>
  <c r="Z12" i="3"/>
  <c r="Y12" i="3"/>
  <c r="Q12" i="3"/>
  <c r="P12" i="3"/>
  <c r="O12" i="3"/>
  <c r="I12" i="3"/>
  <c r="R12" i="3" s="1"/>
  <c r="H12" i="3"/>
  <c r="F12" i="3"/>
  <c r="D12" i="3"/>
  <c r="Z11" i="3"/>
  <c r="Y11" i="3"/>
  <c r="Q11" i="3"/>
  <c r="P11" i="3"/>
  <c r="O11" i="3"/>
  <c r="I11" i="3"/>
  <c r="R11" i="3" s="1"/>
  <c r="H11" i="3"/>
  <c r="F11" i="3"/>
  <c r="D11" i="3"/>
  <c r="Z10" i="3"/>
  <c r="Y10" i="3"/>
  <c r="Q10" i="3"/>
  <c r="P10" i="3"/>
  <c r="O10" i="3"/>
  <c r="I10" i="3"/>
  <c r="R10" i="3" s="1"/>
  <c r="H10" i="3"/>
  <c r="F10" i="3"/>
  <c r="D10" i="3"/>
  <c r="Z9" i="3"/>
  <c r="Y9" i="3"/>
  <c r="Q9" i="3"/>
  <c r="P9" i="3"/>
  <c r="O9" i="3"/>
  <c r="I9" i="3"/>
  <c r="R9" i="3" s="1"/>
  <c r="H9" i="3"/>
  <c r="F9" i="3"/>
  <c r="D9" i="3"/>
  <c r="Z8" i="3"/>
  <c r="Y8" i="3"/>
  <c r="Q8" i="3"/>
  <c r="P8" i="3"/>
  <c r="O8" i="3"/>
  <c r="I8" i="3"/>
  <c r="R8" i="3" s="1"/>
  <c r="H8" i="3"/>
  <c r="F8" i="3"/>
  <c r="D8" i="3"/>
  <c r="Z7" i="3"/>
  <c r="Y7" i="3"/>
  <c r="Q7" i="3"/>
  <c r="P7" i="3"/>
  <c r="O7" i="3"/>
  <c r="I7" i="3"/>
  <c r="R7" i="3" s="1"/>
  <c r="H7" i="3"/>
  <c r="F7" i="3"/>
  <c r="D7" i="3"/>
  <c r="Z6" i="3"/>
  <c r="Y6" i="3"/>
  <c r="Q6" i="3"/>
  <c r="P6" i="3"/>
  <c r="O6" i="3"/>
  <c r="I6" i="3"/>
  <c r="R6" i="3" s="1"/>
  <c r="H6" i="3"/>
  <c r="F6" i="3"/>
  <c r="D6" i="3"/>
  <c r="Z5" i="3"/>
  <c r="Y5" i="3"/>
  <c r="Q5" i="3"/>
  <c r="P5" i="3"/>
  <c r="O5" i="3"/>
  <c r="I5" i="3"/>
  <c r="R5" i="3" s="1"/>
  <c r="H5" i="3"/>
  <c r="F5" i="3"/>
  <c r="D5" i="3"/>
  <c r="Q4" i="3"/>
  <c r="P4" i="3"/>
  <c r="O4" i="3"/>
  <c r="I4" i="3"/>
  <c r="R4" i="3" s="1"/>
  <c r="H4" i="3"/>
  <c r="F4" i="3"/>
  <c r="D4" i="3"/>
  <c r="Q3" i="3"/>
  <c r="P3" i="3"/>
  <c r="O3" i="3"/>
  <c r="H3" i="3"/>
  <c r="F3" i="3"/>
  <c r="D3" i="3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3" i="2"/>
  <c r="G19" i="5" l="1"/>
  <c r="T19" i="5" s="1"/>
  <c r="G20" i="5"/>
  <c r="T20" i="5" s="1"/>
  <c r="G61" i="5"/>
  <c r="T61" i="5" s="1"/>
  <c r="G17" i="5"/>
  <c r="T17" i="5" s="1"/>
  <c r="G18" i="5"/>
  <c r="T18" i="5" s="1"/>
  <c r="G27" i="5"/>
  <c r="T27" i="5" s="1"/>
  <c r="G65" i="5"/>
  <c r="T65" i="5" s="1"/>
  <c r="G66" i="5"/>
  <c r="T66" i="5" s="1"/>
  <c r="G26" i="5"/>
  <c r="T26" i="5" s="1"/>
  <c r="G23" i="5"/>
  <c r="T23" i="5" s="1"/>
  <c r="G63" i="5"/>
  <c r="T63" i="5" s="1"/>
  <c r="G24" i="5"/>
  <c r="T24" i="5" s="1"/>
  <c r="G22" i="5"/>
  <c r="T22" i="5" s="1"/>
  <c r="G10" i="5"/>
  <c r="T10" i="5" s="1"/>
  <c r="G14" i="5"/>
  <c r="T14" i="5" s="1"/>
  <c r="G54" i="5"/>
  <c r="T54" i="5" s="1"/>
  <c r="G58" i="5"/>
  <c r="T58" i="5" s="1"/>
  <c r="N14" i="9"/>
  <c r="N23" i="12"/>
  <c r="T34" i="12"/>
  <c r="F9" i="9"/>
  <c r="F12" i="9"/>
  <c r="F7" i="9"/>
  <c r="F14" i="9"/>
  <c r="S22" i="12"/>
  <c r="V34" i="9"/>
  <c r="V24" i="12"/>
  <c r="G52" i="9"/>
  <c r="V8" i="9"/>
  <c r="V17" i="9"/>
  <c r="V42" i="9"/>
  <c r="V25" i="9"/>
  <c r="V46" i="9"/>
  <c r="V12" i="9"/>
  <c r="V29" i="9"/>
  <c r="V51" i="9"/>
  <c r="W22" i="12"/>
  <c r="N7" i="9"/>
  <c r="N12" i="9"/>
  <c r="N23" i="9"/>
  <c r="F28" i="9"/>
  <c r="F34" i="9"/>
  <c r="N34" i="9"/>
  <c r="F35" i="9"/>
  <c r="N44" i="9"/>
  <c r="F13" i="12"/>
  <c r="F6" i="9"/>
  <c r="N6" i="9"/>
  <c r="F11" i="9"/>
  <c r="N11" i="9"/>
  <c r="F17" i="9"/>
  <c r="N17" i="9"/>
  <c r="F18" i="9"/>
  <c r="N18" i="9"/>
  <c r="F27" i="9"/>
  <c r="N27" i="9"/>
  <c r="F33" i="9"/>
  <c r="N33" i="9"/>
  <c r="F42" i="9"/>
  <c r="N42" i="9"/>
  <c r="F43" i="9"/>
  <c r="N43" i="9"/>
  <c r="F49" i="9"/>
  <c r="N49" i="9"/>
  <c r="F12" i="12"/>
  <c r="N12" i="12"/>
  <c r="F35" i="12"/>
  <c r="N35" i="12"/>
  <c r="F23" i="9"/>
  <c r="N28" i="9"/>
  <c r="N35" i="9"/>
  <c r="F44" i="9"/>
  <c r="F50" i="9"/>
  <c r="N50" i="9"/>
  <c r="N13" i="12"/>
  <c r="F10" i="9"/>
  <c r="N10" i="9"/>
  <c r="F16" i="9"/>
  <c r="N16" i="9"/>
  <c r="F25" i="9"/>
  <c r="N25" i="9"/>
  <c r="F26" i="9"/>
  <c r="N26" i="9"/>
  <c r="F32" i="9"/>
  <c r="N32" i="9"/>
  <c r="F41" i="9"/>
  <c r="N41" i="9"/>
  <c r="F46" i="9"/>
  <c r="N46" i="9"/>
  <c r="F48" i="9"/>
  <c r="N48" i="9"/>
  <c r="F24" i="12"/>
  <c r="N24" i="12"/>
  <c r="N22" i="12" s="1"/>
  <c r="F34" i="12"/>
  <c r="N34" i="12"/>
  <c r="K34" i="12"/>
  <c r="T13" i="12"/>
  <c r="F8" i="9"/>
  <c r="N8" i="9"/>
  <c r="N9" i="9"/>
  <c r="F15" i="9"/>
  <c r="N15" i="9"/>
  <c r="F24" i="9"/>
  <c r="N24" i="9"/>
  <c r="F29" i="9"/>
  <c r="N29" i="9"/>
  <c r="F31" i="9"/>
  <c r="N31" i="9"/>
  <c r="F40" i="9"/>
  <c r="N40" i="9"/>
  <c r="F45" i="9"/>
  <c r="N45" i="9"/>
  <c r="F51" i="9"/>
  <c r="N51" i="9"/>
  <c r="F52" i="9"/>
  <c r="N52" i="9"/>
  <c r="T6" i="9"/>
  <c r="T10" i="9"/>
  <c r="T7" i="9"/>
  <c r="V31" i="9"/>
  <c r="T33" i="9"/>
  <c r="T41" i="9"/>
  <c r="T45" i="9"/>
  <c r="T50" i="9"/>
  <c r="V52" i="9"/>
  <c r="V12" i="12"/>
  <c r="T23" i="12"/>
  <c r="V34" i="12"/>
  <c r="T15" i="9"/>
  <c r="T27" i="9"/>
  <c r="T32" i="9"/>
  <c r="T40" i="9"/>
  <c r="T44" i="9"/>
  <c r="T49" i="9"/>
  <c r="T35" i="12"/>
  <c r="V9" i="9"/>
  <c r="T11" i="9"/>
  <c r="T16" i="9"/>
  <c r="V18" i="9"/>
  <c r="T24" i="9"/>
  <c r="T28" i="9"/>
  <c r="V43" i="9"/>
  <c r="V48" i="9"/>
  <c r="J52" i="9"/>
  <c r="V6" i="9"/>
  <c r="T8" i="9"/>
  <c r="V10" i="9"/>
  <c r="T12" i="9"/>
  <c r="V15" i="9"/>
  <c r="T17" i="9"/>
  <c r="V23" i="9"/>
  <c r="T25" i="9"/>
  <c r="V27" i="9"/>
  <c r="T29" i="9"/>
  <c r="V32" i="9"/>
  <c r="T34" i="9"/>
  <c r="V40" i="9"/>
  <c r="T42" i="9"/>
  <c r="V44" i="9"/>
  <c r="T46" i="9"/>
  <c r="V49" i="9"/>
  <c r="T51" i="9"/>
  <c r="V13" i="12"/>
  <c r="T24" i="12"/>
  <c r="V35" i="12"/>
  <c r="T23" i="9"/>
  <c r="V14" i="9"/>
  <c r="V26" i="9"/>
  <c r="V35" i="9"/>
  <c r="G24" i="12"/>
  <c r="V7" i="9"/>
  <c r="T9" i="9"/>
  <c r="V11" i="9"/>
  <c r="T14" i="9"/>
  <c r="V16" i="9"/>
  <c r="T18" i="9"/>
  <c r="V24" i="9"/>
  <c r="T26" i="9"/>
  <c r="V28" i="9"/>
  <c r="T31" i="9"/>
  <c r="V33" i="9"/>
  <c r="T35" i="9"/>
  <c r="V41" i="9"/>
  <c r="T43" i="9"/>
  <c r="V45" i="9"/>
  <c r="T48" i="9"/>
  <c r="V50" i="9"/>
  <c r="T52" i="9"/>
  <c r="T12" i="12"/>
  <c r="T11" i="12" s="1"/>
  <c r="D23" i="7"/>
  <c r="E30" i="1" s="1"/>
  <c r="E76" i="1" s="1"/>
  <c r="D21" i="7"/>
  <c r="E29" i="1" s="1"/>
  <c r="S11" i="12"/>
  <c r="E84" i="11"/>
  <c r="J6" i="9"/>
  <c r="J13" i="12"/>
  <c r="J24" i="12"/>
  <c r="J35" i="12"/>
  <c r="J8" i="9"/>
  <c r="J10" i="9"/>
  <c r="J12" i="9"/>
  <c r="J15" i="9"/>
  <c r="J17" i="9"/>
  <c r="J23" i="9"/>
  <c r="J25" i="9"/>
  <c r="J27" i="9"/>
  <c r="J29" i="9"/>
  <c r="J32" i="9"/>
  <c r="J34" i="9"/>
  <c r="J40" i="9"/>
  <c r="J42" i="9"/>
  <c r="J44" i="9"/>
  <c r="J46" i="9"/>
  <c r="J49" i="9"/>
  <c r="J51" i="9"/>
  <c r="J12" i="12"/>
  <c r="J11" i="12" s="1"/>
  <c r="J23" i="12"/>
  <c r="J34" i="12"/>
  <c r="J33" i="12" s="1"/>
  <c r="J7" i="9"/>
  <c r="J9" i="9"/>
  <c r="J11" i="9"/>
  <c r="J14" i="9"/>
  <c r="J16" i="9"/>
  <c r="J18" i="9"/>
  <c r="J24" i="9"/>
  <c r="J26" i="9"/>
  <c r="J28" i="9"/>
  <c r="J31" i="9"/>
  <c r="J33" i="9"/>
  <c r="J35" i="9"/>
  <c r="J41" i="9"/>
  <c r="J43" i="9"/>
  <c r="J45" i="9"/>
  <c r="J48" i="9"/>
  <c r="J50" i="9"/>
  <c r="L22" i="12"/>
  <c r="P22" i="12"/>
  <c r="U33" i="12"/>
  <c r="R31" i="9"/>
  <c r="G12" i="12"/>
  <c r="K13" i="12"/>
  <c r="E23" i="12"/>
  <c r="G34" i="12"/>
  <c r="K35" i="12"/>
  <c r="E6" i="9"/>
  <c r="K6" i="9"/>
  <c r="E7" i="9"/>
  <c r="K7" i="9"/>
  <c r="E8" i="9"/>
  <c r="K8" i="9"/>
  <c r="E9" i="9"/>
  <c r="K9" i="9"/>
  <c r="E10" i="9"/>
  <c r="K10" i="9"/>
  <c r="E11" i="9"/>
  <c r="K11" i="9"/>
  <c r="E12" i="9"/>
  <c r="K12" i="9"/>
  <c r="E14" i="9"/>
  <c r="K14" i="9"/>
  <c r="E15" i="9"/>
  <c r="K15" i="9"/>
  <c r="E16" i="9"/>
  <c r="K16" i="9"/>
  <c r="E17" i="9"/>
  <c r="K17" i="9"/>
  <c r="E18" i="9"/>
  <c r="K18" i="9"/>
  <c r="E23" i="9"/>
  <c r="K23" i="9"/>
  <c r="E24" i="9"/>
  <c r="K24" i="9"/>
  <c r="E25" i="9"/>
  <c r="K25" i="9"/>
  <c r="E26" i="9"/>
  <c r="K26" i="9"/>
  <c r="E27" i="9"/>
  <c r="K27" i="9"/>
  <c r="E28" i="9"/>
  <c r="K28" i="9"/>
  <c r="E29" i="9"/>
  <c r="K29" i="9"/>
  <c r="E31" i="9"/>
  <c r="K31" i="9"/>
  <c r="E32" i="9"/>
  <c r="K32" i="9"/>
  <c r="E33" i="9"/>
  <c r="K33" i="9"/>
  <c r="E34" i="9"/>
  <c r="K34" i="9"/>
  <c r="E35" i="9"/>
  <c r="K35" i="9"/>
  <c r="E40" i="9"/>
  <c r="K40" i="9"/>
  <c r="E41" i="9"/>
  <c r="K41" i="9"/>
  <c r="E42" i="9"/>
  <c r="K42" i="9"/>
  <c r="E43" i="9"/>
  <c r="K43" i="9"/>
  <c r="E44" i="9"/>
  <c r="K44" i="9"/>
  <c r="E45" i="9"/>
  <c r="K45" i="9"/>
  <c r="E46" i="9"/>
  <c r="K46" i="9"/>
  <c r="E48" i="9"/>
  <c r="K48" i="9"/>
  <c r="E49" i="9"/>
  <c r="K49" i="9"/>
  <c r="E50" i="9"/>
  <c r="K50" i="9"/>
  <c r="E51" i="9"/>
  <c r="K51" i="9"/>
  <c r="E52" i="9"/>
  <c r="K52" i="9"/>
  <c r="G13" i="12"/>
  <c r="K23" i="12"/>
  <c r="O22" i="12"/>
  <c r="E24" i="12"/>
  <c r="G35" i="12"/>
  <c r="E12" i="12"/>
  <c r="G23" i="12"/>
  <c r="G22" i="12" s="1"/>
  <c r="K24" i="12"/>
  <c r="E34" i="12"/>
  <c r="K12" i="12"/>
  <c r="E13" i="12"/>
  <c r="E35" i="12"/>
  <c r="F22" i="12"/>
  <c r="O33" i="12"/>
  <c r="O11" i="12"/>
  <c r="H22" i="12"/>
  <c r="M22" i="12"/>
  <c r="Q22" i="12"/>
  <c r="M11" i="12"/>
  <c r="I23" i="12"/>
  <c r="L11" i="12"/>
  <c r="P11" i="12"/>
  <c r="U11" i="12"/>
  <c r="W11" i="12"/>
  <c r="Q11" i="12"/>
  <c r="M33" i="12"/>
  <c r="Q33" i="12"/>
  <c r="V22" i="12"/>
  <c r="L33" i="12"/>
  <c r="P33" i="12"/>
  <c r="U22" i="12"/>
  <c r="S33" i="12"/>
  <c r="W33" i="12"/>
  <c r="R24" i="12"/>
  <c r="I13" i="12"/>
  <c r="R23" i="12"/>
  <c r="I35" i="12"/>
  <c r="I12" i="12"/>
  <c r="R13" i="12"/>
  <c r="I34" i="12"/>
  <c r="R35" i="12"/>
  <c r="R12" i="12"/>
  <c r="I24" i="12"/>
  <c r="R34" i="12"/>
  <c r="H11" i="12"/>
  <c r="H33" i="12"/>
  <c r="C8" i="11"/>
  <c r="D9" i="11"/>
  <c r="E10" i="11"/>
  <c r="C12" i="11"/>
  <c r="D13" i="11"/>
  <c r="E14" i="11"/>
  <c r="C17" i="11"/>
  <c r="D18" i="11"/>
  <c r="E19" i="11"/>
  <c r="C22" i="11"/>
  <c r="D23" i="11"/>
  <c r="E24" i="11"/>
  <c r="C26" i="11"/>
  <c r="D27" i="11"/>
  <c r="E29" i="11"/>
  <c r="C31" i="11"/>
  <c r="D32" i="11"/>
  <c r="E33" i="11"/>
  <c r="C35" i="11"/>
  <c r="D36" i="11"/>
  <c r="E37" i="11"/>
  <c r="C40" i="11"/>
  <c r="D41" i="11"/>
  <c r="E42" i="11"/>
  <c r="C44" i="11"/>
  <c r="D46" i="11"/>
  <c r="E47" i="11"/>
  <c r="C49" i="11"/>
  <c r="D50" i="11"/>
  <c r="E51" i="11"/>
  <c r="C54" i="11"/>
  <c r="D55" i="11"/>
  <c r="E56" i="11"/>
  <c r="C58" i="11"/>
  <c r="D60" i="11"/>
  <c r="E61" i="11"/>
  <c r="C63" i="11"/>
  <c r="D64" i="11"/>
  <c r="E65" i="11"/>
  <c r="C68" i="11"/>
  <c r="D69" i="11"/>
  <c r="E70" i="11"/>
  <c r="C72" i="11"/>
  <c r="D73" i="11"/>
  <c r="E74" i="11"/>
  <c r="C77" i="11"/>
  <c r="D78" i="11"/>
  <c r="E79" i="11"/>
  <c r="C81" i="11"/>
  <c r="D82" i="11"/>
  <c r="E83" i="11"/>
  <c r="D8" i="11"/>
  <c r="E9" i="11"/>
  <c r="C11" i="11"/>
  <c r="D12" i="11"/>
  <c r="E13" i="11"/>
  <c r="C16" i="11"/>
  <c r="D17" i="11"/>
  <c r="E18" i="11"/>
  <c r="C20" i="11"/>
  <c r="D22" i="11"/>
  <c r="E23" i="11"/>
  <c r="C25" i="11"/>
  <c r="D26" i="11"/>
  <c r="E27" i="11"/>
  <c r="C30" i="11"/>
  <c r="D31" i="11"/>
  <c r="E32" i="11"/>
  <c r="C34" i="11"/>
  <c r="D35" i="11"/>
  <c r="E36" i="11"/>
  <c r="C39" i="11"/>
  <c r="D40" i="11"/>
  <c r="E41" i="11"/>
  <c r="C43" i="11"/>
  <c r="D44" i="11"/>
  <c r="E46" i="11"/>
  <c r="C48" i="11"/>
  <c r="D49" i="11"/>
  <c r="E50" i="11"/>
  <c r="C53" i="11"/>
  <c r="D54" i="11"/>
  <c r="E55" i="11"/>
  <c r="C57" i="11"/>
  <c r="D58" i="11"/>
  <c r="E60" i="11"/>
  <c r="C62" i="11"/>
  <c r="D63" i="11"/>
  <c r="E64" i="11"/>
  <c r="C67" i="11"/>
  <c r="D68" i="11"/>
  <c r="E69" i="11"/>
  <c r="C71" i="11"/>
  <c r="D72" i="11"/>
  <c r="E73" i="11"/>
  <c r="C76" i="11"/>
  <c r="D77" i="11"/>
  <c r="E78" i="11"/>
  <c r="C80" i="11"/>
  <c r="D81" i="11"/>
  <c r="E82" i="11"/>
  <c r="C84" i="11"/>
  <c r="E8" i="11"/>
  <c r="C10" i="11"/>
  <c r="D11" i="11"/>
  <c r="E12" i="11"/>
  <c r="C14" i="11"/>
  <c r="D16" i="11"/>
  <c r="E17" i="11"/>
  <c r="C19" i="11"/>
  <c r="D20" i="11"/>
  <c r="E22" i="11"/>
  <c r="C24" i="11"/>
  <c r="D25" i="11"/>
  <c r="E26" i="11"/>
  <c r="C29" i="11"/>
  <c r="D30" i="11"/>
  <c r="E31" i="11"/>
  <c r="C33" i="11"/>
  <c r="D34" i="11"/>
  <c r="E35" i="11"/>
  <c r="C37" i="11"/>
  <c r="D39" i="11"/>
  <c r="E40" i="11"/>
  <c r="C42" i="11"/>
  <c r="D43" i="11"/>
  <c r="E44" i="11"/>
  <c r="C47" i="11"/>
  <c r="D48" i="11"/>
  <c r="E49" i="11"/>
  <c r="C51" i="11"/>
  <c r="D53" i="11"/>
  <c r="E54" i="11"/>
  <c r="C56" i="11"/>
  <c r="D57" i="11"/>
  <c r="E58" i="11"/>
  <c r="C61" i="11"/>
  <c r="D62" i="11"/>
  <c r="E63" i="11"/>
  <c r="C65" i="11"/>
  <c r="D67" i="11"/>
  <c r="E68" i="11"/>
  <c r="C70" i="11"/>
  <c r="D71" i="11"/>
  <c r="E72" i="11"/>
  <c r="C74" i="11"/>
  <c r="D76" i="11"/>
  <c r="E77" i="11"/>
  <c r="C79" i="11"/>
  <c r="D80" i="11"/>
  <c r="E81" i="11"/>
  <c r="C83" i="11"/>
  <c r="D84" i="11"/>
  <c r="E7" i="11"/>
  <c r="C9" i="11"/>
  <c r="D10" i="11"/>
  <c r="E11" i="11"/>
  <c r="C13" i="11"/>
  <c r="D14" i="11"/>
  <c r="E16" i="11"/>
  <c r="C18" i="11"/>
  <c r="D19" i="11"/>
  <c r="E20" i="11"/>
  <c r="C23" i="11"/>
  <c r="D24" i="11"/>
  <c r="E25" i="11"/>
  <c r="C27" i="11"/>
  <c r="D29" i="11"/>
  <c r="E30" i="11"/>
  <c r="C32" i="11"/>
  <c r="D33" i="11"/>
  <c r="E34" i="11"/>
  <c r="C36" i="11"/>
  <c r="D37" i="11"/>
  <c r="E39" i="11"/>
  <c r="C41" i="11"/>
  <c r="D42" i="11"/>
  <c r="E43" i="11"/>
  <c r="C46" i="11"/>
  <c r="D47" i="11"/>
  <c r="E48" i="11"/>
  <c r="C50" i="11"/>
  <c r="D51" i="11"/>
  <c r="E53" i="11"/>
  <c r="C55" i="11"/>
  <c r="D56" i="11"/>
  <c r="E57" i="11"/>
  <c r="C60" i="11"/>
  <c r="D61" i="11"/>
  <c r="E62" i="11"/>
  <c r="C64" i="11"/>
  <c r="D65" i="11"/>
  <c r="E67" i="11"/>
  <c r="C69" i="11"/>
  <c r="D70" i="11"/>
  <c r="E71" i="11"/>
  <c r="C73" i="11"/>
  <c r="D74" i="11"/>
  <c r="E76" i="11"/>
  <c r="C78" i="11"/>
  <c r="D79" i="11"/>
  <c r="E80" i="11"/>
  <c r="C82" i="11"/>
  <c r="D83" i="11"/>
  <c r="I6" i="9"/>
  <c r="I10" i="9"/>
  <c r="I15" i="9"/>
  <c r="I11" i="9"/>
  <c r="I16" i="9"/>
  <c r="I24" i="9"/>
  <c r="I28" i="9"/>
  <c r="I33" i="9"/>
  <c r="I41" i="9"/>
  <c r="I45" i="9"/>
  <c r="I50" i="9"/>
  <c r="I27" i="9"/>
  <c r="I32" i="9"/>
  <c r="I7" i="9"/>
  <c r="I8" i="9"/>
  <c r="I12" i="9"/>
  <c r="I17" i="9"/>
  <c r="I25" i="9"/>
  <c r="I29" i="9"/>
  <c r="I34" i="9"/>
  <c r="I42" i="9"/>
  <c r="I46" i="9"/>
  <c r="I51" i="9"/>
  <c r="I23" i="9"/>
  <c r="I9" i="9"/>
  <c r="I14" i="9"/>
  <c r="I18" i="9"/>
  <c r="I26" i="9"/>
  <c r="I31" i="9"/>
  <c r="I35" i="9"/>
  <c r="I43" i="9"/>
  <c r="I48" i="9"/>
  <c r="I52" i="9"/>
  <c r="I40" i="9"/>
  <c r="I44" i="9"/>
  <c r="I49" i="9"/>
  <c r="O47" i="9"/>
  <c r="U30" i="9"/>
  <c r="W39" i="9"/>
  <c r="W47" i="9"/>
  <c r="R18" i="9"/>
  <c r="P30" i="9"/>
  <c r="O13" i="9"/>
  <c r="Q39" i="9"/>
  <c r="S47" i="9"/>
  <c r="G25" i="9"/>
  <c r="G29" i="9"/>
  <c r="G32" i="9"/>
  <c r="G34" i="9"/>
  <c r="G40" i="9"/>
  <c r="G42" i="9"/>
  <c r="H47" i="9"/>
  <c r="L47" i="9"/>
  <c r="P47" i="9"/>
  <c r="G11" i="9"/>
  <c r="G16" i="9"/>
  <c r="U39" i="9"/>
  <c r="G46" i="9"/>
  <c r="G49" i="9"/>
  <c r="G51" i="9"/>
  <c r="G23" i="9"/>
  <c r="G27" i="9"/>
  <c r="G7" i="9"/>
  <c r="W5" i="9"/>
  <c r="W13" i="9"/>
  <c r="G24" i="9"/>
  <c r="G26" i="9"/>
  <c r="G28" i="9"/>
  <c r="G31" i="9"/>
  <c r="G33" i="9"/>
  <c r="G35" i="9"/>
  <c r="G41" i="9"/>
  <c r="G43" i="9"/>
  <c r="U47" i="9"/>
  <c r="G9" i="9"/>
  <c r="G14" i="9"/>
  <c r="G18" i="9"/>
  <c r="R43" i="9"/>
  <c r="G44" i="9"/>
  <c r="G6" i="9"/>
  <c r="G8" i="9"/>
  <c r="G10" i="9"/>
  <c r="G12" i="9"/>
  <c r="G15" i="9"/>
  <c r="G17" i="9"/>
  <c r="L30" i="9"/>
  <c r="S39" i="9"/>
  <c r="G45" i="9"/>
  <c r="G48" i="9"/>
  <c r="G50" i="9"/>
  <c r="M47" i="9"/>
  <c r="Q47" i="9"/>
  <c r="R26" i="9"/>
  <c r="R48" i="9"/>
  <c r="R52" i="9"/>
  <c r="R49" i="9"/>
  <c r="R44" i="9"/>
  <c r="R40" i="9"/>
  <c r="R32" i="9"/>
  <c r="R27" i="9"/>
  <c r="R23" i="9"/>
  <c r="R15" i="9"/>
  <c r="R10" i="9"/>
  <c r="R6" i="9"/>
  <c r="R50" i="9"/>
  <c r="R45" i="9"/>
  <c r="R41" i="9"/>
  <c r="R33" i="9"/>
  <c r="R28" i="9"/>
  <c r="R24" i="9"/>
  <c r="R16" i="9"/>
  <c r="R11" i="9"/>
  <c r="R7" i="9"/>
  <c r="R51" i="9"/>
  <c r="R46" i="9"/>
  <c r="R42" i="9"/>
  <c r="R34" i="9"/>
  <c r="R29" i="9"/>
  <c r="R25" i="9"/>
  <c r="R17" i="9"/>
  <c r="R12" i="9"/>
  <c r="R8" i="9"/>
  <c r="R9" i="9"/>
  <c r="R14" i="9"/>
  <c r="R35" i="9"/>
  <c r="O39" i="9"/>
  <c r="M5" i="9"/>
  <c r="U5" i="9"/>
  <c r="S13" i="9"/>
  <c r="L13" i="9"/>
  <c r="M13" i="9"/>
  <c r="Q13" i="9"/>
  <c r="U13" i="9"/>
  <c r="P22" i="9"/>
  <c r="O30" i="9"/>
  <c r="S30" i="9"/>
  <c r="W30" i="9"/>
  <c r="M30" i="9"/>
  <c r="Q30" i="9"/>
  <c r="L39" i="9"/>
  <c r="P39" i="9"/>
  <c r="M39" i="9"/>
  <c r="Q5" i="9"/>
  <c r="P13" i="9"/>
  <c r="M22" i="9"/>
  <c r="Q22" i="9"/>
  <c r="U22" i="9"/>
  <c r="O5" i="9"/>
  <c r="S5" i="9"/>
  <c r="L5" i="9"/>
  <c r="P5" i="9"/>
  <c r="O22" i="9"/>
  <c r="S22" i="9"/>
  <c r="W22" i="9"/>
  <c r="L22" i="9"/>
  <c r="H22" i="9"/>
  <c r="H5" i="9"/>
  <c r="H30" i="9"/>
  <c r="H39" i="9"/>
  <c r="H13" i="9"/>
  <c r="M501" i="2"/>
  <c r="L501" i="2"/>
  <c r="M500" i="2"/>
  <c r="L500" i="2"/>
  <c r="M499" i="2"/>
  <c r="L499" i="2"/>
  <c r="M498" i="2"/>
  <c r="L498" i="2"/>
  <c r="M497" i="2"/>
  <c r="L497" i="2"/>
  <c r="M496" i="2"/>
  <c r="L496" i="2"/>
  <c r="M495" i="2"/>
  <c r="L495" i="2"/>
  <c r="M494" i="2"/>
  <c r="L494" i="2"/>
  <c r="M493" i="2"/>
  <c r="L493" i="2"/>
  <c r="M492" i="2"/>
  <c r="L492" i="2"/>
  <c r="M491" i="2"/>
  <c r="L491" i="2"/>
  <c r="M490" i="2"/>
  <c r="L490" i="2"/>
  <c r="M489" i="2"/>
  <c r="L489" i="2"/>
  <c r="M488" i="2"/>
  <c r="L488" i="2"/>
  <c r="M487" i="2"/>
  <c r="L487" i="2"/>
  <c r="M486" i="2"/>
  <c r="L486" i="2"/>
  <c r="M485" i="2"/>
  <c r="L485" i="2"/>
  <c r="M484" i="2"/>
  <c r="L484" i="2"/>
  <c r="M483" i="2"/>
  <c r="L483" i="2"/>
  <c r="M482" i="2"/>
  <c r="L482" i="2"/>
  <c r="M481" i="2"/>
  <c r="L481" i="2"/>
  <c r="M480" i="2"/>
  <c r="L480" i="2"/>
  <c r="M479" i="2"/>
  <c r="L479" i="2"/>
  <c r="M478" i="2"/>
  <c r="L478" i="2"/>
  <c r="M477" i="2"/>
  <c r="L477" i="2"/>
  <c r="M476" i="2"/>
  <c r="L476" i="2"/>
  <c r="M475" i="2"/>
  <c r="L475" i="2"/>
  <c r="M474" i="2"/>
  <c r="L474" i="2"/>
  <c r="M473" i="2"/>
  <c r="L473" i="2"/>
  <c r="M472" i="2"/>
  <c r="L472" i="2"/>
  <c r="M471" i="2"/>
  <c r="L471" i="2"/>
  <c r="M470" i="2"/>
  <c r="L470" i="2"/>
  <c r="M469" i="2"/>
  <c r="L469" i="2"/>
  <c r="M468" i="2"/>
  <c r="L468" i="2"/>
  <c r="M467" i="2"/>
  <c r="L467" i="2"/>
  <c r="M466" i="2"/>
  <c r="L466" i="2"/>
  <c r="M465" i="2"/>
  <c r="L465" i="2"/>
  <c r="M464" i="2"/>
  <c r="L464" i="2"/>
  <c r="M463" i="2"/>
  <c r="L463" i="2"/>
  <c r="M462" i="2"/>
  <c r="L462" i="2"/>
  <c r="M461" i="2"/>
  <c r="L461" i="2"/>
  <c r="M460" i="2"/>
  <c r="L460" i="2"/>
  <c r="M459" i="2"/>
  <c r="L459" i="2"/>
  <c r="M458" i="2"/>
  <c r="L458" i="2"/>
  <c r="M457" i="2"/>
  <c r="L457" i="2"/>
  <c r="M456" i="2"/>
  <c r="L456" i="2"/>
  <c r="M455" i="2"/>
  <c r="L455" i="2"/>
  <c r="M454" i="2"/>
  <c r="L454" i="2"/>
  <c r="M453" i="2"/>
  <c r="L453" i="2"/>
  <c r="M452" i="2"/>
  <c r="L452" i="2"/>
  <c r="M451" i="2"/>
  <c r="L451" i="2"/>
  <c r="M450" i="2"/>
  <c r="L450" i="2"/>
  <c r="M449" i="2"/>
  <c r="L449" i="2"/>
  <c r="M448" i="2"/>
  <c r="L448" i="2"/>
  <c r="M447" i="2"/>
  <c r="L447" i="2"/>
  <c r="M446" i="2"/>
  <c r="L446" i="2"/>
  <c r="M445" i="2"/>
  <c r="L445" i="2"/>
  <c r="M444" i="2"/>
  <c r="L444" i="2"/>
  <c r="M443" i="2"/>
  <c r="L443" i="2"/>
  <c r="M442" i="2"/>
  <c r="L442" i="2"/>
  <c r="M441" i="2"/>
  <c r="L441" i="2"/>
  <c r="M440" i="2"/>
  <c r="L440" i="2"/>
  <c r="M439" i="2"/>
  <c r="L439" i="2"/>
  <c r="M438" i="2"/>
  <c r="L438" i="2"/>
  <c r="M437" i="2"/>
  <c r="L437" i="2"/>
  <c r="M436" i="2"/>
  <c r="L436" i="2"/>
  <c r="M435" i="2"/>
  <c r="L435" i="2"/>
  <c r="M434" i="2"/>
  <c r="L434" i="2"/>
  <c r="M433" i="2"/>
  <c r="L433" i="2"/>
  <c r="M432" i="2"/>
  <c r="L432" i="2"/>
  <c r="M431" i="2"/>
  <c r="L431" i="2"/>
  <c r="M430" i="2"/>
  <c r="L430" i="2"/>
  <c r="M429" i="2"/>
  <c r="L429" i="2"/>
  <c r="M428" i="2"/>
  <c r="L428" i="2"/>
  <c r="M427" i="2"/>
  <c r="L427" i="2"/>
  <c r="M426" i="2"/>
  <c r="L426" i="2"/>
  <c r="M425" i="2"/>
  <c r="L425" i="2"/>
  <c r="M424" i="2"/>
  <c r="L424" i="2"/>
  <c r="M423" i="2"/>
  <c r="L423" i="2"/>
  <c r="M422" i="2"/>
  <c r="L422" i="2"/>
  <c r="M421" i="2"/>
  <c r="L421" i="2"/>
  <c r="M420" i="2"/>
  <c r="L420" i="2"/>
  <c r="M419" i="2"/>
  <c r="L419" i="2"/>
  <c r="M418" i="2"/>
  <c r="L418" i="2"/>
  <c r="M417" i="2"/>
  <c r="L417" i="2"/>
  <c r="M416" i="2"/>
  <c r="L416" i="2"/>
  <c r="M415" i="2"/>
  <c r="L415" i="2"/>
  <c r="M414" i="2"/>
  <c r="L414" i="2"/>
  <c r="M413" i="2"/>
  <c r="L413" i="2"/>
  <c r="M412" i="2"/>
  <c r="L412" i="2"/>
  <c r="M411" i="2"/>
  <c r="L411" i="2"/>
  <c r="M410" i="2"/>
  <c r="L410" i="2"/>
  <c r="M409" i="2"/>
  <c r="L409" i="2"/>
  <c r="M408" i="2"/>
  <c r="L408" i="2"/>
  <c r="M407" i="2"/>
  <c r="L407" i="2"/>
  <c r="M406" i="2"/>
  <c r="L406" i="2"/>
  <c r="M405" i="2"/>
  <c r="L405" i="2"/>
  <c r="M404" i="2"/>
  <c r="L404" i="2"/>
  <c r="M403" i="2"/>
  <c r="L403" i="2"/>
  <c r="M402" i="2"/>
  <c r="L402" i="2"/>
  <c r="M401" i="2"/>
  <c r="L401" i="2"/>
  <c r="M400" i="2"/>
  <c r="L400" i="2"/>
  <c r="M399" i="2"/>
  <c r="L399" i="2"/>
  <c r="M398" i="2"/>
  <c r="L398" i="2"/>
  <c r="M397" i="2"/>
  <c r="L397" i="2"/>
  <c r="M396" i="2"/>
  <c r="L396" i="2"/>
  <c r="M395" i="2"/>
  <c r="L395" i="2"/>
  <c r="M394" i="2"/>
  <c r="L394" i="2"/>
  <c r="M393" i="2"/>
  <c r="L393" i="2"/>
  <c r="M392" i="2"/>
  <c r="L392" i="2"/>
  <c r="M391" i="2"/>
  <c r="L391" i="2"/>
  <c r="M390" i="2"/>
  <c r="L390" i="2"/>
  <c r="M389" i="2"/>
  <c r="L389" i="2"/>
  <c r="M388" i="2"/>
  <c r="L388" i="2"/>
  <c r="M387" i="2"/>
  <c r="L387" i="2"/>
  <c r="M386" i="2"/>
  <c r="L386" i="2"/>
  <c r="M385" i="2"/>
  <c r="L385" i="2"/>
  <c r="M384" i="2"/>
  <c r="L384" i="2"/>
  <c r="M383" i="2"/>
  <c r="L383" i="2"/>
  <c r="M382" i="2"/>
  <c r="L382" i="2"/>
  <c r="M381" i="2"/>
  <c r="L381" i="2"/>
  <c r="M380" i="2"/>
  <c r="L380" i="2"/>
  <c r="M379" i="2"/>
  <c r="L379" i="2"/>
  <c r="M378" i="2"/>
  <c r="L378" i="2"/>
  <c r="M377" i="2"/>
  <c r="L377" i="2"/>
  <c r="M376" i="2"/>
  <c r="L376" i="2"/>
  <c r="M375" i="2"/>
  <c r="L375" i="2"/>
  <c r="M374" i="2"/>
  <c r="L374" i="2"/>
  <c r="M373" i="2"/>
  <c r="L373" i="2"/>
  <c r="M372" i="2"/>
  <c r="L372" i="2"/>
  <c r="M371" i="2"/>
  <c r="L371" i="2"/>
  <c r="M370" i="2"/>
  <c r="L370" i="2"/>
  <c r="M369" i="2"/>
  <c r="L369" i="2"/>
  <c r="M368" i="2"/>
  <c r="L368" i="2"/>
  <c r="M367" i="2"/>
  <c r="L367" i="2"/>
  <c r="M366" i="2"/>
  <c r="L366" i="2"/>
  <c r="M365" i="2"/>
  <c r="L365" i="2"/>
  <c r="M364" i="2"/>
  <c r="L364" i="2"/>
  <c r="M363" i="2"/>
  <c r="L363" i="2"/>
  <c r="M362" i="2"/>
  <c r="L362" i="2"/>
  <c r="M361" i="2"/>
  <c r="L361" i="2"/>
  <c r="M360" i="2"/>
  <c r="L360" i="2"/>
  <c r="M359" i="2"/>
  <c r="L359" i="2"/>
  <c r="M358" i="2"/>
  <c r="L358" i="2"/>
  <c r="M357" i="2"/>
  <c r="L357" i="2"/>
  <c r="M356" i="2"/>
  <c r="L356" i="2"/>
  <c r="M355" i="2"/>
  <c r="L355" i="2"/>
  <c r="M354" i="2"/>
  <c r="L354" i="2"/>
  <c r="M353" i="2"/>
  <c r="L353" i="2"/>
  <c r="M352" i="2"/>
  <c r="L352" i="2"/>
  <c r="M351" i="2"/>
  <c r="L351" i="2"/>
  <c r="M350" i="2"/>
  <c r="L350" i="2"/>
  <c r="M349" i="2"/>
  <c r="L349" i="2"/>
  <c r="M348" i="2"/>
  <c r="L348" i="2"/>
  <c r="M347" i="2"/>
  <c r="L347" i="2"/>
  <c r="M346" i="2"/>
  <c r="L346" i="2"/>
  <c r="M345" i="2"/>
  <c r="L345" i="2"/>
  <c r="M344" i="2"/>
  <c r="L344" i="2"/>
  <c r="M343" i="2"/>
  <c r="L343" i="2"/>
  <c r="M342" i="2"/>
  <c r="L342" i="2"/>
  <c r="M341" i="2"/>
  <c r="L341" i="2"/>
  <c r="M340" i="2"/>
  <c r="L340" i="2"/>
  <c r="M339" i="2"/>
  <c r="L339" i="2"/>
  <c r="M338" i="2"/>
  <c r="L338" i="2"/>
  <c r="M337" i="2"/>
  <c r="L337" i="2"/>
  <c r="M336" i="2"/>
  <c r="L336" i="2"/>
  <c r="M335" i="2"/>
  <c r="L335" i="2"/>
  <c r="M334" i="2"/>
  <c r="L334" i="2"/>
  <c r="M333" i="2"/>
  <c r="L333" i="2"/>
  <c r="M332" i="2"/>
  <c r="L332" i="2"/>
  <c r="M331" i="2"/>
  <c r="L331" i="2"/>
  <c r="M330" i="2"/>
  <c r="L330" i="2"/>
  <c r="M329" i="2"/>
  <c r="L329" i="2"/>
  <c r="M328" i="2"/>
  <c r="L328" i="2"/>
  <c r="M327" i="2"/>
  <c r="L327" i="2"/>
  <c r="M326" i="2"/>
  <c r="L326" i="2"/>
  <c r="M325" i="2"/>
  <c r="L325" i="2"/>
  <c r="M324" i="2"/>
  <c r="L324" i="2"/>
  <c r="M323" i="2"/>
  <c r="L323" i="2"/>
  <c r="M322" i="2"/>
  <c r="L322" i="2"/>
  <c r="M321" i="2"/>
  <c r="L321" i="2"/>
  <c r="M320" i="2"/>
  <c r="L320" i="2"/>
  <c r="M319" i="2"/>
  <c r="L319" i="2"/>
  <c r="M318" i="2"/>
  <c r="L318" i="2"/>
  <c r="M317" i="2"/>
  <c r="L317" i="2"/>
  <c r="M316" i="2"/>
  <c r="L316" i="2"/>
  <c r="M315" i="2"/>
  <c r="L315" i="2"/>
  <c r="M314" i="2"/>
  <c r="L314" i="2"/>
  <c r="M313" i="2"/>
  <c r="L313" i="2"/>
  <c r="M312" i="2"/>
  <c r="L312" i="2"/>
  <c r="M311" i="2"/>
  <c r="L311" i="2"/>
  <c r="M310" i="2"/>
  <c r="L310" i="2"/>
  <c r="M309" i="2"/>
  <c r="L309" i="2"/>
  <c r="M308" i="2"/>
  <c r="L308" i="2"/>
  <c r="M307" i="2"/>
  <c r="L307" i="2"/>
  <c r="M306" i="2"/>
  <c r="L306" i="2"/>
  <c r="M305" i="2"/>
  <c r="L305" i="2"/>
  <c r="M304" i="2"/>
  <c r="L304" i="2"/>
  <c r="M303" i="2"/>
  <c r="L303" i="2"/>
  <c r="M302" i="2"/>
  <c r="L302" i="2"/>
  <c r="M301" i="2"/>
  <c r="L301" i="2"/>
  <c r="M300" i="2"/>
  <c r="L300" i="2"/>
  <c r="M299" i="2"/>
  <c r="L299" i="2"/>
  <c r="M298" i="2"/>
  <c r="L298" i="2"/>
  <c r="M297" i="2"/>
  <c r="L297" i="2"/>
  <c r="M296" i="2"/>
  <c r="L296" i="2"/>
  <c r="M295" i="2"/>
  <c r="L295" i="2"/>
  <c r="M294" i="2"/>
  <c r="L294" i="2"/>
  <c r="M293" i="2"/>
  <c r="L293" i="2"/>
  <c r="M292" i="2"/>
  <c r="L292" i="2"/>
  <c r="M291" i="2"/>
  <c r="L291" i="2"/>
  <c r="M290" i="2"/>
  <c r="L290" i="2"/>
  <c r="M289" i="2"/>
  <c r="L289" i="2"/>
  <c r="M288" i="2"/>
  <c r="L288" i="2"/>
  <c r="M287" i="2"/>
  <c r="L287" i="2"/>
  <c r="M286" i="2"/>
  <c r="L286" i="2"/>
  <c r="M285" i="2"/>
  <c r="L285" i="2"/>
  <c r="M284" i="2"/>
  <c r="L284" i="2"/>
  <c r="M283" i="2"/>
  <c r="L283" i="2"/>
  <c r="M282" i="2"/>
  <c r="L282" i="2"/>
  <c r="M281" i="2"/>
  <c r="L281" i="2"/>
  <c r="M280" i="2"/>
  <c r="L280" i="2"/>
  <c r="M279" i="2"/>
  <c r="L279" i="2"/>
  <c r="M278" i="2"/>
  <c r="L278" i="2"/>
  <c r="M277" i="2"/>
  <c r="L277" i="2"/>
  <c r="M276" i="2"/>
  <c r="L276" i="2"/>
  <c r="M275" i="2"/>
  <c r="L275" i="2"/>
  <c r="M274" i="2"/>
  <c r="L274" i="2"/>
  <c r="M273" i="2"/>
  <c r="L273" i="2"/>
  <c r="M272" i="2"/>
  <c r="L272" i="2"/>
  <c r="M271" i="2"/>
  <c r="L271" i="2"/>
  <c r="M270" i="2"/>
  <c r="L270" i="2"/>
  <c r="M269" i="2"/>
  <c r="L269" i="2"/>
  <c r="M268" i="2"/>
  <c r="L268" i="2"/>
  <c r="M267" i="2"/>
  <c r="L267" i="2"/>
  <c r="M266" i="2"/>
  <c r="L266" i="2"/>
  <c r="M265" i="2"/>
  <c r="L265" i="2"/>
  <c r="M264" i="2"/>
  <c r="L264" i="2"/>
  <c r="M263" i="2"/>
  <c r="L263" i="2"/>
  <c r="M262" i="2"/>
  <c r="L262" i="2"/>
  <c r="M261" i="2"/>
  <c r="L261" i="2"/>
  <c r="M260" i="2"/>
  <c r="L260" i="2"/>
  <c r="M259" i="2"/>
  <c r="L259" i="2"/>
  <c r="M258" i="2"/>
  <c r="L258" i="2"/>
  <c r="M257" i="2"/>
  <c r="L257" i="2"/>
  <c r="M256" i="2"/>
  <c r="L256" i="2"/>
  <c r="M255" i="2"/>
  <c r="L255" i="2"/>
  <c r="M254" i="2"/>
  <c r="L254" i="2"/>
  <c r="M253" i="2"/>
  <c r="L253" i="2"/>
  <c r="M252" i="2"/>
  <c r="L252" i="2"/>
  <c r="M251" i="2"/>
  <c r="L251" i="2"/>
  <c r="M250" i="2"/>
  <c r="L250" i="2"/>
  <c r="M249" i="2"/>
  <c r="L249" i="2"/>
  <c r="M248" i="2"/>
  <c r="L248" i="2"/>
  <c r="M247" i="2"/>
  <c r="L247" i="2"/>
  <c r="M246" i="2"/>
  <c r="L246" i="2"/>
  <c r="M245" i="2"/>
  <c r="L245" i="2"/>
  <c r="M244" i="2"/>
  <c r="L244" i="2"/>
  <c r="M243" i="2"/>
  <c r="L243" i="2"/>
  <c r="M242" i="2"/>
  <c r="L242" i="2"/>
  <c r="M241" i="2"/>
  <c r="L241" i="2"/>
  <c r="M240" i="2"/>
  <c r="L240" i="2"/>
  <c r="M239" i="2"/>
  <c r="L239" i="2"/>
  <c r="M238" i="2"/>
  <c r="L238" i="2"/>
  <c r="M237" i="2"/>
  <c r="L237" i="2"/>
  <c r="M236" i="2"/>
  <c r="L236" i="2"/>
  <c r="M235" i="2"/>
  <c r="L235" i="2"/>
  <c r="M234" i="2"/>
  <c r="L234" i="2"/>
  <c r="M233" i="2"/>
  <c r="L233" i="2"/>
  <c r="M232" i="2"/>
  <c r="L232" i="2"/>
  <c r="M231" i="2"/>
  <c r="L231" i="2"/>
  <c r="M230" i="2"/>
  <c r="L230" i="2"/>
  <c r="M229" i="2"/>
  <c r="L229" i="2"/>
  <c r="M228" i="2"/>
  <c r="L228" i="2"/>
  <c r="M227" i="2"/>
  <c r="L227" i="2"/>
  <c r="M226" i="2"/>
  <c r="L226" i="2"/>
  <c r="M225" i="2"/>
  <c r="L225" i="2"/>
  <c r="M224" i="2"/>
  <c r="L224" i="2"/>
  <c r="M223" i="2"/>
  <c r="L223" i="2"/>
  <c r="M222" i="2"/>
  <c r="L222" i="2"/>
  <c r="M221" i="2"/>
  <c r="L221" i="2"/>
  <c r="M220" i="2"/>
  <c r="L220" i="2"/>
  <c r="M219" i="2"/>
  <c r="L219" i="2"/>
  <c r="M218" i="2"/>
  <c r="L218" i="2"/>
  <c r="M217" i="2"/>
  <c r="L217" i="2"/>
  <c r="M216" i="2"/>
  <c r="L216" i="2"/>
  <c r="M215" i="2"/>
  <c r="L215" i="2"/>
  <c r="M214" i="2"/>
  <c r="L214" i="2"/>
  <c r="M213" i="2"/>
  <c r="L213" i="2"/>
  <c r="M212" i="2"/>
  <c r="L212" i="2"/>
  <c r="M211" i="2"/>
  <c r="L211" i="2"/>
  <c r="M210" i="2"/>
  <c r="L210" i="2"/>
  <c r="M209" i="2"/>
  <c r="L209" i="2"/>
  <c r="M208" i="2"/>
  <c r="L208" i="2"/>
  <c r="M207" i="2"/>
  <c r="L207" i="2"/>
  <c r="M206" i="2"/>
  <c r="L206" i="2"/>
  <c r="M205" i="2"/>
  <c r="L205" i="2"/>
  <c r="M204" i="2"/>
  <c r="L204" i="2"/>
  <c r="M203" i="2"/>
  <c r="L203" i="2"/>
  <c r="M202" i="2"/>
  <c r="L202" i="2"/>
  <c r="M201" i="2"/>
  <c r="L201" i="2"/>
  <c r="M200" i="2"/>
  <c r="L200" i="2"/>
  <c r="M199" i="2"/>
  <c r="L199" i="2"/>
  <c r="M198" i="2"/>
  <c r="L198" i="2"/>
  <c r="M197" i="2"/>
  <c r="L197" i="2"/>
  <c r="M196" i="2"/>
  <c r="L196" i="2"/>
  <c r="M195" i="2"/>
  <c r="L195" i="2"/>
  <c r="M194" i="2"/>
  <c r="L194" i="2"/>
  <c r="M193" i="2"/>
  <c r="L193" i="2"/>
  <c r="M192" i="2"/>
  <c r="L192" i="2"/>
  <c r="M191" i="2"/>
  <c r="L191" i="2"/>
  <c r="M190" i="2"/>
  <c r="L190" i="2"/>
  <c r="M189" i="2"/>
  <c r="L189" i="2"/>
  <c r="M188" i="2"/>
  <c r="L188" i="2"/>
  <c r="M187" i="2"/>
  <c r="L187" i="2"/>
  <c r="M186" i="2"/>
  <c r="L186" i="2"/>
  <c r="M185" i="2"/>
  <c r="L185" i="2"/>
  <c r="M184" i="2"/>
  <c r="L184" i="2"/>
  <c r="M183" i="2"/>
  <c r="L183" i="2"/>
  <c r="M182" i="2"/>
  <c r="L182" i="2"/>
  <c r="M181" i="2"/>
  <c r="L181" i="2"/>
  <c r="M180" i="2"/>
  <c r="L180" i="2"/>
  <c r="M179" i="2"/>
  <c r="L179" i="2"/>
  <c r="M178" i="2"/>
  <c r="L178" i="2"/>
  <c r="M177" i="2"/>
  <c r="L177" i="2"/>
  <c r="M176" i="2"/>
  <c r="L176" i="2"/>
  <c r="M175" i="2"/>
  <c r="L175" i="2"/>
  <c r="M174" i="2"/>
  <c r="L174" i="2"/>
  <c r="M173" i="2"/>
  <c r="L173" i="2"/>
  <c r="M172" i="2"/>
  <c r="L172" i="2"/>
  <c r="M171" i="2"/>
  <c r="L171" i="2"/>
  <c r="M170" i="2"/>
  <c r="L170" i="2"/>
  <c r="M169" i="2"/>
  <c r="L169" i="2"/>
  <c r="M168" i="2"/>
  <c r="L168" i="2"/>
  <c r="M167" i="2"/>
  <c r="L167" i="2"/>
  <c r="M166" i="2"/>
  <c r="L166" i="2"/>
  <c r="M165" i="2"/>
  <c r="L165" i="2"/>
  <c r="M164" i="2"/>
  <c r="L164" i="2"/>
  <c r="M163" i="2"/>
  <c r="L163" i="2"/>
  <c r="M162" i="2"/>
  <c r="L162" i="2"/>
  <c r="M161" i="2"/>
  <c r="L161" i="2"/>
  <c r="M160" i="2"/>
  <c r="L160" i="2"/>
  <c r="M159" i="2"/>
  <c r="L159" i="2"/>
  <c r="M158" i="2"/>
  <c r="L158" i="2"/>
  <c r="M157" i="2"/>
  <c r="L157" i="2"/>
  <c r="M156" i="2"/>
  <c r="L156" i="2"/>
  <c r="M155" i="2"/>
  <c r="L155" i="2"/>
  <c r="M154" i="2"/>
  <c r="L154" i="2"/>
  <c r="M153" i="2"/>
  <c r="L153" i="2"/>
  <c r="M152" i="2"/>
  <c r="L152" i="2"/>
  <c r="M151" i="2"/>
  <c r="L151" i="2"/>
  <c r="M150" i="2"/>
  <c r="L150" i="2"/>
  <c r="M149" i="2"/>
  <c r="L149" i="2"/>
  <c r="M148" i="2"/>
  <c r="L148" i="2"/>
  <c r="M147" i="2"/>
  <c r="L147" i="2"/>
  <c r="M146" i="2"/>
  <c r="L146" i="2"/>
  <c r="M145" i="2"/>
  <c r="L145" i="2"/>
  <c r="M144" i="2"/>
  <c r="L144" i="2"/>
  <c r="M143" i="2"/>
  <c r="L143" i="2"/>
  <c r="M142" i="2"/>
  <c r="L142" i="2"/>
  <c r="M141" i="2"/>
  <c r="L141" i="2"/>
  <c r="M140" i="2"/>
  <c r="L140" i="2"/>
  <c r="M139" i="2"/>
  <c r="L139" i="2"/>
  <c r="M138" i="2"/>
  <c r="L138" i="2"/>
  <c r="M137" i="2"/>
  <c r="L137" i="2"/>
  <c r="M136" i="2"/>
  <c r="L136" i="2"/>
  <c r="M135" i="2"/>
  <c r="L135" i="2"/>
  <c r="M134" i="2"/>
  <c r="L134" i="2"/>
  <c r="M133" i="2"/>
  <c r="L133" i="2"/>
  <c r="M132" i="2"/>
  <c r="L132" i="2"/>
  <c r="M131" i="2"/>
  <c r="L131" i="2"/>
  <c r="M130" i="2"/>
  <c r="L130" i="2"/>
  <c r="M129" i="2"/>
  <c r="L129" i="2"/>
  <c r="M128" i="2"/>
  <c r="L128" i="2"/>
  <c r="M127" i="2"/>
  <c r="L127" i="2"/>
  <c r="M126" i="2"/>
  <c r="L126" i="2"/>
  <c r="M125" i="2"/>
  <c r="L125" i="2"/>
  <c r="M124" i="2"/>
  <c r="L124" i="2"/>
  <c r="M123" i="2"/>
  <c r="L123" i="2"/>
  <c r="M122" i="2"/>
  <c r="L122" i="2"/>
  <c r="M121" i="2"/>
  <c r="L121" i="2"/>
  <c r="M120" i="2"/>
  <c r="L120" i="2"/>
  <c r="M119" i="2"/>
  <c r="L119" i="2"/>
  <c r="M118" i="2"/>
  <c r="L118" i="2"/>
  <c r="M117" i="2"/>
  <c r="L117" i="2"/>
  <c r="M116" i="2"/>
  <c r="L116" i="2"/>
  <c r="M115" i="2"/>
  <c r="L115" i="2"/>
  <c r="M114" i="2"/>
  <c r="L114" i="2"/>
  <c r="M113" i="2"/>
  <c r="L113" i="2"/>
  <c r="M112" i="2"/>
  <c r="L112" i="2"/>
  <c r="M111" i="2"/>
  <c r="L111" i="2"/>
  <c r="M110" i="2"/>
  <c r="L110" i="2"/>
  <c r="M109" i="2"/>
  <c r="L109" i="2"/>
  <c r="M108" i="2"/>
  <c r="L108" i="2"/>
  <c r="M107" i="2"/>
  <c r="L107" i="2"/>
  <c r="M106" i="2"/>
  <c r="L106" i="2"/>
  <c r="M105" i="2"/>
  <c r="L105" i="2"/>
  <c r="M104" i="2"/>
  <c r="L104" i="2"/>
  <c r="M103" i="2"/>
  <c r="L103" i="2"/>
  <c r="M102" i="2"/>
  <c r="L102" i="2"/>
  <c r="M101" i="2"/>
  <c r="L101" i="2"/>
  <c r="M100" i="2"/>
  <c r="L100" i="2"/>
  <c r="M99" i="2"/>
  <c r="L99" i="2"/>
  <c r="M98" i="2"/>
  <c r="L98" i="2"/>
  <c r="M97" i="2"/>
  <c r="L97" i="2"/>
  <c r="M96" i="2"/>
  <c r="L96" i="2"/>
  <c r="M95" i="2"/>
  <c r="L95" i="2"/>
  <c r="M94" i="2"/>
  <c r="L94" i="2"/>
  <c r="M93" i="2"/>
  <c r="L93" i="2"/>
  <c r="M92" i="2"/>
  <c r="L92" i="2"/>
  <c r="M91" i="2"/>
  <c r="L91" i="2"/>
  <c r="M90" i="2"/>
  <c r="L90" i="2"/>
  <c r="M89" i="2"/>
  <c r="L89" i="2"/>
  <c r="M88" i="2"/>
  <c r="L88" i="2"/>
  <c r="M87" i="2"/>
  <c r="L87" i="2"/>
  <c r="M86" i="2"/>
  <c r="L86" i="2"/>
  <c r="M85" i="2"/>
  <c r="L85" i="2"/>
  <c r="M84" i="2"/>
  <c r="L84" i="2"/>
  <c r="M83" i="2"/>
  <c r="L83" i="2"/>
  <c r="M82" i="2"/>
  <c r="L82" i="2"/>
  <c r="M81" i="2"/>
  <c r="L81" i="2"/>
  <c r="M80" i="2"/>
  <c r="L80" i="2"/>
  <c r="M79" i="2"/>
  <c r="L79" i="2"/>
  <c r="M78" i="2"/>
  <c r="L78" i="2"/>
  <c r="M77" i="2"/>
  <c r="L77" i="2"/>
  <c r="M76" i="2"/>
  <c r="L76" i="2"/>
  <c r="M75" i="2"/>
  <c r="L75" i="2"/>
  <c r="M74" i="2"/>
  <c r="L74" i="2"/>
  <c r="M73" i="2"/>
  <c r="L73" i="2"/>
  <c r="M72" i="2"/>
  <c r="L72" i="2"/>
  <c r="M71" i="2"/>
  <c r="L71" i="2"/>
  <c r="M70" i="2"/>
  <c r="L70" i="2"/>
  <c r="M69" i="2"/>
  <c r="L69" i="2"/>
  <c r="M68" i="2"/>
  <c r="L68" i="2"/>
  <c r="M67" i="2"/>
  <c r="L67" i="2"/>
  <c r="M66" i="2"/>
  <c r="L66" i="2"/>
  <c r="M65" i="2"/>
  <c r="L65" i="2"/>
  <c r="M64" i="2"/>
  <c r="L64" i="2"/>
  <c r="M63" i="2"/>
  <c r="L63" i="2"/>
  <c r="M62" i="2"/>
  <c r="L62" i="2"/>
  <c r="M61" i="2"/>
  <c r="L61" i="2"/>
  <c r="M60" i="2"/>
  <c r="L60" i="2"/>
  <c r="M59" i="2"/>
  <c r="L59" i="2"/>
  <c r="M58" i="2"/>
  <c r="L58" i="2"/>
  <c r="M57" i="2"/>
  <c r="L57" i="2"/>
  <c r="M56" i="2"/>
  <c r="L56" i="2"/>
  <c r="M55" i="2"/>
  <c r="L55" i="2"/>
  <c r="M54" i="2"/>
  <c r="L54" i="2"/>
  <c r="M53" i="2"/>
  <c r="L53" i="2"/>
  <c r="M52" i="2"/>
  <c r="L52" i="2"/>
  <c r="M51" i="2"/>
  <c r="L51" i="2"/>
  <c r="M50" i="2"/>
  <c r="L50" i="2"/>
  <c r="M49" i="2"/>
  <c r="L49" i="2"/>
  <c r="M48" i="2"/>
  <c r="L48" i="2"/>
  <c r="M47" i="2"/>
  <c r="L47" i="2"/>
  <c r="M46" i="2"/>
  <c r="L46" i="2"/>
  <c r="M45" i="2"/>
  <c r="L45" i="2"/>
  <c r="M44" i="2"/>
  <c r="L44" i="2"/>
  <c r="M43" i="2"/>
  <c r="L43" i="2"/>
  <c r="M42" i="2"/>
  <c r="L42" i="2"/>
  <c r="M41" i="2"/>
  <c r="L41" i="2"/>
  <c r="M40" i="2"/>
  <c r="L40" i="2"/>
  <c r="M39" i="2"/>
  <c r="L39" i="2"/>
  <c r="M38" i="2"/>
  <c r="L38" i="2"/>
  <c r="M37" i="2"/>
  <c r="L37" i="2"/>
  <c r="D37" i="2"/>
  <c r="C37" i="2"/>
  <c r="M36" i="2"/>
  <c r="L36" i="2"/>
  <c r="F36" i="2"/>
  <c r="D36" i="2"/>
  <c r="C36" i="2"/>
  <c r="M35" i="2"/>
  <c r="L35" i="2"/>
  <c r="F35" i="2"/>
  <c r="D35" i="2"/>
  <c r="C35" i="2"/>
  <c r="M34" i="2"/>
  <c r="L34" i="2"/>
  <c r="F34" i="2"/>
  <c r="D34" i="2"/>
  <c r="C34" i="2"/>
  <c r="M33" i="2"/>
  <c r="L33" i="2"/>
  <c r="F33" i="2"/>
  <c r="D33" i="2"/>
  <c r="C33" i="2"/>
  <c r="M32" i="2"/>
  <c r="L32" i="2"/>
  <c r="F32" i="2"/>
  <c r="D32" i="2"/>
  <c r="C32" i="2"/>
  <c r="M31" i="2"/>
  <c r="L31" i="2"/>
  <c r="F31" i="2"/>
  <c r="D31" i="2"/>
  <c r="C31" i="2"/>
  <c r="M30" i="2"/>
  <c r="L30" i="2"/>
  <c r="F30" i="2"/>
  <c r="D30" i="2"/>
  <c r="C30" i="2"/>
  <c r="M29" i="2"/>
  <c r="L29" i="2"/>
  <c r="F29" i="2"/>
  <c r="D29" i="2"/>
  <c r="C29" i="2"/>
  <c r="M28" i="2"/>
  <c r="L28" i="2"/>
  <c r="F28" i="2"/>
  <c r="D28" i="2"/>
  <c r="C28" i="2"/>
  <c r="M27" i="2"/>
  <c r="L27" i="2"/>
  <c r="F27" i="2"/>
  <c r="D27" i="2"/>
  <c r="C27" i="2"/>
  <c r="M26" i="2"/>
  <c r="L26" i="2"/>
  <c r="F26" i="2"/>
  <c r="D26" i="2"/>
  <c r="C26" i="2"/>
  <c r="M25" i="2"/>
  <c r="L25" i="2"/>
  <c r="F25" i="2"/>
  <c r="D25" i="2"/>
  <c r="C25" i="2"/>
  <c r="M24" i="2"/>
  <c r="L24" i="2"/>
  <c r="F24" i="2"/>
  <c r="D24" i="2"/>
  <c r="C24" i="2"/>
  <c r="M23" i="2"/>
  <c r="L23" i="2"/>
  <c r="F23" i="2"/>
  <c r="D23" i="2"/>
  <c r="C23" i="2"/>
  <c r="M22" i="2"/>
  <c r="L22" i="2"/>
  <c r="F22" i="2"/>
  <c r="D22" i="2"/>
  <c r="C22" i="2"/>
  <c r="M21" i="2"/>
  <c r="L21" i="2"/>
  <c r="F21" i="2"/>
  <c r="D21" i="2"/>
  <c r="C21" i="2"/>
  <c r="M20" i="2"/>
  <c r="L20" i="2"/>
  <c r="F20" i="2"/>
  <c r="D20" i="2"/>
  <c r="C20" i="2"/>
  <c r="M19" i="2"/>
  <c r="L19" i="2"/>
  <c r="F19" i="2"/>
  <c r="D19" i="2"/>
  <c r="C19" i="2"/>
  <c r="M18" i="2"/>
  <c r="L18" i="2"/>
  <c r="F18" i="2"/>
  <c r="D18" i="2"/>
  <c r="C18" i="2"/>
  <c r="M17" i="2"/>
  <c r="L17" i="2"/>
  <c r="F17" i="2"/>
  <c r="D17" i="2"/>
  <c r="C17" i="2"/>
  <c r="M16" i="2"/>
  <c r="L16" i="2"/>
  <c r="F16" i="2"/>
  <c r="D16" i="2"/>
  <c r="C16" i="2"/>
  <c r="M15" i="2"/>
  <c r="L15" i="2"/>
  <c r="F15" i="2"/>
  <c r="D15" i="2"/>
  <c r="C15" i="2"/>
  <c r="M14" i="2"/>
  <c r="L14" i="2"/>
  <c r="F14" i="2"/>
  <c r="D14" i="2"/>
  <c r="C14" i="2"/>
  <c r="M13" i="2"/>
  <c r="L13" i="2"/>
  <c r="F13" i="2"/>
  <c r="D13" i="2"/>
  <c r="C13" i="2"/>
  <c r="M12" i="2"/>
  <c r="L12" i="2"/>
  <c r="F12" i="2"/>
  <c r="D12" i="2"/>
  <c r="C12" i="2"/>
  <c r="M11" i="2"/>
  <c r="L11" i="2"/>
  <c r="F11" i="2"/>
  <c r="D11" i="2"/>
  <c r="C11" i="2"/>
  <c r="M10" i="2"/>
  <c r="L10" i="2"/>
  <c r="F10" i="2"/>
  <c r="D10" i="2"/>
  <c r="C10" i="2"/>
  <c r="M9" i="2"/>
  <c r="L9" i="2"/>
  <c r="F9" i="2"/>
  <c r="D9" i="2"/>
  <c r="C9" i="2"/>
  <c r="M8" i="2"/>
  <c r="L8" i="2"/>
  <c r="F8" i="2"/>
  <c r="D8" i="2"/>
  <c r="C8" i="2"/>
  <c r="M7" i="2"/>
  <c r="L7" i="2"/>
  <c r="F7" i="2"/>
  <c r="D7" i="2"/>
  <c r="C7" i="2"/>
  <c r="M6" i="2"/>
  <c r="L6" i="2"/>
  <c r="F6" i="2"/>
  <c r="D6" i="2"/>
  <c r="C6" i="2"/>
  <c r="M5" i="2"/>
  <c r="L5" i="2"/>
  <c r="F5" i="2"/>
  <c r="D5" i="2"/>
  <c r="C5" i="2"/>
  <c r="M4" i="2"/>
  <c r="L4" i="2"/>
  <c r="F4" i="2"/>
  <c r="D4" i="2"/>
  <c r="C4" i="2"/>
  <c r="M3" i="2"/>
  <c r="L3" i="2"/>
  <c r="F3" i="2"/>
  <c r="D3" i="2"/>
  <c r="C3" i="2"/>
  <c r="D76" i="1"/>
  <c r="C76" i="1"/>
  <c r="E75" i="1"/>
  <c r="D75" i="1"/>
  <c r="C75" i="1"/>
  <c r="T33" i="12" l="1"/>
  <c r="F13" i="9"/>
  <c r="V13" i="9"/>
  <c r="N13" i="9"/>
  <c r="N5" i="9"/>
  <c r="V39" i="9"/>
  <c r="J22" i="12"/>
  <c r="V47" i="9"/>
  <c r="F47" i="9"/>
  <c r="V22" i="9"/>
  <c r="T22" i="12"/>
  <c r="T30" i="9"/>
  <c r="N30" i="9"/>
  <c r="V30" i="9"/>
  <c r="F30" i="9"/>
  <c r="F39" i="9"/>
  <c r="N47" i="9"/>
  <c r="N22" i="9"/>
  <c r="F33" i="12"/>
  <c r="V11" i="12"/>
  <c r="N11" i="12"/>
  <c r="T13" i="9"/>
  <c r="T5" i="9"/>
  <c r="F11" i="12"/>
  <c r="T22" i="9"/>
  <c r="V5" i="9"/>
  <c r="F22" i="9"/>
  <c r="F5" i="9"/>
  <c r="N33" i="12"/>
  <c r="N39" i="9"/>
  <c r="E22" i="9"/>
  <c r="K33" i="12"/>
  <c r="V33" i="12"/>
  <c r="E5" i="9"/>
  <c r="T39" i="9"/>
  <c r="T47" i="9"/>
  <c r="J5" i="9"/>
  <c r="J13" i="9"/>
  <c r="K13" i="9"/>
  <c r="K5" i="9"/>
  <c r="K30" i="9"/>
  <c r="K39" i="9"/>
  <c r="J47" i="9"/>
  <c r="K22" i="9"/>
  <c r="J30" i="9"/>
  <c r="J22" i="9"/>
  <c r="K47" i="9"/>
  <c r="E30" i="9"/>
  <c r="G11" i="12"/>
  <c r="E47" i="9"/>
  <c r="E39" i="9"/>
  <c r="E13" i="9"/>
  <c r="K11" i="12"/>
  <c r="J39" i="9"/>
  <c r="K22" i="12"/>
  <c r="R11" i="12"/>
  <c r="E11" i="12"/>
  <c r="E33" i="12"/>
  <c r="I22" i="12"/>
  <c r="G33" i="12"/>
  <c r="E22" i="12"/>
  <c r="D23" i="12"/>
  <c r="D15" i="9"/>
  <c r="U21" i="9"/>
  <c r="D35" i="12"/>
  <c r="R33" i="12"/>
  <c r="I33" i="12"/>
  <c r="D13" i="12"/>
  <c r="D17" i="9"/>
  <c r="D6" i="9"/>
  <c r="D16" i="9"/>
  <c r="I39" i="9"/>
  <c r="D34" i="12"/>
  <c r="R22" i="12"/>
  <c r="I11" i="12"/>
  <c r="D24" i="12"/>
  <c r="I13" i="9"/>
  <c r="I5" i="9"/>
  <c r="D12" i="12"/>
  <c r="W31" i="12"/>
  <c r="W29" i="12"/>
  <c r="W21" i="12"/>
  <c r="W19" i="12"/>
  <c r="W9" i="12"/>
  <c r="W7" i="12"/>
  <c r="T46" i="8"/>
  <c r="P46" i="8"/>
  <c r="L46" i="8"/>
  <c r="H46" i="8"/>
  <c r="V45" i="8"/>
  <c r="R45" i="8"/>
  <c r="N45" i="8"/>
  <c r="J45" i="8"/>
  <c r="F45" i="8"/>
  <c r="T43" i="8"/>
  <c r="P43" i="8"/>
  <c r="L43" i="8"/>
  <c r="H43" i="8"/>
  <c r="V42" i="8"/>
  <c r="R42" i="8"/>
  <c r="N42" i="8"/>
  <c r="J42" i="8"/>
  <c r="F42" i="8"/>
  <c r="T41" i="8"/>
  <c r="P41" i="8"/>
  <c r="L41" i="8"/>
  <c r="H41" i="8"/>
  <c r="V40" i="8"/>
  <c r="R40" i="8"/>
  <c r="N40" i="8"/>
  <c r="J40" i="8"/>
  <c r="F40" i="8"/>
  <c r="T39" i="8"/>
  <c r="P39" i="8"/>
  <c r="L39" i="8"/>
  <c r="H39" i="8"/>
  <c r="V38" i="8"/>
  <c r="R38" i="8"/>
  <c r="N38" i="8"/>
  <c r="J38" i="8"/>
  <c r="F38" i="8"/>
  <c r="T37" i="8"/>
  <c r="P37" i="8"/>
  <c r="L37" i="8"/>
  <c r="H37" i="8"/>
  <c r="V32" i="8"/>
  <c r="R32" i="8"/>
  <c r="N32" i="8"/>
  <c r="J32" i="8"/>
  <c r="F32" i="8"/>
  <c r="T31" i="8"/>
  <c r="P31" i="8"/>
  <c r="L31" i="8"/>
  <c r="H31" i="8"/>
  <c r="V29" i="8"/>
  <c r="R29" i="8"/>
  <c r="N29" i="8"/>
  <c r="J29" i="8"/>
  <c r="F29" i="8"/>
  <c r="T28" i="8"/>
  <c r="P28" i="8"/>
  <c r="L28" i="8"/>
  <c r="H28" i="8"/>
  <c r="V27" i="8"/>
  <c r="R27" i="8"/>
  <c r="N27" i="8"/>
  <c r="J27" i="8"/>
  <c r="F27" i="8"/>
  <c r="T26" i="8"/>
  <c r="P26" i="8"/>
  <c r="L26" i="8"/>
  <c r="H26" i="8"/>
  <c r="V25" i="8"/>
  <c r="R25" i="8"/>
  <c r="N25" i="8"/>
  <c r="J25" i="8"/>
  <c r="F25" i="8"/>
  <c r="T24" i="8"/>
  <c r="P24" i="8"/>
  <c r="L24" i="8"/>
  <c r="H24" i="8"/>
  <c r="I31" i="12"/>
  <c r="I29" i="12"/>
  <c r="I21" i="12"/>
  <c r="I19" i="12"/>
  <c r="I9" i="12"/>
  <c r="I7" i="12"/>
  <c r="S46" i="8"/>
  <c r="O46" i="8"/>
  <c r="K46" i="8"/>
  <c r="G46" i="8"/>
  <c r="U45" i="8"/>
  <c r="Q45" i="8"/>
  <c r="M45" i="8"/>
  <c r="I45" i="8"/>
  <c r="E45" i="8"/>
  <c r="S43" i="8"/>
  <c r="O43" i="8"/>
  <c r="K43" i="8"/>
  <c r="G43" i="8"/>
  <c r="U42" i="8"/>
  <c r="Q42" i="8"/>
  <c r="M42" i="8"/>
  <c r="I42" i="8"/>
  <c r="E42" i="8"/>
  <c r="S41" i="8"/>
  <c r="O41" i="8"/>
  <c r="K41" i="8"/>
  <c r="G41" i="8"/>
  <c r="U40" i="8"/>
  <c r="Q40" i="8"/>
  <c r="M40" i="8"/>
  <c r="I40" i="8"/>
  <c r="E40" i="8"/>
  <c r="S39" i="8"/>
  <c r="O39" i="8"/>
  <c r="K39" i="8"/>
  <c r="G39" i="8"/>
  <c r="U38" i="8"/>
  <c r="Q38" i="8"/>
  <c r="M38" i="8"/>
  <c r="I38" i="8"/>
  <c r="E38" i="8"/>
  <c r="S37" i="8"/>
  <c r="O37" i="8"/>
  <c r="K37" i="8"/>
  <c r="G37" i="8"/>
  <c r="U32" i="8"/>
  <c r="Q32" i="8"/>
  <c r="M32" i="8"/>
  <c r="I32" i="8"/>
  <c r="E32" i="8"/>
  <c r="S31" i="8"/>
  <c r="O31" i="8"/>
  <c r="K31" i="8"/>
  <c r="G31" i="8"/>
  <c r="U29" i="8"/>
  <c r="Q29" i="8"/>
  <c r="M29" i="8"/>
  <c r="I29" i="8"/>
  <c r="E29" i="8"/>
  <c r="S28" i="8"/>
  <c r="O28" i="8"/>
  <c r="K28" i="8"/>
  <c r="G28" i="8"/>
  <c r="U27" i="8"/>
  <c r="Q27" i="8"/>
  <c r="M27" i="8"/>
  <c r="I27" i="8"/>
  <c r="E27" i="8"/>
  <c r="S26" i="8"/>
  <c r="O26" i="8"/>
  <c r="K26" i="8"/>
  <c r="G26" i="8"/>
  <c r="U25" i="8"/>
  <c r="Q25" i="8"/>
  <c r="M25" i="8"/>
  <c r="I25" i="8"/>
  <c r="W30" i="12"/>
  <c r="W20" i="12"/>
  <c r="W8" i="12"/>
  <c r="U46" i="8"/>
  <c r="M46" i="8"/>
  <c r="E46" i="8"/>
  <c r="O45" i="8"/>
  <c r="G45" i="8"/>
  <c r="Q43" i="8"/>
  <c r="I43" i="8"/>
  <c r="S42" i="8"/>
  <c r="K42" i="8"/>
  <c r="U41" i="8"/>
  <c r="M41" i="8"/>
  <c r="E41" i="8"/>
  <c r="O40" i="8"/>
  <c r="G40" i="8"/>
  <c r="Q39" i="8"/>
  <c r="I39" i="8"/>
  <c r="S38" i="8"/>
  <c r="K38" i="8"/>
  <c r="U37" i="8"/>
  <c r="M37" i="8"/>
  <c r="E37" i="8"/>
  <c r="O32" i="8"/>
  <c r="G32" i="8"/>
  <c r="Q31" i="8"/>
  <c r="I31" i="8"/>
  <c r="S29" i="8"/>
  <c r="K29" i="8"/>
  <c r="U28" i="8"/>
  <c r="M28" i="8"/>
  <c r="E28" i="8"/>
  <c r="O27" i="8"/>
  <c r="G27" i="8"/>
  <c r="Q26" i="8"/>
  <c r="I26" i="8"/>
  <c r="S25" i="8"/>
  <c r="K25" i="8"/>
  <c r="V24" i="8"/>
  <c r="Q24" i="8"/>
  <c r="K24" i="8"/>
  <c r="F24" i="8"/>
  <c r="T23" i="8"/>
  <c r="P23" i="8"/>
  <c r="L23" i="8"/>
  <c r="H23" i="8"/>
  <c r="V18" i="8"/>
  <c r="R18" i="8"/>
  <c r="N18" i="8"/>
  <c r="J18" i="8"/>
  <c r="F18" i="8"/>
  <c r="T17" i="8"/>
  <c r="P17" i="8"/>
  <c r="L17" i="8"/>
  <c r="H17" i="8"/>
  <c r="V15" i="8"/>
  <c r="R15" i="8"/>
  <c r="N15" i="8"/>
  <c r="J15" i="8"/>
  <c r="F15" i="8"/>
  <c r="T14" i="8"/>
  <c r="P14" i="8"/>
  <c r="L14" i="8"/>
  <c r="H14" i="8"/>
  <c r="V13" i="8"/>
  <c r="R13" i="8"/>
  <c r="N13" i="8"/>
  <c r="J13" i="8"/>
  <c r="F13" i="8"/>
  <c r="T12" i="8"/>
  <c r="P12" i="8"/>
  <c r="L12" i="8"/>
  <c r="H12" i="8"/>
  <c r="V11" i="8"/>
  <c r="R11" i="8"/>
  <c r="N11" i="8"/>
  <c r="J11" i="8"/>
  <c r="F11" i="8"/>
  <c r="T10" i="8"/>
  <c r="P10" i="8"/>
  <c r="L10" i="8"/>
  <c r="H10" i="8"/>
  <c r="V9" i="8"/>
  <c r="I30" i="12"/>
  <c r="D30" i="12" s="1"/>
  <c r="I20" i="12"/>
  <c r="I8" i="12"/>
  <c r="D8" i="12" s="1"/>
  <c r="R46" i="8"/>
  <c r="J46" i="8"/>
  <c r="T45" i="8"/>
  <c r="L45" i="8"/>
  <c r="V43" i="8"/>
  <c r="N43" i="8"/>
  <c r="F43" i="8"/>
  <c r="P42" i="8"/>
  <c r="H42" i="8"/>
  <c r="R41" i="8"/>
  <c r="J41" i="8"/>
  <c r="T40" i="8"/>
  <c r="L40" i="8"/>
  <c r="V39" i="8"/>
  <c r="N39" i="8"/>
  <c r="F39" i="8"/>
  <c r="P38" i="8"/>
  <c r="H38" i="8"/>
  <c r="R37" i="8"/>
  <c r="J37" i="8"/>
  <c r="T32" i="8"/>
  <c r="L32" i="8"/>
  <c r="V31" i="8"/>
  <c r="N31" i="8"/>
  <c r="F31" i="8"/>
  <c r="F33" i="8" s="1"/>
  <c r="P29" i="8"/>
  <c r="H29" i="8"/>
  <c r="R28" i="8"/>
  <c r="J28" i="8"/>
  <c r="T27" i="8"/>
  <c r="L27" i="8"/>
  <c r="V26" i="8"/>
  <c r="N26" i="8"/>
  <c r="F26" i="8"/>
  <c r="P25" i="8"/>
  <c r="H25" i="8"/>
  <c r="U24" i="8"/>
  <c r="O24" i="8"/>
  <c r="J24" i="8"/>
  <c r="E24" i="8"/>
  <c r="S23" i="8"/>
  <c r="O23" i="8"/>
  <c r="K23" i="8"/>
  <c r="G23" i="8"/>
  <c r="U18" i="8"/>
  <c r="Q18" i="8"/>
  <c r="M18" i="8"/>
  <c r="I18" i="8"/>
  <c r="E18" i="8"/>
  <c r="S17" i="8"/>
  <c r="O17" i="8"/>
  <c r="K17" i="8"/>
  <c r="G17" i="8"/>
  <c r="U15" i="8"/>
  <c r="Q15" i="8"/>
  <c r="M15" i="8"/>
  <c r="I15" i="8"/>
  <c r="E15" i="8"/>
  <c r="S14" i="8"/>
  <c r="O14" i="8"/>
  <c r="K14" i="8"/>
  <c r="G14" i="8"/>
  <c r="U13" i="8"/>
  <c r="Q13" i="8"/>
  <c r="M13" i="8"/>
  <c r="I13" i="8"/>
  <c r="E13" i="8"/>
  <c r="S12" i="8"/>
  <c r="O12" i="8"/>
  <c r="K12" i="8"/>
  <c r="G12" i="8"/>
  <c r="U11" i="8"/>
  <c r="Q11" i="8"/>
  <c r="M11" i="8"/>
  <c r="I11" i="8"/>
  <c r="E11" i="8"/>
  <c r="S10" i="8"/>
  <c r="O10" i="8"/>
  <c r="K10" i="8"/>
  <c r="G10" i="8"/>
  <c r="N46" i="8"/>
  <c r="P45" i="8"/>
  <c r="R43" i="8"/>
  <c r="T42" i="8"/>
  <c r="V41" i="8"/>
  <c r="F41" i="8"/>
  <c r="H40" i="8"/>
  <c r="J39" i="8"/>
  <c r="L38" i="8"/>
  <c r="N37" i="8"/>
  <c r="P32" i="8"/>
  <c r="R31" i="8"/>
  <c r="T29" i="8"/>
  <c r="V28" i="8"/>
  <c r="F28" i="8"/>
  <c r="H27" i="8"/>
  <c r="J26" i="8"/>
  <c r="L25" i="8"/>
  <c r="R24" i="8"/>
  <c r="G24" i="8"/>
  <c r="Q23" i="8"/>
  <c r="I23" i="8"/>
  <c r="S18" i="8"/>
  <c r="K18" i="8"/>
  <c r="U17" i="8"/>
  <c r="U19" i="8" s="1"/>
  <c r="M17" i="8"/>
  <c r="E17" i="8"/>
  <c r="O15" i="8"/>
  <c r="G15" i="8"/>
  <c r="Q14" i="8"/>
  <c r="I14" i="8"/>
  <c r="S13" i="8"/>
  <c r="K13" i="8"/>
  <c r="U12" i="8"/>
  <c r="M12" i="8"/>
  <c r="E12" i="8"/>
  <c r="O11" i="8"/>
  <c r="G11" i="8"/>
  <c r="Q10" i="8"/>
  <c r="I10" i="8"/>
  <c r="T9" i="8"/>
  <c r="P9" i="8"/>
  <c r="L9" i="8"/>
  <c r="H9" i="8"/>
  <c r="I32" i="12"/>
  <c r="S45" i="8"/>
  <c r="E43" i="8"/>
  <c r="I41" i="8"/>
  <c r="O38" i="8"/>
  <c r="S32" i="8"/>
  <c r="G29" i="8"/>
  <c r="M26" i="8"/>
  <c r="S24" i="8"/>
  <c r="J23" i="8"/>
  <c r="V17" i="8"/>
  <c r="H15" i="8"/>
  <c r="J14" i="8"/>
  <c r="V12" i="8"/>
  <c r="P11" i="8"/>
  <c r="J10" i="8"/>
  <c r="M9" i="8"/>
  <c r="I46" i="8"/>
  <c r="K45" i="8"/>
  <c r="M43" i="8"/>
  <c r="O42" i="8"/>
  <c r="Q41" i="8"/>
  <c r="S40" i="8"/>
  <c r="U39" i="8"/>
  <c r="E39" i="8"/>
  <c r="G38" i="8"/>
  <c r="I37" i="8"/>
  <c r="K32" i="8"/>
  <c r="M31" i="8"/>
  <c r="O29" i="8"/>
  <c r="Q28" i="8"/>
  <c r="S27" i="8"/>
  <c r="U26" i="8"/>
  <c r="E26" i="8"/>
  <c r="G25" i="8"/>
  <c r="N24" i="8"/>
  <c r="V23" i="8"/>
  <c r="N23" i="8"/>
  <c r="F23" i="8"/>
  <c r="P18" i="8"/>
  <c r="H18" i="8"/>
  <c r="R17" i="8"/>
  <c r="R19" i="8" s="1"/>
  <c r="J17" i="8"/>
  <c r="T15" i="8"/>
  <c r="L15" i="8"/>
  <c r="V14" i="8"/>
  <c r="N14" i="8"/>
  <c r="F14" i="8"/>
  <c r="P13" i="8"/>
  <c r="H13" i="8"/>
  <c r="R12" i="8"/>
  <c r="J12" i="8"/>
  <c r="T11" i="8"/>
  <c r="L11" i="8"/>
  <c r="V10" i="8"/>
  <c r="N10" i="8"/>
  <c r="F10" i="8"/>
  <c r="S9" i="8"/>
  <c r="O9" i="8"/>
  <c r="K9" i="8"/>
  <c r="G9" i="8"/>
  <c r="I10" i="12"/>
  <c r="U43" i="8"/>
  <c r="U31" i="8"/>
  <c r="I28" i="8"/>
  <c r="O25" i="8"/>
  <c r="R23" i="8"/>
  <c r="L18" i="8"/>
  <c r="F17" i="8"/>
  <c r="F19" i="8" s="1"/>
  <c r="T13" i="8"/>
  <c r="N12" i="8"/>
  <c r="H11" i="8"/>
  <c r="U9" i="8"/>
  <c r="I9" i="8"/>
  <c r="W32" i="12"/>
  <c r="W18" i="12"/>
  <c r="W10" i="12"/>
  <c r="V46" i="8"/>
  <c r="F46" i="8"/>
  <c r="H45" i="8"/>
  <c r="H47" i="8" s="1"/>
  <c r="J43" i="8"/>
  <c r="L42" i="8"/>
  <c r="N41" i="8"/>
  <c r="P40" i="8"/>
  <c r="R39" i="8"/>
  <c r="T38" i="8"/>
  <c r="V37" i="8"/>
  <c r="F37" i="8"/>
  <c r="H32" i="8"/>
  <c r="J31" i="8"/>
  <c r="L29" i="8"/>
  <c r="N28" i="8"/>
  <c r="P27" i="8"/>
  <c r="R26" i="8"/>
  <c r="T25" i="8"/>
  <c r="E25" i="8"/>
  <c r="M24" i="8"/>
  <c r="U23" i="8"/>
  <c r="M23" i="8"/>
  <c r="E23" i="8"/>
  <c r="O18" i="8"/>
  <c r="G18" i="8"/>
  <c r="Q17" i="8"/>
  <c r="I17" i="8"/>
  <c r="I19" i="8" s="1"/>
  <c r="S15" i="8"/>
  <c r="K15" i="8"/>
  <c r="U14" i="8"/>
  <c r="M14" i="8"/>
  <c r="E14" i="8"/>
  <c r="O13" i="8"/>
  <c r="G13" i="8"/>
  <c r="Q12" i="8"/>
  <c r="I12" i="8"/>
  <c r="S11" i="8"/>
  <c r="K11" i="8"/>
  <c r="U10" i="8"/>
  <c r="M10" i="8"/>
  <c r="E10" i="8"/>
  <c r="R9" i="8"/>
  <c r="N9" i="8"/>
  <c r="J9" i="8"/>
  <c r="F9" i="8"/>
  <c r="I18" i="12"/>
  <c r="Q46" i="8"/>
  <c r="G42" i="8"/>
  <c r="K40" i="8"/>
  <c r="M39" i="8"/>
  <c r="Q37" i="8"/>
  <c r="E31" i="8"/>
  <c r="K27" i="8"/>
  <c r="I24" i="8"/>
  <c r="T18" i="8"/>
  <c r="N17" i="8"/>
  <c r="P15" i="8"/>
  <c r="R14" i="8"/>
  <c r="L13" i="8"/>
  <c r="F12" i="8"/>
  <c r="R10" i="8"/>
  <c r="Q9" i="8"/>
  <c r="E9" i="8"/>
  <c r="P21" i="9"/>
  <c r="D32" i="9"/>
  <c r="D52" i="9"/>
  <c r="D31" i="9"/>
  <c r="E75" i="11"/>
  <c r="C45" i="11"/>
  <c r="E38" i="11"/>
  <c r="E6" i="11"/>
  <c r="E21" i="11"/>
  <c r="D15" i="11"/>
  <c r="E66" i="11"/>
  <c r="D66" i="11"/>
  <c r="C66" i="11"/>
  <c r="E59" i="11"/>
  <c r="D59" i="11"/>
  <c r="E28" i="11"/>
  <c r="D21" i="11"/>
  <c r="I47" i="9"/>
  <c r="I22" i="9"/>
  <c r="I30" i="9"/>
  <c r="C59" i="11"/>
  <c r="E52" i="11"/>
  <c r="D52" i="11"/>
  <c r="C28" i="11"/>
  <c r="C52" i="11"/>
  <c r="E45" i="11"/>
  <c r="C15" i="11"/>
  <c r="D45" i="11"/>
  <c r="C21" i="11"/>
  <c r="D6" i="11"/>
  <c r="D75" i="11"/>
  <c r="D38" i="11"/>
  <c r="C75" i="11"/>
  <c r="C38" i="11"/>
  <c r="D28" i="11"/>
  <c r="E15" i="11"/>
  <c r="C6" i="11"/>
  <c r="O38" i="9"/>
  <c r="D29" i="9"/>
  <c r="L21" i="9"/>
  <c r="D33" i="9"/>
  <c r="D27" i="9"/>
  <c r="D35" i="9"/>
  <c r="D24" i="9"/>
  <c r="O4" i="9"/>
  <c r="D34" i="9"/>
  <c r="W4" i="9"/>
  <c r="D18" i="9"/>
  <c r="D12" i="9"/>
  <c r="D8" i="9"/>
  <c r="D23" i="9"/>
  <c r="S38" i="9"/>
  <c r="L38" i="9"/>
  <c r="D51" i="9"/>
  <c r="D45" i="9"/>
  <c r="D43" i="9"/>
  <c r="W38" i="9"/>
  <c r="U38" i="9"/>
  <c r="P38" i="9"/>
  <c r="D42" i="9"/>
  <c r="D40" i="9"/>
  <c r="D46" i="9"/>
  <c r="M38" i="9"/>
  <c r="Q38" i="9"/>
  <c r="D11" i="9"/>
  <c r="G5" i="9"/>
  <c r="D9" i="9"/>
  <c r="D10" i="9"/>
  <c r="L4" i="9"/>
  <c r="D25" i="9"/>
  <c r="Q21" i="9"/>
  <c r="R5" i="9"/>
  <c r="D14" i="9"/>
  <c r="G39" i="9"/>
  <c r="D28" i="9"/>
  <c r="D7" i="9"/>
  <c r="G30" i="9"/>
  <c r="M21" i="9"/>
  <c r="D50" i="9"/>
  <c r="S21" i="9"/>
  <c r="O21" i="9"/>
  <c r="G13" i="9"/>
  <c r="D44" i="9"/>
  <c r="D26" i="9"/>
  <c r="G47" i="9"/>
  <c r="D41" i="9"/>
  <c r="G22" i="9"/>
  <c r="P4" i="9"/>
  <c r="U4" i="9"/>
  <c r="D49" i="9"/>
  <c r="R47" i="9"/>
  <c r="R13" i="9"/>
  <c r="S4" i="9"/>
  <c r="R39" i="9"/>
  <c r="Q4" i="9"/>
  <c r="M4" i="9"/>
  <c r="D48" i="9"/>
  <c r="W21" i="9"/>
  <c r="R30" i="9"/>
  <c r="R22" i="9"/>
  <c r="H4" i="9"/>
  <c r="H21" i="9"/>
  <c r="H17" i="7" s="1"/>
  <c r="H38" i="9"/>
  <c r="H25" i="7" s="1"/>
  <c r="K19" i="8" l="1"/>
  <c r="P47" i="8"/>
  <c r="U33" i="8"/>
  <c r="N33" i="8"/>
  <c r="L47" i="8"/>
  <c r="F4" i="9"/>
  <c r="C8" i="10" s="1"/>
  <c r="V4" i="9"/>
  <c r="V9" i="7" s="1"/>
  <c r="T4" i="9"/>
  <c r="C26" i="10" s="1"/>
  <c r="V21" i="9"/>
  <c r="V17" i="7" s="1"/>
  <c r="V38" i="9"/>
  <c r="E29" i="10" s="1"/>
  <c r="E28" i="10" s="1"/>
  <c r="N4" i="9"/>
  <c r="C19" i="10" s="1"/>
  <c r="F38" i="9"/>
  <c r="E8" i="10" s="1"/>
  <c r="F21" i="9"/>
  <c r="D8" i="10" s="1"/>
  <c r="N21" i="9"/>
  <c r="N17" i="7" s="1"/>
  <c r="T21" i="9"/>
  <c r="D26" i="10" s="1"/>
  <c r="N38" i="9"/>
  <c r="E19" i="10" s="1"/>
  <c r="E21" i="9"/>
  <c r="D7" i="10" s="1"/>
  <c r="T38" i="9"/>
  <c r="T25" i="7" s="1"/>
  <c r="K38" i="9"/>
  <c r="K25" i="7" s="1"/>
  <c r="K21" i="9"/>
  <c r="D16" i="10" s="1"/>
  <c r="J4" i="9"/>
  <c r="C15" i="10" s="1"/>
  <c r="E4" i="9"/>
  <c r="E9" i="7" s="1"/>
  <c r="J38" i="9"/>
  <c r="E15" i="10" s="1"/>
  <c r="K4" i="9"/>
  <c r="C16" i="10" s="1"/>
  <c r="J21" i="9"/>
  <c r="D15" i="10" s="1"/>
  <c r="S47" i="8"/>
  <c r="D9" i="12"/>
  <c r="D31" i="12"/>
  <c r="J19" i="8"/>
  <c r="J33" i="8"/>
  <c r="C22" i="10"/>
  <c r="Q9" i="7"/>
  <c r="C24" i="10"/>
  <c r="S9" i="7"/>
  <c r="C27" i="10"/>
  <c r="U9" i="7"/>
  <c r="C20" i="10"/>
  <c r="O9" i="7"/>
  <c r="C12" i="10"/>
  <c r="H9" i="7"/>
  <c r="C18" i="10"/>
  <c r="M9" i="7"/>
  <c r="C21" i="10"/>
  <c r="P9" i="7"/>
  <c r="C17" i="10"/>
  <c r="L9" i="7"/>
  <c r="C31" i="10"/>
  <c r="C30" i="10" s="1"/>
  <c r="W9" i="7"/>
  <c r="I21" i="9"/>
  <c r="D13" i="10" s="1"/>
  <c r="E38" i="9"/>
  <c r="E7" i="10" s="1"/>
  <c r="D31" i="10"/>
  <c r="D30" i="10" s="1"/>
  <c r="W17" i="7"/>
  <c r="D20" i="10"/>
  <c r="O17" i="7"/>
  <c r="D22" i="10"/>
  <c r="Q17" i="7"/>
  <c r="E22" i="10"/>
  <c r="Q25" i="7"/>
  <c r="E31" i="10"/>
  <c r="E30" i="10" s="1"/>
  <c r="W25" i="7"/>
  <c r="E17" i="10"/>
  <c r="L25" i="7"/>
  <c r="D18" i="10"/>
  <c r="M17" i="7"/>
  <c r="E24" i="10"/>
  <c r="S25" i="7"/>
  <c r="E20" i="10"/>
  <c r="O25" i="7"/>
  <c r="E18" i="10"/>
  <c r="M25" i="7"/>
  <c r="E21" i="10"/>
  <c r="P25" i="7"/>
  <c r="D27" i="10"/>
  <c r="U17" i="7"/>
  <c r="D24" i="10"/>
  <c r="S17" i="7"/>
  <c r="E27" i="10"/>
  <c r="U25" i="7"/>
  <c r="D17" i="10"/>
  <c r="L17" i="7"/>
  <c r="D21" i="10"/>
  <c r="P17" i="7"/>
  <c r="D22" i="12"/>
  <c r="D28" i="1" s="1"/>
  <c r="I38" i="9"/>
  <c r="D11" i="12"/>
  <c r="C28" i="1" s="1"/>
  <c r="G21" i="9"/>
  <c r="I4" i="9"/>
  <c r="G19" i="8"/>
  <c r="D10" i="12"/>
  <c r="D33" i="12"/>
  <c r="E28" i="1" s="1"/>
  <c r="K47" i="8"/>
  <c r="V33" i="8"/>
  <c r="D21" i="12"/>
  <c r="N30" i="8"/>
  <c r="T19" i="8"/>
  <c r="U30" i="8"/>
  <c r="V19" i="8"/>
  <c r="T47" i="8"/>
  <c r="K33" i="8"/>
  <c r="I33" i="8"/>
  <c r="T33" i="8"/>
  <c r="R47" i="8"/>
  <c r="P44" i="8"/>
  <c r="M30" i="8"/>
  <c r="R30" i="8"/>
  <c r="F30" i="8"/>
  <c r="F22" i="8" s="1"/>
  <c r="F14" i="7" s="1"/>
  <c r="F16" i="7" s="1"/>
  <c r="D13" i="8"/>
  <c r="Q19" i="8"/>
  <c r="V44" i="8"/>
  <c r="O16" i="8"/>
  <c r="L16" i="8"/>
  <c r="S19" i="8"/>
  <c r="O19" i="8"/>
  <c r="P19" i="8"/>
  <c r="R16" i="8"/>
  <c r="R8" i="8" s="1"/>
  <c r="R6" i="7" s="1"/>
  <c r="R8" i="7" s="1"/>
  <c r="Q16" i="8"/>
  <c r="R44" i="8"/>
  <c r="K30" i="8"/>
  <c r="F16" i="8"/>
  <c r="F8" i="8" s="1"/>
  <c r="F6" i="7" s="1"/>
  <c r="F8" i="7" s="1"/>
  <c r="I16" i="8"/>
  <c r="I8" i="8" s="1"/>
  <c r="S16" i="8"/>
  <c r="D26" i="8"/>
  <c r="J30" i="8"/>
  <c r="M19" i="8"/>
  <c r="N44" i="8"/>
  <c r="D15" i="8"/>
  <c r="G44" i="8"/>
  <c r="I6" i="12"/>
  <c r="D7" i="12"/>
  <c r="D14" i="8"/>
  <c r="U16" i="8"/>
  <c r="U8" i="8" s="1"/>
  <c r="U6" i="7" s="1"/>
  <c r="U8" i="7" s="1"/>
  <c r="G16" i="8"/>
  <c r="V30" i="8"/>
  <c r="M16" i="8"/>
  <c r="D32" i="12"/>
  <c r="T16" i="8"/>
  <c r="Q30" i="8"/>
  <c r="D18" i="8"/>
  <c r="S30" i="8"/>
  <c r="V16" i="8"/>
  <c r="H19" i="8"/>
  <c r="T30" i="8"/>
  <c r="D37" i="8"/>
  <c r="G47" i="8"/>
  <c r="D27" i="8"/>
  <c r="O33" i="8"/>
  <c r="M33" i="8"/>
  <c r="K44" i="8"/>
  <c r="I44" i="8"/>
  <c r="D39" i="8"/>
  <c r="D40" i="8"/>
  <c r="M47" i="8"/>
  <c r="H33" i="8"/>
  <c r="T44" i="8"/>
  <c r="F47" i="8"/>
  <c r="V47" i="8"/>
  <c r="I17" i="12"/>
  <c r="D18" i="12"/>
  <c r="E19" i="8"/>
  <c r="D17" i="8"/>
  <c r="D20" i="12"/>
  <c r="L30" i="8"/>
  <c r="D10" i="8"/>
  <c r="P16" i="8"/>
  <c r="I30" i="8"/>
  <c r="O30" i="8"/>
  <c r="P30" i="8"/>
  <c r="E44" i="8"/>
  <c r="D38" i="8"/>
  <c r="U44" i="8"/>
  <c r="I47" i="8"/>
  <c r="D46" i="8"/>
  <c r="D29" i="12"/>
  <c r="I28" i="12"/>
  <c r="N19" i="8"/>
  <c r="E33" i="8"/>
  <c r="D31" i="8"/>
  <c r="J16" i="8"/>
  <c r="E16" i="8"/>
  <c r="D9" i="8"/>
  <c r="Q44" i="8"/>
  <c r="N16" i="8"/>
  <c r="D23" i="8"/>
  <c r="E30" i="8"/>
  <c r="D25" i="8"/>
  <c r="F44" i="8"/>
  <c r="W17" i="12"/>
  <c r="W14" i="7" s="1"/>
  <c r="W16" i="7" s="1"/>
  <c r="K16" i="8"/>
  <c r="H16" i="8"/>
  <c r="D12" i="8"/>
  <c r="D24" i="8"/>
  <c r="R33" i="8"/>
  <c r="D11" i="8"/>
  <c r="G30" i="8"/>
  <c r="J44" i="8"/>
  <c r="L19" i="8"/>
  <c r="H30" i="8"/>
  <c r="D28" i="8"/>
  <c r="D29" i="8"/>
  <c r="S33" i="8"/>
  <c r="Q33" i="8"/>
  <c r="O44" i="8"/>
  <c r="M44" i="8"/>
  <c r="D41" i="8"/>
  <c r="D42" i="8"/>
  <c r="Q47" i="8"/>
  <c r="O47" i="8"/>
  <c r="D19" i="12"/>
  <c r="L33" i="8"/>
  <c r="H44" i="8"/>
  <c r="H36" i="8" s="1"/>
  <c r="H22" i="7" s="1"/>
  <c r="H24" i="7" s="1"/>
  <c r="H26" i="7" s="1"/>
  <c r="J47" i="8"/>
  <c r="W6" i="12"/>
  <c r="W6" i="7" s="1"/>
  <c r="W8" i="7" s="1"/>
  <c r="W28" i="12"/>
  <c r="W22" i="7" s="1"/>
  <c r="W24" i="7" s="1"/>
  <c r="G33" i="8"/>
  <c r="D32" i="8"/>
  <c r="S44" i="8"/>
  <c r="D43" i="8"/>
  <c r="E47" i="8"/>
  <c r="D45" i="8"/>
  <c r="U47" i="8"/>
  <c r="P33" i="8"/>
  <c r="L44" i="8"/>
  <c r="N47" i="8"/>
  <c r="D5" i="11"/>
  <c r="C5" i="11"/>
  <c r="E5" i="11"/>
  <c r="D5" i="9"/>
  <c r="C20" i="1" s="1"/>
  <c r="G4" i="9"/>
  <c r="D22" i="9"/>
  <c r="D20" i="1" s="1"/>
  <c r="R38" i="9"/>
  <c r="D39" i="9"/>
  <c r="E20" i="1" s="1"/>
  <c r="R4" i="9"/>
  <c r="G38" i="9"/>
  <c r="D13" i="9"/>
  <c r="C21" i="1" s="1"/>
  <c r="D47" i="9"/>
  <c r="E21" i="1" s="1"/>
  <c r="D12" i="10"/>
  <c r="E12" i="10"/>
  <c r="R21" i="9"/>
  <c r="D30" i="9"/>
  <c r="D21" i="1" s="1"/>
  <c r="G8" i="8" l="1"/>
  <c r="G6" i="7" s="1"/>
  <c r="G8" i="7" s="1"/>
  <c r="K8" i="8"/>
  <c r="K6" i="7" s="1"/>
  <c r="K8" i="7" s="1"/>
  <c r="Q8" i="8"/>
  <c r="Q6" i="7" s="1"/>
  <c r="Q8" i="7" s="1"/>
  <c r="Q10" i="7" s="1"/>
  <c r="T8" i="8"/>
  <c r="T6" i="7" s="1"/>
  <c r="T8" i="7" s="1"/>
  <c r="P36" i="8"/>
  <c r="P22" i="7" s="1"/>
  <c r="P24" i="7" s="1"/>
  <c r="P26" i="7" s="1"/>
  <c r="U22" i="8"/>
  <c r="U14" i="7" s="1"/>
  <c r="U16" i="7" s="1"/>
  <c r="U18" i="7" s="1"/>
  <c r="N22" i="8"/>
  <c r="N14" i="7" s="1"/>
  <c r="N16" i="7" s="1"/>
  <c r="N18" i="7" s="1"/>
  <c r="L36" i="8"/>
  <c r="L22" i="7" s="1"/>
  <c r="L24" i="7" s="1"/>
  <c r="L26" i="7" s="1"/>
  <c r="J22" i="8"/>
  <c r="J14" i="7" s="1"/>
  <c r="J16" i="7" s="1"/>
  <c r="S36" i="8"/>
  <c r="S22" i="7" s="1"/>
  <c r="S24" i="7" s="1"/>
  <c r="S26" i="7" s="1"/>
  <c r="J8" i="8"/>
  <c r="J6" i="7" s="1"/>
  <c r="J8" i="7" s="1"/>
  <c r="K36" i="8"/>
  <c r="K22" i="7" s="1"/>
  <c r="K24" i="7" s="1"/>
  <c r="K26" i="7" s="1"/>
  <c r="F9" i="7"/>
  <c r="F10" i="7" s="1"/>
  <c r="C29" i="10"/>
  <c r="C28" i="10" s="1"/>
  <c r="C25" i="10"/>
  <c r="D29" i="10"/>
  <c r="D28" i="10" s="1"/>
  <c r="T9" i="7"/>
  <c r="V25" i="7"/>
  <c r="D19" i="10"/>
  <c r="F25" i="7"/>
  <c r="N9" i="7"/>
  <c r="F17" i="7"/>
  <c r="F18" i="7" s="1"/>
  <c r="N25" i="7"/>
  <c r="T17" i="7"/>
  <c r="E16" i="10"/>
  <c r="E26" i="10"/>
  <c r="E25" i="10" s="1"/>
  <c r="E17" i="7"/>
  <c r="K17" i="7"/>
  <c r="C7" i="10"/>
  <c r="C6" i="10" s="1"/>
  <c r="J17" i="7"/>
  <c r="J25" i="7"/>
  <c r="K9" i="7"/>
  <c r="J9" i="7"/>
  <c r="E25" i="7"/>
  <c r="J36" i="8"/>
  <c r="J22" i="7" s="1"/>
  <c r="J24" i="7" s="1"/>
  <c r="I22" i="8"/>
  <c r="I14" i="7" s="1"/>
  <c r="I16" i="7" s="1"/>
  <c r="V22" i="8"/>
  <c r="V14" i="7" s="1"/>
  <c r="V16" i="7" s="1"/>
  <c r="V18" i="7" s="1"/>
  <c r="U10" i="7"/>
  <c r="W10" i="7"/>
  <c r="I17" i="7"/>
  <c r="D11" i="10"/>
  <c r="C23" i="10"/>
  <c r="C14" i="10" s="1"/>
  <c r="R9" i="7"/>
  <c r="R10" i="7" s="1"/>
  <c r="C10" i="10"/>
  <c r="C9" i="10" s="1"/>
  <c r="G9" i="7"/>
  <c r="C13" i="10"/>
  <c r="C11" i="10" s="1"/>
  <c r="I9" i="7"/>
  <c r="W18" i="7"/>
  <c r="W26" i="7"/>
  <c r="E6" i="10"/>
  <c r="D6" i="10"/>
  <c r="D23" i="10"/>
  <c r="R17" i="7"/>
  <c r="E23" i="10"/>
  <c r="R25" i="7"/>
  <c r="E10" i="10"/>
  <c r="E9" i="10" s="1"/>
  <c r="G25" i="7"/>
  <c r="D10" i="10"/>
  <c r="D9" i="10" s="1"/>
  <c r="G17" i="7"/>
  <c r="D25" i="10"/>
  <c r="E13" i="10"/>
  <c r="E11" i="10" s="1"/>
  <c r="I25" i="7"/>
  <c r="I6" i="7"/>
  <c r="I8" i="7" s="1"/>
  <c r="S8" i="8"/>
  <c r="S6" i="7" s="1"/>
  <c r="S8" i="7" s="1"/>
  <c r="S10" i="7" s="1"/>
  <c r="R36" i="8"/>
  <c r="R22" i="7" s="1"/>
  <c r="R24" i="7" s="1"/>
  <c r="Q36" i="8"/>
  <c r="Q22" i="7" s="1"/>
  <c r="Q24" i="7" s="1"/>
  <c r="Q26" i="7" s="1"/>
  <c r="V8" i="8"/>
  <c r="V6" i="7" s="1"/>
  <c r="V8" i="7" s="1"/>
  <c r="V10" i="7" s="1"/>
  <c r="T22" i="8"/>
  <c r="T14" i="7" s="1"/>
  <c r="T16" i="7" s="1"/>
  <c r="K22" i="8"/>
  <c r="K14" i="7" s="1"/>
  <c r="K16" i="7" s="1"/>
  <c r="T36" i="8"/>
  <c r="T22" i="7" s="1"/>
  <c r="T24" i="7" s="1"/>
  <c r="T26" i="7" s="1"/>
  <c r="N36" i="8"/>
  <c r="N22" i="7" s="1"/>
  <c r="N24" i="7" s="1"/>
  <c r="L8" i="8"/>
  <c r="L6" i="7" s="1"/>
  <c r="L8" i="7" s="1"/>
  <c r="L10" i="7" s="1"/>
  <c r="O36" i="8"/>
  <c r="O22" i="7" s="1"/>
  <c r="O24" i="7" s="1"/>
  <c r="O26" i="7" s="1"/>
  <c r="H22" i="8"/>
  <c r="H14" i="7" s="1"/>
  <c r="H16" i="7" s="1"/>
  <c r="H18" i="7" s="1"/>
  <c r="D17" i="12"/>
  <c r="D27" i="1" s="1"/>
  <c r="H8" i="8"/>
  <c r="H6" i="7" s="1"/>
  <c r="H8" i="7" s="1"/>
  <c r="H10" i="7" s="1"/>
  <c r="N8" i="8"/>
  <c r="N6" i="7" s="1"/>
  <c r="N8" i="7" s="1"/>
  <c r="I36" i="8"/>
  <c r="I22" i="7" s="1"/>
  <c r="I24" i="7" s="1"/>
  <c r="M22" i="8"/>
  <c r="M14" i="7" s="1"/>
  <c r="M16" i="7" s="1"/>
  <c r="M18" i="7" s="1"/>
  <c r="O8" i="8"/>
  <c r="O6" i="7" s="1"/>
  <c r="O8" i="7" s="1"/>
  <c r="O10" i="7" s="1"/>
  <c r="G22" i="8"/>
  <c r="G14" i="7" s="1"/>
  <c r="G16" i="7" s="1"/>
  <c r="R22" i="8"/>
  <c r="R14" i="7" s="1"/>
  <c r="R16" i="7" s="1"/>
  <c r="V36" i="8"/>
  <c r="V22" i="7" s="1"/>
  <c r="V24" i="7" s="1"/>
  <c r="G36" i="8"/>
  <c r="G22" i="7" s="1"/>
  <c r="G24" i="7" s="1"/>
  <c r="L22" i="8"/>
  <c r="L14" i="7" s="1"/>
  <c r="L16" i="7" s="1"/>
  <c r="L18" i="7" s="1"/>
  <c r="D28" i="12"/>
  <c r="E27" i="1" s="1"/>
  <c r="P8" i="8"/>
  <c r="P6" i="7" s="1"/>
  <c r="P8" i="7" s="1"/>
  <c r="P10" i="7" s="1"/>
  <c r="E22" i="8"/>
  <c r="E14" i="7" s="1"/>
  <c r="D33" i="8"/>
  <c r="D18" i="1" s="1"/>
  <c r="D19" i="8"/>
  <c r="C18" i="1" s="1"/>
  <c r="E8" i="8"/>
  <c r="E6" i="7" s="1"/>
  <c r="M36" i="8"/>
  <c r="M22" i="7" s="1"/>
  <c r="M24" i="7" s="1"/>
  <c r="M26" i="7" s="1"/>
  <c r="M8" i="8"/>
  <c r="M6" i="7" s="1"/>
  <c r="M8" i="7" s="1"/>
  <c r="M10" i="7" s="1"/>
  <c r="D47" i="8"/>
  <c r="E18" i="1" s="1"/>
  <c r="E36" i="8"/>
  <c r="E22" i="7" s="1"/>
  <c r="D16" i="8"/>
  <c r="C17" i="1" s="1"/>
  <c r="F36" i="8"/>
  <c r="F22" i="7" s="1"/>
  <c r="F24" i="7" s="1"/>
  <c r="P22" i="8"/>
  <c r="P14" i="7" s="1"/>
  <c r="P16" i="7" s="1"/>
  <c r="P18" i="7" s="1"/>
  <c r="Q22" i="8"/>
  <c r="Q14" i="7" s="1"/>
  <c r="Q16" i="7" s="1"/>
  <c r="Q18" i="7" s="1"/>
  <c r="D44" i="8"/>
  <c r="E17" i="1" s="1"/>
  <c r="O22" i="8"/>
  <c r="O14" i="7" s="1"/>
  <c r="O16" i="7" s="1"/>
  <c r="O18" i="7" s="1"/>
  <c r="U36" i="8"/>
  <c r="U22" i="7" s="1"/>
  <c r="U24" i="7" s="1"/>
  <c r="U26" i="7" s="1"/>
  <c r="S22" i="8"/>
  <c r="S14" i="7" s="1"/>
  <c r="S16" i="7" s="1"/>
  <c r="S18" i="7" s="1"/>
  <c r="D30" i="8"/>
  <c r="D17" i="1" s="1"/>
  <c r="D6" i="12"/>
  <c r="C27" i="1" s="1"/>
  <c r="C19" i="1"/>
  <c r="D4" i="9"/>
  <c r="D38" i="9"/>
  <c r="D21" i="9"/>
  <c r="K10" i="7" l="1"/>
  <c r="G10" i="7"/>
  <c r="T10" i="7"/>
  <c r="J10" i="7"/>
  <c r="J18" i="7"/>
  <c r="V26" i="7"/>
  <c r="N10" i="7"/>
  <c r="F26" i="7"/>
  <c r="D14" i="10"/>
  <c r="D5" i="10" s="1"/>
  <c r="N26" i="7"/>
  <c r="T18" i="7"/>
  <c r="E14" i="10"/>
  <c r="E5" i="10" s="1"/>
  <c r="K18" i="7"/>
  <c r="J26" i="7"/>
  <c r="I18" i="7"/>
  <c r="R18" i="7"/>
  <c r="G26" i="7"/>
  <c r="D9" i="7"/>
  <c r="C5" i="10"/>
  <c r="D17" i="7"/>
  <c r="I26" i="7"/>
  <c r="G18" i="7"/>
  <c r="R26" i="7"/>
  <c r="D25" i="7"/>
  <c r="E16" i="7"/>
  <c r="D14" i="7"/>
  <c r="D22" i="7"/>
  <c r="E24" i="7"/>
  <c r="E8" i="7"/>
  <c r="E10" i="7" s="1"/>
  <c r="D6" i="7"/>
  <c r="I10" i="7"/>
  <c r="D22" i="8"/>
  <c r="D36" i="8"/>
  <c r="D8" i="8"/>
  <c r="E18" i="7" l="1"/>
  <c r="D18" i="7" s="1"/>
  <c r="D16" i="7"/>
  <c r="D10" i="7"/>
  <c r="E26" i="7"/>
  <c r="D26" i="7" s="1"/>
  <c r="D24" i="7"/>
  <c r="D8" i="7"/>
  <c r="C73" i="1"/>
  <c r="E73" i="1"/>
  <c r="D73" i="1"/>
  <c r="C63" i="1" l="1"/>
  <c r="C67" i="1" l="1"/>
  <c r="C66" i="1" l="1"/>
  <c r="C65" i="1" s="1"/>
  <c r="E74" i="1"/>
  <c r="E77" i="1" s="1"/>
  <c r="E31" i="1"/>
  <c r="D74" i="1"/>
  <c r="D77" i="1" s="1"/>
  <c r="D31" i="1"/>
  <c r="C74" i="1"/>
  <c r="C77" i="1" s="1"/>
  <c r="C31" i="1"/>
  <c r="E66" i="1" l="1"/>
  <c r="D67" i="1"/>
  <c r="E19" i="1" l="1"/>
  <c r="E67" i="1"/>
  <c r="E65" i="1" s="1"/>
  <c r="D19" i="1"/>
  <c r="D66" i="1"/>
  <c r="D65" i="1" s="1"/>
  <c r="D64" i="1" l="1"/>
  <c r="E64" i="1"/>
  <c r="C64" i="1" l="1"/>
  <c r="C62" i="1" s="1"/>
  <c r="C68" i="1" s="1"/>
  <c r="C79" i="1" s="1"/>
  <c r="C16" i="1"/>
  <c r="C22" i="1" s="1"/>
  <c r="C33" i="1" s="1"/>
  <c r="D16" i="1"/>
  <c r="D22" i="1" s="1"/>
  <c r="D33" i="1" s="1"/>
  <c r="D63" i="1"/>
  <c r="D62" i="1" s="1"/>
  <c r="D68" i="1" s="1"/>
  <c r="D79" i="1" s="1"/>
  <c r="E16" i="1"/>
  <c r="E22" i="1" s="1"/>
  <c r="E33" i="1" s="1"/>
  <c r="E63" i="1"/>
  <c r="E62" i="1" s="1"/>
  <c r="E68" i="1" s="1"/>
  <c r="E79" i="1" s="1"/>
</calcChain>
</file>

<file path=xl/sharedStrings.xml><?xml version="1.0" encoding="utf-8"?>
<sst xmlns="http://schemas.openxmlformats.org/spreadsheetml/2006/main" count="14023" uniqueCount="5933">
  <si>
    <t>RKP-NAZIV PRORAČUNSKOG KORISNIKA</t>
  </si>
  <si>
    <t>22568 SVEUČILIŠTE U RIJECI - POMORSKI FAKULTET</t>
  </si>
  <si>
    <t>MJESTO I DATUM</t>
  </si>
  <si>
    <t>OSOBA ZA KONTAKTIRANJE</t>
  </si>
  <si>
    <t>R.
BR.</t>
  </si>
  <si>
    <t>RKPNaziv</t>
  </si>
  <si>
    <t>RKP</t>
  </si>
  <si>
    <t>NAZIV PRORAČUNSKOGA KORISNIKA</t>
  </si>
  <si>
    <t>DODIJELI PRIPADNOST PREMA RKP-U: 
GLAVA I SVEUČILIŠTE/MZO</t>
  </si>
  <si>
    <t>ADRESA 
PRORAČUNSKOGA KORISNIKA</t>
  </si>
  <si>
    <t>POŠTANSKI BROJ I NAZIV
GRADA/OPĆINE</t>
  </si>
  <si>
    <t>MATIČNI BROJ</t>
  </si>
  <si>
    <t>OIB</t>
  </si>
  <si>
    <t>Tip</t>
  </si>
  <si>
    <t>Glava</t>
  </si>
  <si>
    <t>TELEFON ZA KONTAKT</t>
  </si>
  <si>
    <t>odaberite -</t>
  </si>
  <si>
    <t>-</t>
  </si>
  <si>
    <t>E-MAIL ZA KONTAKT</t>
  </si>
  <si>
    <t>2444 SVEUČILIŠTE U RIJECI - FAKULTET ZA FIZIKU</t>
  </si>
  <si>
    <t>SVEUČILIŠTE U RIJECI</t>
  </si>
  <si>
    <t>TRG BRAĆE MAŽURANIĆA 10</t>
  </si>
  <si>
    <t>51000 RIJEKA</t>
  </si>
  <si>
    <t>64218323816</t>
  </si>
  <si>
    <t>Sveučilišta i veleučilišta u Republici Hrvatskoj</t>
  </si>
  <si>
    <t>08006</t>
  </si>
  <si>
    <t>2444 SVEUČILIŠTE U RIJECI - FAKULTET INFORMATIKE I DIGITALNIH TEHNOLOGIJA</t>
  </si>
  <si>
    <t>IZMJENE I DOPUNE FINANCIJSKOG PLANA ZA 2023. GODINU</t>
  </si>
  <si>
    <t>2444 SVEUČILIŠTE U RIJECI - FAKULTET ZA MATEMATIKU</t>
  </si>
  <si>
    <t>2444 SVEUČILIŠTE U RIJECI - FAKULTET ZA BIOTEHNOLOGIJU I RAZVOJ LIJEKOVA</t>
  </si>
  <si>
    <t>OPĆI DIO</t>
  </si>
  <si>
    <t>2444 SVEUČILIŠTE U RIJECI - FAKULTET ZA DENTALNU MEDICINU</t>
  </si>
  <si>
    <t>2444 SVEUČILIŠTE U RIJECI</t>
  </si>
  <si>
    <t>A) SAŽETAK RAČUNA PRIHODA I RASHODA</t>
  </si>
  <si>
    <t>38454 SVEUČILIŠTE U RIJECI - AKADEMIJA PRIMJENJENIH UMJETNOSTI</t>
  </si>
  <si>
    <t>SVEUČILIŠTE U RIJECI - AKADEMIJA PRIMJENJENIH UMJETNOSTI</t>
  </si>
  <si>
    <t>SLAVKA KRAUTZEKA 83</t>
  </si>
  <si>
    <t>55704161999</t>
  </si>
  <si>
    <t>u EUR</t>
  </si>
  <si>
    <t>2186 SVEUČILIŠTE U RIJECI - EKONOMSKI FAKULTET</t>
  </si>
  <si>
    <t>SVEUČILIŠTE U RIJECI - EKONOMSKI FAKULTET</t>
  </si>
  <si>
    <t>IVANA FILIPOVIĆA 4</t>
  </si>
  <si>
    <t>26093119930</t>
  </si>
  <si>
    <t>FINANCIJSKI PLAN ZA 2023.</t>
  </si>
  <si>
    <t>IZMJENE I DOPUNE FINANCIJSKOG PLANA ZA 2023.</t>
  </si>
  <si>
    <t>RAZLIKA</t>
  </si>
  <si>
    <t>2194 SVEUČILIŠTE U RIJECI - FAKULTET ZA MENADŽMENT U TURIZMU I UGOSTITELJSTVU</t>
  </si>
  <si>
    <t>SVEUČILIŠTE U RIJECI - FAKULTET ZA MENADŽMENT U TURIZMU I UGOSTITELJSTVU</t>
  </si>
  <si>
    <t>IKA PRIMORSKA 42</t>
  </si>
  <si>
    <t>51410 OPATIJA</t>
  </si>
  <si>
    <t>85799845149</t>
  </si>
  <si>
    <t>PRIHODI UKUPNO</t>
  </si>
  <si>
    <t>48023 SVEUČILIŠTE U RIJECI - FAKULTET ZDRAVSTVENIH STUDIJA U RIJECI</t>
  </si>
  <si>
    <t>SVEUČILIŠTE U RIJECI - FAKULTET ZDRAVSTVENIH STUDIJA U RIJECI</t>
  </si>
  <si>
    <t>VIKTORA CARA EMINA 5</t>
  </si>
  <si>
    <t>04052510</t>
  </si>
  <si>
    <t>19213484918</t>
  </si>
  <si>
    <t>PRIHODI POSLOVANJA</t>
  </si>
  <si>
    <t>22857 SVEUČILIŠTE U RIJECI - FILOZOFSKI FAKULTET</t>
  </si>
  <si>
    <t>SVEUČILIŠTE U RIJECI - FILOZOFSKI FAKULTET</t>
  </si>
  <si>
    <t>SVEUČILIŠNA AVENIJA 4</t>
  </si>
  <si>
    <t>70505505759</t>
  </si>
  <si>
    <t>PRIHODI OD NEFINANCIJSKE IMOVINE</t>
  </si>
  <si>
    <t>2160 SVEUČILIŠTE U RIJECI - GRAĐEVINSKI FAKULTET</t>
  </si>
  <si>
    <t>SVEUČILIŠTE U RIJECI - GRAĐEVINSKI FAKULTET</t>
  </si>
  <si>
    <t>RADMILE MATEJČIĆ 3</t>
  </si>
  <si>
    <t>92037849504</t>
  </si>
  <si>
    <t>RASHODI UKUPNO</t>
  </si>
  <si>
    <t>2225 SVEUČILIŠTE U RIJECI - MEDICINSKI FAKULTET</t>
  </si>
  <si>
    <t>SVEUČILIŠTE U RIJECI - MEDICINSKI FAKULTET</t>
  </si>
  <si>
    <t>BRAĆE BRANCHETTA 20</t>
  </si>
  <si>
    <t>98164324541</t>
  </si>
  <si>
    <t>RASHODI  POSLOVANJA</t>
  </si>
  <si>
    <t>SVEUČILIŠTE U RIJECI - POMORSKI FAKULTET</t>
  </si>
  <si>
    <t>STUDENTSKA 2</t>
  </si>
  <si>
    <t>76722145702</t>
  </si>
  <si>
    <t>RASHODI ZA NEFINANCIJSKU IMOVINU</t>
  </si>
  <si>
    <t>2217 SVEUČILIŠTE U RIJECI - PRAVNI FAKULTET</t>
  </si>
  <si>
    <t>SVEUČILIŠTE U RIJECI - PRAVNI FAKULTET</t>
  </si>
  <si>
    <t>HAHLIĆ 6</t>
  </si>
  <si>
    <t>43767699965</t>
  </si>
  <si>
    <t>RAZLIKA - VIŠAK / MANJAK</t>
  </si>
  <si>
    <t>2493 SVEUČILIŠTE U RIJECI - SVEUČILIŠNA KNJIŽNICA</t>
  </si>
  <si>
    <t>SVEUČILIŠTE U RIJECI - SVEUČILIŠNA KNJIŽNICA</t>
  </si>
  <si>
    <t xml:space="preserve"> DOLAC 1</t>
  </si>
  <si>
    <t>84122581314</t>
  </si>
  <si>
    <t>2151 SVEUČILIŠTE U RIJECI - TEHNIČKI FAKULTET</t>
  </si>
  <si>
    <t>SVEUČILIŠTE U RIJECI - TEHNIČKI FAKULTET</t>
  </si>
  <si>
    <t>VUKOVARSKA 58</t>
  </si>
  <si>
    <t>46319717480</t>
  </si>
  <si>
    <t>B) SAŽETAK RAČUNA FINANCIRANJA</t>
  </si>
  <si>
    <t>40947 SVEUČILIŠTE U RIJECI - UČITELJSKI FAKULTET</t>
  </si>
  <si>
    <t>SVEUČILIŠTE U RIJECI - UČITELJSKI FAKULTET</t>
  </si>
  <si>
    <t>SVEUČILIŠNA AVENIJA 6</t>
  </si>
  <si>
    <t>96996385705</t>
  </si>
  <si>
    <t>PRIMICI OD FINANCIJSKE IMOVINE I ZADUŽIVANJA</t>
  </si>
  <si>
    <t>IZDACI ZA FINANCIJSKU IMOVINU I OTPLATE ZAJMOVA</t>
  </si>
  <si>
    <t>DONOS</t>
  </si>
  <si>
    <t>PRIJENOS SREDSTAVA IZ PRETHODNE GODINE</t>
  </si>
  <si>
    <t>ODNOS</t>
  </si>
  <si>
    <t>PRIJENOS SREDSTAVA U SLJEDEĆU GODINU</t>
  </si>
  <si>
    <t>NETO FINANCIRANJE</t>
  </si>
  <si>
    <t>VIŠAK / MANJAK + NETO FINANCIRANJE</t>
  </si>
  <si>
    <t>FINANCIJSKI PLAN
ZA 2023. I PROJEKCIJE ZA 2024. I 2025. GODINU</t>
  </si>
  <si>
    <t>u HRK</t>
  </si>
  <si>
    <t>Plan za unos u SAP - prihodi i primici</t>
  </si>
  <si>
    <t>GLAVA</t>
  </si>
  <si>
    <t>OPIS GLAVE</t>
  </si>
  <si>
    <t>IZVOR</t>
  </si>
  <si>
    <t>OPIS IZVORA</t>
  </si>
  <si>
    <t>Stavka
(odaberite)</t>
  </si>
  <si>
    <t>OPIS STAVKE</t>
  </si>
  <si>
    <t>Davatelj prijenosa</t>
  </si>
  <si>
    <t>left3</t>
  </si>
  <si>
    <t>left2</t>
  </si>
  <si>
    <t>671 - izvor 11</t>
  </si>
  <si>
    <t>glava za visoko 6</t>
  </si>
  <si>
    <t>671 - izvor 12</t>
  </si>
  <si>
    <t>Konto</t>
  </si>
  <si>
    <t>opis konta</t>
  </si>
  <si>
    <t>izvor</t>
  </si>
  <si>
    <t>3 konto</t>
  </si>
  <si>
    <t>2 konto</t>
  </si>
  <si>
    <t>Opći prihodi i primici</t>
  </si>
  <si>
    <t>Prihodi iz nadležnog proračuna za financiranje redovne djelatnosti proračunskih korisnika</t>
  </si>
  <si>
    <t>Sredstva učešća za pomoći</t>
  </si>
  <si>
    <t>Vlastiti prihodi</t>
  </si>
  <si>
    <t>Naknada za priređivanje lutrijskih igara, izvor 41</t>
  </si>
  <si>
    <t>Prihodi od igara na sreću</t>
  </si>
  <si>
    <t>Naknade za priređivanje igara na sreću u casinima, izvor 41</t>
  </si>
  <si>
    <t>Ostali prihodi za posebne namjene</t>
  </si>
  <si>
    <t>Naknade za priređivanje klađenja, izvor 41</t>
  </si>
  <si>
    <t>Pomoći EU</t>
  </si>
  <si>
    <t>Naknade za priređivanje igara na sreću na automatima, izvor 41</t>
  </si>
  <si>
    <t>Ostale pomoći</t>
  </si>
  <si>
    <t>Tekuće pomoći od inozemnih vlada u EU</t>
  </si>
  <si>
    <t xml:space="preserve">Ostale pomoći i darovnice </t>
  </si>
  <si>
    <t>Švicarski instrument</t>
  </si>
  <si>
    <t>Tekuće pomoći od inozemnih vlada izvan EU</t>
  </si>
  <si>
    <t>Ostale refundacije iz pomoći EU</t>
  </si>
  <si>
    <t>Kapitalne pomoći od inozemnih vlada u EU</t>
  </si>
  <si>
    <t>Europski socijalni fond (ESF)</t>
  </si>
  <si>
    <t>Kapitalne pomoći od inozemnih vlada izvan EU</t>
  </si>
  <si>
    <t>Europski fond za regionalni razvoj (ERDF)</t>
  </si>
  <si>
    <t>Tekuće pomoći od međunarodnih organizacija</t>
  </si>
  <si>
    <t>HRVATSKA ZAKLADA ZA ZNANOST (52209)</t>
  </si>
  <si>
    <t>Instrumenti Europskog gospodarskog prostora i ostali instrumenti</t>
  </si>
  <si>
    <t xml:space="preserve">Kapitalne pomoći od međunarodnih organizacija </t>
  </si>
  <si>
    <t>SVEUČILIŠTE U RIJECI (2444)</t>
  </si>
  <si>
    <t>Fondovi za unutarnje poslove</t>
  </si>
  <si>
    <t>Tekuće pomoći od institucija i tijela EU Švicarski instrument</t>
  </si>
  <si>
    <t>Fond solidarnosti Europske unije – potres</t>
  </si>
  <si>
    <t>Tekuće pomoći od institucija i tijela EU – ostale refundacije</t>
  </si>
  <si>
    <t>SVEUČILIŠTE U DUBROVNIKU (24141)</t>
  </si>
  <si>
    <t>MINISTARSTVO MORA, PROMETA I INFRASTRUKTURE (1087)</t>
  </si>
  <si>
    <t>Mehanizam za oporavak i otpornost</t>
  </si>
  <si>
    <t>Europski fond za regionalni razvoj (EFRR)</t>
  </si>
  <si>
    <t>Donacije</t>
  </si>
  <si>
    <t>Tekuće pomoći od institucija i tijela EU – Instrumenti europskog gospodarskog prostora</t>
  </si>
  <si>
    <t>Inozemne donacije</t>
  </si>
  <si>
    <t>Tek.pom.od instit. tijela EU - fondovi za unutarnje poslove</t>
  </si>
  <si>
    <t>Prihodi od nefin. imovine i nadoknade štete s osnova osig.</t>
  </si>
  <si>
    <t>Tekuće pomoći od institucija i tijela EU - Fond solidarnosti EU - potres ožujak 2020.</t>
  </si>
  <si>
    <t>Fond solidarnosti EU</t>
  </si>
  <si>
    <t>Namjenski primici od zaduživanja</t>
  </si>
  <si>
    <t>Tekuće pomoći od institucija i tijela EU - Fond solidarnosti EU - potres prosinac 2020.</t>
  </si>
  <si>
    <t>Tek.pom.od instit. tijela EU - Mehanizam za oporavak i otpornost</t>
  </si>
  <si>
    <t>Tekuće pomoći od institucija i tijela EU - ostalo</t>
  </si>
  <si>
    <t xml:space="preserve">Pomoći EU </t>
  </si>
  <si>
    <t>Tekuće pomoći od institucija i tijela EU - refundacije putnih troškova</t>
  </si>
  <si>
    <t>Kapitalne pomoći od institucija i tijela EU Švicarski instrument</t>
  </si>
  <si>
    <t>Kapitalne pomoći od institucija i tijela EU - ostale refundacije</t>
  </si>
  <si>
    <t>Kapitalne pomoći od institucija i tijela EU - Instrumenti europskog gospodarskog prostora</t>
  </si>
  <si>
    <t>Kapitalne pomoći od institucija i tijela EU - Fondovi za unutarnje poslove</t>
  </si>
  <si>
    <t>Kapitalne pomoći od institucija i tijela EU - Fond solidarnosti EU - potres ožujak 2020.</t>
  </si>
  <si>
    <t>Kapitalne pomoći od institucija i tijela EU - Fond solidarnosti EU - potres prosinac 2020.</t>
  </si>
  <si>
    <t>Kapitalne pom.od instit. tijela EU - Mehanizam za oporavak i otpornost</t>
  </si>
  <si>
    <t>Kapitalne pomoći od institucija i tijela EU - ostalo</t>
  </si>
  <si>
    <t xml:space="preserve">Tekuće pomoći od izvanproračunskih korisnika </t>
  </si>
  <si>
    <t>Kapitalne pomoći od izvanproračunskih korisnika</t>
  </si>
  <si>
    <t>Tekuće pomoći proračunskim korisnicima iz proračuna JLP(R)S koji im nije nadležan</t>
  </si>
  <si>
    <t>Kapitalne pomoći proračunskim korisnicima iz proračuna JLP(R)S koji im nije nadležan</t>
  </si>
  <si>
    <t>Tekuće pomoći temeljem prijenosa EU sredstava iz proračuna JLP(R)S, korisnika JLPRS ili izvanproračunskog korisnika</t>
  </si>
  <si>
    <t>Kapitalne pomoći temeljem prijenosa EU sredstava iz proračuna JLP(R)S, korisnika JLPRS ili izvanproračunskog korisnika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</si>
  <si>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</si>
  <si>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</si>
  <si>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</si>
  <si>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</si>
  <si>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Kamate za ostale vrijednosne papire izvor 31</t>
  </si>
  <si>
    <t>Kamate na oročena sredstva izvor 31</t>
  </si>
  <si>
    <t>Kamate na depozite po viđenju izvor 31</t>
  </si>
  <si>
    <t>Kamate na depozite po viđenju izvor 43</t>
  </si>
  <si>
    <t>Prihodi od pozitivnih tečajnih razlika izvor 31</t>
  </si>
  <si>
    <t>Prihodi od pozitivnih tečajnih razlika izvor 43</t>
  </si>
  <si>
    <t>Prihod od dividendi na dionice u kreditnim i ostalim financijskim institucijama izvan javnog sektora izvor 31</t>
  </si>
  <si>
    <t>Prihodi iz dobiti trgovačkih društava u javnom sektoru izvor 43</t>
  </si>
  <si>
    <t>Prihodi iz dobiti Hrvatske lutrije, izvor 41</t>
  </si>
  <si>
    <t>Ostali prihodi od financijske imovine izvor 43</t>
  </si>
  <si>
    <t>Prihodi od prodaje kratkotrajne nefinancijske imovine izvor 31</t>
  </si>
  <si>
    <t>Ostali prihodi od nefinancijske imovine izvor 31</t>
  </si>
  <si>
    <t>Ostale naknade i pristojbe za posebne namjene</t>
  </si>
  <si>
    <t xml:space="preserve">Ostali prihodi državne uprave za posebne namjene </t>
  </si>
  <si>
    <t>Sufinanciranje cijene usluge, participacije i slično</t>
  </si>
  <si>
    <t>Prihodi s naslova osiguranja, refundacije štete i totalne štete izvor 43</t>
  </si>
  <si>
    <t>Prihodi s naslova osiguranja, refundacije štete i totalne štete izvor 71</t>
  </si>
  <si>
    <t xml:space="preserve">Ostali prihodi za posebne namjene </t>
  </si>
  <si>
    <t>Prihodi od prodanih proizvoda i robe</t>
  </si>
  <si>
    <t>Prihodi od pruženih usluga</t>
  </si>
  <si>
    <t>Tekuće donacije od fizičkih osoba</t>
  </si>
  <si>
    <t xml:space="preserve">Donacije </t>
  </si>
  <si>
    <t>Tekuće donacije od neprofitnih organizacija</t>
  </si>
  <si>
    <t>Tekuće donacije od trgovačkih društava</t>
  </si>
  <si>
    <t>Tekuće donacije od ostalih subjekata izvan općeg proračuna</t>
  </si>
  <si>
    <t>Kapitalne donacije od fizičkih osoba</t>
  </si>
  <si>
    <t>Kapitalne donacije od neprofitnih organizacija</t>
  </si>
  <si>
    <t>Kapitalne donacije od trgovačkih društava</t>
  </si>
  <si>
    <t>Kapitalne donacije od ostalih subjekata izvan općeg proračuna</t>
  </si>
  <si>
    <t>Ostale nespomenute kazne izvor 43</t>
  </si>
  <si>
    <t>Ostali prihodi izvor 31</t>
  </si>
  <si>
    <t>Ostali prihodi izvor 43</t>
  </si>
  <si>
    <t>Poljoprivredno zemljište izvor 71</t>
  </si>
  <si>
    <t>Prihodi od prodaje ili zamjene nefinancijske imovine i naknade s naslova osiguranja</t>
  </si>
  <si>
    <t>Građevinsko zemljište izvor 71</t>
  </si>
  <si>
    <t>Ulaganja na tuđoj imovini radi prava korištenja izvor 71</t>
  </si>
  <si>
    <t>Ostala nespomenuta prava izvor 71</t>
  </si>
  <si>
    <t>Stambeni objekti za zaposlene izvor 71</t>
  </si>
  <si>
    <t>Ostali stambeni objekti izvor 71</t>
  </si>
  <si>
    <t>Zgrade znanstvenih i obrazovnih institucija (fakulteti, škole, vrtići i slično) izvor 71</t>
  </si>
  <si>
    <t>Ostali poslovni građevinski objekti izvor 71</t>
  </si>
  <si>
    <t>Računala i računalna oprema izvor 71</t>
  </si>
  <si>
    <t>Uredski namještaj izvor 71</t>
  </si>
  <si>
    <t>Ostala uredska oprema izvor 71</t>
  </si>
  <si>
    <t>Glazbeni instrumenti i oprema izvor 71</t>
  </si>
  <si>
    <t>Strojevi - izvor 71</t>
  </si>
  <si>
    <t>Oprema izvor 71</t>
  </si>
  <si>
    <t>Osobni automobili izvor 71</t>
  </si>
  <si>
    <t>Kombi vozila izvor 71</t>
  </si>
  <si>
    <t>Kamioni izvor 71</t>
  </si>
  <si>
    <t>Traktori izvor 71</t>
  </si>
  <si>
    <t>Terenska vozila (protupožarna, vojna i slično) izvor 71</t>
  </si>
  <si>
    <t>Ostala prijevozna sr. u cest.prometu - izvor 71</t>
  </si>
  <si>
    <t>Plovila izvor 71</t>
  </si>
  <si>
    <t>Osnovno stado izvor 71</t>
  </si>
  <si>
    <t>Primici od povr.depozita od tuz.kred.inst.-krat.43</t>
  </si>
  <si>
    <t>Primici od povrata depozita od tuzemnih kreditnih i ostalih institucija - dugoročni - namjenski</t>
  </si>
  <si>
    <t>Dionice i udjeli u glavnici trgovačkih društava u javnom sektoru - izvor 43</t>
  </si>
  <si>
    <t>Dionice i udjeli u glavnici tuzemnih kreditnih institucija izvan javnog sektora - izvor 43</t>
  </si>
  <si>
    <t>Primljeni zajmovi od međunarodnih organizacija - dugoročni</t>
  </si>
  <si>
    <t xml:space="preserve">Namjenski primici od zaduživanja </t>
  </si>
  <si>
    <t>Proj.održivog, prav. i učink.obrazov. IBRD 93030</t>
  </si>
  <si>
    <t>Primljeni krediti od kreditnih institucija u javnom sektoru - dugoročni - namjenski</t>
  </si>
  <si>
    <t>Plan za unos u SAP - rashodi i izdaci</t>
  </si>
  <si>
    <t>IZVOR
(odaberite)</t>
  </si>
  <si>
    <t>AKTIVNOST
(odaberite)</t>
  </si>
  <si>
    <t>OPIS AKTIVNOSTI</t>
  </si>
  <si>
    <t>FP</t>
  </si>
  <si>
    <t>Primatelj prijenosa</t>
  </si>
  <si>
    <t>leftIzvor</t>
  </si>
  <si>
    <t>A621002</t>
  </si>
  <si>
    <t>Plaće za redovan rad</t>
  </si>
  <si>
    <t>AKTIVNOST</t>
  </si>
  <si>
    <t>Plaće u naravi</t>
  </si>
  <si>
    <t>NOVA AKT</t>
  </si>
  <si>
    <t>Plaće za prekovremeni rad</t>
  </si>
  <si>
    <t>A557041</t>
  </si>
  <si>
    <t>PREUZIMANJE OBVEZA ZA PROJEKTE JAVNO PRIVATNOG PARTNERSTVA U VARAŽDINSKOJ I KOPRIVNIČKO-KRIŽEVAČKOJ ŽUPANIJI</t>
  </si>
  <si>
    <t>0912</t>
  </si>
  <si>
    <t>Osnovno obrazovanje</t>
  </si>
  <si>
    <t>09</t>
  </si>
  <si>
    <t>091</t>
  </si>
  <si>
    <t>Plaće za posebne uvjete rada</t>
  </si>
  <si>
    <t>A557042</t>
  </si>
  <si>
    <t>PROGRAM DOKTORANADA I POSLIJEDOKTORANADA HRVATSKE ZAKLADE ZA ZNANOST</t>
  </si>
  <si>
    <t>0150</t>
  </si>
  <si>
    <t>Istraživanje i razvoj: Opće javne usluge</t>
  </si>
  <si>
    <t>01</t>
  </si>
  <si>
    <t>015</t>
  </si>
  <si>
    <t>Ostali rashodi za zaposlene</t>
  </si>
  <si>
    <t>A557043</t>
  </si>
  <si>
    <t>NACIONALNO VIJEĆE ZA ODGOJ I OBRAZOVANJE</t>
  </si>
  <si>
    <t>0970</t>
  </si>
  <si>
    <t>Istraživanje i razvoj obrazovanja</t>
  </si>
  <si>
    <t>097</t>
  </si>
  <si>
    <t>Doprinosi za obvezno zdravstveno osiguranje</t>
  </si>
  <si>
    <t>A577000</t>
  </si>
  <si>
    <t>ADMINISTRACIJA I UPRAVLJANJE</t>
  </si>
  <si>
    <t>A622122</t>
  </si>
  <si>
    <t>Službena putovanja</t>
  </si>
  <si>
    <t>0980</t>
  </si>
  <si>
    <t>Usluge obrazovanja koje nisu drugdje svrstane</t>
  </si>
  <si>
    <t>098</t>
  </si>
  <si>
    <t>Naknade za prijevoz, za rad na terenu i odvojeni život</t>
  </si>
  <si>
    <t>A577004</t>
  </si>
  <si>
    <t>PROVEDBA KURIKULARNE REFORME</t>
  </si>
  <si>
    <t>Stručno usavršavanje zaposlenika</t>
  </si>
  <si>
    <t>A577012</t>
  </si>
  <si>
    <t>OBRAZOVANJE DJECE HRVATSKIH GRAĐANA U INOZEMSTVU</t>
  </si>
  <si>
    <t>Ostale naknade troškova zaposlenima</t>
  </si>
  <si>
    <t>A577015</t>
  </si>
  <si>
    <t>DRŽAVNE NAGRADE ZA IZUZETNE REZULTATE U OBRAZOVANJU I TEHNIČKOJ KULTURI</t>
  </si>
  <si>
    <t>0942</t>
  </si>
  <si>
    <t>Drugi stupanj visoke naobrazbe</t>
  </si>
  <si>
    <t>094</t>
  </si>
  <si>
    <t>Uredski materijal i ostali materijalni rashodi</t>
  </si>
  <si>
    <t>A577016</t>
  </si>
  <si>
    <t>PREVENCIJA NASILJA I OVISNOSTI</t>
  </si>
  <si>
    <t>Materijal i sirovine</t>
  </si>
  <si>
    <t>A577028</t>
  </si>
  <si>
    <t>POTICAJI HRVATSKOJ ZAJEDNICI TEHNIČKE KULTURE</t>
  </si>
  <si>
    <t>0820</t>
  </si>
  <si>
    <t>Službe kulture</t>
  </si>
  <si>
    <t>08</t>
  </si>
  <si>
    <t>082</t>
  </si>
  <si>
    <t>Energija</t>
  </si>
  <si>
    <t>A577124</t>
  </si>
  <si>
    <t>HRVATSKA NASTAVA U INOZEMSTVU</t>
  </si>
  <si>
    <t>Materijal i dijelovi za tekuće i investicijsko održavanje</t>
  </si>
  <si>
    <t>A577130</t>
  </si>
  <si>
    <t>POTICAJI UDRUGAMA ZA IZVANINSTITUCIONALNI ODGOJ I OBRAZOVANJE DJECE I MLADIH</t>
  </si>
  <si>
    <t>Sitni inventar i auto gume</t>
  </si>
  <si>
    <t>A577131</t>
  </si>
  <si>
    <t>POTICAJI OBRAZOVANJA NACIONALNIH MANJINA</t>
  </si>
  <si>
    <t>Vojna sredstva za jednokratnu upotrebu</t>
  </si>
  <si>
    <t>A577132</t>
  </si>
  <si>
    <t>POTICANJE MEĐUNARODNE OBRAZOVNE SURADNJE ŠKOLA</t>
  </si>
  <si>
    <t>Službena, radna i zaštitna odjeća i obuća</t>
  </si>
  <si>
    <t>A577133</t>
  </si>
  <si>
    <t>POTICANJE PROGRAMA RADA S DAROVITIM UČENICIMA I STUDENTIMA</t>
  </si>
  <si>
    <t>Usluge telefona, pošte i prijevoza</t>
  </si>
  <si>
    <t>A577137</t>
  </si>
  <si>
    <t>POSEBNI PROGRAMI OBRAZOVANJA ZA PROVOĐENJE PROGRAMA NACIONALNIH MANJINA</t>
  </si>
  <si>
    <t>Usluge tekućeg i investicijskog održavanja</t>
  </si>
  <si>
    <t>A577143</t>
  </si>
  <si>
    <t>RAZVOJ I ODRŽAVANJE INFORMACIJSKE INFRASTRUKTURE MINISTARSTVA</t>
  </si>
  <si>
    <t>Usluge promidžbe i informiranja</t>
  </si>
  <si>
    <t>A578003</t>
  </si>
  <si>
    <t>ODGOJ I NAOBRAZBA DJECE PRIPADNIKA NACIONALNIH MANJINA</t>
  </si>
  <si>
    <t>0911</t>
  </si>
  <si>
    <t>Predškolsko obrazovanje</t>
  </si>
  <si>
    <t>Komunalne usluge</t>
  </si>
  <si>
    <t>A578004</t>
  </si>
  <si>
    <t>PREDŠKOLSKI ODGOJ I OBRAZOVANJE DJECE S TEŠKOĆAMA U RAZVOJU (SUFINANCIRANJE)</t>
  </si>
  <si>
    <t>Zakupnine i najamnine</t>
  </si>
  <si>
    <t>A578008</t>
  </si>
  <si>
    <t>ODGOJ I NAOBRAZBA DJECE U PROGRAMIMA PREDŠKOLE</t>
  </si>
  <si>
    <t>Zdravstvene i veterinarske usluge</t>
  </si>
  <si>
    <t>A578009</t>
  </si>
  <si>
    <t>ODGOJ I OBRAZOVANJE DAROVITE DJECE PREDŠKOLSKE DOBI U DJEČJIM VRTIĆIMA</t>
  </si>
  <si>
    <t>Intelektualne i osobne usluge</t>
  </si>
  <si>
    <t>A578041</t>
  </si>
  <si>
    <t>POMOĆNICI U NASTAVI ZA DJECU S TEŠKOĆAMA U RAZVOJU</t>
  </si>
  <si>
    <t>Računalne usluge</t>
  </si>
  <si>
    <t>A578042</t>
  </si>
  <si>
    <t>OSIGURANJE UČENIKA I STUDENATA NA PRAKTIČNOJ NASTAVI I STRUČNOJ PRAKSI</t>
  </si>
  <si>
    <t>Ostale usluge</t>
  </si>
  <si>
    <t>A578045</t>
  </si>
  <si>
    <t>SUFINANCIRANJE NASTAVNIH MATERIJALA I OPREME ZA UČENIKE OSNOVNIH I SREDNJIH ŠKOLA</t>
  </si>
  <si>
    <t>Naknade troškova osobama izvan radnog odnosa</t>
  </si>
  <si>
    <t>A578050</t>
  </si>
  <si>
    <t>POTPORA INOVACIJSKIM PROCESIMA</t>
  </si>
  <si>
    <t>Naknade za rad predstavničkih i izvršnih tijela, povjerensta</t>
  </si>
  <si>
    <t>A578055</t>
  </si>
  <si>
    <t>HRVATSKO-ŠVICARSKI ISTRAŽIVAČKI PROGRAM</t>
  </si>
  <si>
    <t>Premije osiguranja</t>
  </si>
  <si>
    <t>A578059</t>
  </si>
  <si>
    <t>EUROPSKA MREŽA ŠKOLA - EUROPEAN SCHOOLNET</t>
  </si>
  <si>
    <t>Reprezentacija</t>
  </si>
  <si>
    <t>A578061</t>
  </si>
  <si>
    <t>OBZOR 2020. - PROGRAM POTICANJA ISTRAŽIVANJA I RAZVOJA U PERSONALIZIRANOJ MEDICINI – ERA PERMED</t>
  </si>
  <si>
    <t xml:space="preserve">  Reprezentacija</t>
  </si>
  <si>
    <t>A578062</t>
  </si>
  <si>
    <t>ERASMUS+ SOCIJALNA I MEĐUNARODNA DIMENZIJA OBRAZOVANJA I PRIZNAVANJA PRETHODNOG UČENJA - SIDERAL</t>
  </si>
  <si>
    <t>Članarine i norme</t>
  </si>
  <si>
    <t>A578065</t>
  </si>
  <si>
    <t>ERASMUS+ PROJEKT BAQUAL - BOLJE AKADEMSKE KVALIFIKACIJE KROZ OSIGURAVANJE KVALITETE</t>
  </si>
  <si>
    <t>Pristojbe i naknade</t>
  </si>
  <si>
    <t>A578066</t>
  </si>
  <si>
    <t>ERASMUS PLUS - PROJEKT PROFFORMANCE - RAZVOJ SUSTAVA OCJENJIVANJA RADA I NAGRAĐIVANJA PROFESORA NA VISOKIM UČILIŠTIMA</t>
  </si>
  <si>
    <t>A621181</t>
  </si>
  <si>
    <t>Troškovi sudskih postupaka</t>
  </si>
  <si>
    <t>A579000</t>
  </si>
  <si>
    <t>OSNOVNOŠKOLSKO OBRAZOVANJE</t>
  </si>
  <si>
    <t>0180</t>
  </si>
  <si>
    <t>Prijenosi općeg karaktera između različitih državnih razina</t>
  </si>
  <si>
    <t>018</t>
  </si>
  <si>
    <t>Ostali nespomenuti rashodi poslovanja</t>
  </si>
  <si>
    <t>Kamate za izdane trezorske zapise</t>
  </si>
  <si>
    <t>A579003</t>
  </si>
  <si>
    <t>ODGOJ I NAOBRAZBA UČENIKA S TEŠKOĆAMA U RAZVOJU U OSNOVNIM ŠKOLAMA</t>
  </si>
  <si>
    <t>Kamate za primljene kredite i zajmove od kreditnih i ostalih</t>
  </si>
  <si>
    <t>A579004</t>
  </si>
  <si>
    <t>POTICANJE IZVANNASTAVNIH AKTIVNOSTI U OŠ</t>
  </si>
  <si>
    <t>A579007</t>
  </si>
  <si>
    <t>PRAVOMOĆNE SUDSKE PRESUDE</t>
  </si>
  <si>
    <t>Kamate za primljene zajmove od trgovačkih društava i obrtnik</t>
  </si>
  <si>
    <t>A679089</t>
  </si>
  <si>
    <t>Bankarske usluge i usluge platnog prometa</t>
  </si>
  <si>
    <t>A579069</t>
  </si>
  <si>
    <t>RAZVOJ PREDŠKOLSKOG I OSNOVNOŠKOLSKOG SUSTAVA ODGOJA I OBRAZOVANJA</t>
  </si>
  <si>
    <t>Negativne tečajne razlike i razlike zbog primjene valutne kl</t>
  </si>
  <si>
    <t>A580000</t>
  </si>
  <si>
    <t>SREDNJOŠKOLSKO OBRAZOVANJE</t>
  </si>
  <si>
    <t>Zatezne kamate</t>
  </si>
  <si>
    <t>0922</t>
  </si>
  <si>
    <t>Više srednjoškolsko obrazovanje</t>
  </si>
  <si>
    <t>092</t>
  </si>
  <si>
    <t>Ostali nespomenuti financijski rashodi</t>
  </si>
  <si>
    <t>A580003</t>
  </si>
  <si>
    <t>POTICANJE IZVANNASTAVNIH AKTIVNOSTI U SREDNJIM ŠKOLAMA I VISOKOŠKOLSKOM OBRAZOVANJU</t>
  </si>
  <si>
    <t>Subvencije kreditnim i ostalim financijskim institucijama u</t>
  </si>
  <si>
    <t>A580004</t>
  </si>
  <si>
    <t>STANDARD UČENIKA S POSEBNIM POTREBAMA</t>
  </si>
  <si>
    <t>Subvencije trgovačkim društvima u javnom sektoru</t>
  </si>
  <si>
    <t>A580007</t>
  </si>
  <si>
    <t>Subvencije trgovačkim društvima izvan javnog sektora</t>
  </si>
  <si>
    <t>A580014</t>
  </si>
  <si>
    <t>RAZVOJ SUSTAVA OBRAZOVANJA ODRASLIH</t>
  </si>
  <si>
    <t>Subvencije trgovačkim društvima, zadrugama, poljoprivrednici</t>
  </si>
  <si>
    <t>A580037</t>
  </si>
  <si>
    <t>JAVNI MEĐUMJESNI PRIJEVOZ ZA UČENIKE</t>
  </si>
  <si>
    <t>Tekuće pomoći inozemnim vladama</t>
  </si>
  <si>
    <t>A580044</t>
  </si>
  <si>
    <t>RAZVOJ SUSTAVA SREDNJOŠKOLSKOG ODGOJA I OBRAZOVANJA</t>
  </si>
  <si>
    <t>Tekuće pomoći međunarodnim organizacijama te institucijama i</t>
  </si>
  <si>
    <t>A621021</t>
  </si>
  <si>
    <t>SMJEŠTAJ I PREHRANA STUDENATA STUDENTSKOG CENTRA ZAGREB - SUFINANCIRANJE</t>
  </si>
  <si>
    <t>0960</t>
  </si>
  <si>
    <t>Dodatne usluge u obrazovanju</t>
  </si>
  <si>
    <t>096</t>
  </si>
  <si>
    <t>Tekuće pomoći unutar općeg proračuna</t>
  </si>
  <si>
    <t>A621022</t>
  </si>
  <si>
    <t>SMJEŠTAJ I PREHRANA STUDENATA STUDENTSKOG CENTRA OSIJEK - SUFINANCIRANJE</t>
  </si>
  <si>
    <t>Kapitalne pomoći unutar općeg proračuna</t>
  </si>
  <si>
    <t>A621023</t>
  </si>
  <si>
    <t>SMJEŠTAJ I PREHRANA STUDENATA STUDENTSKOG CENTRA RIJEKA - SUFINANCIRANJE</t>
  </si>
  <si>
    <t>Tekuće pomoći proračunskim korisnicima drugih proračuna</t>
  </si>
  <si>
    <t>A621024</t>
  </si>
  <si>
    <t>SMJEŠTAJ I PREHRANA STUDENATA STUDENTSKOG CENTRA SPLIT - SUFINANCIRANJE</t>
  </si>
  <si>
    <t>Kapitalne pomoći proračunskim korisnicima drugih proračuna</t>
  </si>
  <si>
    <t>A621026</t>
  </si>
  <si>
    <t>SMJEŠTAJ I PREHRANA STUDENATA STUDENTSKOG CENTRA ŠIBENIK - SUFINANCIRANJE</t>
  </si>
  <si>
    <t>Tekuće pomoći temeljem prijenosa EU sredstava</t>
  </si>
  <si>
    <t>A621028</t>
  </si>
  <si>
    <t>SMJEŠTAJ I PREHRANA STUDENATA STUDENTSKOG CENTRA VARAŽDIN - SUFINANCIRANJE</t>
  </si>
  <si>
    <t>Kapitalne pomoći temeljem prijenosa EU sredstava</t>
  </si>
  <si>
    <t>A621029</t>
  </si>
  <si>
    <t>SMJEŠTAJ I PREHRANA STUDENATA STUDENTSKOG CENTRA SLAVONSKI BROD - SUFINANCIRANJE</t>
  </si>
  <si>
    <t>Tekući prijenosi između proračunskih korisnika istog proraču</t>
  </si>
  <si>
    <t>A621030</t>
  </si>
  <si>
    <t>SMJEŠTAJ I PREHRANA STUDENATA STUDENTSKOG CENTRA POŽEGA - SUFINANCIRANJE</t>
  </si>
  <si>
    <t>Kapitalni prijenosi između proračunskih korisnika istog pror</t>
  </si>
  <si>
    <t>A621031</t>
  </si>
  <si>
    <t>SMJEŠTAJ I PREHRANA STUDENATA STUDENTSKOG CENTRA KARLOVAC - SUFINANCIRANJE</t>
  </si>
  <si>
    <t>A621047</t>
  </si>
  <si>
    <t>DRŽAVNE, AKADEMSKE NAGRADE I POTPORE U ZNANOSTI I VISOKOM ŠKOLSTVU</t>
  </si>
  <si>
    <t>A621048</t>
  </si>
  <si>
    <t>PROJEKTNO FINANCIRANJE ZNANSTVENE DJELATNOSTI</t>
  </si>
  <si>
    <t>Naknade građ. i kuć. u novcu-neposr. ili putem ust.izvan js</t>
  </si>
  <si>
    <t>A621049</t>
  </si>
  <si>
    <t>KAMATE ZA STANOVE ZNANSTVENIH NOVAKA I ASISTENATA</t>
  </si>
  <si>
    <t>Naknade građ. i kuć. u naravi-neposr. ili putem ust.izvan js</t>
  </si>
  <si>
    <t>A621058</t>
  </si>
  <si>
    <t>PROGRAMI POBOLJŠANJA STUDENTSKOG STANDARDA</t>
  </si>
  <si>
    <t>Naknade građanima i kućanstvima u novcu - putem ustanova u j</t>
  </si>
  <si>
    <t>A621185</t>
  </si>
  <si>
    <t>POTPORA HRVATSKOM KATOLIČKOM SVEUČILIŠTU U ZAGREBU</t>
  </si>
  <si>
    <t>Naknade građanima i kućanstvima u naravi - putem ustanova u</t>
  </si>
  <si>
    <t>A622003</t>
  </si>
  <si>
    <t>UGOVORNO FINANCIRANJE ZNANSTVENE DJELATNOSTI</t>
  </si>
  <si>
    <t>Naknade građanima i kućanstvima na temelju osiguranja iz EU</t>
  </si>
  <si>
    <t>A622004</t>
  </si>
  <si>
    <t>IZDAVANJE DOMAĆIH ZNANSTVENIH ČASOPISA</t>
  </si>
  <si>
    <t>Naknade građanima i kućanstvima u novcu</t>
  </si>
  <si>
    <t>A622005</t>
  </si>
  <si>
    <t>ORGANIZIRANJE I ODRŽAVANJE ZNANSTVENIH SKUPOVA</t>
  </si>
  <si>
    <t>Naknade građanima i kućanstvima u naravi</t>
  </si>
  <si>
    <t>A622006</t>
  </si>
  <si>
    <t>IZDAVANJE  ZNANSTVENIH KNJIGA I UDŽBENIKA</t>
  </si>
  <si>
    <t>Naknade građanima i kućanstvima iz EU sredstava</t>
  </si>
  <si>
    <t>A622007</t>
  </si>
  <si>
    <t>FINANCIJSKA POTPORA ZNANSTVENIM UDRUGAMA I PROGRAMIMA POPULARIZACIJE ZNANOSTI</t>
  </si>
  <si>
    <t>Tekuće donacije u novcu</t>
  </si>
  <si>
    <t>A628003</t>
  </si>
  <si>
    <t>PROJEKTI PRIMJENE INFORMACIJSKE TEHNOLOGIJE</t>
  </si>
  <si>
    <t>Tekuće donacije u naravi</t>
  </si>
  <si>
    <t>A676059</t>
  </si>
  <si>
    <t>OBZOR 2020. - EUROPSKA NOĆ ISTRAŽIVAČA</t>
  </si>
  <si>
    <t>Tekuće donacije iz EU sredstava</t>
  </si>
  <si>
    <t>A676065</t>
  </si>
  <si>
    <t>ERASMUS+ PROJEKT BWSE FORWARD - BOLONJA OČIMA ZAINTERESIRANIH DIONIKA ZA SNAŽNIJU BUDUĆNOST BOLONJSKOG PROCESA</t>
  </si>
  <si>
    <t>Kapitalne donacije neprofitnim organizacijama</t>
  </si>
  <si>
    <t>A676070</t>
  </si>
  <si>
    <t>ERASMUS+ EUROPSKO ISTRAŽIVANJE PRAĆENJA OSOBA S DIPLOMOM (GT-HRVATSKA)</t>
  </si>
  <si>
    <t>Naknade šteta pravnim i fizičkim osobama</t>
  </si>
  <si>
    <t>A679005</t>
  </si>
  <si>
    <t>ČLANSTVO U MEĐUNARODNIM UDRUGAMA</t>
  </si>
  <si>
    <t>Penali, ležarine i drugo</t>
  </si>
  <si>
    <t>A679008</t>
  </si>
  <si>
    <t>PROGRAM RAZVOJNE SURADNJE</t>
  </si>
  <si>
    <t>Naknade šteta zaposlenicima</t>
  </si>
  <si>
    <t>A679009</t>
  </si>
  <si>
    <t>REDOVNA DJELATNOST LEKTORATA</t>
  </si>
  <si>
    <t>Ugovorene kazne i ostale naknade šteta</t>
  </si>
  <si>
    <t>A679047</t>
  </si>
  <si>
    <t>MEĐUNARODNA SURADNJA I EUROPSKI POSLOVI</t>
  </si>
  <si>
    <t>Ostale kazne</t>
  </si>
  <si>
    <t>A679049</t>
  </si>
  <si>
    <t>POMOĆI BIH U SUSTAVU ZNANOSTI I OBRAZOVANJA</t>
  </si>
  <si>
    <t>Kapitalne pomoći kreditnim i ostalim financijskim institucijama te trgovačkim društvima u javnom sektoru</t>
  </si>
  <si>
    <t>A679064</t>
  </si>
  <si>
    <t>ZNANSTVENO-UČILIŠNI KAMPUS BORONGAJ</t>
  </si>
  <si>
    <t>Kapitalne pomoći kreditnim i ostalim financijskim institucijama te trgovačkim društvima i zadrugama izvan javnog sektora</t>
  </si>
  <si>
    <t>A679065</t>
  </si>
  <si>
    <t>SMJEŠTAJ I PREHRANA STUDENATA STUDENTSKOG CENTRA PULA - SUFINANCIRANJE</t>
  </si>
  <si>
    <t>Kapitalne pomoći poljoprivrednicima i obrtnicima</t>
  </si>
  <si>
    <t>A679066</t>
  </si>
  <si>
    <t>POTPORE ROMSKIM STUDIJIMA I STUDENTIMA ROMIMA</t>
  </si>
  <si>
    <t>Zemljište</t>
  </si>
  <si>
    <t>A679067</t>
  </si>
  <si>
    <t>STIPENDIJE ZA STUDENTE SLABIJEGA SOCIO-EKONOMSKOG STATUSA</t>
  </si>
  <si>
    <t>Ostala prirodna materijalna imovina</t>
  </si>
  <si>
    <t>A679069</t>
  </si>
  <si>
    <t>SMJEŠTAJ I PREHRANA STUDENATA STUDENTSKOG CENTRA SISAK - SUFINANCIRANJE</t>
  </si>
  <si>
    <t>Koncesije</t>
  </si>
  <si>
    <t>A733049</t>
  </si>
  <si>
    <t>EUROPSKA AGENCIJA ZA POSEBNE POTREBE I INKLUZIVNO OBRAZOVANJE</t>
  </si>
  <si>
    <t>Licence</t>
  </si>
  <si>
    <t>A733050</t>
  </si>
  <si>
    <t>PRAĆENJE I IMPLEMENTACIJA POLITIKA EUROPSKOG ISTRAŽIVAČKOG PROSTORA (ERA)</t>
  </si>
  <si>
    <t>Ostala prava</t>
  </si>
  <si>
    <t>Ostala nematerijalna imovina</t>
  </si>
  <si>
    <t>A733051</t>
  </si>
  <si>
    <t>PROGRAMI IZRADE UDŽBENIKA ZA SLIJEPE I SLABOVIDNE UČENIKE I STUDENTE</t>
  </si>
  <si>
    <t>Stambeni objekti</t>
  </si>
  <si>
    <t>A733052</t>
  </si>
  <si>
    <t>DALJNJE UNAPREĐENJE SUSTAVA ZA RAZVOJ I PROVEDBU NACIONALNOGA KVALIFIKACIJSKOG OKVIRA (NKO)</t>
  </si>
  <si>
    <t>Poslovni objekti</t>
  </si>
  <si>
    <t>A733055</t>
  </si>
  <si>
    <t>PROGRAM IZVRSNOSTI U VISOKOM OBRAZOVANJU - TENURE-TRACK</t>
  </si>
  <si>
    <t>Ceste, željeznice i ostali prometni objekti</t>
  </si>
  <si>
    <t>A733056</t>
  </si>
  <si>
    <t>EUROPSKI ZNANSTVENI PROJEKTI</t>
  </si>
  <si>
    <t>Ostali građevinski objekti</t>
  </si>
  <si>
    <t>A733060</t>
  </si>
  <si>
    <t>OBZOR 2020. - PROGRAM POTICANJA ISTRAŽIVANJA I RAZVOJA MORSKIH BIO-RESURSA – ERA-NET BLUEBIOECONOMY</t>
  </si>
  <si>
    <t>Uredska oprema i namještaj</t>
  </si>
  <si>
    <t>A733063</t>
  </si>
  <si>
    <t>ERASMUS+ KORIŠTENJE PODATAKA S CILJEM UNAPRJEĐENJA KVALITETE U SUSTAVU ODGOJA I OBRAZOVANJA - DATA DRIVE</t>
  </si>
  <si>
    <t>Komunikacijska oprema</t>
  </si>
  <si>
    <t>A733064</t>
  </si>
  <si>
    <t>ERASMUS+ INTERDISCIPLINARNI STEM PRISTUP SVEMU OKO NAS - STE(A)M IT</t>
  </si>
  <si>
    <t>Oprema za održavanje i zaštitu</t>
  </si>
  <si>
    <t>A733065</t>
  </si>
  <si>
    <t>ERASMUS + PRIZNAVANJE PRETHODNOG UČENJA U PRAKSI</t>
  </si>
  <si>
    <t>Medicinska i laboratorijska oprema</t>
  </si>
  <si>
    <t>A733066</t>
  </si>
  <si>
    <t>ERASMUS PLUS - OSNAŽIVANJE NASTAVNIKA DILJEM EUROPE - KA3 - HAND IN HAND</t>
  </si>
  <si>
    <t>Instrumenti, uređaji i strojevi</t>
  </si>
  <si>
    <t>A767002</t>
  </si>
  <si>
    <t>IZRADA DEFICITARNIH UDŽBENIKA U ŠKOLSTVU</t>
  </si>
  <si>
    <t>Sportska i glazbena oprema</t>
  </si>
  <si>
    <t>A767003</t>
  </si>
  <si>
    <t>SREDNJOŠKOLSKE STIPENDIJE ZA UČENIKE ROME</t>
  </si>
  <si>
    <t>Uređaji, strojevi i oprema za ostale namjene</t>
  </si>
  <si>
    <t>A767004</t>
  </si>
  <si>
    <t>NAOBRAZBA DJECE U ALTERNATIVNIM ŠKOLAMA</t>
  </si>
  <si>
    <t>Prijevozna sredstva u cestovnom prometu</t>
  </si>
  <si>
    <t>A767008</t>
  </si>
  <si>
    <t>SUBVENCIONIRANJE KAMATA ZA STANOVE UČITELJA</t>
  </si>
  <si>
    <t>Prijevozna sredstva u pomorskom i riječnom prometu</t>
  </si>
  <si>
    <t>A767009</t>
  </si>
  <si>
    <t>ZNANSTVENI CENTRI IZVRSNOSTI - DRUŠTVENO HUMANISTIČKO PODRUČJE</t>
  </si>
  <si>
    <t>Knjige</t>
  </si>
  <si>
    <t>A767013</t>
  </si>
  <si>
    <t>RAZVOJ SUSTAVA OSIGURANJA KVALITETE</t>
  </si>
  <si>
    <t>Umjetnička djela (izložena u galerijama, muzejima i slično)</t>
  </si>
  <si>
    <t>A767015</t>
  </si>
  <si>
    <t>PROVEDBA PROGRAMA ZA UKLJUČIVANJE ROMA</t>
  </si>
  <si>
    <t>Ostale nespomenute izložbene vrijednosti</t>
  </si>
  <si>
    <t>A767035</t>
  </si>
  <si>
    <t>MEĐUNARODNA SURADNJA</t>
  </si>
  <si>
    <t>Višegodišnji nasadi</t>
  </si>
  <si>
    <t>A767038</t>
  </si>
  <si>
    <t>OBZOR 2020. - PROGRAM MEĐUNARODNE MOBILNOSTI ZA ISTRAŽIVAČE - NEWFELPRO</t>
  </si>
  <si>
    <t>Osnovno stado</t>
  </si>
  <si>
    <t>A767042</t>
  </si>
  <si>
    <t>OBRAZOVANJE OSOBA BEZ HRVATSKOG DRŽAVLJANSTVA</t>
  </si>
  <si>
    <t>Ulaganja u računalne programe</t>
  </si>
  <si>
    <t>A767043</t>
  </si>
  <si>
    <t>RAZVOJ VISOKOG OBRAZOVANJA</t>
  </si>
  <si>
    <t>Umjetnička, literarna i znanstvena djela</t>
  </si>
  <si>
    <t>A767056</t>
  </si>
  <si>
    <t>OBZOR 2020. - PARTNERSTVO ZA ISTRAŽIVANJA I INOVACIJE NA MEDITERANSKOM PODRUČJU - PRIMA</t>
  </si>
  <si>
    <t>Ostala nematerijalna proizvedena imovina</t>
  </si>
  <si>
    <t>A768053</t>
  </si>
  <si>
    <t>EUROPSKE ŠKOLE</t>
  </si>
  <si>
    <t>Pohranjene knjige, umjetnička djela i slične vrijednosti</t>
  </si>
  <si>
    <t>A768054</t>
  </si>
  <si>
    <t>DODATNA SREDSTVA IZRAVNANJA ZA DECENTRALIZIRANE FUNKCIJE</t>
  </si>
  <si>
    <t>Strateške zalihe</t>
  </si>
  <si>
    <t>A768058</t>
  </si>
  <si>
    <t>PREUZETE OBVEZE PO MEĐUNARODNIM UGOVORIMA</t>
  </si>
  <si>
    <t>Dodatna ulaganja na građevinskim objektima</t>
  </si>
  <si>
    <t>A768061</t>
  </si>
  <si>
    <t>ERASMUS+ UČINKOVITO PARTNERSTVO ZA UNAPRIJEĐENO PRIZNAVANJE - EPER</t>
  </si>
  <si>
    <t>Dodatna ulaganja na postrojenjima i opremi</t>
  </si>
  <si>
    <t>A768064</t>
  </si>
  <si>
    <t>ERASMUS+ PROJEKT TRACER - TRANSPARENTNOST HRVATSKIH KVALIFIKACIJA RADI LAKŠEG PRIZNAVANJA</t>
  </si>
  <si>
    <t>Dodatna ulaganja na prijevoznim sredstvima</t>
  </si>
  <si>
    <t>A768065</t>
  </si>
  <si>
    <t>OBZOR 2020 - MENTORSTVO ZA UNAPRJEĐENJE ŠKOLE - MENSI</t>
  </si>
  <si>
    <t>Dodatna ulaganja za ostalu nefinancijsku imovinu</t>
  </si>
  <si>
    <t>A768068</t>
  </si>
  <si>
    <t>OTKUP ZNANSTVENIH KNJIGA I VISOKOŠKOLSKIH UDŽBENIKA</t>
  </si>
  <si>
    <t>Dani zajmovi neprofitnim organizacijama, građanima i kućanst</t>
  </si>
  <si>
    <t>A818021</t>
  </si>
  <si>
    <t>PRIMJENA UDŽBENIČKOG STANDARDA</t>
  </si>
  <si>
    <t>Otplata glavnice primljenih kredita od tuzemnih kreditnih in</t>
  </si>
  <si>
    <t>A818034</t>
  </si>
  <si>
    <t>PROJEKT POVEZIVANJA S EUROPSKIM KVALIFIKACIJSKIM OKVIROM - EQF NCP GRANT</t>
  </si>
  <si>
    <t>Dani zajmovi neprofitnim organizacijama, građanima i kućanstvima u tuzemstvu</t>
  </si>
  <si>
    <t>A818035</t>
  </si>
  <si>
    <t>MENTORI I STRUČNI ISPITI U OSNOVNIM I SREDNJIM ŠKOLAMA</t>
  </si>
  <si>
    <t>Dani zajmovi neprofitnim organizacijama, građanima i kućanstvima u inozemstvu</t>
  </si>
  <si>
    <t>A818049</t>
  </si>
  <si>
    <t>REGIONALNI CENTAR ZA IMPLEMENTACIJU REGIONALNE STRATEGIJE ZNANOSTI I ISTRAŽIVANJA ZAPADNOG BALKANA ZA INOVACIJE (WISE)</t>
  </si>
  <si>
    <t>Dani zajmovi trgovačkim društvima u javnom sektoru</t>
  </si>
  <si>
    <t>K110283</t>
  </si>
  <si>
    <t>OPREMANJE OSNOVNOŠKOLSKIH KNJIŽNICA OBVEZNOM LEKTIROM I STRUČNOM LITERATUROM</t>
  </si>
  <si>
    <t>Izdaci za depozite u kreditnim i ostalim financijskim institucijama - tuzemni</t>
  </si>
  <si>
    <t>K110291</t>
  </si>
  <si>
    <t>OPREMANJE SREDNJOŠKOLSKIH KNJIŽNICA LEKTIROM I STRUČNOM LITERATUROM</t>
  </si>
  <si>
    <t xml:space="preserve">Izdaci za jamčevne pologe </t>
  </si>
  <si>
    <t>K252755</t>
  </si>
  <si>
    <t>RAČUNALNO KOMUNIKACIJSKA INFRASTRUKTURA U OSNOVNIM I SREDNJIM ŠKOLAMA</t>
  </si>
  <si>
    <t>Otplata glavnice primljenih kredita od kreditnih institucija u javnom sektoru</t>
  </si>
  <si>
    <t>K578010</t>
  </si>
  <si>
    <t>IZGRADNJA DJEČJEG CENTRA VOŠTARNICA</t>
  </si>
  <si>
    <t>Otplata glavnice primljenih zajmova od trgovačkih društava u javnom sektoru</t>
  </si>
  <si>
    <t>K578051</t>
  </si>
  <si>
    <t>OP KONKURENTNOST I KOHEZIJA 2014.-2020., PRIORITET 1, 9 i 10</t>
  </si>
  <si>
    <t>Otplata glavnice primljenih kredita od tuzemnih kreditnih institucija izvan javnog sektora</t>
  </si>
  <si>
    <t>K578063</t>
  </si>
  <si>
    <t>PROJEKT "HRVATSKA: USUSRET ODRŽIVOM, PRAVEDNOM I UČINKOVITOM OBRAZOVANJU"</t>
  </si>
  <si>
    <t>Otplata glavnice primljenih zajmova od ostalih tuzemnih financijskih institucija izvan javnog sektora</t>
  </si>
  <si>
    <t>K578064</t>
  </si>
  <si>
    <t>CENTAR ZA ODGOJ I OBRAZOVANJE ČAKOVEC</t>
  </si>
  <si>
    <t>Otplata glavnice primljenih zajmova od tuzemnih trgovačkih društava izvan javnog sektora</t>
  </si>
  <si>
    <t>K578068</t>
  </si>
  <si>
    <t>IZGRADNJA, DOGRADNJA, REKONSTRUKCIJA I OPREMANJE SREDNJIH ŠKOLA - NPOO (C3.1.R1-I3)</t>
  </si>
  <si>
    <t>Otplata glavnice primljenih zajmova od županijskih proračuna</t>
  </si>
  <si>
    <t>K578070</t>
  </si>
  <si>
    <t>POBOLJŠANJE UČINKOVITOSTI JAVNIH ULAGANJA NA PODRUČJU ISTRAŽIVANJA, RAZVOJA I INOVACIJA - NPOO (C3.2.R3)</t>
  </si>
  <si>
    <t>K579064</t>
  </si>
  <si>
    <t>KAPITALNE INVESTICIJE U OSNOVNOM I SREDNJEM ŠKOLSTVU</t>
  </si>
  <si>
    <t>K621173</t>
  </si>
  <si>
    <t>INFORMACIJSKA INFRASTRUKTURA SUSTAVA VISOKOG OBRAZOVANJA</t>
  </si>
  <si>
    <t>K622113</t>
  </si>
  <si>
    <t>ULAGANJE U ODRŽAVANJE ZNANSTVENOISTRAŽIVAČKE OPREME I INFRASTRUKTURE</t>
  </si>
  <si>
    <t>K676058</t>
  </si>
  <si>
    <t>PROSVJETNO-KULTURNI CENTAR MAĐARA - IZGRADNJA UČENIČKOG DOMA</t>
  </si>
  <si>
    <t>K676064</t>
  </si>
  <si>
    <t>TALIJANSKA SŠ LEONARDO DA VINCI BUJE-REKONSTRUKCIJA I DOGRADNJA</t>
  </si>
  <si>
    <t>K676066</t>
  </si>
  <si>
    <t>OBNOVA ZGRADA OŠTEĆENIH U POTRESU S ENERGETSKOM OBNOVOM - NPOO (C6.1.R1-I2)</t>
  </si>
  <si>
    <t>K676067</t>
  </si>
  <si>
    <t>IZGRADNJA, DOGRADNJA, REKONSTRUKCIJA I OPREMANJE PREDŠKOLSKIH USTANOVA - NPOO (C3.1.R1-I1)</t>
  </si>
  <si>
    <t>K676069</t>
  </si>
  <si>
    <t>STVARANJE OKVIRA ZA PRIVLAČENJE STUDENATA I ISTRAŽIVAČA U STEM I ICT PODRUČJIMA - NPOO (C3.2.R2)</t>
  </si>
  <si>
    <t>K733061</t>
  </si>
  <si>
    <t>OSNOVNA ŠKOLA MILAN AMRUŠ SLAVONSKI BROD</t>
  </si>
  <si>
    <t>K733067</t>
  </si>
  <si>
    <t>OP UČINKOVITI LJUDSKI POTENCIJALI 2021.-2027., PRIORITET 2</t>
  </si>
  <si>
    <t>0950</t>
  </si>
  <si>
    <t>Obrazovanje koje se ne može definirati po stupnju</t>
  </si>
  <si>
    <t>095</t>
  </si>
  <si>
    <t>K767031</t>
  </si>
  <si>
    <t>OŠ MIJATA STOJANOVIĆA U BABINOJ GREDI</t>
  </si>
  <si>
    <t>K767032</t>
  </si>
  <si>
    <t>OBRTNIČKA ŠKOLA SISAK</t>
  </si>
  <si>
    <t>K768066</t>
  </si>
  <si>
    <t>OBNOVA INFRASTRUKTURE I OPREME U PODRUČJU OBRAZOVANJA OŠTEĆENE POTRESOM</t>
  </si>
  <si>
    <t>K768067</t>
  </si>
  <si>
    <t>IZGRADNJA, DOGRADNJA, REKONSTRUKCIJA I OPREMANJE OSNOVNIH ŠKOLA ZA POTREBE JEDNOSMJENSKOG RADA I CJELODNEVNE NASTAVE - NPOO (C3.1.R1-I2)</t>
  </si>
  <si>
    <t>K768069</t>
  </si>
  <si>
    <t>REFORMA I JAČANJE KAPACITETA JAVNOG ZNANSTVENO-ISTRAIŽIVAČKOG SEKTORA ZA ISTRAŽIVANJE I RAZVOJ - NPOO (C3.2.R1)</t>
  </si>
  <si>
    <t>K768070</t>
  </si>
  <si>
    <t>OBNOVA INFRASTRUKTURE U PODRUČJU OBRAZOVANJA OŠTEĆENE POTRESOM FSEU.2022.MZO</t>
  </si>
  <si>
    <t>K818050</t>
  </si>
  <si>
    <t>OP UČINKOVITI LJUDSKI POTENCIJALI 2014.-2020., PRIORITET 3 i 4</t>
  </si>
  <si>
    <t>T580070</t>
  </si>
  <si>
    <t>SANACIJA POSLJEDICA POTRESA</t>
  </si>
  <si>
    <t>A621001</t>
  </si>
  <si>
    <t>REDOVNA DJELATNOST SVEUČILIŠTA U ZAGREBU</t>
  </si>
  <si>
    <t>REDOVNA DJELATNOST SVEUČILIŠTA U RIJECI</t>
  </si>
  <si>
    <t>A621003</t>
  </si>
  <si>
    <t>REDOVNA DJELATNOST SVEUČILIŠTA U OSIJEKU</t>
  </si>
  <si>
    <t>A621004</t>
  </si>
  <si>
    <t>REDOVNA DJELATNOST SVEUČILIŠTA U SPLITU</t>
  </si>
  <si>
    <t>A621038</t>
  </si>
  <si>
    <t>PROGRAMI VJEŽBAONICA VISOKIH UČILIŠTA</t>
  </si>
  <si>
    <t>A621074</t>
  </si>
  <si>
    <t>REDOVNA DJELATNOST SVEUČILIŠTA U ZADRU</t>
  </si>
  <si>
    <t>A621138</t>
  </si>
  <si>
    <t>REDOVNA DJELATNOST SVEUČILIŠTA U DUBROVNIKU</t>
  </si>
  <si>
    <t>A621148</t>
  </si>
  <si>
    <t>REDOVNA DJELATNOST VELEUČILIŠTA I VISOKIH ŠKOLA</t>
  </si>
  <si>
    <t>A621168</t>
  </si>
  <si>
    <t>REDOVNA DJELATNOST SVEUČILIŠTA U PULI</t>
  </si>
  <si>
    <t>A621180</t>
  </si>
  <si>
    <t>REKTORSKI ZBOR</t>
  </si>
  <si>
    <t>A621183</t>
  </si>
  <si>
    <t>STIPENDIJE I ŠKOLARINE ZA DOKTORSKI STUDIJ</t>
  </si>
  <si>
    <t>A622012</t>
  </si>
  <si>
    <t>REDOVNA DJELATNOST SEIZMOLOŠKE SLUŽBE</t>
  </si>
  <si>
    <t>PROGRAMSKO FINANCIRANJE JAVNIH VISOKIH UČILIŠTA</t>
  </si>
  <si>
    <t>A679071</t>
  </si>
  <si>
    <t>EU PROJEKTI SVEUČILIŠTA U OSIJEKU (IZ EVIDENCIJSKIH PRIHODA)</t>
  </si>
  <si>
    <t>A679072</t>
  </si>
  <si>
    <t>EU PROJEKTI SVEUČILIŠTA U RIJECI (IZ EVIDENCIJSKIH PRIHODA)</t>
  </si>
  <si>
    <t>A679073</t>
  </si>
  <si>
    <t>EU PROJEKTI SVEUČILIŠTA U DUBROVNIKU (IZ EVIDENCIJSKIH PRIHODA)</t>
  </si>
  <si>
    <t>A679074</t>
  </si>
  <si>
    <t>EU PROJEKTI SVEUČILIŠTA U ZADRU (IZ EVIDENCIJSKIH PRIHODA)</t>
  </si>
  <si>
    <t>A679075</t>
  </si>
  <si>
    <t>EU PROJEKTI SVEUČILIŠTA U PULI (IZ EVIDENCIJSKIH PRIHODA)</t>
  </si>
  <si>
    <t>A679076</t>
  </si>
  <si>
    <t>EU PROJEKTI VELEUČILIŠTA I VISOKIH ŠKOLA (IZ EVIDENCIJSKIH PRIHODA)</t>
  </si>
  <si>
    <t>A679077</t>
  </si>
  <si>
    <t>EU PROJEKTI SVEUČILIŠTA U SPLITU (IZ EVIDENCIJSKIH PRIHODA)</t>
  </si>
  <si>
    <t>A679078</t>
  </si>
  <si>
    <t>EU PROJEKTI SVEUČILIŠTA U ZAGREBU (IZ EVIDENCIJSKIH PRIHODA)</t>
  </si>
  <si>
    <t>A679079</t>
  </si>
  <si>
    <t>SVEUČILIŠTE U ZAGREBU - BICRO BIOCentar</t>
  </si>
  <si>
    <t>A679080</t>
  </si>
  <si>
    <t>REDOVNA DJELATNOST SVEUČILIŠTA SJEVER</t>
  </si>
  <si>
    <t>A679081</t>
  </si>
  <si>
    <t>EU PROJEKTI SVEUČILIŠTA SJEVER (IZ EVIDENCIJSKIH PRIHODA)</t>
  </si>
  <si>
    <t>A679088</t>
  </si>
  <si>
    <t>REDOVNA DJELATNOST SVEUČILIŠTA U ZAGREBU (IZ EVIDENCIJSKIH PRIHODA)</t>
  </si>
  <si>
    <t>REDOVNA DJELATNOST SVEUČILIŠTA U RIJECI (IZ EVIDENCIJSKIH PRIHODA)</t>
  </si>
  <si>
    <t>A679090</t>
  </si>
  <si>
    <t>REDOVNA DJELATNOST SVEUČILIŠTA U OSIJEKU (IZ EVIDENCIJSKIH PRIHODA)</t>
  </si>
  <si>
    <t>A679091</t>
  </si>
  <si>
    <t>REDOVNA DJELATNOST SVEUČILIŠTA U SPLITU (IZ EVIDENCIJSKIH PRIHODA)</t>
  </si>
  <si>
    <t>A679092</t>
  </si>
  <si>
    <t>REDOVNA DJELATNOST SVEUČILIŠTA U ZADRU (IZ EVIDENCIJSKIH PRIHODA)</t>
  </si>
  <si>
    <t>A679093</t>
  </si>
  <si>
    <t>REDOVNA DJELATNOST SVEUČILIŠTA U DUBROVNIKU (IZ EVIDENCIJSKIH PRIHODA)</t>
  </si>
  <si>
    <t>A679094</t>
  </si>
  <si>
    <t>REDOVNA DJELATNOST VELEUČILIŠTA I VISOKIH ŠKOLA (IZ EVIDENCIJSKIH PRIHODA)</t>
  </si>
  <si>
    <t>A679095</t>
  </si>
  <si>
    <t>REDOVNA DJELATNOST SVEUČILIŠTA U PULI (IZ EVIDENCIJSKIH PRIHODA)</t>
  </si>
  <si>
    <t>A679096</t>
  </si>
  <si>
    <t>REDOVNA DJELATNOST SVEUČILIŠTA SJEVER (IZ EVIDENCIJSKIH PRIHODA)</t>
  </si>
  <si>
    <t>A679110</t>
  </si>
  <si>
    <t>POTPORA UMJETNIČKIM STUDIJIMA</t>
  </si>
  <si>
    <t>A679112</t>
  </si>
  <si>
    <t>REDOVNA DJELATNOST SVEUČILIŠTA U SLAVONSKOM BRODU</t>
  </si>
  <si>
    <t>A679114</t>
  </si>
  <si>
    <t>REDOVNA DJELATNOST SVEUČILIŠTA U SLAVONSKOM BRODU (IZ EVIDENCIJSKIH PRIHODA)</t>
  </si>
  <si>
    <t>A679115</t>
  </si>
  <si>
    <t>EU PROJEKTI SVEUČILIŠTA U SLAVONSKOM BRODU  (IZ EVIDENCIJSKIH PRIHODA)</t>
  </si>
  <si>
    <t>A679117</t>
  </si>
  <si>
    <t>HPC - PROJEKT ISTRAŽIVANJA NA PODRUČJU POTRESNOG INŽENJERSTVA</t>
  </si>
  <si>
    <t>A679118</t>
  </si>
  <si>
    <t>PROJEKT PRAĆENJA GEOLOŠKIH HAZARDA I RIZIKA NAKON POTRESA U PETRINJI</t>
  </si>
  <si>
    <t>A679123</t>
  </si>
  <si>
    <t>ERASMUS PLUS - EUROPSKO ISTRAŽIVANJE PRAĆENJA OSOBA S DIPLOMOM - GT HRVATSKA</t>
  </si>
  <si>
    <t>K621061</t>
  </si>
  <si>
    <t>ODRŽAVANJE OBJEKATA VISOKOOBRAZOVNIH USTANOVA</t>
  </si>
  <si>
    <t>K679084</t>
  </si>
  <si>
    <t>K679106</t>
  </si>
  <si>
    <t>OP UČINKOVITI LJUDSKI POTENCIJALI 2014.-2020., PRIORITET 3</t>
  </si>
  <si>
    <t>K679116</t>
  </si>
  <si>
    <t>K679119</t>
  </si>
  <si>
    <t>K679122</t>
  </si>
  <si>
    <t>RAZVOJ MREŽE SEIZMOLOŠKIH PODATAKA (C6.1.R4-I1)</t>
  </si>
  <si>
    <t>A622000</t>
  </si>
  <si>
    <t>REDOVNA DJELATNOST JAVNIH INSTITUTA</t>
  </si>
  <si>
    <t>A622002</t>
  </si>
  <si>
    <t>PROGRAM USAVRŠAVANJA ZNANSTVENIH NOVAKA</t>
  </si>
  <si>
    <t>A622009</t>
  </si>
  <si>
    <t>POTICAJ RAZVOJA ZNANOSTI I ULAGANJA U KADROVE - FINANCIRANJE ŠKOLARINA ZA POSLIJEDIPLOMSKI STUDIJ</t>
  </si>
  <si>
    <t>A622011</t>
  </si>
  <si>
    <t>REDOVNA DJELATNOST GEOLOŠKE SLUŽBE</t>
  </si>
  <si>
    <t>A622120</t>
  </si>
  <si>
    <t>A622125</t>
  </si>
  <si>
    <t>EU PROJEKTI JAVNIH INSTITUTA (IZ EVIDENCIJSKIH PRIHODA)</t>
  </si>
  <si>
    <t>A622132</t>
  </si>
  <si>
    <t>REDOVNA DJELATNOST JAVNIH INSTITUTA (IZ EVIDENCIJSKIH PRIHODA)</t>
  </si>
  <si>
    <t>A622137</t>
  </si>
  <si>
    <t>PROGRAMSKO FINANCIRANJE JAVNIH ZNANSTVENIH INSTITUTA</t>
  </si>
  <si>
    <t>K622128</t>
  </si>
  <si>
    <t>OP KONKURENTNOST I KOHEZIJA 2014.-2020., PRIORITET 1 i 10</t>
  </si>
  <si>
    <t>K622138</t>
  </si>
  <si>
    <t>K622139</t>
  </si>
  <si>
    <t>K622142</t>
  </si>
  <si>
    <t>RAZVOJ ODRŽIVOG, INOVATIVNOG I OTPORNOG TURIZMA  (C1.6 R1) - NPOO</t>
  </si>
  <si>
    <t>A763000</t>
  </si>
  <si>
    <t>ADMINISTRACIJA I UPRAVLJANJE DRŽAVNOG ZAVODA ZA INTELEKTUALNO VLASNIŠTVO</t>
  </si>
  <si>
    <t>T763005</t>
  </si>
  <si>
    <t>SURADNJA DZIV-a S UREDOM EUROPSKE UNIJE ZA INTELEKTUALNO VLASNIŠTVO (EUIPO)</t>
  </si>
  <si>
    <t>A622017</t>
  </si>
  <si>
    <t>ADMINISTRACIJA I UPRAVLJANJE NACIONALNE SVEUČILIŠNE KNJIŽNICE</t>
  </si>
  <si>
    <t>A622131</t>
  </si>
  <si>
    <t>NABAVA INOZEMNIH ZNANSTVENIH ČASOPISA</t>
  </si>
  <si>
    <t>A622134</t>
  </si>
  <si>
    <t>ADMINISTRACIJA I UPRAVLJANJE NACIONALNE SVEUČILIŠNE KNJIŽNICE (IZ EVIDENCIJSKIH PRIHODA)</t>
  </si>
  <si>
    <t>K622116</t>
  </si>
  <si>
    <t>KNJIGE, UMJETNIČKA DJELA I OSTALE IZLOŽBENE VRIJEDNOSTI</t>
  </si>
  <si>
    <t>A628009</t>
  </si>
  <si>
    <t>ADMINISTRACIJA I UPRAVLJANJE HRVATSKE AKADEMSKE I ISTRAŽIVAČKE MREŽE CARNET</t>
  </si>
  <si>
    <t>0133</t>
  </si>
  <si>
    <t>Ostale opće usluge</t>
  </si>
  <si>
    <t>013</t>
  </si>
  <si>
    <t>A628011</t>
  </si>
  <si>
    <t>PROGRAM TELEKOMUNIKACIJSKIH KAPACITETA ZA MREŽU CARNET</t>
  </si>
  <si>
    <t>A628015</t>
  </si>
  <si>
    <t>UKLJUČIVANJE MREŽE CARNET U PAN-EUROPSKE AKADEMSKE I ISTRAŽIVAČKE MREŽE</t>
  </si>
  <si>
    <t>0460</t>
  </si>
  <si>
    <t>Komunikacije</t>
  </si>
  <si>
    <t>04</t>
  </si>
  <si>
    <t>046</t>
  </si>
  <si>
    <t>A628068</t>
  </si>
  <si>
    <t>SUDJELOVANJE NA IZGRADNJI, TESTIRANJU I RAZVOJU OKOSNICE PAN-EUROPSKE RAČUNALNO KOMUNIKACIJSKE MREŽE</t>
  </si>
  <si>
    <t>A628070</t>
  </si>
  <si>
    <t>PROGRAM OBJEDINJAVANJA I ODRŽAVANJA NACIONALNIH INFORMACIJSKIH SERVISA I E-ŠKOLA</t>
  </si>
  <si>
    <t>A628074</t>
  </si>
  <si>
    <t>PROGRAMI ZAJEDNICE</t>
  </si>
  <si>
    <t>A628089</t>
  </si>
  <si>
    <t>JAČANJE KAPACITETA NACIONALNOG CERT-A I POBOLJŠANJE SURADNJE NA HR I EU RAZINI - GROWCERT</t>
  </si>
  <si>
    <t>A628090</t>
  </si>
  <si>
    <t>UNAPRJEĐENJE JEDNAKIH MOGUĆNOSTI U OBRAZOVANJU ZA UČENIKE S TEŠKOĆAMA U RAZVOJU</t>
  </si>
  <si>
    <t>A628091</t>
  </si>
  <si>
    <t>OBRAZOVANJE U RURALNIM PODRUČJIMA - LEARNING FROM THE EXTREMES, A RURAL SCHOOLS INNOVATION ROADMAP</t>
  </si>
  <si>
    <t>K406669</t>
  </si>
  <si>
    <t>CARNET - ZAJEDNIČKA RK INFRASTRUKTURA</t>
  </si>
  <si>
    <t>K628069</t>
  </si>
  <si>
    <t>ULAGANJE U OPREMU ZA ODRŽAVANJE NACIONALNIH I INFORMACIJSKIH SERVISA</t>
  </si>
  <si>
    <t>K628080</t>
  </si>
  <si>
    <t>OP KONKURENTNOST I KOHEZIJA 2014.-2020., PRIORITET 9</t>
  </si>
  <si>
    <t>K628081</t>
  </si>
  <si>
    <t>K628093</t>
  </si>
  <si>
    <t>DIGITALNA PREOBRAZBA VISOKOG OBRAZOVANJA E-SVEUČILIŠTA</t>
  </si>
  <si>
    <t>A622107</t>
  </si>
  <si>
    <t>ADMINISTRACIJA I UPRAVLJANJE LEKSIKOGRAFSKOG ZAVODA MIROSLAV KRLEŽA</t>
  </si>
  <si>
    <t>A622136</t>
  </si>
  <si>
    <t>ADMINISTRACIJA I UPRAVLJANJE LEKSIKOGRAFSKOG ZAVODA MIROSLAV KRLEŽA (IZ EVIDENCIJSKIH PRIHODA)</t>
  </si>
  <si>
    <t>A628018</t>
  </si>
  <si>
    <t>ADMINISTRACIJA I UPRAVLJANJE SVEUČILIŠNOG RAČUNSKOG CENTRA SRCE</t>
  </si>
  <si>
    <t>A628084</t>
  </si>
  <si>
    <t>ADMINISTRACIJA I UPRAVLJANJE SVEUČILIŠNOG RAČUNSKOG CENTRA SRCE  (IZ EVIDENCIJSKIH PRIHODA)</t>
  </si>
  <si>
    <t>K628055</t>
  </si>
  <si>
    <t>SRCE -IZRAVNA KAPITALNA ULAGANJA</t>
  </si>
  <si>
    <t>K628085</t>
  </si>
  <si>
    <t>SRCE - IZRAVNA KAPITALNA ULAGANJA  (IZ EVIDENCIJSKIH PRIHODA)</t>
  </si>
  <si>
    <t>K628087</t>
  </si>
  <si>
    <t>OP KONKURENTNOST I KOHEZIJA 2014.-2020., PRIORITETI 1 i 10</t>
  </si>
  <si>
    <t>K628094</t>
  </si>
  <si>
    <t>INFORMACIJSKI SUSTAVI EVIDENCIJA U VISOKOM OBRAZOVANJU - ISEVO</t>
  </si>
  <si>
    <t>A580006</t>
  </si>
  <si>
    <t>STRUČNO USAVRŠAVANJE I IZOBRAZBA UČITELJA I NASTAVNIKA U SREDNJIM ŠKOLAMA I USAVRŠAVANJE ZA PROVEDBU NACIONALNIH PROGRAMA</t>
  </si>
  <si>
    <t>A733001</t>
  </si>
  <si>
    <t>ADMINISTRACIJA I UPRAVLJANJE AGENCIJE ZA ODGOJ I OBRAZOVANJE</t>
  </si>
  <si>
    <t>A733027</t>
  </si>
  <si>
    <t>STRUČNO USAVRŠAVANJE U OKVIRU ŽUPANIJSKIH STRUČNIH VIJEĆA</t>
  </si>
  <si>
    <t>A733032</t>
  </si>
  <si>
    <t>IZVANNASTAVNE AKTIVNOSTI U OSNOVNIM I SREDNJIM ŠKOLAMA-NATJECANJE</t>
  </si>
  <si>
    <t>A733058</t>
  </si>
  <si>
    <t>STRUČNO USAVRŠAVANJE UČITELJA I NASTAVNIKA TALIJANSKOG JEZIKA</t>
  </si>
  <si>
    <t>A767022</t>
  </si>
  <si>
    <t>STRUČNO USAVRŠAVANJE ODGOJNO-OBRAZOVNIH DJELATNIKA U SUSTAVU OSNOVNOG I SREDNJEG ŠKOLSTVA</t>
  </si>
  <si>
    <t>K733068</t>
  </si>
  <si>
    <t>OP UČINKOVITI LJUDSKI POTENCIJALI 2014.-2020. PRIORITET 3</t>
  </si>
  <si>
    <t>K767054</t>
  </si>
  <si>
    <t>A621155</t>
  </si>
  <si>
    <t>ADMINISTRACIJA I UPRAVLJANJE AGENCIJE ZA ZNANOST I VISOKO OBRAZOVANJE</t>
  </si>
  <si>
    <t>A621179</t>
  </si>
  <si>
    <t>TROŠKOVI NACIONALNOG VIJEĆA ZA ZNANOST I VISOKO OBRAZOVANJE</t>
  </si>
  <si>
    <t>A621182</t>
  </si>
  <si>
    <t>VIJEĆE VELEUČILIŠTA I VISOKIH ŠKOLA</t>
  </si>
  <si>
    <t>A621186</t>
  </si>
  <si>
    <t>VREDNOVANJE ZNANSTVENIH ORGANIZACIJA</t>
  </si>
  <si>
    <t>A621187</t>
  </si>
  <si>
    <t>VREDNOVANJE VISOKIH UČILIŠTA</t>
  </si>
  <si>
    <t>A621190</t>
  </si>
  <si>
    <t>VANJSKA PROSUDBA SUSTAVA OSIGURANJA KVALITETE VISOKIH UČILIŠTA I ZNANSTVENIH ORGANIZACIJA (VP)</t>
  </si>
  <si>
    <t>A621191</t>
  </si>
  <si>
    <t>PRAĆENJE ZAPOŠLJAVANJA DIPLOMIRANIH STUDENATA</t>
  </si>
  <si>
    <t>A621192</t>
  </si>
  <si>
    <t>TROŠKOVI SREDIŠNJEG PRIJAVNOG UREDA</t>
  </si>
  <si>
    <t>A867002</t>
  </si>
  <si>
    <t>USKLAĐIVANJE PRISTUPA STRUKOVNOG VISOKOG OBRAZOVANJA U EUROPI - EURASHE</t>
  </si>
  <si>
    <t>A867004</t>
  </si>
  <si>
    <t>ODBOR ZA ETIKU U ZNANOSTI I VISOKOM OBRAZOVANJU</t>
  </si>
  <si>
    <t>A867009</t>
  </si>
  <si>
    <t>ERASMUS PLUS - MODERNIZACIJA VISOKIH UČILIŠTA PUTEM UNAPRJEĐENJA FUNKCIJE UPRAVLJANJA LJUDSKIM POTENCIJALIMA</t>
  </si>
  <si>
    <t>A867010</t>
  </si>
  <si>
    <t>MODERNIZACIJA, OBRAZOVANJE I LJUDSKA PRAVA (MEHR)</t>
  </si>
  <si>
    <t>A867013</t>
  </si>
  <si>
    <t>ERASMUS PLUS - BAZA PODATAKA REZULTATA VANJSKIH VREDNOVANJA</t>
  </si>
  <si>
    <t>A867014</t>
  </si>
  <si>
    <t>ERASMUS - JAČANJE MULTIPARTNERSKE SURADNJE U PRUŽANJU USLUGA CJELOŽIVOTNOG PROFESIONALNOG USMJERAVANJA - KEEP IN PACT</t>
  </si>
  <si>
    <t>A867015</t>
  </si>
  <si>
    <t>ERASMUS PLUS - ALOCIRANJE KREDITNIH BODOVA U EUROPSKIM STRUČNIM PROGRAMIMA - ACEPT</t>
  </si>
  <si>
    <t>A867016</t>
  </si>
  <si>
    <t>ERASMUS PLUS - KATALOG ONLINE PROGRAMA I BAZE PODATAKA ZA VIDLJIVOST I PRIZNAVANJE -OCTRA</t>
  </si>
  <si>
    <t>A867017</t>
  </si>
  <si>
    <t>ERASMUS PLUS - AUTOMATSKO PRIZNAVANJE U JADRANSKOJ REGIJI - ADREN</t>
  </si>
  <si>
    <t>A867018</t>
  </si>
  <si>
    <t>PRIMJENA HRVATSKOG KVALIFIKACIJSKOG OKVIRA U VISOKOM OBRAZOVANJU</t>
  </si>
  <si>
    <t>K621178</t>
  </si>
  <si>
    <t>OPREMANJE I UREĐENJE AGENCIJE ZA ZNANOST I VISOKO OBRAZOVANJE</t>
  </si>
  <si>
    <t>K621194</t>
  </si>
  <si>
    <t>NACIONALNI INFORMACIJSKI SUSTAV PRIJAVA NA VISOKA UČILIŠTA - NISpVU</t>
  </si>
  <si>
    <t>K867008</t>
  </si>
  <si>
    <t>A580046</t>
  </si>
  <si>
    <t>ADMINISTRACIJA I UPRAVLJANJE NACIONALNOG CENTRA ZA VANJSKO VREDNOVANJE OBRAZOVANJA</t>
  </si>
  <si>
    <t>A814000</t>
  </si>
  <si>
    <t>MEĐUNARODNI PROJEKTI VREDNOVANJA ZNANJA I VJEŠTINA (IEA: ICCS, ICILS, PIRLS, TIMSS - OECD: PISA, TALIS)</t>
  </si>
  <si>
    <t>A814001</t>
  </si>
  <si>
    <t>DRŽAVNA MATURA</t>
  </si>
  <si>
    <t>A814003</t>
  </si>
  <si>
    <t>NACIONALNI ISPITI</t>
  </si>
  <si>
    <t>A814007</t>
  </si>
  <si>
    <t>UNAPREĐENJE KVALITETE OBRAZOVNOG SUSTAVA</t>
  </si>
  <si>
    <t>K814011</t>
  </si>
  <si>
    <t>OP UČINKOVITI LJUDSKI POTENCIJALI, PRIORITET 10</t>
  </si>
  <si>
    <t>K814012</t>
  </si>
  <si>
    <t>OP UČNIKOVITI LJUDSKI POTENCIJALI 2014.-2020., PRIORITET 3</t>
  </si>
  <si>
    <t>A589088</t>
  </si>
  <si>
    <t>ADMINISTRACIJA I UPRAVLJANJE AGENCIJE ZA MOBILNOST I EU PROGRAME</t>
  </si>
  <si>
    <t>A589091</t>
  </si>
  <si>
    <t>DJELATNOST HRVATSKE MREŽE ZA MOBILNOST ISTRAŽIVAČA (FP7 Ad hoc-2007-13)</t>
  </si>
  <si>
    <t>A818017</t>
  </si>
  <si>
    <t>PROVOĐENJE MREŽNIH PROJEKATA IZ OBZOR 2020.PROGRAMA</t>
  </si>
  <si>
    <t>A818022</t>
  </si>
  <si>
    <t>PROVEDBA EUROPASS INICIJATIVE</t>
  </si>
  <si>
    <t>A818023</t>
  </si>
  <si>
    <t>PROVEDBA EURODESK MREŽE</t>
  </si>
  <si>
    <t>A818024</t>
  </si>
  <si>
    <t>PROVEDBA E-TWINNING MREŽE</t>
  </si>
  <si>
    <t>A818025</t>
  </si>
  <si>
    <t>PROVEDBA EUROGUIDANCE MREŽE</t>
  </si>
  <si>
    <t>A818032</t>
  </si>
  <si>
    <t>STRUČNA SKUPINA ZA ECVET</t>
  </si>
  <si>
    <t>A818033</t>
  </si>
  <si>
    <t>ZNANSTVENA I VISOKOŠKOLSKA MOBILNOST</t>
  </si>
  <si>
    <t>A818042</t>
  </si>
  <si>
    <t>OBZOR EUROPA I MOBILNOST ISTRAŽIVAČA</t>
  </si>
  <si>
    <t>A818043</t>
  </si>
  <si>
    <t>ERASMUS PLUS PROVEDBA PROGRAMA OD 2014. DO 2020.</t>
  </si>
  <si>
    <t>A818044</t>
  </si>
  <si>
    <t>ERASMUS PLUS – PROJEKTI ZA KORISNIKE OBRAZOVANJE OD 2014. DO 2020.</t>
  </si>
  <si>
    <t>A818045</t>
  </si>
  <si>
    <t>ERASMUS PLUS – PROJEKTI ZA KORISNIKE MLADI OD 2014. DO 2020.</t>
  </si>
  <si>
    <t>A818055</t>
  </si>
  <si>
    <t>PORTAL STUDY IN CROATIA</t>
  </si>
  <si>
    <t>A818058</t>
  </si>
  <si>
    <t>EUROPSKE SNAGE SOLIDARNOSTI PROVEDBA PROGRAMA 2018. DO 2020.</t>
  </si>
  <si>
    <t>A818059</t>
  </si>
  <si>
    <t>EUROPSKE SNAGE SOLIDARNOSTI - PROJEKTI ZA KORISNIKE OD 2018. DO 2020.</t>
  </si>
  <si>
    <t>A818060</t>
  </si>
  <si>
    <t>EURYDICE EUROPSKA MREŽA ZA PODATKE I ANALIZE O SUSTAVIMA OBRAZOVANJA</t>
  </si>
  <si>
    <t>A818061</t>
  </si>
  <si>
    <t>ERASMUS PLUS - SUFINANCIRANJE – DIO PROVEDBE MLADI</t>
  </si>
  <si>
    <t>A818063</t>
  </si>
  <si>
    <t>EUROPSKE SNAGE SOLIDARNOSTI - PROJEKTI ZA KORISNIKE OD 2021. DO 2027.</t>
  </si>
  <si>
    <t>A818064</t>
  </si>
  <si>
    <t>ERASMUS - PROJEKTI  ZA KORISNIKE OBRAZOVANJE OD 2021. DO 2027.</t>
  </si>
  <si>
    <t>A818065</t>
  </si>
  <si>
    <t>ERASMUS - PROJEKTI ZA KORISNIKE MLADI OD 2021. DO 2027.</t>
  </si>
  <si>
    <t>A818070</t>
  </si>
  <si>
    <t>PROVEDBA EUROPASS I EUROGUIDANCE</t>
  </si>
  <si>
    <t>A818071</t>
  </si>
  <si>
    <t>VET RADNA SKUPINA</t>
  </si>
  <si>
    <t>A848001</t>
  </si>
  <si>
    <t>ADMINISTRACIJA I UPRAVLJANJE AGENCIJE ZA STRUKOVNO OBRAZOVANJE I  OBRAZOVANJE ODRASLIH</t>
  </si>
  <si>
    <t>A848009</t>
  </si>
  <si>
    <t>PROMICANJE KULTURE UČENJA: TJEDAN CJELOŽIVOTNOG UČENJA</t>
  </si>
  <si>
    <t>A848010</t>
  </si>
  <si>
    <t>STRUČNO SAVJETODAVNA DJELATNOST</t>
  </si>
  <si>
    <t>A848014</t>
  </si>
  <si>
    <t>RAZVOJ SUSTAVA STRUKOVNOG OBRAZOVANJA</t>
  </si>
  <si>
    <t>A848018</t>
  </si>
  <si>
    <t>DRŽAVNA NATJECANJA</t>
  </si>
  <si>
    <t>A848020</t>
  </si>
  <si>
    <t>A848023</t>
  </si>
  <si>
    <t>REFERNET U REPUBLICI HRVATSKOJ</t>
  </si>
  <si>
    <t>A848039</t>
  </si>
  <si>
    <t>NACIONALNA REFERENTNA TOČKA ZA EUROPSKI SUSTAV OSIGURANJA KVALITETE U STRUKOVNOM OBRAZOVANJU I OSPOSOBLJAVANJU - EQAVET NRP</t>
  </si>
  <si>
    <t>A848041</t>
  </si>
  <si>
    <t>ERASMUS PLUS - PROVEDBA ISTRAŽIVANJA KOMPETENCIJA ODRASLIH OSOBA U REPUBLICI HRVATSKOJ - PIAAC HRVATSKA</t>
  </si>
  <si>
    <t>A848042</t>
  </si>
  <si>
    <t>EPALE - NACIONALNA SLUŽBA ZA PODRŠKU ZA REPUBLIKU HRVATSKU 2019.-2020. (EPALE IV)</t>
  </si>
  <si>
    <t>A848043</t>
  </si>
  <si>
    <t>ERASMUS PLUS - UNAPREĐENJE VJEŠTINA U STRUKOVNOM OBRAZOVANJU I OSPOSOBLJAVANJU - IMPROVET</t>
  </si>
  <si>
    <t>A848045</t>
  </si>
  <si>
    <t>ERASMUS PLUS - KA2 - TRENING ZA VJEŠTINE U VIRTUALNOM OKRUŽENJU</t>
  </si>
  <si>
    <t>A848046</t>
  </si>
  <si>
    <t>ERASMUS PLUS - PILOTIRANJE VIRTUALNOG PRAKTIČNOG TEČAJA ZA KUHARSTVO U STRUKOVNOM OBRAZOVANJU</t>
  </si>
  <si>
    <t>A848047</t>
  </si>
  <si>
    <t>ERASMUS PLUS - KA - INKLUZIVNO DIGITALNO UČENJE U SVRHU SPREČAVANJA NAPUŠTANJA ŠKOLOVANJA U STRUKOVNOM OBRAZOVANJU I OSPOSOBLJAVANJU - 2BDIGITAL</t>
  </si>
  <si>
    <t>A848048</t>
  </si>
  <si>
    <t>EPALE - NACIONALNA SLUŽBA ZA PODRŠKU ZA REPUBLIKU HRVATSKU 2022.-2024. (EPALE V)</t>
  </si>
  <si>
    <t>K848038</t>
  </si>
  <si>
    <t>T848027</t>
  </si>
  <si>
    <t>OP UČINKOVITI LJUDSKI POTENCIJALI 2014. - 2020., PRIORITET 5</t>
  </si>
  <si>
    <t>A578069</t>
  </si>
  <si>
    <t>ADMINISTRACIJA I UPRAVLJANJE HRVATSKE ZAKLADE ZA ZNANOST</t>
  </si>
  <si>
    <t>A578071</t>
  </si>
  <si>
    <t>OBZOR ERA-NET QUANTERA</t>
  </si>
  <si>
    <t>A578072</t>
  </si>
  <si>
    <t>OBZOR ERA-NET CHANSE</t>
  </si>
  <si>
    <t>A733070</t>
  </si>
  <si>
    <t>OBZOR ERA-NET QUANTERA II</t>
  </si>
  <si>
    <t>A733071</t>
  </si>
  <si>
    <t>OBZOR ERA-NET BLUEBIOECONOMY</t>
  </si>
  <si>
    <t>A733072</t>
  </si>
  <si>
    <t>OBZOR ERA-NET PROGRAMI I PARTNERSTVA</t>
  </si>
  <si>
    <t>K733069</t>
  </si>
  <si>
    <t>EU PODPROJEKTI - rashodi</t>
  </si>
  <si>
    <t>AKTIVNOST/PODPROJEKT
(odaberite)</t>
  </si>
  <si>
    <t>NAZIV NOVOG PODPROJEKTA</t>
  </si>
  <si>
    <t xml:space="preserve">Vrijedi od: </t>
  </si>
  <si>
    <t xml:space="preserve">Vrijedi do: </t>
  </si>
  <si>
    <t>TKO JE UPLATITELJ SREDSTAVA ZA EU PROJEKT</t>
  </si>
  <si>
    <t>OPIS PODPROJEKTA</t>
  </si>
  <si>
    <t>NOVI PODPROJEKT</t>
  </si>
  <si>
    <t>DigSea</t>
  </si>
  <si>
    <t>01.01.2023.</t>
  </si>
  <si>
    <t>A679072.041</t>
  </si>
  <si>
    <t>30.06.2023.</t>
  </si>
  <si>
    <t>Stiching STC Group, Netherland</t>
  </si>
  <si>
    <t>K578051.001</t>
  </si>
  <si>
    <t>Znanstveno i tehnologijsko predviđanje</t>
  </si>
  <si>
    <t>K578051.002</t>
  </si>
  <si>
    <t>Ulaganje u znanost i inovacije (SIIF)</t>
  </si>
  <si>
    <t>K578051.003</t>
  </si>
  <si>
    <t>Jačanje kapaciteta za istraživanje, razvoj i inovacije (STRIP)</t>
  </si>
  <si>
    <t>A679072.085</t>
  </si>
  <si>
    <t>Corila - consortium for the coordination of research activites, Venezia, Italy</t>
  </si>
  <si>
    <t>K578051.004</t>
  </si>
  <si>
    <t>Ulaganje u organizacijsku reformu i infrastrukturu sektora istraživanja, razvoja i inovacija</t>
  </si>
  <si>
    <t>K578051.005</t>
  </si>
  <si>
    <t>Veliki projekt: ˝Dječji centar za translacijsku medicinu˝ Dječje bolnice Srebrnjak</t>
  </si>
  <si>
    <t>K578051.006</t>
  </si>
  <si>
    <t>Priprema IRI infrastrukturnih projekata</t>
  </si>
  <si>
    <t>K578051.008</t>
  </si>
  <si>
    <t>Poziv Centri kompetencija</t>
  </si>
  <si>
    <t>A679072.084</t>
  </si>
  <si>
    <t>Segretario executivo, Italy</t>
  </si>
  <si>
    <t>K578051.009</t>
  </si>
  <si>
    <t>Tehnička pomoć za MZO</t>
  </si>
  <si>
    <t>K818050.001</t>
  </si>
  <si>
    <t>Osiguravanje pomoćnika u nastavi i stručnih komunikacijskih posrednika učenicima s teškoćama u razvoju u osnovnoškolskim i srednjoškolskim odgojno-obrazovnim ustanovama - faza III</t>
  </si>
  <si>
    <t>K818050.003</t>
  </si>
  <si>
    <t>Unapređenje pismenosti u svrhu promocije cjeloživotnog učenja</t>
  </si>
  <si>
    <t>A679072.128</t>
  </si>
  <si>
    <t>31.05.2023.</t>
  </si>
  <si>
    <t>Ministarstvo mora, prometa i infrastrukture</t>
  </si>
  <si>
    <t>K818050.004</t>
  </si>
  <si>
    <t>Podrška obrazovanju odraslih polaznika uključivanjem u prioritetne programe obrazovanja, usmjerene unapređenju vještina i kompetencija polaznika u svrhu povećanja zapošljivosti</t>
  </si>
  <si>
    <t>K818050.005</t>
  </si>
  <si>
    <t>Programska,stručna i financijska podrška obrazovanju učenika romske nacionalne manjine</t>
  </si>
  <si>
    <t>Fond solidarnosti Europske unije</t>
  </si>
  <si>
    <t>K818050.006</t>
  </si>
  <si>
    <t>Internacionalizacija visokog obrazovanja - razvoj studijskih programa na stranim jezicima u prioritetnim područjima i združenih studija</t>
  </si>
  <si>
    <t>K818050.007</t>
  </si>
  <si>
    <t>Provedba HKO-a na razini visokog obrazovanja</t>
  </si>
  <si>
    <t>K818050.008</t>
  </si>
  <si>
    <t>Razvoj, unapređenje i provedba stručne prakse u visokom obrazovanju</t>
  </si>
  <si>
    <t>A679072.095</t>
  </si>
  <si>
    <t>01.03.2023.</t>
  </si>
  <si>
    <t>Smart Ri d.o.o. Hrvatska</t>
  </si>
  <si>
    <t>K818050.009</t>
  </si>
  <si>
    <t>Sufinanciranje troškova uključivanja djece  u socio-ekonomski nepovoljnoj situaciji u predškolske ustanove</t>
  </si>
  <si>
    <t>K818050.010</t>
  </si>
  <si>
    <t>Unapređenje kvalitete obrazovanja odraslih kroz razvoj i provedbu HKO-a</t>
  </si>
  <si>
    <t>Namjenski primici od inozemnog zaduživanja</t>
  </si>
  <si>
    <t>K818050.011</t>
  </si>
  <si>
    <t>Uspostava regionalnih centara kompetencija u strukovnom obrazovanju u odabranim sektorima</t>
  </si>
  <si>
    <t>K818050.013</t>
  </si>
  <si>
    <t>Dodjela stipendija studentima nižeg socio-ekonomskog statusa</t>
  </si>
  <si>
    <t>A679072.115</t>
  </si>
  <si>
    <t>31.12.2023.</t>
  </si>
  <si>
    <t>Sveučište u  Dubrovniku</t>
  </si>
  <si>
    <t>K818050.014</t>
  </si>
  <si>
    <t>Dodjela stipendija studentima u prioritetnim područjima STEM</t>
  </si>
  <si>
    <t>K818050.015</t>
  </si>
  <si>
    <t>Projekt razvoja karijera mladih istraživača - izobrazba novih doktora znanosti</t>
  </si>
  <si>
    <t>K818050.016</t>
  </si>
  <si>
    <t>Program suradnje s hrvatskim znanstvenicima u dijaspori ''ZNANSTVENA SURADNJA''</t>
  </si>
  <si>
    <t>K679106.003</t>
  </si>
  <si>
    <t>pandora</t>
  </si>
  <si>
    <t>31.03.2023.</t>
  </si>
  <si>
    <t>MZO</t>
  </si>
  <si>
    <t>K818050.017</t>
  </si>
  <si>
    <t>Program razvoja karijera mladih znanstvenika – poslijedoktoranada</t>
  </si>
  <si>
    <t>K818050.019</t>
  </si>
  <si>
    <t>Uspostava i upravljanje Registrom HKO</t>
  </si>
  <si>
    <t>K818050.020</t>
  </si>
  <si>
    <t>Priprema i uvođenje programskih ugovora</t>
  </si>
  <si>
    <t>K818050.021</t>
  </si>
  <si>
    <t>Podrška provedbi cjelovite kurikularne reforme (CKR)</t>
  </si>
  <si>
    <t>K818050.022</t>
  </si>
  <si>
    <t>Podrška provedbi cjelovite kurikularne reforme (CKR) - faza II</t>
  </si>
  <si>
    <t>K818050.023</t>
  </si>
  <si>
    <t>MZO Tehnička pomoć OP ULJP faza I</t>
  </si>
  <si>
    <t>INNO2MARE HORIZON2020</t>
  </si>
  <si>
    <t>Sveučilište u Rijeci</t>
  </si>
  <si>
    <t>K818050.024</t>
  </si>
  <si>
    <t>Informatizacija procesa i uspostava cjelovite elektroničke usluge upisa u odgojne i obrazovne ustanove</t>
  </si>
  <si>
    <t>K818050.026</t>
  </si>
  <si>
    <t>Osiguravanje pomoćnika u nastavi i stručnih komunikacijskih posrednika učenicima s teškoćama u razvoju u osnovnoškolskim i srednjoškolskim odgojno-obrazovnim ustanovama - faza IV</t>
  </si>
  <si>
    <t>A679071.001</t>
  </si>
  <si>
    <t>ERASMUS+ projekt razvijanja i certificiranja nastavnog plana obrazovnog modula logistike na diplomskim studijima Sveučilišta u Osijeku</t>
  </si>
  <si>
    <t>HEALTHY SAILING HORIZON2020</t>
  </si>
  <si>
    <t>SPECIAL ACCOUNT FOR RESEARCH GRANTS UNIVERSITY OF THESSALY, Greece</t>
  </si>
  <si>
    <t>A679071.002</t>
  </si>
  <si>
    <t>ERASMUS+ projekt uvođenja novog kolegija u nastavni plan i program Ekonomskog fakulteta u Osijeku</t>
  </si>
  <si>
    <t>A679071.003</t>
  </si>
  <si>
    <t>ERASMUS+ projekt unaprjeđenja i promicanja telekomunikacijskog inženjeringa</t>
  </si>
  <si>
    <t>A679071.004</t>
  </si>
  <si>
    <t>ERASMUS + Ključna mjera 2: suradnja za inovacije i razmjena dobre prakse - e-ProfEng</t>
  </si>
  <si>
    <t>A679071.005</t>
  </si>
  <si>
    <t>ERASMUS+ projekt individualne mobilnosti nastavnog i nenastavnog osoblja kroz boravak na inozemnim ustanovama</t>
  </si>
  <si>
    <t>A679071.006</t>
  </si>
  <si>
    <t>ERASMUS+ projekt međukulturalne razmjene stručnih znanja u građevinarstvu</t>
  </si>
  <si>
    <t>SAFENAV HORIZON2020</t>
  </si>
  <si>
    <t>O.M. OFFSHORE MONITORING LIMITED, CYPRUS</t>
  </si>
  <si>
    <t>A679071.007</t>
  </si>
  <si>
    <t>ERASMUS+ projekt razvijanja pedagoških vještina kroz boravak na inozemnim ustanovama</t>
  </si>
  <si>
    <t>A679071.008</t>
  </si>
  <si>
    <t>Projekt energetske obnove zgrade - Strojarski fakultet Slavonski Brod</t>
  </si>
  <si>
    <t>A679071.009</t>
  </si>
  <si>
    <t>IPA AGRICULTURAL WASTE projekt poboljšanja konkurentnosti regionalnih ekonomskih subjekata u prekograničnom području</t>
  </si>
  <si>
    <t>A679071.010</t>
  </si>
  <si>
    <t>INTERREG IPA Ozelenjivanje gradova</t>
  </si>
  <si>
    <t>A679071.011</t>
  </si>
  <si>
    <t>ARDENT-Unapređenje ruralnog razvoja kroz poduzetničko obrazovanje za odrasle</t>
  </si>
  <si>
    <t>A679071.012</t>
  </si>
  <si>
    <t>EUFams II - Olakšavanje prekograničnog obiteljskog života</t>
  </si>
  <si>
    <t>A679071.013</t>
  </si>
  <si>
    <t>Zaštita otmičnih majki u postupku za povratak: Raskrižje između nasilja u obitelji i roditeljskog otmica djeteta</t>
  </si>
  <si>
    <t>A679071.014</t>
  </si>
  <si>
    <t>INTERREG IPA CBC Hrvatska - Srbija</t>
  </si>
  <si>
    <t>A679071.017</t>
  </si>
  <si>
    <t>INTERREG Rescue</t>
  </si>
  <si>
    <t>A679071.018</t>
  </si>
  <si>
    <t>ERAMCA-Procjena ekološkog rizika i ublažavanje imovine kulturne baštine u Srednjoj Aziji</t>
  </si>
  <si>
    <t>A679071.019</t>
  </si>
  <si>
    <t>Znanstveni centar izvrsnosti personalizirana briga o zdravlju</t>
  </si>
  <si>
    <t>A679071.021</t>
  </si>
  <si>
    <t>Potpora za očuvanje, održivo korištenje i razvoj genetskih izvora u poljoprivredi</t>
  </si>
  <si>
    <t>A679071.022</t>
  </si>
  <si>
    <t>Izvrsnost i učinkovitost u visokom obrazovanju u polju ekonomije (E4)</t>
  </si>
  <si>
    <t>A679071.023</t>
  </si>
  <si>
    <t>Unaprjeđenje kvalitete studiranja na pravnim fakultetima u Hrvatskoj</t>
  </si>
  <si>
    <t>A679071.024</t>
  </si>
  <si>
    <t>Projekt razvoja karijere mladih istraživača - izobrazba novih doktora znanosti</t>
  </si>
  <si>
    <t>A679071.025</t>
  </si>
  <si>
    <t>IRI PROJEKT - AGROSIMPA</t>
  </si>
  <si>
    <t>A679071.026</t>
  </si>
  <si>
    <t>IPA INTERREG CBC ESTABLISHING DEVELOPMENT OF SUSTAINABLE CROSS BORDER CLUSTERS</t>
  </si>
  <si>
    <t>A679071.027</t>
  </si>
  <si>
    <t>APPLERESIST</t>
  </si>
  <si>
    <t>A679071.028</t>
  </si>
  <si>
    <t>BIO4FEED PARTNER</t>
  </si>
  <si>
    <t>A679071.029</t>
  </si>
  <si>
    <t>AGROEKOTEH HAPIH</t>
  </si>
  <si>
    <t>A679071.030</t>
  </si>
  <si>
    <t>ERASMUS K2 - FAKULTET AGROBIOTEHNIČKIH ZNANOSTI OSIJEK</t>
  </si>
  <si>
    <t>A679071.031</t>
  </si>
  <si>
    <t>TRAIN -CE-FOOD</t>
  </si>
  <si>
    <t>A679071.033</t>
  </si>
  <si>
    <t>HKO na razini visokog obrazovanja</t>
  </si>
  <si>
    <t>A679071.034</t>
  </si>
  <si>
    <t>Jean Monnet Module  Language and EU Law Excellence</t>
  </si>
  <si>
    <t>A679071.035</t>
  </si>
  <si>
    <t>ICT u poljoprivrednim znanostima</t>
  </si>
  <si>
    <t>A679071.036</t>
  </si>
  <si>
    <t>ERASMUS+GAMe based learning in MAthematics</t>
  </si>
  <si>
    <t>A679071.037</t>
  </si>
  <si>
    <t>EU Contemporary Puppetry Critical Platform</t>
  </si>
  <si>
    <t>A679071.038</t>
  </si>
  <si>
    <t>Istraživanje i razvoj inovativne funkcionalne hrane za pčele radi povećanja efikasnosti globalne pčelarske proizvodnje.</t>
  </si>
  <si>
    <t>A679071.039</t>
  </si>
  <si>
    <t>Bioproscpecting Jadranskog mora</t>
  </si>
  <si>
    <t>A679071.043</t>
  </si>
  <si>
    <t>Helping Kids! Promoting Positive Intergroup Relations and Peacebuilding in Divided Societies</t>
  </si>
  <si>
    <t>A679071.044</t>
  </si>
  <si>
    <t>Mobility and Inclusion in Multilingual Europe</t>
  </si>
  <si>
    <t>A679071.045</t>
  </si>
  <si>
    <t>Kompetencijski standardi nastavnika, pedagoga i mentora</t>
  </si>
  <si>
    <t>A679071.048</t>
  </si>
  <si>
    <t>Treasure- OBZOR 2020 (Obzor 2020- horizon projket TreasureDiversity of local pig breeds and production systems for high quality traditional products and sustainable pork chains"Ugovaratelj Kmetijski institut Slovenije)</t>
  </si>
  <si>
    <t>A679071.049</t>
  </si>
  <si>
    <t>Digital Education for Crisis Situations: Times when there is no alternative (DECriS)</t>
  </si>
  <si>
    <t>A679071.050</t>
  </si>
  <si>
    <t>HRZZ Vlakna i proteini kao osnova za razvoj novih bioaktivnih dodataka hrani (ESF)</t>
  </si>
  <si>
    <t>A679071.051</t>
  </si>
  <si>
    <t>CUVid – Curriculum Video Erasmus +</t>
  </si>
  <si>
    <t>A679071.052</t>
  </si>
  <si>
    <t>Modern logistics learning: Certified module on master study level</t>
  </si>
  <si>
    <t>A679071.053</t>
  </si>
  <si>
    <t>VIRTUALS - VIRTUAL VISITING PROFESSORS ERASMUS +</t>
  </si>
  <si>
    <t>A679071.054</t>
  </si>
  <si>
    <t>CroViZone  - Prilagodba vinogradarskih zona RH klimatskim promjenama Operativni program Konkurentnost i kohezija</t>
  </si>
  <si>
    <t>A679071.055</t>
  </si>
  <si>
    <t>Istraživanje i razvoj samoizbijajućeg betona za 3D printer s dodatkom pepela</t>
  </si>
  <si>
    <t>A679071.056</t>
  </si>
  <si>
    <t>'Erasmus + 'Time to Become Digital in Law - DIGinLAW</t>
  </si>
  <si>
    <t>A679071.058</t>
  </si>
  <si>
    <t>CSI: CustomDigiTeach-društveni utjecaj prilagođenim formatima poučavanja</t>
  </si>
  <si>
    <t>A679071.059</t>
  </si>
  <si>
    <t>VirtuOS-uspostava regionalnog centra kompetentnosti u sektoru turizma i ugostiteljstva</t>
  </si>
  <si>
    <t>A679071.060</t>
  </si>
  <si>
    <t>HRZZ PROJEKT -DOKTORANDI BIOTEHNIČKIH ZNANOSTI</t>
  </si>
  <si>
    <t>A679071.061</t>
  </si>
  <si>
    <t>DATACROSS–Napredne metode i tehnologije u znanosti o podacima i kooperativnim sustavima</t>
  </si>
  <si>
    <t>A679071.062</t>
  </si>
  <si>
    <t>EUROCC - konzorcijski sporazum o suradnji (EuroHPC) na projektu stvaranja nacionalnih centara kompetencije</t>
  </si>
  <si>
    <t>A679071.063</t>
  </si>
  <si>
    <t>Erasmus+DECriS European Summer School on Information Science 2021</t>
  </si>
  <si>
    <t>A679071.064</t>
  </si>
  <si>
    <t>RCK VirtuOS-regionalni centri kompetentnosti (RCK) u sektoru turizma i ugostiteljstva</t>
  </si>
  <si>
    <t>A679071.065</t>
  </si>
  <si>
    <t>Prilagodba mjera kontrole populacije komaraca zbog klimatskih promjena u RH</t>
  </si>
  <si>
    <t>A679071.066</t>
  </si>
  <si>
    <t>A679072.001</t>
  </si>
  <si>
    <t>ERASMUS+ projekt razvoja prometnih modaliteta kod trajekata i putničkih brodova</t>
  </si>
  <si>
    <t>A679072.002</t>
  </si>
  <si>
    <t>INTERREG DIGILOGOS projekt digitalizacije logistike multimodalnog teretnog i putničkog transporta Italije i Hrvatske</t>
  </si>
  <si>
    <t>A679072.003</t>
  </si>
  <si>
    <t>ERASMUS+ projekt ujednačavanja standarda kvalifikacija za zvanja u unutarnjoj plovidbi na razini EU</t>
  </si>
  <si>
    <t>A679072.004</t>
  </si>
  <si>
    <t>INTERREG ECOSUSTAIN projekt unaprjeđenja upravljanja zaštićenim područjima uvođenjem novih ICT tehnologija</t>
  </si>
  <si>
    <t>A679072.005</t>
  </si>
  <si>
    <t>ERASMUS+ACTS+ on line projekt izrade platforme za učenje COLREGS-a u pomorstvu</t>
  </si>
  <si>
    <t>A679072.006</t>
  </si>
  <si>
    <t>ERASMUS+ SKILLS ON BORD projekt edukacije voditelja brodica i zapovjednika jahti</t>
  </si>
  <si>
    <t>A679072.007</t>
  </si>
  <si>
    <t>ERASMUS+ SKILLS projekt definiranja modula zanimanja na tržištu rada na kopnu po završetku karijere na brodovima</t>
  </si>
  <si>
    <t>A679072.008</t>
  </si>
  <si>
    <t>INTERREG DEEPSEA projekt razvoja sustava upravljanja i inovativnih usluga za nautičare u lukama temeljenih na obnovljivim izvorima energije</t>
  </si>
  <si>
    <t>A679072.009</t>
  </si>
  <si>
    <t>INTERREG E-CHAIN projekt izrade modularnog softvera  za poboljšanje povezanosti i uskladu podataka Jadranske Intermodalne Mreže</t>
  </si>
  <si>
    <t>A679072.010</t>
  </si>
  <si>
    <t>INTERREG PROMARES projekt unaprjeđenja suradnje u logistici pomorskog i multimodalnog teretnog prometa za sve luke</t>
  </si>
  <si>
    <t>A679072.011</t>
  </si>
  <si>
    <t>ERASMUS+ LOGIN projekt pripreme stvaranja sustava kvalifikacija i programa za izobrazbu kadrova u logistici</t>
  </si>
  <si>
    <t>A679072.014</t>
  </si>
  <si>
    <t>Projekt Europskog društva za izučavanje traumatskog stresa</t>
  </si>
  <si>
    <t>A679072.015</t>
  </si>
  <si>
    <t>ERASMUS+ projekt jačanja kapaciteta za izučavanje medicine boli u zemljama zapadnog Balkana</t>
  </si>
  <si>
    <t>A679072.017</t>
  </si>
  <si>
    <t>H2020 PIXEL Učinkovito korištenje resursa, održivi razvoj i zeleni rast luka i okolnih gradova</t>
  </si>
  <si>
    <t>A679072.018</t>
  </si>
  <si>
    <t>Wom@rts projekt promicanja razvoja svijesti o ravnopravnosti spolova kroz transnacionalnu mrežu i platformu</t>
  </si>
  <si>
    <t>A679072.021</t>
  </si>
  <si>
    <t>ERASMUS+ TEFCE Prema europskom okviru za angažiranje visokog obrazovanja u zajednici</t>
  </si>
  <si>
    <t>A679072.023</t>
  </si>
  <si>
    <t>INTERREG ADRIREEF Istraživanje potencijala grebena u Jadranskom moru s ciljem jačanja Plave ekonomije</t>
  </si>
  <si>
    <t>A679072.024</t>
  </si>
  <si>
    <t>ERASMUS+ Projekt Interaktivni tečaj za teoriju kontrole (ICCT) 2018-1-SI01-KA203-047081</t>
  </si>
  <si>
    <t>A679072.025</t>
  </si>
  <si>
    <t>HORIZON 2020-MSCA-ITN-2019 - THREAD</t>
  </si>
  <si>
    <t>A679072.026</t>
  </si>
  <si>
    <t>ERASMUS + SWARM PROJEKT</t>
  </si>
  <si>
    <t>A679072.027</t>
  </si>
  <si>
    <t>H2020 Financijski nadzor i tehnološka usklađenost</t>
  </si>
  <si>
    <t>A679072.028</t>
  </si>
  <si>
    <t>Transformativni turizam u europskoj prijestolnici kulture</t>
  </si>
  <si>
    <t>A679072.029</t>
  </si>
  <si>
    <t>ManuFacturing model upravljanja i osposobljavanja za industriju 4.0 u Jadransko-jonskoj regiji</t>
  </si>
  <si>
    <t>A679072.031</t>
  </si>
  <si>
    <t>INTERREG SLO-HR MITSKI PARK, FMTU-Kozina</t>
  </si>
  <si>
    <t>A679072.032</t>
  </si>
  <si>
    <t>INTERREG ITA-HR ADRIAAQUANET,Sv. Udine</t>
  </si>
  <si>
    <t>A679072.035</t>
  </si>
  <si>
    <t>Modernizacija master programa</t>
  </si>
  <si>
    <t>A679072.037</t>
  </si>
  <si>
    <t>Povećavanje i proširenje odgovora T-stanica na glioblastoma</t>
  </si>
  <si>
    <t>A679072.039</t>
  </si>
  <si>
    <t>HERA - Zdravstvo kao javni prostor: Socijalna integracija i socijalna raznolikost u kontekstu pristupa zdravstvenoj skrbi u Europi</t>
  </si>
  <si>
    <t>A679072.040</t>
  </si>
  <si>
    <t>VALUECARE - METODOLOGIJA NA VRIJEDNOSTI ZA INTEGRIRANU NjEGU PODRUČENA IcT-om</t>
  </si>
  <si>
    <t>ERASMUS+ SKILLSEA</t>
  </si>
  <si>
    <t>A679072.042</t>
  </si>
  <si>
    <t>Umjetnička i humanistička poduzetnička središta</t>
  </si>
  <si>
    <t>A679072.043</t>
  </si>
  <si>
    <t>ERASMUS + Coding4girls</t>
  </si>
  <si>
    <t>A679072.044</t>
  </si>
  <si>
    <t>ERASMUS +LANGUIDE</t>
  </si>
  <si>
    <t>A679072.045</t>
  </si>
  <si>
    <t>INTERREG Sigurno sidrenje i zaštita morske trave u Jadranskom moru-SASPAS</t>
  </si>
  <si>
    <t>A679072.046</t>
  </si>
  <si>
    <t>SPEAR - Podržavanje i implantacija planova za rodnu ravnopravnost u istraživanju</t>
  </si>
  <si>
    <t>A679072.049</t>
  </si>
  <si>
    <t>PROMEHS</t>
  </si>
  <si>
    <t>A679072.050</t>
  </si>
  <si>
    <t>ERASMUS + Digitalna društvena inovacija: nove obrazovne kompetencije za socijalnu uključenost</t>
  </si>
  <si>
    <t>A679072.051</t>
  </si>
  <si>
    <t>HKO-Dig IT - Izrada standarda zanimanja i standarda kvalifikacija u djelatnostima računarstva</t>
  </si>
  <si>
    <t>A679072.052</t>
  </si>
  <si>
    <t>HKO-ELE Primjena Hrvatskog kvalifikacijskog okvira za sveučilišne studijske programe u području elektrotehnike</t>
  </si>
  <si>
    <t>A679072.053</t>
  </si>
  <si>
    <t>Novi koncepti vektora citomegaloviralnog cjepiva</t>
  </si>
  <si>
    <t>A679072.054</t>
  </si>
  <si>
    <t>Rješavanje m04 paradoksa: Izbjegavanje samo-prepoznavanja koji nedostaje i ubijanje CD8 T stanica MAT uORF</t>
  </si>
  <si>
    <t>A679072.055</t>
  </si>
  <si>
    <t>PROLOG   (HOK projekt)</t>
  </si>
  <si>
    <t>A679072.056</t>
  </si>
  <si>
    <t>GLAT-Igre za učenje algoritamskog mišljenja</t>
  </si>
  <si>
    <t>A679072.057</t>
  </si>
  <si>
    <t>DIP2Future: Razvoj obrazovnih programa, standarda kvalifikacije i standarda zanimanja iz područja IKT-a u skladu s HKO-om</t>
  </si>
  <si>
    <t>A679072.058</t>
  </si>
  <si>
    <t>Veleri- OI IoT School: Razvoj racionalnog obrazovnog programa</t>
  </si>
  <si>
    <t>A679072.059</t>
  </si>
  <si>
    <t>Bioprospecting Jadranskog mora</t>
  </si>
  <si>
    <t>A679072.060</t>
  </si>
  <si>
    <t>SEEYW - Podržavanje obrazovanja mladih radnika</t>
  </si>
  <si>
    <t>A679072.061</t>
  </si>
  <si>
    <t>Turistička valorizacija reprezentativnih spomenika riječke industrijske baštine</t>
  </si>
  <si>
    <t>A679072.062</t>
  </si>
  <si>
    <t>ERASMUS + 2019. Mobilnost studenata i osoblja između programskih i partnerskih zemalja (KA107)</t>
  </si>
  <si>
    <t>A679072.063</t>
  </si>
  <si>
    <t>CEKOM Podrška razvoju centara kompetencija</t>
  </si>
  <si>
    <t>A679072.065</t>
  </si>
  <si>
    <t>Industrijska baština</t>
  </si>
  <si>
    <t>A679072.067</t>
  </si>
  <si>
    <t>DATACROSS – Napredne metode i tehnologije u znanosti o podatcima i kooperativnim sustavima</t>
  </si>
  <si>
    <t>A679072.068</t>
  </si>
  <si>
    <t>KLIMOD</t>
  </si>
  <si>
    <t>A679072.069</t>
  </si>
  <si>
    <t>Capacity Building of BLUE Economy Stakeholders to Effectively use CROWFUNDING</t>
  </si>
  <si>
    <t>A679072.070</t>
  </si>
  <si>
    <t>Provedba HKO-a na razini visokog obrazovanja - EFRI</t>
  </si>
  <si>
    <t>A679072.071</t>
  </si>
  <si>
    <t>Social and Creative - EFRI</t>
  </si>
  <si>
    <t>A679072.072</t>
  </si>
  <si>
    <t>MI – jučer, danas, sutra</t>
  </si>
  <si>
    <t>A679072.073</t>
  </si>
  <si>
    <t>RCK PECEPT - REG. CENTAR PROFESIJA U TURIZMU</t>
  </si>
  <si>
    <t>A679072.074</t>
  </si>
  <si>
    <t>RECEZA-REGIONALNI CENTAR ZABOK</t>
  </si>
  <si>
    <t>A679072.075</t>
  </si>
  <si>
    <t>ERASMUS+ CAMPMASTER, SVEUČILIŠTE U RIJECI</t>
  </si>
  <si>
    <t>A679072.076</t>
  </si>
  <si>
    <t>Train to enforce — Train 2 EN4CE’</t>
  </si>
  <si>
    <t>A679072.077</t>
  </si>
  <si>
    <t>A679072.078</t>
  </si>
  <si>
    <t>Menage a trois: Neuro-endocrino-immune regulation of metabolic homeostasis</t>
  </si>
  <si>
    <t>A679072.079</t>
  </si>
  <si>
    <t>Razvoj inovativnog brzog testa za dijagnozu subkliničkog mastitisa u mliječnih krava</t>
  </si>
  <si>
    <t>A679072.080</t>
  </si>
  <si>
    <t>Rino sprej</t>
  </si>
  <si>
    <t>A679072.081</t>
  </si>
  <si>
    <t>ERASMUS+ COMPETING</t>
  </si>
  <si>
    <t>A679072.082</t>
  </si>
  <si>
    <t>INTERREG  PSAMIDES</t>
  </si>
  <si>
    <t>INTERREG MIMOSA</t>
  </si>
  <si>
    <t>INTERREG FRAMEWORK</t>
  </si>
  <si>
    <t>A679072.086</t>
  </si>
  <si>
    <t>Infant Theory of Mind-H2020-MSCA-IF-2017</t>
  </si>
  <si>
    <t>A679072.087</t>
  </si>
  <si>
    <t>MindBot</t>
  </si>
  <si>
    <t>A679072.089</t>
  </si>
  <si>
    <t>YUFE (The Young Universities for the Future of Europe)</t>
  </si>
  <si>
    <t>A679072.090</t>
  </si>
  <si>
    <t>DIOSI - Developing and implementing hands-on training on Open Science and Open Innovation for Early Career Researchers</t>
  </si>
  <si>
    <t>A679072.091</t>
  </si>
  <si>
    <t>YUFERING - YUFE Transforming Research and Innovation through Europe-wide Knowledge Transfer</t>
  </si>
  <si>
    <t>A679072.092</t>
  </si>
  <si>
    <t>Measuring the Social Dimension of Culture (MESOC)</t>
  </si>
  <si>
    <t>A679072.094</t>
  </si>
  <si>
    <t>INTERREG InnovaMare projekt</t>
  </si>
  <si>
    <t>CEKOM Smart City.4DII</t>
  </si>
  <si>
    <t>A679072.096</t>
  </si>
  <si>
    <t>THEY LIVE Student lives revealed through context-based art practices</t>
  </si>
  <si>
    <t>A679072.097</t>
  </si>
  <si>
    <t>ALGOLITTLE</t>
  </si>
  <si>
    <t>A679072.100</t>
  </si>
  <si>
    <t>ORG BIO</t>
  </si>
  <si>
    <t>A679072.101</t>
  </si>
  <si>
    <t>In Math</t>
  </si>
  <si>
    <t>A679072.104</t>
  </si>
  <si>
    <t>Sustainable service - FFRI</t>
  </si>
  <si>
    <t>A679072.105</t>
  </si>
  <si>
    <t>MEHR- Modernity, Education and Human Rights</t>
  </si>
  <si>
    <t>A679072.107</t>
  </si>
  <si>
    <t>SLIHE</t>
  </si>
  <si>
    <t>A679072.108</t>
  </si>
  <si>
    <t>Taec</t>
  </si>
  <si>
    <t>A679072.110</t>
  </si>
  <si>
    <t>AThEME</t>
  </si>
  <si>
    <t>A679072.111</t>
  </si>
  <si>
    <t>E-confidence</t>
  </si>
  <si>
    <t>A679072.114</t>
  </si>
  <si>
    <t>eTMS IRI projekt</t>
  </si>
  <si>
    <t>OPK Konkurentnost i kohezija ProtectAS</t>
  </si>
  <si>
    <t>A679072.116</t>
  </si>
  <si>
    <t>RIVIERA 4SEASONS</t>
  </si>
  <si>
    <t>A679072.119</t>
  </si>
  <si>
    <t>MORZ - Mreže Organizacije Ribara i Znanstvenika</t>
  </si>
  <si>
    <t>A679072.120</t>
  </si>
  <si>
    <t>Jean Monnet - centar izvrsnosti</t>
  </si>
  <si>
    <t>A679072.121</t>
  </si>
  <si>
    <t>IRI-2 ABsistemDCiCloud (korisnik AlarmAutomatika d.o.o.Rijeka)</t>
  </si>
  <si>
    <t>A679072.122</t>
  </si>
  <si>
    <t>IRI-2 Razvoj ekoloških proizvodnih procesa i novih proizvoda visoke kvalitete aktivnostima istraživanja i razvoja (korisnik Feroplast d.o.o.Buje)</t>
  </si>
  <si>
    <t>A679072.123</t>
  </si>
  <si>
    <t>EuroCC</t>
  </si>
  <si>
    <t>A679072.124</t>
  </si>
  <si>
    <t>Arts and Humanities Entrpreneurship Hubs</t>
  </si>
  <si>
    <t>A679072.125</t>
  </si>
  <si>
    <t>Erasmus +Transnational Alignment of English Competences for University Lectures” (TAEC)</t>
  </si>
  <si>
    <t>A679072.126</t>
  </si>
  <si>
    <t>ERASMUS +  Inclusion through CrowdFunding”("InCrowd”)</t>
  </si>
  <si>
    <t>A679072.127</t>
  </si>
  <si>
    <t>ERASMUS + E-laboratory for digital education (LaDiEd)</t>
  </si>
  <si>
    <t>INTERREG ADRION EUREKA</t>
  </si>
  <si>
    <t>A679072.129</t>
  </si>
  <si>
    <t>Erazmus partnerske zemlje 2019/2021 - HR01-KA107-060242</t>
  </si>
  <si>
    <t>A679072.130</t>
  </si>
  <si>
    <t>Erazmus partnerske zemlje 2018/2020 - HR01-KA107-046921</t>
  </si>
  <si>
    <t>A679072.131</t>
  </si>
  <si>
    <t>Erazmus 2020 - HR01-KA107-077121</t>
  </si>
  <si>
    <t>A679072.132</t>
  </si>
  <si>
    <t>Erazmus 2019/20 - HR01-KA103-060229</t>
  </si>
  <si>
    <t>A679072.133</t>
  </si>
  <si>
    <t>Erazmus 2020/21 - HR01-KA103-077087</t>
  </si>
  <si>
    <t>A679072.134</t>
  </si>
  <si>
    <t>Zdravstveni opservatorij</t>
  </si>
  <si>
    <t>A679072.135</t>
  </si>
  <si>
    <t>e-škole:  Razvoj sustava digitalno zrelih škola</t>
  </si>
  <si>
    <t>A679072.136</t>
  </si>
  <si>
    <t>ON IT - mrežno pravo u turizmu</t>
  </si>
  <si>
    <t>A679072.137</t>
  </si>
  <si>
    <t>INCOMPEDU - INOVATIVNO NATJECANJE U ONLINE VISOKOM OBRAZOVANJU</t>
  </si>
  <si>
    <t>A679072.138</t>
  </si>
  <si>
    <t>Predgotovljene zgrade gotovo nulte energije proizvedene na industrijski način</t>
  </si>
  <si>
    <t>A679072.139</t>
  </si>
  <si>
    <t>ZACJEL</t>
  </si>
  <si>
    <t>A679072.140</t>
  </si>
  <si>
    <t>PRI-MJER</t>
  </si>
  <si>
    <t>A679072.141</t>
  </si>
  <si>
    <t>Biologija citomegalovirusne infekcije u mozgu tijekom razvoja i u latenciji</t>
  </si>
  <si>
    <t>A679072.142</t>
  </si>
  <si>
    <t>Reprogramiranje IEL -a na crijevnoj epitelnoj barijeri tijekom infekcije virusom</t>
  </si>
  <si>
    <t>A679072.143</t>
  </si>
  <si>
    <t>E-obuka o primjeni obiteljskog zakona EU-a za prekogranične parove kroz tečajeve e-učenja</t>
  </si>
  <si>
    <t>A679072.144</t>
  </si>
  <si>
    <t>EMPLOYS - razumijevanje, vrednovanje i poboljšanje dobrog upravljanja u radnim odnosima sportaša u olimpijskim sportovima u Europi</t>
  </si>
  <si>
    <t>A679072.145</t>
  </si>
  <si>
    <t>Erazmus +  HiPowerEd</t>
  </si>
  <si>
    <t>A679072.146</t>
  </si>
  <si>
    <t>Erazmus 2021 - HR01-KA131-HED-000003063</t>
  </si>
  <si>
    <t>A679072.147</t>
  </si>
  <si>
    <t>Inno4YUFE</t>
  </si>
  <si>
    <t>A679072.148</t>
  </si>
  <si>
    <t>APOLD - Akademsko politehničko društvo</t>
  </si>
  <si>
    <t>A679072.149</t>
  </si>
  <si>
    <t>Flumen</t>
  </si>
  <si>
    <t>A679072.150</t>
  </si>
  <si>
    <t>EnLeMaH - Erazmus +</t>
  </si>
  <si>
    <t>A679072.151</t>
  </si>
  <si>
    <t>Projekt STEM(AJMO!)</t>
  </si>
  <si>
    <t>A679072.152</t>
  </si>
  <si>
    <t>ERASMUS + Sustrainable - Obuka za održivost</t>
  </si>
  <si>
    <t>A679072.154</t>
  </si>
  <si>
    <t>IRI-2 Adria Smart Room</t>
  </si>
  <si>
    <t>A679073.001</t>
  </si>
  <si>
    <t>ERASMUS+projekt organizacije studijskog boravka, stručnog osposobljavanja i mobilnosti studenata i zaposlenika Sveučilišta u Dubrovniku</t>
  </si>
  <si>
    <t>A679073.002</t>
  </si>
  <si>
    <t>ERASMUS+ Mobilnost studenata i osoblja unutar programskih zemalja-KA103</t>
  </si>
  <si>
    <t>A679073.003</t>
  </si>
  <si>
    <t>ERASMUS+ mobilnost studenata i osoblja unutar programskih zemalja</t>
  </si>
  <si>
    <t>A679073.004</t>
  </si>
  <si>
    <t>ERASMUS+ mobilnost studenata između programskih i partnerskih zemalja</t>
  </si>
  <si>
    <t>A679073.005</t>
  </si>
  <si>
    <t>ELEGANT - poboljšanje podučavanja, učenja i mogućnosti diplomiranja</t>
  </si>
  <si>
    <t>A679073.006</t>
  </si>
  <si>
    <t>Digitalno poduzetničko obrazovanje kroz virtualni trening</t>
  </si>
  <si>
    <t>A679073.009</t>
  </si>
  <si>
    <t>Razvoj sustava kontrole i obrane luka od unosa stranih vrsta ( ProtectAS)</t>
  </si>
  <si>
    <t>A679073.010</t>
  </si>
  <si>
    <t>FishAqu - Poboljšanje znanja u održivom upravljanju ribarstvom i akvakulturi u mediteranskoj regiji</t>
  </si>
  <si>
    <t>A679073.011</t>
  </si>
  <si>
    <t>DigIT - izrada standarda zanimanja i standarda kvalifikacija u djelatnostima računarstva</t>
  </si>
  <si>
    <t>A679073.012</t>
  </si>
  <si>
    <t>Start-up Nacija: Hrvatska Tematska mreža za razvoj poduzetništva i samozapošljavanja</t>
  </si>
  <si>
    <t>A679073.013</t>
  </si>
  <si>
    <t>MARLESS -prekogranične mjere podizanja svijesti o morskom otpadu</t>
  </si>
  <si>
    <t>A679073.014</t>
  </si>
  <si>
    <t>Cisto more, pretraživanje, identifikacija i prikupljanje morskog otpada s bespilotnim podvodnim i površinskim plovilima</t>
  </si>
  <si>
    <t>A679073.015</t>
  </si>
  <si>
    <t>Innovamare: Razvoj inovativnih tehnologija za održivost Jadranskog mora</t>
  </si>
  <si>
    <t>A679073.016</t>
  </si>
  <si>
    <t>DATACROSS- napredne metode i tehnologije u znanosti o podatcima i kooperativnim sustavima</t>
  </si>
  <si>
    <t>A679073.018</t>
  </si>
  <si>
    <t>Izvrsnost i učinkovitost u visokom obrazovanju u polju ekonomije E4</t>
  </si>
  <si>
    <t>A679073.023</t>
  </si>
  <si>
    <t>ESSENCE - usavršavanje vještina za njegovanje konkurentnosti i zapošljavanja</t>
  </si>
  <si>
    <t>A679073.024</t>
  </si>
  <si>
    <t>VIBES -Osnaživanje virtualnih poslovnih vještina</t>
  </si>
  <si>
    <t>A679073.025</t>
  </si>
  <si>
    <t>ESMERALD - Pojačavanje otpornosti malih i srednjih poduzeća nakon zaključavanja</t>
  </si>
  <si>
    <t>A679074.001</t>
  </si>
  <si>
    <t>INTERREG MELAdetect projekt prekogranične suradnje u liječenju različitih vrsta melanoma</t>
  </si>
  <si>
    <t>A679074.002</t>
  </si>
  <si>
    <t>INTERREG STRONGER projekt osnivanja prekograničnog klastera i e-platforme iz područja prerađivačke industrije ljekovitog i začinskog bilja</t>
  </si>
  <si>
    <t>A679074.003</t>
  </si>
  <si>
    <t>INTERREG APPRODI projekt izrade strateškog plana za poticanje ekoturizma kroz istraživanja o povijesnim utjecajima pomorskog prometa</t>
  </si>
  <si>
    <t>A679074.004</t>
  </si>
  <si>
    <t>Zadar Baštini projekt stvaranja kulturno-turističkog proizvoda grada Zadra s ciljem povećanja turističke posjećenosti</t>
  </si>
  <si>
    <t>A679074.005</t>
  </si>
  <si>
    <t>MADE IN-LAND projekt očuvanja prirodnih i kulturnih resursa u unutrašnjosti Italije i Hrvatske</t>
  </si>
  <si>
    <t>A679074.006</t>
  </si>
  <si>
    <t>INTERREG DISCOVER projekt pozicioniranja slabije poznatih mjesta Italije i  Hrvatske na turističku kartu ponude</t>
  </si>
  <si>
    <t>A679074.007</t>
  </si>
  <si>
    <t>INTERREG REPLICATE projekt revitalizacije zabačenih područja i izgubljene baštine</t>
  </si>
  <si>
    <t>A679074.008</t>
  </si>
  <si>
    <t>INTERREG GUTTA projekt pilot akcije pronalaska eko-rute s naglaskom na zaštitu okoliša</t>
  </si>
  <si>
    <t>A679074.009</t>
  </si>
  <si>
    <t>INTERREG AADRIREEF -Inovativno iskorištavanje jadranskih grebena radi jačanja plave ekonomije</t>
  </si>
  <si>
    <t>A679074.010</t>
  </si>
  <si>
    <t>ERASMUS + LA GUIDE</t>
  </si>
  <si>
    <t>A679074.011</t>
  </si>
  <si>
    <t>ERASMUS + EU-CONEXUXS</t>
  </si>
  <si>
    <t>A679074.012</t>
  </si>
  <si>
    <t>SAN -Pametna poljoprivredna mreža</t>
  </si>
  <si>
    <t>A679074.013</t>
  </si>
  <si>
    <t>ERASMUS+ KA1- mobilnost u visokom obrazovanju</t>
  </si>
  <si>
    <t>A679074.014</t>
  </si>
  <si>
    <t>OPERAS- P H2020-INFRADEV-2018-2020</t>
  </si>
  <si>
    <t>A679074.015</t>
  </si>
  <si>
    <t>BUDI SPREMAN I KOMPETENTAN</t>
  </si>
  <si>
    <t>A679074.016</t>
  </si>
  <si>
    <t>STREAM Interreg Italija Hrvatska</t>
  </si>
  <si>
    <t>A679074.017</t>
  </si>
  <si>
    <t>Interreg Italija Hrvatska ERDF</t>
  </si>
  <si>
    <t>A679074.018</t>
  </si>
  <si>
    <t>VODI ME  Vode Imotske krajine</t>
  </si>
  <si>
    <t>A679074.019</t>
  </si>
  <si>
    <t>TRIPLE  H2020-INFRAEOSC-2018-2020</t>
  </si>
  <si>
    <t>A679074.020</t>
  </si>
  <si>
    <t>SHEMA  Proizvodnja hrane u kružnom biog</t>
  </si>
  <si>
    <t>A679074.021</t>
  </si>
  <si>
    <t>2CODE Intrr.  CBC Hrvatska -BIH i  - Crna gora</t>
  </si>
  <si>
    <t>A679075.001</t>
  </si>
  <si>
    <t>INTERREG DA SPACE projekt interdisciplinarne i međunarodne suradnja povezivanja akademskog, gospodarskog, istraživačkog i javnog sektora</t>
  </si>
  <si>
    <t>A679075.002</t>
  </si>
  <si>
    <t>INTERREG RE-WIND projekt prekogranične suradnje Italije i Hrvatske kroz neiskorišteni potencijal prirodne i kulturne baštine</t>
  </si>
  <si>
    <t>A679075.003</t>
  </si>
  <si>
    <t>INTERREG ADRIATIC ATLAS projekt prekogranične suradnje Italije i Hrvatske kroz neiskorišteni potencijal prirodne i kulturne baštine i poticanje pokretanja ICT tvrtki</t>
  </si>
  <si>
    <t>A679075.004</t>
  </si>
  <si>
    <t>INTERREG ALTEROUTES projekt krajobraznog upravljanja s ciljem smanjenja pritiska masovnog turizma na dragocjenu povijesnu baštinu</t>
  </si>
  <si>
    <t>A679075.005</t>
  </si>
  <si>
    <t>INTERREG RIVERS projekt poticanja kulturne industrije Italije i Hrvatske kroz praćenje podrijetla krajolika rijeka i njihovih ušća duž jadranske obale</t>
  </si>
  <si>
    <t>A679075.006</t>
  </si>
  <si>
    <t>INTERREG ARTHUR projekt praćenja i mjerenja kapaciteta noćenja u turističkim destinacijama radi usmjeravanja na manje opterećena turistička područja</t>
  </si>
  <si>
    <t>A679075.007</t>
  </si>
  <si>
    <t>ERASMUS KA103 Mobilnost studenata i osoblja Sveučilišta u Puli</t>
  </si>
  <si>
    <t>A679075.008</t>
  </si>
  <si>
    <t>ERASMUS KA107 Odlazne i dolazne mobilnosti studenata i osoblja Sveučilišta u Puli</t>
  </si>
  <si>
    <t>A679075.009</t>
  </si>
  <si>
    <t>ERASMUS+ KA2 - razvoj kapaciteta WILLIAM</t>
  </si>
  <si>
    <t>A679075.010</t>
  </si>
  <si>
    <t>ERASMUS KA2 - DYNAMIC</t>
  </si>
  <si>
    <t>A679075.011</t>
  </si>
  <si>
    <t>ERASMUS + KA103 Broj: 2020-1-HR01-KA103-077157 - Mobilnost studenata i osoblja Sveučilišta u Puli</t>
  </si>
  <si>
    <t>A679075.012</t>
  </si>
  <si>
    <t>ERASMUS + KA107 Broj: 2020-1-HR01-KA107-077587 - Odlazne i dolazne mobilnosti studenata i osoblja Sveučilišta u Puli</t>
  </si>
  <si>
    <t>A679075.013</t>
  </si>
  <si>
    <t>ERASMUS + KA202 broj: 2019-1-HR01-KA202-061006 - strukovno obrazovanje i osposobljavanje</t>
  </si>
  <si>
    <t>A679075.014</t>
  </si>
  <si>
    <t>Projekt "IN DIV EU"</t>
  </si>
  <si>
    <t>A679075.016</t>
  </si>
  <si>
    <t>Partnerstvo između znanstvenika I ribara</t>
  </si>
  <si>
    <t>A679075.017</t>
  </si>
  <si>
    <t>EU projekt - DA SPACE</t>
  </si>
  <si>
    <t>A679075.018</t>
  </si>
  <si>
    <t>Projekt IN DIV E</t>
  </si>
  <si>
    <t>A679075.019</t>
  </si>
  <si>
    <t>HKO FET</t>
  </si>
  <si>
    <t>A679075.020</t>
  </si>
  <si>
    <t>A679075.021</t>
  </si>
  <si>
    <t>EU projekt  DA SPACE</t>
  </si>
  <si>
    <t>A679075.022</t>
  </si>
  <si>
    <t>HKO-izvrsnost i učinkovitost na razini visokog obrazovanja</t>
  </si>
  <si>
    <t>A679075.023</t>
  </si>
  <si>
    <t>Integrirani sustav uzgoja alternativnih vrsta školjkaša u uvjetima klimatskih promjena</t>
  </si>
  <si>
    <t>A679075.024</t>
  </si>
  <si>
    <t>KLIK Pula-centar za kompetentno cjeloživotno razvijanje inovativnih znanja i vještina u sektoru ugostiteljstva i turizma</t>
  </si>
  <si>
    <t>A679076.001</t>
  </si>
  <si>
    <t>INTERREG SLO-HR Živi dvorci - projekt očuvanja kulturnog nasljeđa</t>
  </si>
  <si>
    <t>A679076.002</t>
  </si>
  <si>
    <t>ERASMUS+ KA103 Mobilnost studenata i osoblja Veleučilišta u Vukovaru</t>
  </si>
  <si>
    <t>A679076.003</t>
  </si>
  <si>
    <t>ERASMUS+ KA107</t>
  </si>
  <si>
    <t>A679076.004</t>
  </si>
  <si>
    <t>LIFE LYNX 16/NAT/SI/000634</t>
  </si>
  <si>
    <t>A679076.005</t>
  </si>
  <si>
    <t>Erasmus+</t>
  </si>
  <si>
    <t>A679076.006</t>
  </si>
  <si>
    <t>Milk-ed</t>
  </si>
  <si>
    <t>A679076.007</t>
  </si>
  <si>
    <t>EDUAGRNTERREG V-A HUNGARYI, I</t>
  </si>
  <si>
    <t>A679076.008</t>
  </si>
  <si>
    <t>Odčepljivanje ruralnog naslijeđa: autohtona proizvodnja fermentiranih pića za lokalnu kulturnu i okolišnu održivost, 2018-1-0682</t>
  </si>
  <si>
    <t>A679076.011</t>
  </si>
  <si>
    <t>Snaga vještina</t>
  </si>
  <si>
    <t>A679076.012</t>
  </si>
  <si>
    <t>Bespilotne letjelice</t>
  </si>
  <si>
    <t>A679076.014</t>
  </si>
  <si>
    <t>Measures</t>
  </si>
  <si>
    <t>A679076.017</t>
  </si>
  <si>
    <t>Razvoj uređaja sa potopljenim isparivačem</t>
  </si>
  <si>
    <t>A679076.024</t>
  </si>
  <si>
    <t>Rekonstrukcija zgrade oružane za centar kompetencija</t>
  </si>
  <si>
    <t>A679076.025</t>
  </si>
  <si>
    <t>Uncorking rural heritahege - autohtona proizvodnja fermentiranih pića radi lokalne kulturne i ekološke održivosti</t>
  </si>
  <si>
    <t>A679076.027</t>
  </si>
  <si>
    <t>A679077.001</t>
  </si>
  <si>
    <t>BLUTOURSYSTEM projekt unaprjeđenja okvira za održivi rast Plavog turizma</t>
  </si>
  <si>
    <t>A679077.002</t>
  </si>
  <si>
    <t>ERASMUS+ Inovativna poslovna suradnja - model inovativnog učenja u području turizma</t>
  </si>
  <si>
    <t>A679077.003</t>
  </si>
  <si>
    <t>INTERREG MEDITERAN projekt unaprjeđenja turističkog znanja za oblikovanje i vođenje održivog turizma</t>
  </si>
  <si>
    <t>A679077.004</t>
  </si>
  <si>
    <t>ERASMUS+ Novi sveučilišni kurikul Cultural Studies in Business</t>
  </si>
  <si>
    <t>A679077.005</t>
  </si>
  <si>
    <t>WIRE 2020 Inovacije ekosustava i razvoj regija Europe</t>
  </si>
  <si>
    <t>A679077.006</t>
  </si>
  <si>
    <t>GIANTLEAP Nezagađivački promet autobusa s Pem gorivim stanicama</t>
  </si>
  <si>
    <t>A679077.007</t>
  </si>
  <si>
    <t>HYDRIDE4MOBILITY Razvoj komunalnih vozila pomoću MH spremnika vodika i PEM gorivnih ćelija</t>
  </si>
  <si>
    <t>A679077.008</t>
  </si>
  <si>
    <t>SAVE Sport Against Violence and Exclusion - Sportom protiv nasilja i isključenosti</t>
  </si>
  <si>
    <t>A679077.009</t>
  </si>
  <si>
    <t>ESA Program sportskih aktivnosti za djecu s tipičnim razvojem i potrebama</t>
  </si>
  <si>
    <t>A679077.010</t>
  </si>
  <si>
    <t>ENTIRE Mapiranje normativnog okvira za etiku provođenja istraživanja</t>
  </si>
  <si>
    <t>A679077.011</t>
  </si>
  <si>
    <t>VIR2UE Etika utemeljena na istraživačkoj čestitosti</t>
  </si>
  <si>
    <t>A679077.012</t>
  </si>
  <si>
    <t>SOPs4RI Europski kodeks ponašanja za istraživačku čestitost</t>
  </si>
  <si>
    <t>A679077.013</t>
  </si>
  <si>
    <t>INTERREG IPA CBC HR-BA-ME Unaprjeđenje dijagnostičkih i terapijskih usluga medicine spavanja u prekograničnom području južne Hrvatske i zapadne Bosne i Hercegovine</t>
  </si>
  <si>
    <t>A679077.014</t>
  </si>
  <si>
    <t>COSME COS Europska poduzetnička mreža za potporu i savjet gospodarstvenicima diljem Europe</t>
  </si>
  <si>
    <t>A679077.015</t>
  </si>
  <si>
    <t>OBZOR 2020 MIROR Europski program združenog doktorata radi integrirane obuke na doktorskoj razini</t>
  </si>
  <si>
    <t>A679077.019</t>
  </si>
  <si>
    <t>ERASMUS+ BESTSDI Izrada kurikula na temu infrastrukture prostornih podataka u zemljama Zapadnog Balkana</t>
  </si>
  <si>
    <t>A679077.022</t>
  </si>
  <si>
    <t>ERASMUS+ CAPUS Očuvanje umjetnosti u javnim prostorima</t>
  </si>
  <si>
    <t>A679077.024</t>
  </si>
  <si>
    <t>ERASMUS+ CABUFAL Izgradnja kapaciteta Pravnog fakulteta Crne Gore u procesu pristupanja EU</t>
  </si>
  <si>
    <t>A679077.026</t>
  </si>
  <si>
    <t>EUROPEAID: INTERCAP projekt mijenjanja javne percepcije o migracijama, sigurnosti i održivom razvoju u međuzavisnom svijetu</t>
  </si>
  <si>
    <t>A679077.027</t>
  </si>
  <si>
    <t>ERASMUS+ SpeculativeEDU projekt obrazovanja i stjecanja iskustva u području dizajna u nastajanju</t>
  </si>
  <si>
    <t>A679077.029</t>
  </si>
  <si>
    <t>ERASMUS+ Programske zemlje KA103 Mobilnost studenata i osoblja Sveučilišta u Splitu</t>
  </si>
  <si>
    <t>A679077.030</t>
  </si>
  <si>
    <t>A679077.033</t>
  </si>
  <si>
    <t>ERASMUS+  Partnerske zemlje KA107 Odlazne i dolazne mobilnosti studenata i osoblja Sveučilišta u Splitu</t>
  </si>
  <si>
    <t>A679077.035</t>
  </si>
  <si>
    <t>A679077.037</t>
  </si>
  <si>
    <t>INTERREG-NET4mPLASTIC- Nove tehnologije za detekciju i analizu marko i mirkoplastike u Jadranskom bazenu</t>
  </si>
  <si>
    <t>A679077.038</t>
  </si>
  <si>
    <t>INTERREG PMO-GATE - sprječavanje, upravljanje i prevladavanje rizika od prirodnih katastrofa radi ublažavanja njihova utjecaja na gospodarstvo i društvo</t>
  </si>
  <si>
    <t>A679077.039</t>
  </si>
  <si>
    <t>INTERREG DEEP-SEA – Razvoj planiranja energetske učinkovitosti i mobilnih usluga marina na Jadranskoj obali</t>
  </si>
  <si>
    <t>A679077.040</t>
  </si>
  <si>
    <t>INTERREG E-CITIJENS - Sustav za podršku odlučivanju (SPO) u upravljanju hitnim situacijama za potrebe civilne zaštite zasnovan na građanskom novinarstvu, a za poboljšanje sigurnosti na području Jadrana</t>
  </si>
  <si>
    <t>A679077.041</t>
  </si>
  <si>
    <t>INTERREG MoST - Monitoring prodora slane vode u obalne vodonosnike i testiranje pilot projekata za smanjenje štetnog utjecaja od zaslanjivanja</t>
  </si>
  <si>
    <t>A679077.042</t>
  </si>
  <si>
    <t>INTERREG AdSWiM - Upravljano korištenje pročišćenih komunalnih otpadnih voda radi kvalitete Jadranskog mora</t>
  </si>
  <si>
    <t>A679077.043</t>
  </si>
  <si>
    <t>INTERREG Plastic Busters MPA: Očuvanje biološke raznolikosti od plastike u zaštićenim morskim područjima na Mediteranu</t>
  </si>
  <si>
    <t>A679077.044</t>
  </si>
  <si>
    <t>SHExtreme</t>
  </si>
  <si>
    <t>A679077.045</t>
  </si>
  <si>
    <t>ERASMUS + Izgradnja kapaciteta za plavi rast i razvoj kurikuluma morskog ribarstva u Albaniji</t>
  </si>
  <si>
    <t>A679077.046</t>
  </si>
  <si>
    <t>INTERREG MED ARISTOIL</t>
  </si>
  <si>
    <t>A679077.047</t>
  </si>
  <si>
    <t>INTERREG FAIRSEA- Ribolov u jadranskoj regiji zajednički pristup ekosustavu</t>
  </si>
  <si>
    <t>A679077.048</t>
  </si>
  <si>
    <t>INTERREG  WATERCARE</t>
  </si>
  <si>
    <t>A679077.049</t>
  </si>
  <si>
    <t>IP-ojačani, suzbijanje štetočina i izvan sezone IPM usmjeren protiv novih i novih voćnih muha</t>
  </si>
  <si>
    <t>A679077.050</t>
  </si>
  <si>
    <t>Društvene znanosti i humanističke znanosti u međusektorskoj suradnji za bolje obrazovanje i održive inovacije</t>
  </si>
  <si>
    <t>A679077.051</t>
  </si>
  <si>
    <t>BLUEWBC - Održivi razvoj BLUE ekonomija putem visokog obrazovanja i inovacija u zemljama zapadnog Balkana</t>
  </si>
  <si>
    <t>A679077.052</t>
  </si>
  <si>
    <t>SEA EU - Europsko sveučilište mora</t>
  </si>
  <si>
    <t>A679077.053</t>
  </si>
  <si>
    <t>RMPPI - HR-BA-ME262- Održiva prekogranična inicijativa za obnovljive mikroelektrane</t>
  </si>
  <si>
    <t>A679077.054</t>
  </si>
  <si>
    <t>DATACROSS – Napredne metode i tehnologije u znanosti o podacima i kooperativnim sustavima</t>
  </si>
  <si>
    <t>A679077.055</t>
  </si>
  <si>
    <t>STIM-REI</t>
  </si>
  <si>
    <t>A679077.056</t>
  </si>
  <si>
    <t>Primjena HKO za sveučilišne studijske programe u području elektrotehnike</t>
  </si>
  <si>
    <t>A679077.057</t>
  </si>
  <si>
    <t>EUROfusion</t>
  </si>
  <si>
    <t>A679077.058</t>
  </si>
  <si>
    <t>FizKO - Razvoj studija fizike uz primjernu HKO</t>
  </si>
  <si>
    <t>A679077.059</t>
  </si>
  <si>
    <t>Razvoj tehnologije za procjenu autopurifikacijskih sposobnosti priobalnih voda</t>
  </si>
  <si>
    <t>A679077.060</t>
  </si>
  <si>
    <t>GEOBIZ</t>
  </si>
  <si>
    <t>A679077.061</t>
  </si>
  <si>
    <t>PROMISE -Personalizirana medicina- osnovna edukacija</t>
  </si>
  <si>
    <t>A679077.062</t>
  </si>
  <si>
    <t>mathSTEM - Podučavanje matematike i izrada smjernica za mathSTEM metodologiju</t>
  </si>
  <si>
    <t>A679077.063</t>
  </si>
  <si>
    <t>ERASMUS+ KA104 Obrazovanje odraslih</t>
  </si>
  <si>
    <t>A679077.064</t>
  </si>
  <si>
    <t>Provedba HKO u stručnim studijima računarstva</t>
  </si>
  <si>
    <t>A679077.065</t>
  </si>
  <si>
    <t>ASPEMS - Aktivni sustav za pohranu električne energije i stabilizaciju elektroenergetske mreže</t>
  </si>
  <si>
    <t>A679077.066</t>
  </si>
  <si>
    <t>ISPIS – Razvoj funkcionalnog prototipa sustava za potrage i spašavanja ljudi pomoću bespilotnih letjelica</t>
  </si>
  <si>
    <t>A679077.067</t>
  </si>
  <si>
    <t>Razvoj karijera mladih istraživača</t>
  </si>
  <si>
    <t>A679077.068</t>
  </si>
  <si>
    <t>Pametni kulturni turizam kao pokretač održivog razvoja europskih regija</t>
  </si>
  <si>
    <t>A679077.069</t>
  </si>
  <si>
    <t>CAAT</t>
  </si>
  <si>
    <t>A679077.070</t>
  </si>
  <si>
    <t>EUROCC -Nacionalni centri za kompetencije u okviru, Obzor 2020</t>
  </si>
  <si>
    <t>A679077.071</t>
  </si>
  <si>
    <t>RCK</t>
  </si>
  <si>
    <t>A679077.072</t>
  </si>
  <si>
    <t>IRA1 - CEKOM: Razvoj inovativnih kompozitnih struktura za zvučnu izolaciju</t>
  </si>
  <si>
    <t>A679077.073</t>
  </si>
  <si>
    <t>IRA2-CEKOM: Razvoj napredne integralne numeričke procedure</t>
  </si>
  <si>
    <t>A679077.074</t>
  </si>
  <si>
    <t>IRA 3-CEKOM: Inovativno rješenje vodomlaznog propulzora </t>
  </si>
  <si>
    <t>A679077.075</t>
  </si>
  <si>
    <t>IRA5 CEKOM : Razvoj LNG sustava za brodove pogonjene motorima na dvojno gorivo (FO/LNG) </t>
  </si>
  <si>
    <t>A679077.076</t>
  </si>
  <si>
    <t>IRA 7-CEKOM: Razvoj LNG spremnika za plovne objekte za skladištenje i regasifikaciju LNG-a </t>
  </si>
  <si>
    <t>A679077.077</t>
  </si>
  <si>
    <t>IRA 8-CEKOM: Razvoj novih konstrukcijskih i tehnoloških rješenja natpalubnih konstrukcija i elemenata od aluminijevih legura </t>
  </si>
  <si>
    <t>A679077.078</t>
  </si>
  <si>
    <t>IRA 10-CEKOM: Razvoj inovativnog pristupa u procesu opremanja broda putem proširene stvarnosti </t>
  </si>
  <si>
    <t>A679077.079</t>
  </si>
  <si>
    <t>IRA 11-CEKOM: Razvoj uređaja za praćenje rada brodskog motora analizom akustičnog signala </t>
  </si>
  <si>
    <t>A679077.080</t>
  </si>
  <si>
    <t>IRA 12-CEKOM: Razvoj plutajuće platforme od umjetno zamrznute vode na zračnim komorama </t>
  </si>
  <si>
    <t>A679077.081</t>
  </si>
  <si>
    <t>IRA 15-CEKOM: Razvoj paketa palubne opreme specijalnih brodova različitih namjena za uzgajališta ribe </t>
  </si>
  <si>
    <t>A679077.082</t>
  </si>
  <si>
    <t>IRA 16-CEKOM: Brodski pritezni sustavi namijenjeni pozicioniranju plovnih objekata</t>
  </si>
  <si>
    <t>A679077.083</t>
  </si>
  <si>
    <t>VODIME - Vode Imotske krajine</t>
  </si>
  <si>
    <t>A679077.084</t>
  </si>
  <si>
    <t>CEKOM, Razvoj centara kompetencija</t>
  </si>
  <si>
    <t>A679077.085</t>
  </si>
  <si>
    <t>WRECKS4ALL: jačanje i diverzifikacija turističke ponude na Jadranu</t>
  </si>
  <si>
    <t>A679077.086</t>
  </si>
  <si>
    <t>Europska akademija za poslovno i financijsko pravo</t>
  </si>
  <si>
    <t>A679077.088</t>
  </si>
  <si>
    <t>Ispitni sloj sljedeće generacije za nadogradnju mikrofluidnih uređaja na bazi nano omogućenih površina i membrana</t>
  </si>
  <si>
    <t>A679077.089</t>
  </si>
  <si>
    <t>MareMathics- Inovativni pristup u matematičkom obrazovanju za studente pomorstva</t>
  </si>
  <si>
    <t>A679077.090</t>
  </si>
  <si>
    <t>Bio zaštitne kulture i bioaktivni ekstrakti kao održive kombinirane strategije za poboljšanje roka trajanja kvarljive mediteranske hrane (BioProMedFood)</t>
  </si>
  <si>
    <t>A679077.091</t>
  </si>
  <si>
    <t>Jačanje održivih akcija, otpornosti, suradnje i usklađivanja širom i od strane Saveza SEA-EU</t>
  </si>
  <si>
    <t>A679077.092</t>
  </si>
  <si>
    <t>Dalje od akademske zajednice: širenje horizonta karijere doktoranda u pomorskim i pomorskim znanostima u Europi</t>
  </si>
  <si>
    <t>A679077.093</t>
  </si>
  <si>
    <t>Korištenje energije i zeleni javni prijevoz u budućim pametnim gradovima: Inovativni program podučavanja za studente, dionike i poduzetnike</t>
  </si>
  <si>
    <t>A679077.094</t>
  </si>
  <si>
    <t>ITSHEC- Integracija transverzalnih vještina u visoko obrazovanje i kurikulum zdravstvene i socijalne skrbi</t>
  </si>
  <si>
    <t>A679077.095</t>
  </si>
  <si>
    <t>INQUAPH- Inovativni alati za ocjenu kvalitete za studije farmacije u Bosni i Hercegovini</t>
  </si>
  <si>
    <t>A679077.096</t>
  </si>
  <si>
    <t>EPISECC- Uspostaviti paneuropski informacijski prostor za poboljšanje sigurnosti građana</t>
  </si>
  <si>
    <t>A679077.097</t>
  </si>
  <si>
    <t>Metode u istraživanju istraživanja MiRoR</t>
  </si>
  <si>
    <t>A679077.098</t>
  </si>
  <si>
    <t>A679077.099</t>
  </si>
  <si>
    <t>A679077.101</t>
  </si>
  <si>
    <t>AUTORE - Automotive derivative energy system</t>
  </si>
  <si>
    <t>A679077.103</t>
  </si>
  <si>
    <t>Erasmus+ mobilnost nastavnog i nenastavnog osblja u natječajnoj godini 2019</t>
  </si>
  <si>
    <t>A679077.105</t>
  </si>
  <si>
    <t>COST - NEW FRONTIERS OF PEER REVIEW</t>
  </si>
  <si>
    <t>A679077.106</t>
  </si>
  <si>
    <t>MLE - EUROPSKA KOMISIJA - GOVERMENTAL EXPERTS</t>
  </si>
  <si>
    <t>A679077.107</t>
  </si>
  <si>
    <t>Projekt Horizon 2020-FF IPM "In-silico boosted, pest prevention and off-season focused IPM against new and emerging fruit flies ('OFF-Season' FF- IPM)"</t>
  </si>
  <si>
    <t>A679077.108</t>
  </si>
  <si>
    <t>Projekt Potential for Using SIT, Mating Disruption and Other IPM Tools to Eradicate Box Tree Moth Incursions in the U.S.</t>
  </si>
  <si>
    <t>A679077.109</t>
  </si>
  <si>
    <t>Erasmus Plus Ka103 2020</t>
  </si>
  <si>
    <t>A679077.110</t>
  </si>
  <si>
    <t>Erasmus Mundus SUNBEAM -  Structured UNiversity mobility between the Balkans and Europe for the Adriatic-ionian Macro-region</t>
  </si>
  <si>
    <t>A679077.111</t>
  </si>
  <si>
    <t>Projekt Horizon 2020-Nextgen Microfluidics    "Next generation test bed for upscaling of microfluidic devices based on nano-enabled surfaces and membranes"</t>
  </si>
  <si>
    <t>A679077.112</t>
  </si>
  <si>
    <t>SI4CARE-  Socijalne inovacije za integriranu zdravstvenu njegu starijeg stanovništva u ADRION regijama</t>
  </si>
  <si>
    <t>A679077.113</t>
  </si>
  <si>
    <t>FirEURisk-holistička strategija za upravljenje požarima raslinja na području Europe</t>
  </si>
  <si>
    <t>A679077.114</t>
  </si>
  <si>
    <t>COST Action TU1208-znanstveno-tehnološka primjena radara za prodiranje u tlo u građevinarstvu</t>
  </si>
  <si>
    <t>A679077.115</t>
  </si>
  <si>
    <t>Razvoj putničkog jedrenjaka s nultom emisijom ispušnih plinova</t>
  </si>
  <si>
    <t>A679077.116</t>
  </si>
  <si>
    <t>Sustav za uspostavu stabilne elektro-distribucijske mreže (GRIDS)</t>
  </si>
  <si>
    <t>A679077.117</t>
  </si>
  <si>
    <t>CHIC</t>
  </si>
  <si>
    <t>A679077.118</t>
  </si>
  <si>
    <t>FAIR - automatsko institucionalno priznavanje</t>
  </si>
  <si>
    <t>A679077.119</t>
  </si>
  <si>
    <t>IRI - povećanje razvoja novih proizvoda i usluga (lijepljeni lamelirani nosači od tvrdog drveta)</t>
  </si>
  <si>
    <t>A679077.120</t>
  </si>
  <si>
    <t>PINNA NOBILIS SSMA</t>
  </si>
  <si>
    <t>A679077.121</t>
  </si>
  <si>
    <t>Erasmus+ KA131 2021</t>
  </si>
  <si>
    <t>A679077.122</t>
  </si>
  <si>
    <t>IRI Perm Beton-sustav odvodnje na horizontalnim površinama od propusnog betona</t>
  </si>
  <si>
    <t>A679077.123</t>
  </si>
  <si>
    <t>BEAGLE - bioetičko i vrijednosno obrazovanje</t>
  </si>
  <si>
    <t>A679077.124</t>
  </si>
  <si>
    <t>Commix - jačanje pismenosti kod adolescenata kroz kreativno korištenje stripova</t>
  </si>
  <si>
    <t>A679077.125</t>
  </si>
  <si>
    <t>TaSDi-PBS - rješavanje pitanja vladanja u školi kroz podršku poželjnim oblicima ponašanja</t>
  </si>
  <si>
    <t>A679077.127</t>
  </si>
  <si>
    <t>INTERIV - internacionalizacija studijskih programa morskog ribarstva i vojnog pomorstva</t>
  </si>
  <si>
    <t>A679077.128</t>
  </si>
  <si>
    <t>EICP (Evidence Implemantation in Clinical Practice) - medicina temeljena na dokazima</t>
  </si>
  <si>
    <t>A679077.129</t>
  </si>
  <si>
    <t>ZCIPM - Znanstveni centar izvrsnosti za personaliziranu medicinu</t>
  </si>
  <si>
    <t>A679077.130</t>
  </si>
  <si>
    <t>CEKOM - centar kompetencija u molekularnoj dijagnostici</t>
  </si>
  <si>
    <t>A679077.131</t>
  </si>
  <si>
    <t>SI4CARE - Socijalna inovacija za sveobuhvatnu zdravstvenu zaštitu starije populacije u regiji</t>
  </si>
  <si>
    <t>A679077.132</t>
  </si>
  <si>
    <t>MADE - Mobile Access Dental Clinic</t>
  </si>
  <si>
    <t>A679077.133</t>
  </si>
  <si>
    <t>FIZIODENT</t>
  </si>
  <si>
    <t>A679077.134</t>
  </si>
  <si>
    <t>KOSIR OBO - primjenjivost novih tehnologija za oporabu biljnog otpada</t>
  </si>
  <si>
    <t>A679077.135</t>
  </si>
  <si>
    <t>Unaprjeđenje kvalitete studiranja na pravnim fakultetima u RH</t>
  </si>
  <si>
    <t>A679077.136</t>
  </si>
  <si>
    <t>BOWI - poticanje digitalnih inovacija</t>
  </si>
  <si>
    <t>A679077.137</t>
  </si>
  <si>
    <t>Forenzička identifikacija ljudskih ostataka analizom MSCT snimaka CTforID</t>
  </si>
  <si>
    <t>A679078.001</t>
  </si>
  <si>
    <t>CoSMass Projekt proučavanja razvoja rasta zvjezdane mase središnjih supermasivnih crnih rupa kroz kozmičko vrijeme</t>
  </si>
  <si>
    <t>A679078.002</t>
  </si>
  <si>
    <t>AeRoTwin - Twinning koordinacijska akcija za širenje izvrsnosti i sudjelovanja u zračnoj robotici</t>
  </si>
  <si>
    <t>A679078.003</t>
  </si>
  <si>
    <t>ENDORSE Efikasno brusenje  robotskim sustavom potpomognuto HORSE okruženjem</t>
  </si>
  <si>
    <t>A679078.004</t>
  </si>
  <si>
    <t>Ostvarivanje sljedivosti za mjerenje kakvoće električne energije</t>
  </si>
  <si>
    <t>A679078.005</t>
  </si>
  <si>
    <t>ADRIATIC  Unaprjeđenje sposobnosti interakcije ronilac-robot</t>
  </si>
  <si>
    <t>A679078.006</t>
  </si>
  <si>
    <t>Napredni ručni detektori metala s mogućnošću diskriminacije oblika mete za uporabu u humanitarnom razminiranju</t>
  </si>
  <si>
    <t>A679078.009</t>
  </si>
  <si>
    <t>DESTination RAIL - FACT (Find, Analyse, Classify, Treat) alat za upravljanje željezničkom infrastrukturom</t>
  </si>
  <si>
    <t>A679078.010</t>
  </si>
  <si>
    <t>H2020  SAFE 10-T Razvoj sigurnosnog okvira za transportnu infrastrukturu</t>
  </si>
  <si>
    <t>A679078.011</t>
  </si>
  <si>
    <t>Regional Center Adria Umrežavanje dionika sektora mineralnih neenergetskih sirovina</t>
  </si>
  <si>
    <t>A679078.012</t>
  </si>
  <si>
    <t>HORIZON 2020 BBI - Razvijanje funkcionalnih molekula za biološke premaze</t>
  </si>
  <si>
    <t>A679078.013</t>
  </si>
  <si>
    <t>FITNESS Platforma za e-učenje svih aspekata pakiranja hrane</t>
  </si>
  <si>
    <t>A679078.014</t>
  </si>
  <si>
    <t>ASKFOOD Savez za vještine i znanje vezano za prehrambeni sektor</t>
  </si>
  <si>
    <t>A679078.015</t>
  </si>
  <si>
    <t>STRENGTH2FOOD  Istraživanje u cilju poboljšanja učinkovitosti programa EU o kvaliteti hrane</t>
  </si>
  <si>
    <t>A679078.016</t>
  </si>
  <si>
    <t>e-Škole A projekt - Uspostava sustava razvoja digitalno zrelih škola</t>
  </si>
  <si>
    <t>A679078.017</t>
  </si>
  <si>
    <t>IRI IDG - Razvoj inovativne platforme za digitalnu transformaciju poduzeća</t>
  </si>
  <si>
    <t>A679078.018</t>
  </si>
  <si>
    <t>IRI HYPER - Razvoj inovativne platforme za digitalnu transformaciju poduzeća</t>
  </si>
  <si>
    <t>A679078.020</t>
  </si>
  <si>
    <t>ABCitiEs Razvoj novih vrsta poduzetničkih zajednica koje stvaraju atraktivnije lokalno poslovno okruženje</t>
  </si>
  <si>
    <t>A679078.021</t>
  </si>
  <si>
    <t>ERASMUS+ Potpora za nastavno i nenastavno osoblje</t>
  </si>
  <si>
    <t>A679078.022</t>
  </si>
  <si>
    <t>Obzor 2020  CEF - Poticanje istraživanja Connecting Europe Facilites i Norveške zaklade za znanost</t>
  </si>
  <si>
    <t>A679078.024</t>
  </si>
  <si>
    <t>ERASMUS+ projekt mobilnosti i aktivnosti studenata kroz istraživanja u inozemstvu</t>
  </si>
  <si>
    <t>A679078.030</t>
  </si>
  <si>
    <t>TEchnology TRAnsfer putem višenacionalnih aplikacija eXperiments</t>
  </si>
  <si>
    <t>A679078.031</t>
  </si>
  <si>
    <t>Immersive Visual Technologies (IVT) Vizualne tehnologije za sigurnosne aplikacije</t>
  </si>
  <si>
    <t>A679078.034</t>
  </si>
  <si>
    <t>OBZOR 2020 PentaHelix Inovativna metoda u provedbi održivog razvoja i klime</t>
  </si>
  <si>
    <t>A679078.035</t>
  </si>
  <si>
    <t>OBZOR 2020 PROSEU  PROSumers FOR THE Energy Union: integriranje aktivnog sudjelovanja građana u tranziciju energije</t>
  </si>
  <si>
    <t>A679078.036</t>
  </si>
  <si>
    <t>OBZOR 2020 UPGRADE DH Unaprjeđenje performansi daljinskog grijanja u Europi</t>
  </si>
  <si>
    <t>A679078.038</t>
  </si>
  <si>
    <t>Dubrovnik International ESEE Mining school Škola rudarstva za istočnu i jugoistočnu Europu</t>
  </si>
  <si>
    <t>A679078.039</t>
  </si>
  <si>
    <t>InvestRM Multifaktorski model za ulaganja u sektor sirovina</t>
  </si>
  <si>
    <t>A679078.040</t>
  </si>
  <si>
    <t>rESEErve Mineralni potencijal istočne i jugoistočne Europe (ESEE produčje)</t>
  </si>
  <si>
    <t>A679078.044</t>
  </si>
  <si>
    <t>EXERTER Mreža pan-europskih stručnjaka za sigurnost eksploziva</t>
  </si>
  <si>
    <t>A679078.048</t>
  </si>
  <si>
    <t>ERASMUS+  Razvijanje pismenosti i usvajanje jezika obrazovanja kod djece u nepovoljnom položaju (manjine, migranti i ostale skupine)</t>
  </si>
  <si>
    <t>A679078.050</t>
  </si>
  <si>
    <t>H2020 DOIT Poduzetničke vještine mladih socijalnih inovatora u otvorenom digitalnom svijetu</t>
  </si>
  <si>
    <t>A679078.052</t>
  </si>
  <si>
    <t>Digital Traceablity Chain for AC Voltage and Current omogućit će dinamičko mjerenje strujnih i naponskih valnih oblika</t>
  </si>
  <si>
    <t>A679078.060</t>
  </si>
  <si>
    <t>H2020 - NMBP ENCORE - BIM platforma u oblaku za energetski učinkovito i cjenovno efikasno renoviranje zgrada</t>
  </si>
  <si>
    <t>A679078.061</t>
  </si>
  <si>
    <t>H2020 - SGA EPI SGA1 - Inicijativa za Europski procesor</t>
  </si>
  <si>
    <t>A679078.062</t>
  </si>
  <si>
    <t>H2020 –WIDESPREAD –Twinning koordinacijska akcija u području otvorenih podataka</t>
  </si>
  <si>
    <t>A679078.064</t>
  </si>
  <si>
    <t>STRONG - 2020</t>
  </si>
  <si>
    <t>A679078.065</t>
  </si>
  <si>
    <t>H2020 Inovativni trening za metode u budućnosti (IMforFuture)</t>
  </si>
  <si>
    <t>A679078.066</t>
  </si>
  <si>
    <t>H2020 Pristup sistemske medicine za kronični infl.dis. (SYSCID)</t>
  </si>
  <si>
    <t>A679078.067</t>
  </si>
  <si>
    <t>H2020 Usporedna genomika beskralježnjaka koji nisu modelirani (IGNITE)</t>
  </si>
  <si>
    <t>A679078.069</t>
  </si>
  <si>
    <t>RADAR (Procjena rizika na cestama područja Dunava)</t>
  </si>
  <si>
    <t>A679078.070</t>
  </si>
  <si>
    <t>ERASMUS+  LOG-IN</t>
  </si>
  <si>
    <t>A679078.073</t>
  </si>
  <si>
    <t>OBZOR 2020 KeepWarm - Poboljšanje performansi sustava daljinskog grijanja u srednjoj i istočnoj Europi</t>
  </si>
  <si>
    <t>A679078.074</t>
  </si>
  <si>
    <t>OBZOR 2020 INEX ADAM - veća izvrsnost u proizvodnji naprednih aditiva</t>
  </si>
  <si>
    <t>A679078.075</t>
  </si>
  <si>
    <t>OBZOR 2020 QUIET - Kvalificiranje i primjena korisničkog dizajniranog i EfficienT električnog vozila</t>
  </si>
  <si>
    <t>A679078.076</t>
  </si>
  <si>
    <t>OBZOR 2020 INSULAE - Maksimiziranje utjecaja inovativnih energetskih pristupa na otocima EU-a</t>
  </si>
  <si>
    <t>A679078.077</t>
  </si>
  <si>
    <t>OBZOR 2020 NOWELTIES - Zajednički doktorski laboratorij za nove materijale i inovativne tehnologije pročišćavanja vode</t>
  </si>
  <si>
    <t>A679078.078</t>
  </si>
  <si>
    <t>ERASMUS+ CASPROD -Prijestolnice razvoja pametnih proizvoda</t>
  </si>
  <si>
    <t>A679078.079</t>
  </si>
  <si>
    <t>ERASMUS+ TRAILs LSP Ljetna škola za učitelje</t>
  </si>
  <si>
    <t>A679078.080</t>
  </si>
  <si>
    <t>EMPIR ADVANCT - Računalna tomografija AdvancE za dimenzionalna mjerenja površina u industriji</t>
  </si>
  <si>
    <t>A679078.081</t>
  </si>
  <si>
    <t>NET-UBIEP</t>
  </si>
  <si>
    <t>A679078.082</t>
  </si>
  <si>
    <t>BIMzeED</t>
  </si>
  <si>
    <t>A679078.083</t>
  </si>
  <si>
    <t>HORIZON 2020 SOLARNET</t>
  </si>
  <si>
    <t>A679078.085</t>
  </si>
  <si>
    <t>INTERREG CHANGE WE CARE ITALIJA-HRVATSKA</t>
  </si>
  <si>
    <t>A679078.086</t>
  </si>
  <si>
    <t>OBZOR 2020 Alliance4life, Savez za nauke o životu: Završne podjele u istraživanju i inovacijama u Europskoj uniji</t>
  </si>
  <si>
    <t>A679078.087</t>
  </si>
  <si>
    <t>OBZOR 2020-OSTEOproSPINE - Novostenski lijek za regeneraciju kostiju</t>
  </si>
  <si>
    <t>A679078.088</t>
  </si>
  <si>
    <t>Erasmus+ KA2 CBHE - ODISsEA - Inovativne strategije darivanja organa za jugoistočnu Aziju</t>
  </si>
  <si>
    <t>A679078.089</t>
  </si>
  <si>
    <t>OBZOR 2020 FAPIC - Brzi test za identifikaciju i karakterizaciju patogena</t>
  </si>
  <si>
    <t>A679078.090</t>
  </si>
  <si>
    <t>OBZOR 2020 - Biochip BIO inženjerski grafti za liječenje hrskavice u pacijenata</t>
  </si>
  <si>
    <t>A679078.091</t>
  </si>
  <si>
    <t>ERASMUS+ HEDU -LEARN-IT Harmonizirani europski dermato-venerološki dodiplomski</t>
  </si>
  <si>
    <t>A679078.093</t>
  </si>
  <si>
    <t>CEPIL</t>
  </si>
  <si>
    <t>A679078.094</t>
  </si>
  <si>
    <t>CROSSJUSTICE</t>
  </si>
  <si>
    <t>A679078.096</t>
  </si>
  <si>
    <t>ERASMUS + ASD-EAST</t>
  </si>
  <si>
    <t>A679078.097</t>
  </si>
  <si>
    <t>ASAP Training</t>
  </si>
  <si>
    <t>A679078.098</t>
  </si>
  <si>
    <t>IA_CHILD</t>
  </si>
  <si>
    <t>A679078.099</t>
  </si>
  <si>
    <t>OBZOR 2020-ISTRAŽIVANJE I INOVACIJE - H2020-MCCA-ITN-2017-EJD: 785423 MANNA</t>
  </si>
  <si>
    <t>A679078.100</t>
  </si>
  <si>
    <t>LIFE 16 NAT/SI/000634 PROJECT LIFE LYNX</t>
  </si>
  <si>
    <t>A679078.101</t>
  </si>
  <si>
    <t>EKHAGA</t>
  </si>
  <si>
    <t>A679078.102</t>
  </si>
  <si>
    <t>INTERREG CARNIVORA DINARICA - Prekogranična suradnja za dugoroočno očuvanje velikih zvijeri</t>
  </si>
  <si>
    <t>A679078.103</t>
  </si>
  <si>
    <t>TrainESSE v.2</t>
  </si>
  <si>
    <t>A679078.104</t>
  </si>
  <si>
    <t>MineHeritage</t>
  </si>
  <si>
    <t>A679078.105</t>
  </si>
  <si>
    <t>iTARG3T.Innovative targeting procesing of W-Sn-Ta-Li ores</t>
  </si>
  <si>
    <t>A679078.106</t>
  </si>
  <si>
    <t>ENGIE.Poticanje djevojčica da studiraju geoznanosti i inženjerstvo</t>
  </si>
  <si>
    <t>A679078.107</t>
  </si>
  <si>
    <t>STRATEGY CCUS</t>
  </si>
  <si>
    <t>A679078.108</t>
  </si>
  <si>
    <t>AMED</t>
  </si>
  <si>
    <t>A679078.111</t>
  </si>
  <si>
    <t>EIT HEALTH - Local activities in Regional Innovation Scheme regions</t>
  </si>
  <si>
    <t>A679078.112</t>
  </si>
  <si>
    <t>EKO SANDWICH</t>
  </si>
  <si>
    <t>A679078.113</t>
  </si>
  <si>
    <t>CROSKILLS</t>
  </si>
  <si>
    <t>A679078.114</t>
  </si>
  <si>
    <t>BRIDGE SMS</t>
  </si>
  <si>
    <t>A679078.115</t>
  </si>
  <si>
    <t>ANAGENNISI</t>
  </si>
  <si>
    <t>A679078.116</t>
  </si>
  <si>
    <t>HORIZON 2020 FIT-TO-Nzeb</t>
  </si>
  <si>
    <t>A679078.117</t>
  </si>
  <si>
    <t>AMIGA</t>
  </si>
  <si>
    <t>A679078.118</t>
  </si>
  <si>
    <t>H 2020 RISE OpenInnoTrain</t>
  </si>
  <si>
    <t>A679078.120</t>
  </si>
  <si>
    <t>FOCUS -Prisilna raseljavanja i solidarnost zajednice domaćina prema izbjeglica</t>
  </si>
  <si>
    <t>A679078.122</t>
  </si>
  <si>
    <t>SMART</t>
  </si>
  <si>
    <t>A679078.124</t>
  </si>
  <si>
    <t>H2020-SC1-2016-2017-RIA PROJECT OSTEOPROSPINE</t>
  </si>
  <si>
    <t>A679078.125</t>
  </si>
  <si>
    <t>ERASMUS+ PROGRAM PROJECT SOFTVETS 2018-1-HR01-KA203-047494</t>
  </si>
  <si>
    <t>A679078.126</t>
  </si>
  <si>
    <t>e-Škole B</t>
  </si>
  <si>
    <t>A679078.127</t>
  </si>
  <si>
    <t>EDU4GAMES - HKO</t>
  </si>
  <si>
    <t>A679078.129</t>
  </si>
  <si>
    <t>OBZOR 2020 - TO DO</t>
  </si>
  <si>
    <t>A679078.130</t>
  </si>
  <si>
    <t>ERASMUS + 2020-HR01-KA103</t>
  </si>
  <si>
    <t>A679078.131</t>
  </si>
  <si>
    <t>EFRR - IRI Agrivi Smart - Agrivi Smart</t>
  </si>
  <si>
    <t>A679078.132</t>
  </si>
  <si>
    <t>EFRR - IRI ARIEN - Upravljanje energetskom infrastrukturom kroz kolaboraciju u proširenoj stvarnosti</t>
  </si>
  <si>
    <t>A679078.133</t>
  </si>
  <si>
    <t>EFRR - IRI bigEVdata - IT rješenje analitike velikih skupova podataka emobilnosti</t>
  </si>
  <si>
    <t>A679078.134</t>
  </si>
  <si>
    <t>EFRR - IRI CCS - Cyber Conflict Simulator</t>
  </si>
  <si>
    <t>A679078.135</t>
  </si>
  <si>
    <t>EFRR - IRI CloudSec - Sigurnost računarstva u oblaku prilikom korištenja mobilnih aplikacija</t>
  </si>
  <si>
    <t>A679078.137</t>
  </si>
  <si>
    <t>EFRR - IRI DFDM - Istraživanje i razvoj sustava za prepoznavanje umora i distrakcije vozača</t>
  </si>
  <si>
    <t>A679078.139</t>
  </si>
  <si>
    <t>EFRR - IRI HSG - Helm Smart Grid</t>
  </si>
  <si>
    <t>A679078.141</t>
  </si>
  <si>
    <t>EFRR - IRI KONTRAC - KONTRAC GP170DC_SK - Razvoj pretvarača glavnog pogona tramvaja sa superkondenzatorskim modulom</t>
  </si>
  <si>
    <t>A679078.142</t>
  </si>
  <si>
    <t>EFRR - IRI Mareton - Razvoj nove generacije sustava neprekidnog napajanja</t>
  </si>
  <si>
    <t>A679078.144</t>
  </si>
  <si>
    <t>EFRR - IRI Omega GS - Razvoj  LED rasvjete</t>
  </si>
  <si>
    <t>A679078.146</t>
  </si>
  <si>
    <t>EFRR - IRI PC-ATE-Buildings - Razvoj sustava upravljanja i trgovanja energijom u zgradi</t>
  </si>
  <si>
    <t>A679078.147</t>
  </si>
  <si>
    <t>EFRR - IRI SafeTRAM - SafeTRAM - Sustav za povećanje sigurnosti vožnje tračničkog prometa</t>
  </si>
  <si>
    <t>A679078.148</t>
  </si>
  <si>
    <t>EFRR - IRI SMART UTX - SMART UTX:  Sustav za ultrazvučnu dijagnostiku u ekstremnim uvjetima</t>
  </si>
  <si>
    <t>A679078.150</t>
  </si>
  <si>
    <t>IRCiS Integracija djece izbjeglica u škole: izgradnja pozitivnih odnosa između djece izbjeglica i djece lokalnog stanovništva</t>
  </si>
  <si>
    <t>A679078.151</t>
  </si>
  <si>
    <t>CEKOM Centar kompetencija u molekularnoj dijagnostici</t>
  </si>
  <si>
    <t>A679078.152</t>
  </si>
  <si>
    <t>POP-UP</t>
  </si>
  <si>
    <t>A679078.153</t>
  </si>
  <si>
    <t>EFRR - IRI RASCO-FER-SMART-EV - Kompaktna gradska vakuumska čistilica</t>
  </si>
  <si>
    <t>A679078.156</t>
  </si>
  <si>
    <t>STEM revolucija u zajednici</t>
  </si>
  <si>
    <t>A679078.163</t>
  </si>
  <si>
    <t>ERASMUS+projekt FitBack</t>
  </si>
  <si>
    <t>A679078.186</t>
  </si>
  <si>
    <t>IRI CEKOM</t>
  </si>
  <si>
    <t>A679078.187</t>
  </si>
  <si>
    <t>ORKAN</t>
  </si>
  <si>
    <t>A679078.188</t>
  </si>
  <si>
    <t>ERASMUS + EDUBOTS</t>
  </si>
  <si>
    <t>A679078.189</t>
  </si>
  <si>
    <t>ERASMUS + E-DigiLit</t>
  </si>
  <si>
    <t>A679078.191</t>
  </si>
  <si>
    <t>RAST</t>
  </si>
  <si>
    <t>A679078.192</t>
  </si>
  <si>
    <t>LOMI</t>
  </si>
  <si>
    <t>A679078.193</t>
  </si>
  <si>
    <t>IC4HEDS</t>
  </si>
  <si>
    <t>A679078.194</t>
  </si>
  <si>
    <t>Hibridne metoda umjetne inteligencije za računalne igre</t>
  </si>
  <si>
    <t>A679078.195</t>
  </si>
  <si>
    <t>ERASMUS + TEACH4EDU4</t>
  </si>
  <si>
    <t>A679078.197</t>
  </si>
  <si>
    <t>ERASMUS+ WeRln - Žene poduzetetnice u regionalnim uključivim ekosustavima</t>
  </si>
  <si>
    <t>A679078.198</t>
  </si>
  <si>
    <t>LIFE 18 NAT/HR/00847- Dinara povratak životu</t>
  </si>
  <si>
    <t>A679078.199</t>
  </si>
  <si>
    <t>H2020-Swafs</t>
  </si>
  <si>
    <t>A679078.200</t>
  </si>
  <si>
    <t>H2020- upravljanje poljoprivrednom hranom</t>
  </si>
  <si>
    <t>A679078.203</t>
  </si>
  <si>
    <t>Centar pametnih urbanih i ruralnih prostora - Inovativna urbanistička i arhitektonska rješenja za povećanje energetske učinkovitosti u tradicijskim i zaštičenim cjelinama</t>
  </si>
  <si>
    <t>A679078.204</t>
  </si>
  <si>
    <t>Razvoj dvostruke fasade s hermetički zatvorenom šupljinom (H-CCF)</t>
  </si>
  <si>
    <t>A679078.206</t>
  </si>
  <si>
    <t>ERASMUS+KA2 Startup obrazovanje i podrška studentima doktorskih studija, istraživačima i znanstvenicima</t>
  </si>
  <si>
    <t>A679078.207</t>
  </si>
  <si>
    <t>ERASMUS+KA2 - Strateška partnerstva Geo3N</t>
  </si>
  <si>
    <t>A679078.208</t>
  </si>
  <si>
    <t>ERASMUS+KA2 - Strateška partnerstva SmartSoc</t>
  </si>
  <si>
    <t>A679078.209</t>
  </si>
  <si>
    <t>ERASMUS+KA2 - Strateška partnerstva ASKNOW</t>
  </si>
  <si>
    <t>A679078.210</t>
  </si>
  <si>
    <t>ERASMUS+KA2 - Strateška partnerstva INNOSID</t>
  </si>
  <si>
    <t>A679078.211</t>
  </si>
  <si>
    <t>ERASMUS+KA2 - Strateška partnerstva IMPACT - Inteligentni Pomorski Sustavi - put prema održivom obrazovanju, znanju i osnaživanju</t>
  </si>
  <si>
    <t>A679078.212</t>
  </si>
  <si>
    <t>ERASMUS + KA2 - Strateška partnerstva RoboGirls Osnaživanje djevojaka u STEAM-u kroz robotiku i kodiranje</t>
  </si>
  <si>
    <t>A679078.213</t>
  </si>
  <si>
    <t>H2020-WIDESPREAD-2018-2020  Katedra za umjetnu inteligenciju za robotiku</t>
  </si>
  <si>
    <t>A679078.214</t>
  </si>
  <si>
    <t>H2020 - ICT AERIAL-CORE - Kognitivni integrirani višenamjenski robotski sustav s proširenim opsegom rada i sigurnošću</t>
  </si>
  <si>
    <t>A679078.215</t>
  </si>
  <si>
    <t>H2020 - NMBP - ENCORE - BIM Cloud platforma svjesna energije, u ekonomičnom kontekstu renoviranja zgrada</t>
  </si>
  <si>
    <t>A679078.216</t>
  </si>
  <si>
    <t>H2020 - JTI-EuroHPC - MEEP - Eksperimentalna platforma</t>
  </si>
  <si>
    <t>A679078.217</t>
  </si>
  <si>
    <t>H2020 - LC-SC3 FLEXIGRID - Interoperabilna rješenja za holističku implementaciju usluga fleksibilnosti u distribucijskoj mreži</t>
  </si>
  <si>
    <t>A679078.218</t>
  </si>
  <si>
    <t>H2020 - SC5 REWAISE Elastična inovacija vode za pametnu ekonomiju</t>
  </si>
  <si>
    <t>A679078.219</t>
  </si>
  <si>
    <t>A679078.220</t>
  </si>
  <si>
    <t>H2020 – WIDESPREAD – Twinning AeRoTwin - Twinning koordinacijska akcija za širenje izvrsnosti i sudjelovanja u zračnoj robotici – AeRoTwin</t>
  </si>
  <si>
    <t>A679078.221</t>
  </si>
  <si>
    <t>H2020 - LCE - SGS CROSSBOW - CROSS BOARD Upravljanje promjenjivim obnovljivim izvorima energije i jedinicama za skladištenje omogućujući transnacionalno veletržnicu</t>
  </si>
  <si>
    <t>A679078.223</t>
  </si>
  <si>
    <t>H2020 - LC-SC3 FARCROSS Omogućavanje regionalne trgovine/razmjene električne energije kroz inovacije</t>
  </si>
  <si>
    <t>A679078.224</t>
  </si>
  <si>
    <t>ANETREC (611487-EPP-1-2019-1-SI-EPPJMO-NETWORK)</t>
  </si>
  <si>
    <t>A679078.225</t>
  </si>
  <si>
    <t>DEBATING EUROPE (620428-EPP-1-2020-1-DE-EPPJMO-NETWORK)</t>
  </si>
  <si>
    <t>A679078.226</t>
  </si>
  <si>
    <t>MEDIADELCOM</t>
  </si>
  <si>
    <t>A679078.227</t>
  </si>
  <si>
    <t>SESAR AISA - automatizaciju u upravljanju zračnim prometom</t>
  </si>
  <si>
    <t>A679078.228</t>
  </si>
  <si>
    <t>SESAR FMP MET - sektorska aplikacija s konvektivnim vremenskim informacijama za više izvora za položaj upravljanja protokom</t>
  </si>
  <si>
    <t>A679078.229</t>
  </si>
  <si>
    <t>SumBoost 2020 RIS Inovacija</t>
  </si>
  <si>
    <t>A679078.230</t>
  </si>
  <si>
    <t>MetForTC - Sljedive mjerne mogućnosti za praćenje rada termoparova</t>
  </si>
  <si>
    <t>A679078.231</t>
  </si>
  <si>
    <t>SEADRION - Poticanje širenja tehnologija grijanja i hlađenja pomoću pumpe morske vode u jadransko-jonskoj regiji</t>
  </si>
  <si>
    <t>A679078.232</t>
  </si>
  <si>
    <t>BLUE DEAL -  plava energija u mediteranskim obalnim područjima</t>
  </si>
  <si>
    <t>A679078.233</t>
  </si>
  <si>
    <t>REWARDHEAT- Uporaba topline iz obnovljivih izvora i otpada za konkurentne mreže daljinskog grijanja i hlađenja</t>
  </si>
  <si>
    <t>A679078.234</t>
  </si>
  <si>
    <t>SEEETD-Dijalog o tranziciji energije u jugoistočnoj Europi</t>
  </si>
  <si>
    <t>A679078.235</t>
  </si>
  <si>
    <t>SEAVIEWS- Sektorski prilagodljivi virtualni sustav ranog upozoravanja na zagađenje mora</t>
  </si>
  <si>
    <t>A679078.236</t>
  </si>
  <si>
    <t>ProbeTrace - Sljedivost za mjerenje kontaktnih sondi i olovnih instrumenata</t>
  </si>
  <si>
    <t>A679078.237</t>
  </si>
  <si>
    <t>Osiguranje električne energije u slučaju klimatskih ekstrema i prirodnih katastrofa</t>
  </si>
  <si>
    <t>A679078.238</t>
  </si>
  <si>
    <t>NRLE - Nacionalni referentni laboratorij za emisije iz motora s unutarnjim izgaranjem za necestovne pokretne strojeve</t>
  </si>
  <si>
    <t>A679078.239</t>
  </si>
  <si>
    <t>Regionalni centar kompetentnosti u strukovnom obrazovanju u strojarstvu-Industrija 4.0</t>
  </si>
  <si>
    <t>A679078.241</t>
  </si>
  <si>
    <t>RCK Ruđera Boškovića</t>
  </si>
  <si>
    <t>A679078.242</t>
  </si>
  <si>
    <t>ELPID - platforma za e-učenje za inovativni razvoj proizvoda</t>
  </si>
  <si>
    <t>A679078.243</t>
  </si>
  <si>
    <t>OPORTO -Optimizacija održavanja sustava antikorozivne zaštite i zaštite protiv obraštanja ribarskih brodova</t>
  </si>
  <si>
    <t>A679078.244</t>
  </si>
  <si>
    <t>MORZ - Mreža organizacija ribara i znanstvenika</t>
  </si>
  <si>
    <t>A679078.246</t>
  </si>
  <si>
    <t>APROPO- Autonomno Pomoćno RibarskO PlovilO</t>
  </si>
  <si>
    <t>A679078.247</t>
  </si>
  <si>
    <t>DATACROSS -Napredne metode i tehnologije u znanosti o podatcima i kooperativnim sustavima</t>
  </si>
  <si>
    <t>A679078.248</t>
  </si>
  <si>
    <t>Edukacijom o strukturnim i investicijskim fondovima do inovacija u poduzetništvu</t>
  </si>
  <si>
    <t>A679078.249</t>
  </si>
  <si>
    <t>ASAP-Autonomni sustav za pregled i predviđanje integriteta prometne infrastrukture</t>
  </si>
  <si>
    <t>A679078.251</t>
  </si>
  <si>
    <t>Istraživanje i razvoj specijaliziranih multirotornih bespilotnih letjelica SPECDRON</t>
  </si>
  <si>
    <t>A679078.252</t>
  </si>
  <si>
    <t>Razvoj hibridnog skidera - HISKID</t>
  </si>
  <si>
    <t>A679078.253</t>
  </si>
  <si>
    <t>Primjena Hrvatskog kvalifikacijskog okvira u području biomedicinskog inženjerstva - HKO-BI</t>
  </si>
  <si>
    <t>A679078.257</t>
  </si>
  <si>
    <t>CLEOPATRA - Višejezična istraživačka akademija Open Analytics usmjerena na događaje</t>
  </si>
  <si>
    <t>A679078.258</t>
  </si>
  <si>
    <t>IRCiS Integriranje izbjegličke djece u škole: mješovita studija o učinkovitosti kontakt-u-škole za izgradnju pozitivnih međugrupnih odnosa između djece izbjeglica i domaćina</t>
  </si>
  <si>
    <t>A679078.259</t>
  </si>
  <si>
    <t>HILAR</t>
  </si>
  <si>
    <t>A679078.260</t>
  </si>
  <si>
    <t>DuRSAAM</t>
  </si>
  <si>
    <t>A679078.261</t>
  </si>
  <si>
    <t>ERASMUS PLUS CSETIR</t>
  </si>
  <si>
    <t>A679078.262</t>
  </si>
  <si>
    <t>OVERFLOW  EU mehanizmi civilne zaštite</t>
  </si>
  <si>
    <t>A679078.263</t>
  </si>
  <si>
    <t>TRANSBOT -H2020</t>
  </si>
  <si>
    <t>A679078.264</t>
  </si>
  <si>
    <t>Potrošački angažman u obnovi zgrada i obnovi za klimatske akcije na terenu</t>
  </si>
  <si>
    <t>A679078.265</t>
  </si>
  <si>
    <t>BUS - GoCircular-H2020</t>
  </si>
  <si>
    <t>A679078.266</t>
  </si>
  <si>
    <t>BUILDUP -SKILLSBANK-H2020</t>
  </si>
  <si>
    <t>A679078.267</t>
  </si>
  <si>
    <t>OBZOR 2020 Znanost i tehnologija u politici pretilosti djece- STOP</t>
  </si>
  <si>
    <t>A679078.268</t>
  </si>
  <si>
    <t>WE-CARE Projekt: Uspostavljanjem nacionalne skrbi i razvojnim centrima podržavamo elitne sportaše u uravnoteženju rezultata sporta i obrazovanja / zapošljavanja</t>
  </si>
  <si>
    <t>A679078.269</t>
  </si>
  <si>
    <t>Projekt: Stvaranje mehanizama za kontinuiranu provedba sportskog kluba za zdravlje u Europskoj uniji</t>
  </si>
  <si>
    <t>A679078.270</t>
  </si>
  <si>
    <t>Erasmus + EPL Europska licenca za propisivanje</t>
  </si>
  <si>
    <t>A679078.271</t>
  </si>
  <si>
    <t>Obzor 2020 LiverScreen - Probir na fibrozu jetre - populacijsko istraživanje u europskim zemljama</t>
  </si>
  <si>
    <t>A679078.272</t>
  </si>
  <si>
    <t>HKO projekt Unapređenje postojećeg integriranog preddiplomskog i diplomskog studijskog programa Medicina</t>
  </si>
  <si>
    <t>A679078.274</t>
  </si>
  <si>
    <t>ESF CasMouse - Genomsko inženjerstvo i genska regulacija u staničnim linijama i modelnim organizmima tehnologijom CRISPR/Cas9</t>
  </si>
  <si>
    <t>A679078.276</t>
  </si>
  <si>
    <t>TODO-HORIZON 2020.</t>
  </si>
  <si>
    <t>A679078.280</t>
  </si>
  <si>
    <t>ANEUPLOIDIJA - Molekularno podrijetlo aneuploidija u zdravih i bolesnih ljudskih tkiva</t>
  </si>
  <si>
    <t>A679078.281</t>
  </si>
  <si>
    <t>ERASMUS+  KA2 TIME</t>
  </si>
  <si>
    <t>A679078.282</t>
  </si>
  <si>
    <t>MEMORIE Mjere prilagodbe klimatskim promjenama za održivo upravljanje prirodnim resursima</t>
  </si>
  <si>
    <t>A679078.283</t>
  </si>
  <si>
    <t>IRI- IMforFUTURE - aktivnosti istraživanja i razvoja</t>
  </si>
  <si>
    <t>A679078.284</t>
  </si>
  <si>
    <t>RESTORE - Procjena ostataka crvenog blata u regiji</t>
  </si>
  <si>
    <t>A679078.285</t>
  </si>
  <si>
    <t>MARILIA - testovi za detekciju patogena u uzorcima vode</t>
  </si>
  <si>
    <t>A679078.286</t>
  </si>
  <si>
    <t>The ONE - mehanizam sparivanja i stvaranja bozonskih kvazičestica</t>
  </si>
  <si>
    <t>A679078.287</t>
  </si>
  <si>
    <t>CroViZone - Prilagodba vinogradarskih zona RH klimatskim promjenama</t>
  </si>
  <si>
    <t>A679078.288</t>
  </si>
  <si>
    <t>ECOBIAS -  ekološko praćenje i procjenu vodenih bioloških ustanova</t>
  </si>
  <si>
    <t>A679078.289</t>
  </si>
  <si>
    <t>IRI- REMAKE - Razvoj efikasne metodologije za analizu konstrukcije plovnih objekata metodom konačnih elemenata</t>
  </si>
  <si>
    <t>A679078.290</t>
  </si>
  <si>
    <t>KLIMOD - Računalni model strujanja, poplavljivanja i širenja onečišćenja u rijekama i obalnim morskim područjima</t>
  </si>
  <si>
    <t>A679078.291</t>
  </si>
  <si>
    <t>ERASMUS + KA2 PROMISE - Obrazovanje zasnovano na upitima za personaliziranu medicinu</t>
  </si>
  <si>
    <t>A679078.292</t>
  </si>
  <si>
    <t>MOBI-US - Prijevod programa na engleski za suradnju s drugim fakultetima u Europi s istim programima</t>
  </si>
  <si>
    <t>A679078.293</t>
  </si>
  <si>
    <t>RM@Schools-ESEE - Povezivanje obrazovnih ustanova u ESEE regiji s industrijom</t>
  </si>
  <si>
    <t>A679078.294</t>
  </si>
  <si>
    <t>RIS obrazovanje i poduzetništvo</t>
  </si>
  <si>
    <t>A679078.295</t>
  </si>
  <si>
    <t>A679078.296</t>
  </si>
  <si>
    <t>ERASMUS+ CCC4ECEC - Kompetencija za obrazovanje i njegu u ranom djetinjstvu usmjerena na dijete</t>
  </si>
  <si>
    <t>A679078.298</t>
  </si>
  <si>
    <t>Dijagnostički značaj kalprotektina u ranom prepoznavanju upalnih stanja</t>
  </si>
  <si>
    <t>A679078.299</t>
  </si>
  <si>
    <t>Potencijal mikroinkapsulacije u proizvodnji sireva</t>
  </si>
  <si>
    <t>A679078.300</t>
  </si>
  <si>
    <t>Erasmus + dijalog u obrazovanju odraslih (DIA)</t>
  </si>
  <si>
    <t>A679078.301</t>
  </si>
  <si>
    <t>INTERREG Central Europe Store4HUC- Integracija i napredno gospodarenje sustavima za pohranu energije na povijesnim lokalitetima u gradovima</t>
  </si>
  <si>
    <t>A679078.302</t>
  </si>
  <si>
    <t>EERR-IRI-II RI2MOFA - Razvoj inteligentne interaktivne modularne fasade</t>
  </si>
  <si>
    <t>A679078.303</t>
  </si>
  <si>
    <t>INTERREG-DUNAV DanuP-2-Gas-DanuP-2-Gas: Inovativni model za potporu sigurnosti i diversifikaciju u dunavskoj regiji kombiniranjem energije iz biomase s viskovima obnovljive energije</t>
  </si>
  <si>
    <t>A679078.304</t>
  </si>
  <si>
    <t>INTERREG-IT-HR InnovaMare- Plava tehnologija - razvijanje inovativnih tehnologija za održivosti Jadranskog mora</t>
  </si>
  <si>
    <t>A679078.305</t>
  </si>
  <si>
    <t>EFRR-IR-II AACES- Odlučivanje u upravljanju elektroenergetskim sustavom u uvjetima nesigurnosti uvjetovanih klimatskim promjenama - AACES</t>
  </si>
  <si>
    <t>A679078.306</t>
  </si>
  <si>
    <t>EFRR - Klimatske promjene AgroSPARC- Napredna i prediktivna poljoprivreda za otpornost klimatskim promjenama</t>
  </si>
  <si>
    <t>A679078.307</t>
  </si>
  <si>
    <t>EFRR-IR-II Al Defender- Sustav umjetne inteligencije za automatski nadzor i upravljanje sigurnosti cloud okruženja - AL DEFENDER</t>
  </si>
  <si>
    <t>A679078.308</t>
  </si>
  <si>
    <t>EFRR-IR-II AIPD2- Digitalna platforma za zaštitu privatnosti i sprječavanje zloupotreba životnim ciklusom osobnih podataka- AIPD3</t>
  </si>
  <si>
    <t>A679078.309</t>
  </si>
  <si>
    <t>EFRR-IR-II A-UNIT- Istraživanje i razvoj napredne jedinice za autonomno upravljanje mobilnim vozilima u logistici</t>
  </si>
  <si>
    <t>A679078.310</t>
  </si>
  <si>
    <t>EFRR-IR-II BatEVCharg - Punionica električnih vozila s integriranim baterijskim spremnikom</t>
  </si>
  <si>
    <t>A679078.311</t>
  </si>
  <si>
    <t>EFRR-IR-II CEGlog- Istraživanje i razvoj jedinstvenog sustava za logističku i transportnu optimizaciju</t>
  </si>
  <si>
    <t>A679078.312</t>
  </si>
  <si>
    <t>EFFRR-CEKOM-SUS- Centar kompetencija za kibernetičku sigurnost upravljačkih sustava</t>
  </si>
  <si>
    <t>A679078.313</t>
  </si>
  <si>
    <t>EFRR-IR-II cyberAUT- Inovativno rješenje za upravljanje kibernetickom sigurnosti industrijskih sustava automatizacije postrojenja i procesa</t>
  </si>
  <si>
    <t>A679078.314</t>
  </si>
  <si>
    <t>EFRR-IR-II DRUNE- Razvoj uređaja za prijenos video signala ultra niske latencije</t>
  </si>
  <si>
    <t>A679078.315</t>
  </si>
  <si>
    <t>EFRR-IR-II ENEDAT- Razvoj sustava za optimalizaciju potrošnje električne energije u podatkovnim centrima</t>
  </si>
  <si>
    <t>A679078.316</t>
  </si>
  <si>
    <t>EFRR-IR-II ENEDAT- Razvoj pametnog modularnog sustava upravljanja pogonom dizala za povećanje energetske učinkovitosti zgrade</t>
  </si>
  <si>
    <t>A679078.317</t>
  </si>
  <si>
    <t>EFRR-IR-II GMP- Razvoj Greyp platforme za mikromobilnost GMP</t>
  </si>
  <si>
    <t>A679078.318</t>
  </si>
  <si>
    <t>EFRR-IR-II IRI2-OIE- Integrirano rješenje za upravljanje imovinom i podršku investicijskim procesima projektiranja, planiranja i provedbe izgradnje obnovljivih izvora energije</t>
  </si>
  <si>
    <t>A679078.319</t>
  </si>
  <si>
    <t>EFRR-IR-II LAMCAB- Razvoj tehnologije povezivanja komponenti upravljačkih električnih ormara upotrebom laminiranih vodica</t>
  </si>
  <si>
    <t>A679078.320</t>
  </si>
  <si>
    <t>EFRR-IR-II PCC- Sustav za nadzor i kontrolu usklađenosti distribuiranih procesa u realnom vremenu, otkrivanje anomalija, rano upozoravanje i forenzičku analizu transakcije</t>
  </si>
  <si>
    <t>A679078.321</t>
  </si>
  <si>
    <t>EFRR-IR-II PEP- Razvoj inovativnog polifaznog elektromotornog pogona</t>
  </si>
  <si>
    <t>A679078.322</t>
  </si>
  <si>
    <t>EFRR-IR-II Pinova- Razvoj agrometeorološke platforme i mreže IoT uređaja tvrtke Pinova d.o.o.</t>
  </si>
  <si>
    <t>A679078.323</t>
  </si>
  <si>
    <t>EFRR- UZI RESIN- Razvoj sustava za ispitivanje visefaznih strujanja i izgaranja s ciljem povećanja istraživačkih aktivnosti znanstvenog i poslovnog spektra</t>
  </si>
  <si>
    <t>A679078.324</t>
  </si>
  <si>
    <t>EFRR-IR-II RPA-NPV- Razvoj potopljenog agregata za male hidroelektrane s niskim padom vode</t>
  </si>
  <si>
    <t>A679078.325</t>
  </si>
  <si>
    <t>EFRR-IR-II SARI- Sustava za automatsko raspoznavanje, identifikaciju te precizno mjerenje duljine plovila</t>
  </si>
  <si>
    <t>A679078.326</t>
  </si>
  <si>
    <t>EFRR-IR-II SMAGRILOS- Sustav za optimizaciju gubitaka u naprednim mrežama</t>
  </si>
  <si>
    <t>A679078.327</t>
  </si>
  <si>
    <t>EFRR-IR-II SOC4- Platforma za nadzor ugroza u heterogenim mrežnim okruženjima</t>
  </si>
  <si>
    <t>A679078.328</t>
  </si>
  <si>
    <t>EFRR-IR-II SUPELEK- Sustav za upravljanje potrošnjom električne energije u kućanstvima</t>
  </si>
  <si>
    <t>A679078.329</t>
  </si>
  <si>
    <t>EFRR-IR-II Agrivi Smart- povećanje produktivnosti uzgoja krumpira uz pomoć algoritma strojnog učenja</t>
  </si>
  <si>
    <t>A679078.330</t>
  </si>
  <si>
    <t>EFRR-IR-II bigEVdata- IT rješenja analitike velikih skupova podataka emobilnosti</t>
  </si>
  <si>
    <t>A679078.332</t>
  </si>
  <si>
    <t>EFRR-IR-II CloudSec- Sigurnost računarstva u oblaku prilikom korištenja mobilnih aplikacija</t>
  </si>
  <si>
    <t>A679078.333</t>
  </si>
  <si>
    <t>EFRR-IR-II DFDM- Istraživanje i razvoj sustava za prepoznavanje umora i distrakcije vozača</t>
  </si>
  <si>
    <t>A679078.334</t>
  </si>
  <si>
    <t>EFRR-IR EKORAS24- Ekološki prihvatljiva rastavna sklopka 24kV za napredne mreže</t>
  </si>
  <si>
    <t>A679078.335</t>
  </si>
  <si>
    <t>EFRR-IRI Geolux- 4D akustična kamera</t>
  </si>
  <si>
    <t>A679078.336</t>
  </si>
  <si>
    <t>EFRR-IRI HSG - Helm Smart Grid</t>
  </si>
  <si>
    <t>A679078.337</t>
  </si>
  <si>
    <t>EFRR-IRI KONPRO 2 - Razvoj nove generacije uređaja numeričke zaštite</t>
  </si>
  <si>
    <t>A679078.338</t>
  </si>
  <si>
    <t>EFRR- IRI KONTRAC - Razvoj pretvarača glavnog pogona tramvaja sa superkondezatorskim modulom</t>
  </si>
  <si>
    <t>A679078.339</t>
  </si>
  <si>
    <t>EFRR- IRI Mareton - Razvoj nove generacije industrijskih modularnih, redundantnih, višeizlaznih sustava neprekidnog napajanja istosmjernim i izmjeničnim naponima</t>
  </si>
  <si>
    <t>A679078.340</t>
  </si>
  <si>
    <t>EFRR- IRI MAS- Razvoj multifunkcionalnog antiterorističkog sustava</t>
  </si>
  <si>
    <t>A679078.341</t>
  </si>
  <si>
    <t>EFRR- IRI Omega GS- Razvoj otvorene pametne mreže energetski učinkovite javne LED rasvjete</t>
  </si>
  <si>
    <t>A679078.342</t>
  </si>
  <si>
    <t>EFRR- IRI OperOSS- Istraživanja i razvoj naprednog sustava za upravljanje pametnim elektroenergetskim i komunikacijskim mrežama</t>
  </si>
  <si>
    <t>A679078.343</t>
  </si>
  <si>
    <t>EFRR- IRI PC-ATE-Buildings- Razvoj sustava prediktivnog upravljanja i automatskog trovanja energijom u zgradi</t>
  </si>
  <si>
    <t>A679078.344</t>
  </si>
  <si>
    <t>EFRR- IRI SMART UTX: Pametni modularni sustav za ultrazvučnu dijagnostiku u ekstremnim uvjetima</t>
  </si>
  <si>
    <t>A679078.346</t>
  </si>
  <si>
    <t>ERASMUS + Projekt: SC4H Network</t>
  </si>
  <si>
    <t>A679078.347</t>
  </si>
  <si>
    <t>ERASMUS+mobilnost osoblja zmeđu programskih i partnerskih zemalja u svrhu podučavanja KA 107</t>
  </si>
  <si>
    <t>A679078.349</t>
  </si>
  <si>
    <t>SABRINA</t>
  </si>
  <si>
    <t>A679078.350</t>
  </si>
  <si>
    <t>SLAIN</t>
  </si>
  <si>
    <t>A679078.351</t>
  </si>
  <si>
    <t>SumBoost</t>
  </si>
  <si>
    <t>A679078.354</t>
  </si>
  <si>
    <t>ERASMUS + K2, 1.1.2020.-31.12.2022., 612248-EPP-1-2019-BG-EPPKA2-KA, ICT IN TEXTILE AND CLOTHING HIGHER EDUCATION I BUSINESS</t>
  </si>
  <si>
    <t>A679078.355</t>
  </si>
  <si>
    <t>ERASMUS+ Education Curricula Development on the Collaborative Economy in Europe COLECO (2019-1-UK01-KA201-062118)</t>
  </si>
  <si>
    <t>A679078.356</t>
  </si>
  <si>
    <t>ERASMUS+ Challenges and practices of teaching economic disciplines in era of digitalization 2020-1-HR01-KA202-0777771</t>
  </si>
  <si>
    <t>A679078.358</t>
  </si>
  <si>
    <t>Umreženi stacionarni baterijski spremnici energije KK.01.1.1.04.0034</t>
  </si>
  <si>
    <t>A679078.361</t>
  </si>
  <si>
    <t>HKO akademija u hodu</t>
  </si>
  <si>
    <t>A679078.362</t>
  </si>
  <si>
    <t>HKO FIZKO- Sveučilište u Rijeci</t>
  </si>
  <si>
    <t>A679078.363</t>
  </si>
  <si>
    <t>HORIZON 2020- DRYVER</t>
  </si>
  <si>
    <t>A679078.365</t>
  </si>
  <si>
    <t>Tenure Track Pilot Programe - Exotic Nuclear Structure and Dynamics</t>
  </si>
  <si>
    <t>A679078.366</t>
  </si>
  <si>
    <t>KLIMA-4HR</t>
  </si>
  <si>
    <t>A679078.369</t>
  </si>
  <si>
    <t>Obzor 2020. ERASE_GBV Education and Raising Awareness in Schools to Prevent and Encounter Gender-Based Violence: Developing and implementing a training programme for teachers and other professionals at school</t>
  </si>
  <si>
    <t>A679078.370</t>
  </si>
  <si>
    <t>CEF MARCELL Multilingual Resources for CEF.AT in the legal domain</t>
  </si>
  <si>
    <t>A679078.371</t>
  </si>
  <si>
    <t>CEF PRINCIPLE Providing Resources in Irish, Norwegian, Croatian and Icelandic for Purposes of Language Engineering</t>
  </si>
  <si>
    <t>A679078.373</t>
  </si>
  <si>
    <t>Erasmus+ Development of innovative approach for training for university professors to work in the modern diverse and intercultural environment, UniCulture</t>
  </si>
  <si>
    <t>A679078.374</t>
  </si>
  <si>
    <t>Erasmus+, aktivnost Strateško partnerstvo HERISTEM - STEM in Heritage Sciences</t>
  </si>
  <si>
    <t>A679078.375</t>
  </si>
  <si>
    <t>Erasmus + Reforming Foreigne Languages in Academia in Montenegro - ReFALME</t>
  </si>
  <si>
    <t>A679078.376</t>
  </si>
  <si>
    <t>12-HERA-JRP-CE-FP-091 projekt ENTRAS Encounters and Transformationa in Iron Age Europe</t>
  </si>
  <si>
    <t>A679078.378</t>
  </si>
  <si>
    <t>HRZZ Golobalni humanizmi:Novi pogledi na Srednji Vijek</t>
  </si>
  <si>
    <t>A679078.379</t>
  </si>
  <si>
    <t>E-rudito: Napredni online obrazovni sustav za pametnu specijalizaciju i poslove budućnosti</t>
  </si>
  <si>
    <t>A679078.382</t>
  </si>
  <si>
    <t>HKO Zadar</t>
  </si>
  <si>
    <t>A679078.383</t>
  </si>
  <si>
    <t>TODO-TWINING OPEN DANA</t>
  </si>
  <si>
    <t>A679078.384</t>
  </si>
  <si>
    <t>SPIDER ERASMUS+STRATEGIC PARTNERSHIP</t>
  </si>
  <si>
    <t>A679078.385</t>
  </si>
  <si>
    <t>ERASMUS+SDI AND EO EDUCATION AND TRAINING FOR NORTH AFRICA(SEED4NA)</t>
  </si>
  <si>
    <t>A679078.386</t>
  </si>
  <si>
    <t>GEOBIZ-ERASMUS+Ka2 IZGRADNJA KAPACITETA U PODRUČJU VISOKOG OBRAZOVANJA</t>
  </si>
  <si>
    <t>A679078.391</t>
  </si>
  <si>
    <t>ADRIATIC - Unaprjeđenje sposobnosti interakcije ronilac-robot</t>
  </si>
  <si>
    <t>A679078.392</t>
  </si>
  <si>
    <t>AEROWIND-Autonomna inspekcija vjetroelektrana primjenom bespilotnih letjelica</t>
  </si>
  <si>
    <t>A679078.393</t>
  </si>
  <si>
    <t>AIDEFEND-Sustav umjetne inteligencije za autonomni nadzor i upravljanje sigurnosti cloud okruženja - AI DFENDER</t>
  </si>
  <si>
    <t>A679078.397</t>
  </si>
  <si>
    <t>AWAKE - Ultra low power wake-up interfaces for autonomous robotic sensor networks in sea/subsea environments</t>
  </si>
  <si>
    <t>A679078.398</t>
  </si>
  <si>
    <t>CADDY-Cognitive autonomous diving buddy</t>
  </si>
  <si>
    <t>A679078.399</t>
  </si>
  <si>
    <t>CALIPER-	Projekt CALIPER: Povezivanje istraživanja i inovacija za ravnopravnost spolova"</t>
  </si>
  <si>
    <t>A679078.400</t>
  </si>
  <si>
    <t>CASHPRED-Predviđanje vremena i obrazaca ponašanja novčanih tokova u međunarodnim bankovnim računima</t>
  </si>
  <si>
    <t>A679078.403</t>
  </si>
  <si>
    <t>CE-PEP-Razvoj inovativnog polifaznog elektromotornog pogona - PEP</t>
  </si>
  <si>
    <t>A679078.404</t>
  </si>
  <si>
    <t>CMETA-Analysis and design of curved metamaterial structures"</t>
  </si>
  <si>
    <t>A679078.405</t>
  </si>
  <si>
    <t>COGSTEPS - Crossing the Gap: Startup edukacija i potpora doktorandima, istraživačima i znanstvenicima</t>
  </si>
  <si>
    <t>A679078.407</t>
  </si>
  <si>
    <t>CUVME2 - Kooperativna bespilotna vozila u pomorskom okruženju: Eksperimenti na moru 2</t>
  </si>
  <si>
    <t>A679078.410</t>
  </si>
  <si>
    <t>DIGIT- Dig IT - Izrada standarda zanimanja i standarda kvalifikacija u djelatnostima računarstva</t>
  </si>
  <si>
    <t>A679078.413</t>
  </si>
  <si>
    <t>DUV-NRKBE - Razvoj daljinski upravljanog vozila za djelovanje u ekstremnim NRKBE uvjetima</t>
  </si>
  <si>
    <t>A679078.414</t>
  </si>
  <si>
    <t>EKO-KOMVOZ - Ekološki prihvatljivo vozilo za čišćenje javnih površina sa sustavima autonomnog upravljanja zasnovanim na umjetnoj inteligenciji</t>
  </si>
  <si>
    <t>A679078.415</t>
  </si>
  <si>
    <t>ENDORSE-Efikasno brusenje robotskim sustavom potpomognuto HORSE okruženjem</t>
  </si>
  <si>
    <t>A679078.417</t>
  </si>
  <si>
    <t>EULIFT - Razvoj pametnog modularnog sustava upravljanja pogonom dizala za povećanje energetske učinkovitosti zgrade</t>
  </si>
  <si>
    <t>A679078.418</t>
  </si>
  <si>
    <t>EUMR-Istraživačka infrastrukturna mreža u području pomorske robotike</t>
  </si>
  <si>
    <t>A679078.428</t>
  </si>
  <si>
    <t>HELB-Sustav za optimizaciju gubitaka u naprednim mrežama</t>
  </si>
  <si>
    <t>A679078.429</t>
  </si>
  <si>
    <t>HKO-ELE - Primjena Hrvatskog kvalifikacijskog okvira za sveučilišne studijske programe u području elektrotehnike</t>
  </si>
  <si>
    <t>A679078.430</t>
  </si>
  <si>
    <t>IAC-Tečaj industrijske akustike o buci, utjecaju buke na ljude i buci okoliša</t>
  </si>
  <si>
    <t>A679078.433</t>
  </si>
  <si>
    <t>IMMERSAFE-Uronjene vizualne tehnologije za sigurnosno kritične aplikacije</t>
  </si>
  <si>
    <t>A679078.435</t>
  </si>
  <si>
    <t>INTIS-Punionica električnih vozila s integriranim baterijskim spremnikom</t>
  </si>
  <si>
    <t>A679078.437</t>
  </si>
  <si>
    <t>IRI2-OIE - Integrirano rješenje za upravljanje imovinom i podršku investicijskim procesima projektiranja, planiranja i provedbe izgradnje obnovljivih izvora energije</t>
  </si>
  <si>
    <t>A679078.438</t>
  </si>
  <si>
    <t>IRI-RPA-Razvoj potopljenog agregata za male hidroelektrane s niskim padom vode</t>
  </si>
  <si>
    <t>A679078.441</t>
  </si>
  <si>
    <t>LAMCAB - Razvoj tehnologije povezivanja komponenti upravljačkih električnih ormara upotrebom laminiranih vodiča</t>
  </si>
  <si>
    <t>A679078.442</t>
  </si>
  <si>
    <t>MAGEF-Tehnologija električnih strojeva s trajnim magnetima za povećanje energetske učinkovitosti u električnoj vuči i brodskoj propulziji</t>
  </si>
  <si>
    <t>A679078.444</t>
  </si>
  <si>
    <t>MBZIRC - The Mohamed Bin Zayed medjunarodno natjecanje iz robotike</t>
  </si>
  <si>
    <t>A679078.445</t>
  </si>
  <si>
    <t>MERIA - Matematičko obrazovanje - značajno, zanimljivo i primjenjivo</t>
  </si>
  <si>
    <t>A679078.446</t>
  </si>
  <si>
    <t>METASHAPE-Napredni ručni detektori metala s mogućnošću diskriminacije oblika mete za uporabu u humanitarnom razminiranju</t>
  </si>
  <si>
    <t>A679078.450</t>
  </si>
  <si>
    <t>MUNIVO - Razvoj MUltifunkcionalnog NIskopodnog VOzila</t>
  </si>
  <si>
    <t>A679078.452</t>
  </si>
  <si>
    <t>NOFTUNE - Nefosterovske mreže za podesive i šrokopojasne radiofrekvencjske uređaje</t>
  </si>
  <si>
    <t>A679078.453</t>
  </si>
  <si>
    <t>OKTUKOM-Osiguravanje kvalitete telekomunikacijskih usluga korištenjem mehanizma kibernetičke sigurnosti</t>
  </si>
  <si>
    <t>A679078.454</t>
  </si>
  <si>
    <t>OPENLOT-Open Source blueprint for large scale self-organizing cloud environments for IoT applications</t>
  </si>
  <si>
    <t>A679078.458</t>
  </si>
  <si>
    <t>RESDATA - Rješenja prilagodbe elektroenergetskog sustava klimatskim promjenama temeljena na velikim količinama podataka</t>
  </si>
  <si>
    <t>A679078.461</t>
  </si>
  <si>
    <t>ROBOGIRLS - Osnaživanje djevojaka u STEAM-u kroz robotiku i kodiranje</t>
  </si>
  <si>
    <t>A679078.463</t>
  </si>
  <si>
    <t>ROTOTEMP - Nova generacija telemetrijske tehnologije za mjerenje na rotacijskim komponentama spojke</t>
  </si>
  <si>
    <t>A679078.464</t>
  </si>
  <si>
    <t>SAFELOG-Sigurna interakcija ljudi i robota u logističkim primjenama za visoko fleksibilna skladišta</t>
  </si>
  <si>
    <t>A679078.466</t>
  </si>
  <si>
    <t>SENFUS-Fuzija senzora</t>
  </si>
  <si>
    <t>A679078.467</t>
  </si>
  <si>
    <t>SHVET-Pametni pristup razvoju strukovnih vještina za visokoobrazovanu i mobilnu radnu snagu</t>
  </si>
  <si>
    <t>A679078.468</t>
  </si>
  <si>
    <t>SMARTSOC-Edukacija budućih IKT stručnjaka na temelju potreba pametnog društva (SmartSoc)</t>
  </si>
  <si>
    <t>A679078.469</t>
  </si>
  <si>
    <t>SPRAY-Razvoj sustava za ispitivanje višefaznih strujanja i izgaranja s ciljem povećanja istraživačkih aktivnosti znanstvenog i poslovnog sektora</t>
  </si>
  <si>
    <t>A679078.470</t>
  </si>
  <si>
    <t>STRIDE-Energetsko planiranje integracijom koncepata pametne mreže u Dunavskoj regiji</t>
  </si>
  <si>
    <t>A679078.471</t>
  </si>
  <si>
    <t>TEAMSOC21 - The ICT Engineer of the 21st Century: Mastering Technical Competencies, Management Skills, and Societal Responsibilities</t>
  </si>
  <si>
    <t>A679078.472</t>
  </si>
  <si>
    <t>TETRAMAX-TEchnology TRAnsfer via Multinational Application eXperiments</t>
  </si>
  <si>
    <t>A679078.473</t>
  </si>
  <si>
    <t>UGRIP - microGRId Positioning</t>
  </si>
  <si>
    <t>A679078.477</t>
  </si>
  <si>
    <t>VHEASTR-Znanstvenoistraživačka aktivnost hrvatske grupe u kolaboracijama MAGIC I CTA</t>
  </si>
  <si>
    <t>A679078.478</t>
  </si>
  <si>
    <t>A679078.482</t>
  </si>
  <si>
    <t>Better future of healthy ageing 2020.</t>
  </si>
  <si>
    <t>A679078.485</t>
  </si>
  <si>
    <t>NZEB ROADSHOW-H2020</t>
  </si>
  <si>
    <t>A679078.486</t>
  </si>
  <si>
    <t>H2020 INCEPTION</t>
  </si>
  <si>
    <t>A679078.487</t>
  </si>
  <si>
    <t>Erasmus+ Programme 2014-2020, Agreement no.2016-1-TR01-KA203-034710</t>
  </si>
  <si>
    <t>A679078.488</t>
  </si>
  <si>
    <t>H2020 Productive Green Infrastructure for post-industrial urban regeneration</t>
  </si>
  <si>
    <t>A679078.489</t>
  </si>
  <si>
    <t>Erasmus+: Healthy Urban Environment: Developing higer education in Architecture and Construction in Bosnia and Herzegovina (2018-2480/001-001)</t>
  </si>
  <si>
    <t>A679078.490</t>
  </si>
  <si>
    <t>Erasmus+: Architecture's afterlife: The multi-sector impact of an architectural qualification 2019-1-UK01-KA203-062062</t>
  </si>
  <si>
    <t>A679078.491</t>
  </si>
  <si>
    <t>Znanost spaja ljude (SCOPE - Science Connecting people)</t>
  </si>
  <si>
    <t>A679078.493</t>
  </si>
  <si>
    <t>FIGHTER</t>
  </si>
  <si>
    <t>A679078.494</t>
  </si>
  <si>
    <t>TODO</t>
  </si>
  <si>
    <t>A679078.495</t>
  </si>
  <si>
    <t>EIO-LAPD</t>
  </si>
  <si>
    <t>A679078.496</t>
  </si>
  <si>
    <t>JEAN MONNET ACTIVITIES</t>
  </si>
  <si>
    <t>A679078.498</t>
  </si>
  <si>
    <t>EUROGRADUATE</t>
  </si>
  <si>
    <t>A679078.499</t>
  </si>
  <si>
    <t>ENEMLOS</t>
  </si>
  <si>
    <t>A679078.500</t>
  </si>
  <si>
    <t>JEAN MONNET MODULE</t>
  </si>
  <si>
    <t>A679078.502</t>
  </si>
  <si>
    <t>BALKAN HOMICIDE STUDY</t>
  </si>
  <si>
    <t>A679078.503</t>
  </si>
  <si>
    <t>RCT-ESF</t>
  </si>
  <si>
    <t>A679078.507</t>
  </si>
  <si>
    <t>Personalized Medicine Inquiry-Based Education (PROMISE) Grant agreement: br. 2019-1-HR01-KA203-061010- </t>
  </si>
  <si>
    <t>A679078.508</t>
  </si>
  <si>
    <t>IRI projekt Povećanje razvoja novih proizvoda i usluga koji proizlaze iz aktivnosti istraživanja i razvoja</t>
  </si>
  <si>
    <t>A679078.509</t>
  </si>
  <si>
    <t>Utjecaj glikozilacije transferina na vezivanje željeza - GlyTransFer</t>
  </si>
  <si>
    <t>A679078.510</t>
  </si>
  <si>
    <t>EIT MANUFACTURING RIS HUB</t>
  </si>
  <si>
    <t>A679078.511</t>
  </si>
  <si>
    <t>RAPTOVAX - Robusne i adaptabilne biološke platforme za nova cjepiva</t>
  </si>
  <si>
    <t>A679078.512</t>
  </si>
  <si>
    <t>Jačanje kapaciteta CerVirVac-a za istraživanja u virusnoj imunologiji i vakcinologiji</t>
  </si>
  <si>
    <t>A679078.513</t>
  </si>
  <si>
    <t>OBZOR2020- Legumes in biodiversity based farming systems in Mediterranean basin</t>
  </si>
  <si>
    <t>A679078.514</t>
  </si>
  <si>
    <t>ERASMUS Transnational Quality Education for Organic Food Saftey- SAFE Orgfood</t>
  </si>
  <si>
    <t>A679078.515</t>
  </si>
  <si>
    <t>Napredni sustav motrenja agroekosustava u riziku od zaslanjivanja i onečišćenja</t>
  </si>
  <si>
    <t>A679078.516</t>
  </si>
  <si>
    <t>Agrobioraznolikost- osnova za prilagodbu i ublažavanje promjena klimatskih promjena u poljoprivredi</t>
  </si>
  <si>
    <t>A679078.517</t>
  </si>
  <si>
    <t>Dizajn naprednih biokompozita iz energetski održivih izvora- BIOKOMPOZITI</t>
  </si>
  <si>
    <t>A679078.518</t>
  </si>
  <si>
    <t>Proizvodnja, hrane, biokompozita i biogoriva iz žitarica u kružnom biogospodarstvu</t>
  </si>
  <si>
    <t>A679078.519</t>
  </si>
  <si>
    <t>ERASMUS Trainers for plant protection in organic farming- TOPPlant</t>
  </si>
  <si>
    <t>A679078.520</t>
  </si>
  <si>
    <t>Potencijal rizosfernog mikrobioma u prilagodbi poljoprivrede klimatskim promjenama - PERSPIRE</t>
  </si>
  <si>
    <t>A679078.521</t>
  </si>
  <si>
    <t>ERASMUS Learning Landscapes- LELA</t>
  </si>
  <si>
    <t>A679078.522</t>
  </si>
  <si>
    <t>ERASMUS Capacity building in higher education</t>
  </si>
  <si>
    <t>A679078.524</t>
  </si>
  <si>
    <t>A679078.525</t>
  </si>
  <si>
    <t>A679078.526</t>
  </si>
  <si>
    <t>Unaprjeđenje oporavlišta za divlje životinje na Veterinarskom fakultetu - WildRescouVEF, KK.06.5.2.04.0007.</t>
  </si>
  <si>
    <t>A679078.527</t>
  </si>
  <si>
    <t>Upravljanje krškim priobalnim vodonosnicima (UKV)</t>
  </si>
  <si>
    <t>A679078.528</t>
  </si>
  <si>
    <t>ICSI Interreg</t>
  </si>
  <si>
    <t>A679078.531</t>
  </si>
  <si>
    <t>DRYvER- Securing biodiversity- HORIZON 2020</t>
  </si>
  <si>
    <t>A679078.532</t>
  </si>
  <si>
    <t>"OPSVIO- Ortho-positronium decay and the search for CP and CPT violation in leptonic secto"</t>
  </si>
  <si>
    <t>A679078.533</t>
  </si>
  <si>
    <t>Klima- 4HR- Klimatska ranjivost Hrvatske i mogućnosti prilagodbe urbanih i prirodnih okoliša</t>
  </si>
  <si>
    <t>A679078.534</t>
  </si>
  <si>
    <t>CSRP- Hrvatsko-švicarski program- Probabilistic and analytical aspects of generalised regular variation</t>
  </si>
  <si>
    <t>A679078.535</t>
  </si>
  <si>
    <t>CSRP- Hrvatsko-Švicarski program- Dynamics of virus infection in mycovirus-mediated biological control of fungal pathogen</t>
  </si>
  <si>
    <t>A679078.536</t>
  </si>
  <si>
    <t>CSRP- Hrvatsko-Švicarski program- Investigation of substrate and editing specificity in tRNA synthetases and the mechanism of antibiotic action</t>
  </si>
  <si>
    <t>A679078.537</t>
  </si>
  <si>
    <t>Klimatske promjene  - Agrobioraznolikost</t>
  </si>
  <si>
    <t>A679078.538</t>
  </si>
  <si>
    <t>Jednoslojni polarimetar gama zračenja za primjene u medicinskom oslikavanju i za temeljna istraživanja u fizici</t>
  </si>
  <si>
    <t>A679078.541</t>
  </si>
  <si>
    <t>HRZZ IP-2019-04 MORENEC</t>
  </si>
  <si>
    <t>A679078.546</t>
  </si>
  <si>
    <t>AGROEKO - Napredni sustav motrenja agroekosustava u riziku od zaslanjivanja i onečišćenja</t>
  </si>
  <si>
    <t>A679078.560</t>
  </si>
  <si>
    <t>PAPABUILD - Napredne akustičke i psihoakustičke dijagnostičke metode kao temelj inovativnog dizajna u građevinskoj akustici</t>
  </si>
  <si>
    <t>A679078.561</t>
  </si>
  <si>
    <t>SIMBLOLTE - Simbioza pametnih objekata u okruženjima Interneta stvari</t>
  </si>
  <si>
    <t>A679078.565</t>
  </si>
  <si>
    <t>4VENT - Razvoj niza četverousisnih ventilatora za industrijska postrojenja</t>
  </si>
  <si>
    <t>A679078.566</t>
  </si>
  <si>
    <t>INUKING - Razvoj inovativnog programskog rješenja za centralizirani nadzor i upravljanje kritičnom infrastukturom</t>
  </si>
  <si>
    <t>A679078.567</t>
  </si>
  <si>
    <t>NGLI - povećanje razvoja novih proizvoda i usluga koji proizilaze iz aktivnosti istraživanja i razvoja</t>
  </si>
  <si>
    <t>A679078.569</t>
  </si>
  <si>
    <t>PBM-PLIN - Iskorištenje manje kvalitetnih i nestalnih plinova za proizvodnju električne energije, uporabom Umjetne Inteligencije za miješanje plinova</t>
  </si>
  <si>
    <t>A679078.570</t>
  </si>
  <si>
    <t>PINIOT - Platforma za inteligentno i energetski efikasno upravljanje industrijskim Iot uređajima</t>
  </si>
  <si>
    <t>A679078.571</t>
  </si>
  <si>
    <t>SUZE - Sustav za otkrivanje zlonamjernih elektroničkih transakcija zasnovan na strojnom učenju</t>
  </si>
  <si>
    <t>A679078.572</t>
  </si>
  <si>
    <t>T-LOGIC - Uspostava sustava za automatizaciju rada i autonomno odlučivanje u logistici samoposlužnih aparata</t>
  </si>
  <si>
    <t>A679078.573</t>
  </si>
  <si>
    <t>HRZZ projekti</t>
  </si>
  <si>
    <t>A679078.574</t>
  </si>
  <si>
    <t>Modeliranje procesa farmaceutskog sušenja raspršivanjem emulzije u laboratorijskom I pilotnom mjerilu</t>
  </si>
  <si>
    <t>A679078.575</t>
  </si>
  <si>
    <t>COLECO- ERASMUS + 2019-1-UK01-KA201-062118</t>
  </si>
  <si>
    <t>A679078.576</t>
  </si>
  <si>
    <t>FOReSiGHT</t>
  </si>
  <si>
    <t>A679078.578</t>
  </si>
  <si>
    <t>ERASMUS + 2020-1-PL01-KA203-081980 - SUSTA</t>
  </si>
  <si>
    <t>A679078.582</t>
  </si>
  <si>
    <t>TERRAGOV</t>
  </si>
  <si>
    <t>A679078.583</t>
  </si>
  <si>
    <t>HORIZON 2020 - SHARE-COVID 19</t>
  </si>
  <si>
    <t>A679078.584</t>
  </si>
  <si>
    <t>Learning how to Teach, Teaching how to Learn. Facing Challenges of Global Change in Higher Education Using Digital Tools for Reflective, Critical and Inclusive Learning on European Historical Landscapes – EDiToR</t>
  </si>
  <si>
    <t>A679078.586</t>
  </si>
  <si>
    <t>P-S-I Podrška Studenata u Integraciji marginaliziranih skupina na tržište rada</t>
  </si>
  <si>
    <t>A679078.587</t>
  </si>
  <si>
    <t>COORDINATE„COhort cOmmunity Research and Development Infrastructure Network for Access Throughout</t>
  </si>
  <si>
    <t>A679078.588</t>
  </si>
  <si>
    <t>RURASL Rural 3.0: Service Learning for the Rural Development</t>
  </si>
  <si>
    <t>A679078.589</t>
  </si>
  <si>
    <t>A679078.590</t>
  </si>
  <si>
    <t>Erasmus + Developing a new curriculum in Global Migration, Diaspora and Border Studies in East-Central Europe (GLocalEAst)”</t>
  </si>
  <si>
    <t>A679078.591</t>
  </si>
  <si>
    <t>Erasmus + „Introducing Intellectual Property Education for Lifelong Learning and the Knowledge Economy-IPEDU”</t>
  </si>
  <si>
    <t>A679078.592</t>
  </si>
  <si>
    <t>Encounters and Transformations in Iron Age Europe (ENTRANS</t>
  </si>
  <si>
    <t>A679078.593</t>
  </si>
  <si>
    <t>Rhetoric for Innovative Education  RHEFINE</t>
  </si>
  <si>
    <t>A679078.595</t>
  </si>
  <si>
    <t>Curated Multilingual Language Resources for CEF AT (CURLICAT)</t>
  </si>
  <si>
    <t>A679078.596</t>
  </si>
  <si>
    <t>HORIZON 2020: Children Online: Research and Evidence (CO:RE)</t>
  </si>
  <si>
    <t>A679078.597</t>
  </si>
  <si>
    <t>Third sector impact</t>
  </si>
  <si>
    <t>A679078.599</t>
  </si>
  <si>
    <t>SUSTINEO ESF</t>
  </si>
  <si>
    <t>A679078.600</t>
  </si>
  <si>
    <t>RE-DWELL</t>
  </si>
  <si>
    <t>A679078.608</t>
  </si>
  <si>
    <t>Istraživanje neuropatologije poremećaja iz spektra autizma i shizofrenije</t>
  </si>
  <si>
    <t>A679078.609</t>
  </si>
  <si>
    <t>EUROPEAN INFRASTRUCTURE FOR TRANSLATIONAL MEDICINE (EATRIS PLUS) - H2020</t>
  </si>
  <si>
    <t>A679078.610</t>
  </si>
  <si>
    <t>ERASMUS + MEĐUNARODNA SURADNJA</t>
  </si>
  <si>
    <t>A679078.611</t>
  </si>
  <si>
    <t>A ROADMAP OUT OF MEDICAL DESERTS INTO SUPPORTIVE HEALTH WORK FORCE INITIATIVES AND POLICIES - ROUTE-HWF</t>
  </si>
  <si>
    <t>A679078.612</t>
  </si>
  <si>
    <t>IRI CSTI - platforma za dohvat i analizu strukturiranih i nestrukturiranih podataka</t>
  </si>
  <si>
    <t>A679078.613</t>
  </si>
  <si>
    <t>UNIC4ER - Europsko sveučilište postindustrijskih gradova Ka suradničkom pristupu i strukturi prema angažiranom istraživanju</t>
  </si>
  <si>
    <t>A679078.614</t>
  </si>
  <si>
    <t>UNIC -Europsko sveučilište za postindustrijske gradove</t>
  </si>
  <si>
    <t>A679078.615</t>
  </si>
  <si>
    <t>ERASMUS+  DE01-KA203-005728 CONNECTED</t>
  </si>
  <si>
    <t>A679078.616</t>
  </si>
  <si>
    <t>SIMON - inteligentni sustav za automatski odabir algoritma strojnog učenja</t>
  </si>
  <si>
    <t>A679078.617</t>
  </si>
  <si>
    <t>MODERNE MISLEĆE ŽENE-HRZZ IP-01-2018</t>
  </si>
  <si>
    <t>A679078.618</t>
  </si>
  <si>
    <t>HELA</t>
  </si>
  <si>
    <t>A679078.619</t>
  </si>
  <si>
    <t>FORMALS-HRZZ UIP-2017-05-2019</t>
  </si>
  <si>
    <t>A679078.620</t>
  </si>
  <si>
    <t>Digitalna.hr</t>
  </si>
  <si>
    <t>A679078.621</t>
  </si>
  <si>
    <t>e-DESK - Digitalne i poduzetničke vještine europskih učitelja u svijetu COVID-19</t>
  </si>
  <si>
    <t>A679078.622</t>
  </si>
  <si>
    <t>Erasmus+ Oralno potencijalno maligni poremećaji: izobrazba zdravstvenih djelatnika</t>
  </si>
  <si>
    <t>A679078.623</t>
  </si>
  <si>
    <t>WAI4PwD - Web pristupačnost i ostale inicijative za osobe s invaliditetom u EU tijekom pandemije</t>
  </si>
  <si>
    <t>A679078.625</t>
  </si>
  <si>
    <t>HYSTORIES- podzemno skladištenja vodika u Europi</t>
  </si>
  <si>
    <t>A679078.626</t>
  </si>
  <si>
    <t>RiskMan - Jačanje obrazovnih kapaciteta za upravljanje rizicima</t>
  </si>
  <si>
    <t>A679078.627</t>
  </si>
  <si>
    <t>Obrazovana potraga za visokotemperaturnom supravodljivošću u novim elektroničkim materijalima</t>
  </si>
  <si>
    <t>A679078.628</t>
  </si>
  <si>
    <t>Razvoj naprednog IT sustava za precizno određivanje broja ljudi u otvorenim i zatvorenim prostorima (IRI)</t>
  </si>
  <si>
    <t>A679078.629</t>
  </si>
  <si>
    <t>A679078.630</t>
  </si>
  <si>
    <t>A679078.631</t>
  </si>
  <si>
    <t>Interreg D-Care Labs</t>
  </si>
  <si>
    <t>A679078.632</t>
  </si>
  <si>
    <t>ERASMUS+ KA2 Krajolici za učenje</t>
  </si>
  <si>
    <t>A679078.633</t>
  </si>
  <si>
    <t>EULAW - projekti obuke pravosudnih stručnjaka</t>
  </si>
  <si>
    <t>A679078.634</t>
  </si>
  <si>
    <t>Erasmus+ MELLE - Modernizacija pravnog obrazovanja u europskom pravu</t>
  </si>
  <si>
    <t>A679078.635</t>
  </si>
  <si>
    <t>ERASMUS Jačanje kapaciteta u visokom obrazovanju</t>
  </si>
  <si>
    <t>A679078.636</t>
  </si>
  <si>
    <t>CENTRINNO - rješenja za regeneraciju industrijskih povijesnih mjesta</t>
  </si>
  <si>
    <t>A679078.637</t>
  </si>
  <si>
    <t>A679078.638</t>
  </si>
  <si>
    <t>Platforma 50+ za unaprjeđivanje uvjeta rada</t>
  </si>
  <si>
    <t>A679078.639</t>
  </si>
  <si>
    <t>Obzor 2020 MEDICTA - Razvoj sustava za diktiranje medicinskih nalaza na bosanskom / hrvatskom / srpskom jeziku uključujući latinske izraze</t>
  </si>
  <si>
    <t>A679078.640</t>
  </si>
  <si>
    <t>FENIQS-EU - jačanje provedbe standarda kvalitete u smanjenju potražnje za drogama u cijeloj Europi</t>
  </si>
  <si>
    <t>A679078.641</t>
  </si>
  <si>
    <t>PROBITECT - Sinergijska inovativna kombinacija sastavnica mikrobiote kao osnova za razvoj inovativnih topikalnih proizvoda za tretiranje i prevenciju upalnih stanja humane kože</t>
  </si>
  <si>
    <t>A679078.642</t>
  </si>
  <si>
    <t>Interreg Adrion: Vuna kao izvanredna prilika za polugu - VUNA</t>
  </si>
  <si>
    <t>A679078.643</t>
  </si>
  <si>
    <t>ERASMUS + KA2 - Strateško partnerstvo COGSTEPS Startup obrazovanje i podrška studentima doktorskih studija, istraživačima i znanstvenicima</t>
  </si>
  <si>
    <t>A679078.644</t>
  </si>
  <si>
    <t>Zaštita cjelovitosti konstrukcija u energetici i transportu</t>
  </si>
  <si>
    <t>A679078.645</t>
  </si>
  <si>
    <t>AgroEko - Napredna i prediktivna poljoprivreda za otpornost klimatskim promjenama</t>
  </si>
  <si>
    <t>A679078.646</t>
  </si>
  <si>
    <t>Izazovi za društvene i humanističke znanosti: novi studiji i sustav kvalitete Filozofskog fakulteta u Zagrebu</t>
  </si>
  <si>
    <t>A679078.647</t>
  </si>
  <si>
    <t>RISE DORNA - Razvoj motornih pogona visoke pouzdanosti za pogonske aplikacije sljedeće generacije</t>
  </si>
  <si>
    <t>A679078.648</t>
  </si>
  <si>
    <t>FunTomP - Funkcionalizirani proizvodi od rajčice</t>
  </si>
  <si>
    <t>A679078.649</t>
  </si>
  <si>
    <t>ROUTE ( HORIZON )- Putokaz iz medicinskih pustinja u inicijative i politike zdravstvene radne snage koje podržavaju</t>
  </si>
  <si>
    <t>A679078.650</t>
  </si>
  <si>
    <t>EUROP2E (Erasmus+) - Europska otvorena platforma za propisivanje obrazovanja</t>
  </si>
  <si>
    <t>A679078.651</t>
  </si>
  <si>
    <t>WATCHPLANT - Pametni biohibridni fito-organizmi za okoliš</t>
  </si>
  <si>
    <t>A679078.652</t>
  </si>
  <si>
    <t>Eatris Plus - H2020 Konsolidacija kapaciteta EATRIS -ERIC -a za personaliziranu medicinu</t>
  </si>
  <si>
    <t>A679078.653</t>
  </si>
  <si>
    <t>ERASMUS+projekt Sky Easy</t>
  </si>
  <si>
    <t>A679078.654</t>
  </si>
  <si>
    <t>ERASMUS+projekt Fit Old</t>
  </si>
  <si>
    <t>A679078.655</t>
  </si>
  <si>
    <t>CARNET21 -Ostali -EEA and Norw. Gran.Fund Reg.</t>
  </si>
  <si>
    <t>A679078.656</t>
  </si>
  <si>
    <t>IGT</t>
  </si>
  <si>
    <t>A679078.657</t>
  </si>
  <si>
    <t>ERASMUS + KA2 - Aktivno učenje kroz poboljšanu interaktivnost</t>
  </si>
  <si>
    <t>A679078.658</t>
  </si>
  <si>
    <t>IRI-II SOVA - Sustav za vizualno prepoznavanje proizvoda na policama</t>
  </si>
  <si>
    <t>A679078.659</t>
  </si>
  <si>
    <t>IRI-II Besposadni brod - Razvoj autonomnog besposadnog višenamjenskog broda</t>
  </si>
  <si>
    <t>A679078.660</t>
  </si>
  <si>
    <t>IRI-II Mareton-2 -Robusni sustav neprekinutog napajanja za uređaje željezničke i industrijske infrastrukture</t>
  </si>
  <si>
    <t>A679078.661</t>
  </si>
  <si>
    <t>IRI-II CYBERBUS-INREBUS -Model za analizu podataka iz nestrukturiranih izvora informacija s ciljem povećanja kibernetičke sigurnosti u složenim poslovnim sustavima</t>
  </si>
  <si>
    <t>A679078.662</t>
  </si>
  <si>
    <t>UN4DRR</t>
  </si>
  <si>
    <t>A679078.663</t>
  </si>
  <si>
    <t>ESA</t>
  </si>
  <si>
    <t>A679078.664</t>
  </si>
  <si>
    <t>IRI-II VIRT-UAV - Sustav autonomnih bespilotnih letjelica treniranih u virtualnim okruženjima</t>
  </si>
  <si>
    <t>A679078.665</t>
  </si>
  <si>
    <t>NLTP - Platforma nacionalnih jezičnih tehnologija</t>
  </si>
  <si>
    <t>A679078.666</t>
  </si>
  <si>
    <t>IRI-II AIDWAS  - Sustav za nadzor kibernetičkog prostora i informiranje o katastrofama i prijetnjama u stvarnom vremenu na bazi umjetne inteligencije</t>
  </si>
  <si>
    <t>A679078.667</t>
  </si>
  <si>
    <t>IRI-II PBM-PLIN - Iskorištenje manje kvalitetnih i nestalnih plinova za proizvodnju električne energije</t>
  </si>
  <si>
    <t>A679078.668</t>
  </si>
  <si>
    <t>IRI-II SmartEC - Smart EC - dijagnostički sustav za ispitivanje metodom vrtložnih struja</t>
  </si>
  <si>
    <t>A679078.669</t>
  </si>
  <si>
    <t>DIGITOOLS - Inovativni alati za poboljšanje rješenja e-učenja na sveučilištima</t>
  </si>
  <si>
    <t>A679078.670</t>
  </si>
  <si>
    <t>IRI-II 4VENT - Razvoj niza četverousisnih ventilatora za industrijska postrojenja</t>
  </si>
  <si>
    <t>A679078.671</t>
  </si>
  <si>
    <t>IRI-II CIP4SI - Razvoj digitalne platforme za izgradnju sustava zaštite kritičnih infrastruktura u pametnim industrijama</t>
  </si>
  <si>
    <t>A679078.672</t>
  </si>
  <si>
    <t>DERIN ERASMUS + Razvoj digitalne platforme za izgradnju sustava zaštite kritičnih infrastruktura u pametnim industrijama</t>
  </si>
  <si>
    <t>A679078.673</t>
  </si>
  <si>
    <t>NAUTICA CBC prekogranična nautička turistička ponuda</t>
  </si>
  <si>
    <t>A679078.674</t>
  </si>
  <si>
    <t>ELP Transport stručnjak za lokalni transport</t>
  </si>
  <si>
    <t>A679078.675</t>
  </si>
  <si>
    <t>INTERREG OJP4DANUBE</t>
  </si>
  <si>
    <t>A679078.676</t>
  </si>
  <si>
    <t>ReNewEurope - Ponovno otkrivanje „Nove Europe“ - Ljetna škola na kotačima za prekograničnu povijest i politiku Balkana / Srednje i Istočne Europe</t>
  </si>
  <si>
    <t>A679078.677</t>
  </si>
  <si>
    <t>PRISMI PLUS - Prijenos alata za integraciju OIE na pametnim mediteranskim otocima i ruralnim područjima</t>
  </si>
  <si>
    <t>A679078.678</t>
  </si>
  <si>
    <t>LSP Internetski tečaj za stručno usavršavanje nastavnika</t>
  </si>
  <si>
    <t>A679078.679</t>
  </si>
  <si>
    <t>RHEFINE - Retorika za inovativno obrazovanje</t>
  </si>
  <si>
    <t>A679078.680</t>
  </si>
  <si>
    <t>EXAFOAM - Iskorištavanje sustava Exascale</t>
  </si>
  <si>
    <t>A679078.681</t>
  </si>
  <si>
    <t>GLocalEAst - Razvoj novog kurikuluma o studijama globalne migracije, dijaspore i granica u istočnoj i središnjoj Europi</t>
  </si>
  <si>
    <t>A679078.682</t>
  </si>
  <si>
    <t>SEAS 4.0 ODRŽIVI BROD I DOSTAVA 4.0</t>
  </si>
  <si>
    <t>A679078.683</t>
  </si>
  <si>
    <t>CResDET - Digitalno obrazovanje i osposobljavanje otporno na krize</t>
  </si>
  <si>
    <t>A679078.684</t>
  </si>
  <si>
    <t>EDiToR - Učiti kako poučavati, poučavati kako učiti. Suočavanje s izazovima globalnih promjena u visokom obrazovanju pomoću digitalnih alata za reflektirajuće, kritičko i inkluzivno učenje o europskim povijesnim krajolicima</t>
  </si>
  <si>
    <t>A679078.685</t>
  </si>
  <si>
    <t>CESSDA ERIC Agenda 21-22</t>
  </si>
  <si>
    <t>A679078.686</t>
  </si>
  <si>
    <t>SHIPMARTECH - Nadogradnja i usklađivanje magistarskih tečajeva pomorskog inženjerstva</t>
  </si>
  <si>
    <t>A679078.687</t>
  </si>
  <si>
    <t>STAND - Jačanje autonomije sveučilišta i povećanje odgovornosti i transparentnosti sveučilišta Zapadnog Balkana</t>
  </si>
  <si>
    <t>A679078.688</t>
  </si>
  <si>
    <t>Mreža infrastrukture za istraživanje i razvoj kohortne zajednice za pristup diljem Europe</t>
  </si>
  <si>
    <t>A679078.689</t>
  </si>
  <si>
    <t>OLGA - OLympics  Green Airport</t>
  </si>
  <si>
    <t>A679078.690</t>
  </si>
  <si>
    <t>Uvođenje obrazovanja o intelektualnom vlasništvu za cjeloživotno učenje i ekonomiju znanja</t>
  </si>
  <si>
    <t>A679078.691</t>
  </si>
  <si>
    <t>Kako obični ljudi shvaćaju anti-gender poruke</t>
  </si>
  <si>
    <t>A679078.692</t>
  </si>
  <si>
    <t>Reforma stranih jezika u akademskim krugovima u Crnoj Gori</t>
  </si>
  <si>
    <t>A679078.693</t>
  </si>
  <si>
    <t>HRZZ Program suradnje s hrvatskim znanstvenicima u dijaspori ''ZNANSTVENA SURADNJA''</t>
  </si>
  <si>
    <t>A679078.694</t>
  </si>
  <si>
    <t>A679078.695</t>
  </si>
  <si>
    <t>A679078.696</t>
  </si>
  <si>
    <t>IRI Comparative genomics of non-model invertebrates (IGNITE)</t>
  </si>
  <si>
    <t>A679078.697</t>
  </si>
  <si>
    <t>STRIP Jačanje kapaciteta za istraživanje, razvoj i inovacije</t>
  </si>
  <si>
    <t>A679078.698</t>
  </si>
  <si>
    <t>A679078.699</t>
  </si>
  <si>
    <t>A679078.700</t>
  </si>
  <si>
    <t>Formiranje C-C veze pomoću vrhunskih enzima</t>
  </si>
  <si>
    <t>A679078.701</t>
  </si>
  <si>
    <t>RADICALZ — H2020-FNR-2020</t>
  </si>
  <si>
    <t>A679081.001</t>
  </si>
  <si>
    <t>INTERREG Projekt LOW-CARB Integrirano planiranje pokretljivosti s niskom razinom ugljika za urbana područja</t>
  </si>
  <si>
    <t>A679081.002</t>
  </si>
  <si>
    <t>ERASMUS+ JEAN MONNET Razvoj i implementacija CQAF modela osiguranja kvalitete na visokoškolskim ustanovama</t>
  </si>
  <si>
    <t>A679081.003</t>
  </si>
  <si>
    <t>ERASMUS+ JEAN MONNET MODULES - Interdisciplinarni pristup političkim i pravnim dimenzijama regionalnih integracija</t>
  </si>
  <si>
    <t>A679081.004</t>
  </si>
  <si>
    <t>ERASMUS+  Poticanje mobilnosti studenata i znanstveno-nastavnog osoblja</t>
  </si>
  <si>
    <t>A679081.005</t>
  </si>
  <si>
    <t>INTERREG e-MOB</t>
  </si>
  <si>
    <t>A679081.008</t>
  </si>
  <si>
    <t>Uspostava RCK u strojarstvu SJEVER -TŠČ</t>
  </si>
  <si>
    <t>A679081.009</t>
  </si>
  <si>
    <t>A679081.010</t>
  </si>
  <si>
    <t>Ulaganje u istraživanje i razvoj BBR Adria d.o.o.</t>
  </si>
  <si>
    <t>A679081.011</t>
  </si>
  <si>
    <t>Istraživanje i razvoj inovativnih i pametnih tehnologija za gospodarenje otpadom, prijevoz i logistiku</t>
  </si>
  <si>
    <t>A679081.012</t>
  </si>
  <si>
    <t>Integracija (bivših) Jugoslavena u Švicarskoj</t>
  </si>
  <si>
    <t>A679081.013</t>
  </si>
  <si>
    <t>Unapređenje rada Medicinske škole AK Zadar- regionalnog centra kompetentnosti u sektoru zdravstva</t>
  </si>
  <si>
    <t>A679115.001</t>
  </si>
  <si>
    <t>INTERREG IPA CBC Hrvatska - Srbija, Obnovljivi izvori energije za pametne, održive, zdravstvene centre, visokoobrazovne ustanove i druge javne zgrade</t>
  </si>
  <si>
    <t>A679115.002</t>
  </si>
  <si>
    <t>Centar za istraživanje, razvoj i inovacije - CIRI</t>
  </si>
  <si>
    <t>A679115.004</t>
  </si>
  <si>
    <t>Pametna naljepnica za mjerenje i praćenje uvjeta skladištenja i transporta proizvoda</t>
  </si>
  <si>
    <t>A679115.005</t>
  </si>
  <si>
    <t>AVACS, Prilagodba povrtnih kultura novim agrometeorološkim uvjetima u Slavoniji</t>
  </si>
  <si>
    <t>A679115.006</t>
  </si>
  <si>
    <t>Dobra klima za turizam</t>
  </si>
  <si>
    <t>A679115.008</t>
  </si>
  <si>
    <t>EXPERIO-razvoj strojeva za kvalitetu i paletizaciju u automobilskoj industriji</t>
  </si>
  <si>
    <t>A679115.009</t>
  </si>
  <si>
    <t>ERASMUS</t>
  </si>
  <si>
    <t>A679115.010</t>
  </si>
  <si>
    <t>RESIN-razvoj sustava za ispitivanje višefaznih strujanja i izgaranja</t>
  </si>
  <si>
    <t>K679084.001</t>
  </si>
  <si>
    <t>Vrhunska istraživanja Znanstvenih centara izvrsnosti</t>
  </si>
  <si>
    <t>K679084.002</t>
  </si>
  <si>
    <t>K679084.003</t>
  </si>
  <si>
    <t>Razvoj i jačanje sinergija s horizontalnim aktivnostima programa OBZOR 2020:  Twinning i ERA chairs</t>
  </si>
  <si>
    <t>K679084.004</t>
  </si>
  <si>
    <t>Poziv Modernizacija, unaprjeđenje i proširenje infrastrukture studentskog smještaja za studente u nepovoljnom položaju</t>
  </si>
  <si>
    <t>K679084.005</t>
  </si>
  <si>
    <t>K679084.006</t>
  </si>
  <si>
    <t>K679084.007</t>
  </si>
  <si>
    <t>K679106.001</t>
  </si>
  <si>
    <t>K679106.002</t>
  </si>
  <si>
    <t>K679106.004</t>
  </si>
  <si>
    <t>SHARE Istraživanje o zdravlju, starenju i umirovljenju u Europi</t>
  </si>
  <si>
    <t>K679106.005</t>
  </si>
  <si>
    <t>Uspostava integralnog sustava za upravljanje službenom dokumentacijom Republike Hrvatske</t>
  </si>
  <si>
    <t>K679111.001</t>
  </si>
  <si>
    <t>Druga prilika za stjecanje kvalifikacije u visokom obrazovanju</t>
  </si>
  <si>
    <t>A622125.001</t>
  </si>
  <si>
    <t>H2020, Twinning: SmartEIZ</t>
  </si>
  <si>
    <t>A622125.002</t>
  </si>
  <si>
    <t>A622125.003</t>
  </si>
  <si>
    <t>H2020 EuroFusion Istraživnja energije fuzije</t>
  </si>
  <si>
    <t>A622125.004</t>
  </si>
  <si>
    <t>H2020 PerformFISH Prevladavanje bioloških, tehničkih i operativnih pitanja u akvakulturi</t>
  </si>
  <si>
    <t>A622125.005</t>
  </si>
  <si>
    <t>H2020 NewSpindlForce Temeljna istraživanja dinamike diobenog vretena u cilju razumijevanja mehanizama stanične diobe</t>
  </si>
  <si>
    <t>A622125.006</t>
  </si>
  <si>
    <t>H2020 Concert Povezivanje istraživanja zaštite od zračenja na EU razini</t>
  </si>
  <si>
    <t>A622125.007</t>
  </si>
  <si>
    <t>H2020 PaRaDe SEC Unaprjeđenje istraživačke infrastrukture, posebice detektora čestica i zračenja za istraživanja u nuklearnoj i čestičnoj fizici</t>
  </si>
  <si>
    <t>A622125.009</t>
  </si>
  <si>
    <t>H2020 OpenAIRE-Advance Osiguravanje otvorenog pristupa i otvorene znanosti na razini EU</t>
  </si>
  <si>
    <t>A622125.010</t>
  </si>
  <si>
    <t>H2020 ESSnuSB Izrada studije o mogućnosti nadogradnje ESS akceleratora</t>
  </si>
  <si>
    <t>A622125.011</t>
  </si>
  <si>
    <t>H2020 EOSC-hub Katalog usluga, softvera i podataka iz EGI Federacije, EUDAT CDI, INDIGO - DataCloud i glavnih istraživačkih e-Infrastruktura</t>
  </si>
  <si>
    <t>A622125.013</t>
  </si>
  <si>
    <t>H2020 NEW Povezivanje komplementanih nacionalnih ion-beam postrojenja u virtualnu mrežu</t>
  </si>
  <si>
    <t>A622125.015</t>
  </si>
  <si>
    <t>H2020, ERA-net GeoERA Uspostava istraživačkog prostora europskih geoloških službi i stvaranje geološke službe za Europu</t>
  </si>
  <si>
    <t>A622125.016</t>
  </si>
  <si>
    <t>INTERREG CBC Hrvatska-BiH-Crna Gora SafEath Napredno upravljanje rizikom klizišta u regiji</t>
  </si>
  <si>
    <t>A622125.017</t>
  </si>
  <si>
    <t>INTERREG Danube SIMONA Informacijski sustav koji podupire transnacionalnu suradnju za zajedničko vodno gospodarstvo u slivu rijeke Dunav</t>
  </si>
  <si>
    <t>A622125.018</t>
  </si>
  <si>
    <t>INTERREG Danube: DARLINGe Podunavlje vodeća regija geotermalne energije</t>
  </si>
  <si>
    <t>A622125.019</t>
  </si>
  <si>
    <t>INTERREG Danube: CAMARO-D Primjena inovativnih međunarodnih „Razvojnih planova korištenja zemljišta“ radi utjecaja na vodni režim u slivu rijeke Dunav</t>
  </si>
  <si>
    <t>A622125.020</t>
  </si>
  <si>
    <t>INTERREG Central Europe: PROLINE-CE – Učinkovite prakse upravljanja zemljištem kroz zaštitu vodnih resursa i ne-strukturnih iskustava za ublažavanje poplava</t>
  </si>
  <si>
    <t>A622125.021</t>
  </si>
  <si>
    <t>CASE (Poland) - Razvoj i primjena inovativnih alata usmjerenih na ograničavanje fenomena neregistriranog rada u ustanovama suodgovornim za minimiziranje sive ekonomije na trzištu rada</t>
  </si>
  <si>
    <t>A622125.022</t>
  </si>
  <si>
    <t>OBZOR2020  HBM4EU Inicijativa Europskog humanog biomonitoringa izrada baze kohorti novorođenčeta u Europi</t>
  </si>
  <si>
    <t>A622125.026</t>
  </si>
  <si>
    <t>VOLPOWER Volontiranje kao doprinos interakciji i osnaživanju mladih</t>
  </si>
  <si>
    <t>A622125.028</t>
  </si>
  <si>
    <t>INTERREG Središnja Europa KEEP ON-Učinkovita politika za trajne i samoodržive projekte u sektoru kulturne baštine</t>
  </si>
  <si>
    <t>A622125.030</t>
  </si>
  <si>
    <t>Modeli integriranog turizma na Mediteranu plus</t>
  </si>
  <si>
    <t>A622125.031</t>
  </si>
  <si>
    <t>ERASMUS + SeasonREADY Obrazovanje za sezonske turističke djelatnike</t>
  </si>
  <si>
    <t>A622125.033</t>
  </si>
  <si>
    <t>ERASMUS+ SPECHALE  SPEcialisti za kulturnu baštinu i atraktivno životno okruženje</t>
  </si>
  <si>
    <t>A622125.034</t>
  </si>
  <si>
    <t>H2020 CHIEF Inovativni pristup kulturne pismenosti mladih Europljana</t>
  </si>
  <si>
    <t>A622125.038</t>
  </si>
  <si>
    <t>BARMIG Pregovaranje uvjeta rada i socijalnih prava radnika migranata u državama srednje I istočne Europe</t>
  </si>
  <si>
    <t>A622125.039</t>
  </si>
  <si>
    <t>Širenje znanja o europskim radničkim vijećima u cilju jačanja transnacionalnih radničkih  prava</t>
  </si>
  <si>
    <t>A622125.040</t>
  </si>
  <si>
    <t>SoPHIA -  DRUŠTVENA PLATFORMA ZA PROCJENU UTICAJA HOLISTIČKE BAŠTINE</t>
  </si>
  <si>
    <t>A622125.041</t>
  </si>
  <si>
    <t>INTERREG-ENRAS Osiguranje sigurnosti intervencijskih postrojbi u slučaju nuklearne ili radiološke nesreće</t>
  </si>
  <si>
    <t>A622125.042</t>
  </si>
  <si>
    <t>OBZOR 2020 RISKGONE  Upravljanje rizikom od nanotehnologije</t>
  </si>
  <si>
    <t>A622125.043</t>
  </si>
  <si>
    <t>AIRQ Proširenje i modernizacija državne mreže za trajno praćenje kvalitete zraka</t>
  </si>
  <si>
    <t>A622125.044</t>
  </si>
  <si>
    <t>INTERREG DUNAV REFOSuS Otporne poplavne šume kao ekološki koridori rezervata biosfere Mura-Drava-Dunav</t>
  </si>
  <si>
    <t>A622125.045</t>
  </si>
  <si>
    <t>LIFE SySTEMIC Održivo upravljanje šuma u  uvjetima klimatskih promjena</t>
  </si>
  <si>
    <t>A622125.047</t>
  </si>
  <si>
    <t>Horizon2020  M4F Modeliranje za fuzijske i fizijske materijale</t>
  </si>
  <si>
    <t>A622125.049</t>
  </si>
  <si>
    <t>Horizon2020: MedAID  Integrirani razvoj mediteranske akvakulture</t>
  </si>
  <si>
    <t>A622125.050</t>
  </si>
  <si>
    <t>INTERREG IT-HR  AdriAquaNet - projekt jačanja i održivosti akvakulture u Jadranskom moru</t>
  </si>
  <si>
    <t>A622125.051</t>
  </si>
  <si>
    <t>INTERREG IT-HR ASTERIS</t>
  </si>
  <si>
    <t>A622125.052</t>
  </si>
  <si>
    <t>STRONG-2020 - Jaka interakcija na granici znanja</t>
  </si>
  <si>
    <t>A622125.053</t>
  </si>
  <si>
    <t>NI4OS-Europe - Nacionalne inicijative za otvorenu znanost u Europi</t>
  </si>
  <si>
    <t>A622125.054</t>
  </si>
  <si>
    <t>ERASMUS+ Hand in Hand</t>
  </si>
  <si>
    <t>A622125.055</t>
  </si>
  <si>
    <t>ERASMUS+ Podrška boljem znanju u području politike mladih (Youth Wiki)</t>
  </si>
  <si>
    <t>A622125.056</t>
  </si>
  <si>
    <t>INTERREG IT-HR CBC SLIDES  Pametne strategije za održivi turizam u životno kulturnim odrednicama</t>
  </si>
  <si>
    <t>A622125.057</t>
  </si>
  <si>
    <t>INTERREG EUROPE LOCAL FLAVOURS Autentični turizam temeljen na lokalnim kulturnim ukusima</t>
  </si>
  <si>
    <t>A622125.058</t>
  </si>
  <si>
    <t>WINTTER MED</t>
  </si>
  <si>
    <t>A622125.059</t>
  </si>
  <si>
    <t>SPRINT -Prijelaz održive zaštite bilja</t>
  </si>
  <si>
    <t>A622125.060</t>
  </si>
  <si>
    <t>H2020 DARE-Dijalog o radikalizaciji i jednakosti</t>
  </si>
  <si>
    <t>A622125.061</t>
  </si>
  <si>
    <t>INNO-WISE: Tehnologije, kompetencije i društvene inovacije za radnu integraciju društvena poduzeća</t>
  </si>
  <si>
    <t>A622125.062</t>
  </si>
  <si>
    <t>ERASMUS+ Poboljšanje vještina strukovnog obrazovanja i osposobljavanja</t>
  </si>
  <si>
    <t>A622125.063</t>
  </si>
  <si>
    <t>COST- Integriranje neandertalnog nasljeđa: od prošlosti do danas - iNEAL</t>
  </si>
  <si>
    <t>A622125.064</t>
  </si>
  <si>
    <t>INTERREG - Dunavski limes</t>
  </si>
  <si>
    <t>A622125.065</t>
  </si>
  <si>
    <t>RESPONSe - INTERREG ITALIJA-HRVATSKA</t>
  </si>
  <si>
    <t>A622125.066</t>
  </si>
  <si>
    <t>Interreg- Srednja Europa project CE1412</t>
  </si>
  <si>
    <t>A622125.067</t>
  </si>
  <si>
    <t>DEEPWATER-CE- Razvoj integriranog provedbenog okvira radi zaštite vodnih resursa</t>
  </si>
  <si>
    <t>A622125.068</t>
  </si>
  <si>
    <t>MUHA-upravljanje vodnim sustavima tijekom rizika od hazarda</t>
  </si>
  <si>
    <t>A622125.070</t>
  </si>
  <si>
    <t>DESTIMED-Ekoturizam u mediteranskim destinacijama-od praćenja i planiranja do promicanja i podrške</t>
  </si>
  <si>
    <t>A622125.071</t>
  </si>
  <si>
    <t>INTERREG Središnja Europa</t>
  </si>
  <si>
    <t>A622125.072</t>
  </si>
  <si>
    <t>ERASMUS-Jean Monnet</t>
  </si>
  <si>
    <t>A622125.073</t>
  </si>
  <si>
    <t>MPM2020/2021</t>
  </si>
  <si>
    <t>A622125.074</t>
  </si>
  <si>
    <t>CEKOM</t>
  </si>
  <si>
    <t>A622125.075</t>
  </si>
  <si>
    <t>Interreg-IPA CBC HR-BIH-MAKEDONIJA</t>
  </si>
  <si>
    <t>A622125.076</t>
  </si>
  <si>
    <t>Klimatske promjene</t>
  </si>
  <si>
    <t>A622125.077</t>
  </si>
  <si>
    <t>HORIZON 2020 PHOENIX-Proizvodnja i testiranje nano lijekova</t>
  </si>
  <si>
    <t>A622125.078</t>
  </si>
  <si>
    <t>H2020 INVENT - Europski popis društvenih vrijednosti kulture kao osnova za inkluzivne kulturne politike u svijetu globalizacije</t>
  </si>
  <si>
    <t>A622125.079</t>
  </si>
  <si>
    <t>Erasmus + „BESPLATNO DODAJ - Prevencija ovisnosti o pušenju, alkoholu i internetu među djecom i adolescentima: pristup obiteljskoj orijentaciji za odrasle učenike i odgajatelje</t>
  </si>
  <si>
    <t>A622125.080</t>
  </si>
  <si>
    <t>H2020-WIDESPREAD-Twinning kordinacijska akcija u području otvorenih podataka</t>
  </si>
  <si>
    <t>A622125.081</t>
  </si>
  <si>
    <t>ERASMUS+, IDEA</t>
  </si>
  <si>
    <t>A622125.082</t>
  </si>
  <si>
    <t>H2020 2018-2021 GeoTwinn</t>
  </si>
  <si>
    <t>A622125.083</t>
  </si>
  <si>
    <t>INTERREG boDEREC CE</t>
  </si>
  <si>
    <t>A622125.084</t>
  </si>
  <si>
    <t>INTERREG RESTAURA - Revitalising Historic Buildings through Public-Private Partnership Schemes</t>
  </si>
  <si>
    <t>A622125.087</t>
  </si>
  <si>
    <t>Project 'RAMBOLL '</t>
  </si>
  <si>
    <t>A622125.090</t>
  </si>
  <si>
    <t>H2020 ECDP-European Cohort Development Project</t>
  </si>
  <si>
    <t>A622125.091</t>
  </si>
  <si>
    <t>ERASMUS + SKILLS BORD 2017+1-ELO1-KA202-036296</t>
  </si>
  <si>
    <t>A622125.093</t>
  </si>
  <si>
    <t>MEMBRANESACT, Biološke membrane na djelu: Poveznica proteinskih međudjelovanja, stvaranja makrostruktura i aktivnog transporta</t>
  </si>
  <si>
    <t>A622125.094</t>
  </si>
  <si>
    <t>MARILIA-Mara-Based Industrial Low-Cost Identification Assays</t>
  </si>
  <si>
    <t>A622125.095</t>
  </si>
  <si>
    <t>"STREPUNLOCKED, Otključavanje potencijala za proizvodnju antibiotika u tlubakterija Streptomyces coelicolor"</t>
  </si>
  <si>
    <t>A622125.096</t>
  </si>
  <si>
    <t>MUSICA, Podrijetlo novih magnetskih struktura - mrlja u difuznom Galaktičkom međuzvjezdanom mediju (ISM) koji zatamnjuju kozmičku zoru</t>
  </si>
  <si>
    <t>A622125.097</t>
  </si>
  <si>
    <t>ERC Synergy Grant ANEUPLOIDY, Molekularno porijeklo aneuploidija u zdravim i oboljelim ljudskim tkivima</t>
  </si>
  <si>
    <t>A622125.098</t>
  </si>
  <si>
    <t>Enhancement of the Innovation Potential in SEE through new Molecular Solutions in Research and Development - InnoMol</t>
  </si>
  <si>
    <t>A622125.103</t>
  </si>
  <si>
    <t>EU-3D CPAM</t>
  </si>
  <si>
    <t>A622125.105</t>
  </si>
  <si>
    <t>A622125.106</t>
  </si>
  <si>
    <t>EU -HORIZON-RECORD IT</t>
  </si>
  <si>
    <t>A622125.107</t>
  </si>
  <si>
    <t>MAESTRA, Učenje iz masivnih, nepotpuno zabilježenih i strukturiranih podataka</t>
  </si>
  <si>
    <t>A622125.110</t>
  </si>
  <si>
    <t>H2020 PROMISE-PROMoting youth Involvement and Social Engagement</t>
  </si>
  <si>
    <t>A622125.111</t>
  </si>
  <si>
    <t>A622125.112</t>
  </si>
  <si>
    <t>H2020, EGI ENGAGE -Engaging the EGI Community towards an Open Science Commons</t>
  </si>
  <si>
    <t>A622125.114</t>
  </si>
  <si>
    <t>Molecular Quantum Simulations – MOQS</t>
  </si>
  <si>
    <t>A622125.116</t>
  </si>
  <si>
    <t>H2020 Unravelling Data for Rapid Evidence-Based Response to COVID 19 (unCoVer)</t>
  </si>
  <si>
    <t>A622125.117</t>
  </si>
  <si>
    <t>RESPONSa - U programa INTERREG IPA CBC Hrvatska-Bosna i Hercegovina-Crna Gora 2014-2020</t>
  </si>
  <si>
    <t>A622125.118</t>
  </si>
  <si>
    <t>GeoTwinn H2020 2018-2021</t>
  </si>
  <si>
    <t>A622125.119</t>
  </si>
  <si>
    <t>boDEREC CE Interreg</t>
  </si>
  <si>
    <t>A622125.120</t>
  </si>
  <si>
    <t>Geotehnički fakultet Varaždin - Ministarstvo zaštite okoliša i energetike iz EU sredstva Europskog fonda za reg razvoj</t>
  </si>
  <si>
    <t>A622125.121</t>
  </si>
  <si>
    <t>EU-SMART-NANO</t>
  </si>
  <si>
    <t>A622125.122</t>
  </si>
  <si>
    <t>Bioraznolikost i molekularno oplemenjivanje bilja</t>
  </si>
  <si>
    <t>A622125.123</t>
  </si>
  <si>
    <t>LASERLAB-EUROPE- integrirana inicijativa Europske laserske istraživačke infrastrukture</t>
  </si>
  <si>
    <t>A622125.124</t>
  </si>
  <si>
    <t>Biološke i bioinspirirane strukture za multispektralni nadzor</t>
  </si>
  <si>
    <t>A622125.125</t>
  </si>
  <si>
    <t>Potpora vrhunskim istraživanjima Centra izvrsnosti za napredne materijale i senzore, KK.01.1.1.01.0001</t>
  </si>
  <si>
    <t>A622125.126</t>
  </si>
  <si>
    <t>Geothermal-DHC COST</t>
  </si>
  <si>
    <t>A622125.127</t>
  </si>
  <si>
    <t>Emodnet-Geol 5</t>
  </si>
  <si>
    <t>A622125.128</t>
  </si>
  <si>
    <t>EIT RM-Li3T</t>
  </si>
  <si>
    <t>A622125.129</t>
  </si>
  <si>
    <t>EIT RM-RIS REACT</t>
  </si>
  <si>
    <t>A622125.130</t>
  </si>
  <si>
    <t>UNLOCK-CAVE</t>
  </si>
  <si>
    <t>A622125.131</t>
  </si>
  <si>
    <t>A622125.132</t>
  </si>
  <si>
    <t>JM network WB 2 EU</t>
  </si>
  <si>
    <t>A622125.133</t>
  </si>
  <si>
    <t>Erasmus GIST</t>
  </si>
  <si>
    <t>A622125.134</t>
  </si>
  <si>
    <t>JamINNO+ Razvoj funkcionalnog pića u održivoj ambalaži</t>
  </si>
  <si>
    <t>A622125.135</t>
  </si>
  <si>
    <t>H2020 COORDINATE- Mreža infrastrukture za istraživanje i razvoj kohorte Zajednice za pristup diljem Europe</t>
  </si>
  <si>
    <t>A622125.136</t>
  </si>
  <si>
    <t>"IoT-polje: Eko sustav umreženih uređaja i usluga za Internet stvari s primjenom u poljoprivredi (KK.01.1.1.04.0108)"</t>
  </si>
  <si>
    <t>A622125.137</t>
  </si>
  <si>
    <t>A622125.138</t>
  </si>
  <si>
    <t>Osiguranje usjeva, životinja i biljaka</t>
  </si>
  <si>
    <t>A622125.139</t>
  </si>
  <si>
    <t>Potpora u poljoprivredi</t>
  </si>
  <si>
    <t>A622125.140</t>
  </si>
  <si>
    <t>ConsumeLess Plus</t>
  </si>
  <si>
    <t>A622125.141</t>
  </si>
  <si>
    <t>AIDAInnova- Napredak i inovacije za detektore</t>
  </si>
  <si>
    <t>A622125.142</t>
  </si>
  <si>
    <t>AIMed - Antimikrobne integrirane metodologije za ortopedske primjene</t>
  </si>
  <si>
    <t>A622125.143</t>
  </si>
  <si>
    <t>DiseaseINgroups- Obrana od bolesti u skupinama: uloga povezanosti, rizik i vrsta patogena</t>
  </si>
  <si>
    <t>A622125.144</t>
  </si>
  <si>
    <t>ENTRANCE- učinkovitost ispitivanja na temu rizika  prelaska teretnih granica bez ometanja poslovanja</t>
  </si>
  <si>
    <t>A622125.145</t>
  </si>
  <si>
    <t>EURAMED rocc-n-roll- primjena i koncept zaštite od zračenja: strateški plan istraživanjai međusobno povezivanje sa aspektima topline i digitalizacije</t>
  </si>
  <si>
    <t>A622125.146</t>
  </si>
  <si>
    <t>EUROCC -Nacionalni centri za kompetencije u okviru Obzor 2020</t>
  </si>
  <si>
    <t>A622125.147</t>
  </si>
  <si>
    <t>A622125.148</t>
  </si>
  <si>
    <t>GrindCore - Brušenje uz pomoć tekućine - od temelja do aplikacija</t>
  </si>
  <si>
    <t>A622125.149</t>
  </si>
  <si>
    <t>JERICO-DS - Zajednička europska istraživačka infrastruktura obalnih opservatorija</t>
  </si>
  <si>
    <t>A622125.150</t>
  </si>
  <si>
    <t>MOQS - Molekularne kvantne simulacije</t>
  </si>
  <si>
    <t>A622125.151</t>
  </si>
  <si>
    <t>PEST-BIN- Pionirske strategije protiv bakterijskih infekcija</t>
  </si>
  <si>
    <t>A622125.152</t>
  </si>
  <si>
    <t>RESONATE Horizon 2020</t>
  </si>
  <si>
    <t>A622125.153</t>
  </si>
  <si>
    <t>SUPERB - Sustavna rješenja za povećanje hitne obnove ekosustava za bioraznolikost i usluge ekosustava povezane sa šumama</t>
  </si>
  <si>
    <t>A622125.154</t>
  </si>
  <si>
    <t>A622125.155</t>
  </si>
  <si>
    <t>Napredne metode i tehnologije u znanosti o podatcima i kooperativnim sustavima (DATACROSS)</t>
  </si>
  <si>
    <t>K622128.001</t>
  </si>
  <si>
    <t>K622128.002</t>
  </si>
  <si>
    <t>K622128.003</t>
  </si>
  <si>
    <t>Veliki projekt: Otvorene znanstvene infrastrukturne platforme za inovativne primjene u gospodarstvu i društvu – O–ZIP</t>
  </si>
  <si>
    <t>K622128.004</t>
  </si>
  <si>
    <t>K622128.007</t>
  </si>
  <si>
    <t>Strateški projekt "Centar za napredne laserske tehnike"</t>
  </si>
  <si>
    <t>K622128.008</t>
  </si>
  <si>
    <t>K622128.009</t>
  </si>
  <si>
    <t>K622128.010</t>
  </si>
  <si>
    <t>K628080.001</t>
  </si>
  <si>
    <t>II. faza programa "e-Škole: Cjelovita informatizacija procesa poslovanja škola i nastavnih procesa u svrhu stvaranja ditigalno zrelih škola za 21. stoljeće"</t>
  </si>
  <si>
    <t>K628080.003</t>
  </si>
  <si>
    <t>Program unaprjeđenja primjene digitalne tehnologije u obrazovnom sustavu</t>
  </si>
  <si>
    <t>K628081.001</t>
  </si>
  <si>
    <t>II. faza programa "e-Škole: Cjelovita informatizacija procesa poslovanja škola i nastavnih procesa u svrhu stvaranja digitalno zrelih škola za 21. stoljeće"</t>
  </si>
  <si>
    <t>K628081.002</t>
  </si>
  <si>
    <t>K628081.003</t>
  </si>
  <si>
    <t>K628087.001</t>
  </si>
  <si>
    <t>Znanstveno i tehnologijsko predviđanje - sustav CroRIS</t>
  </si>
  <si>
    <t>K628087.002</t>
  </si>
  <si>
    <t>Hrvatski znanstveni i obrazovni oblak (HR ZOO)</t>
  </si>
  <si>
    <t>K848038.001</t>
  </si>
  <si>
    <t>Modernizacija sustava stručnog usavršavanja nastavnika strukovnih predmeta</t>
  </si>
  <si>
    <t>K848038.002</t>
  </si>
  <si>
    <t>Modernizacija sustava strukovnog obrazovanja i osposobljavanja</t>
  </si>
  <si>
    <t>K848038.003</t>
  </si>
  <si>
    <t>Osiguravanje kvalitete u sustavu obrazovanja odraslih</t>
  </si>
  <si>
    <t>K848038.004</t>
  </si>
  <si>
    <t>Promocija učeničkih kompetencija i strukovnog obrazovanja kroz strukovna natjecanja i smotre</t>
  </si>
  <si>
    <t>K848038.005</t>
  </si>
  <si>
    <t>Promocija cjeloživotnog učenja – faza II</t>
  </si>
  <si>
    <t>K848038.006</t>
  </si>
  <si>
    <t>E škole</t>
  </si>
  <si>
    <t>K733069.001</t>
  </si>
  <si>
    <t>K733069.002</t>
  </si>
  <si>
    <t>UNOS PRIJENOSA SREDSTAVA (DONOSA I ODNOSA)</t>
  </si>
  <si>
    <t>Godina</t>
  </si>
  <si>
    <t>Stavka</t>
  </si>
  <si>
    <t>Naziv stavke</t>
  </si>
  <si>
    <t>Ukupno FINANCIJSKI PLAN ZA 2023.</t>
  </si>
  <si>
    <t xml:space="preserve">IZVOR 11             Opći prihodi i primici </t>
  </si>
  <si>
    <t>IZVOR 12             Sredstva učešća za pomoći</t>
  </si>
  <si>
    <t xml:space="preserve">IZVOR 31                  Vlastiti prihodi </t>
  </si>
  <si>
    <t xml:space="preserve">IZVOR 41                  Vlastiti prihodi </t>
  </si>
  <si>
    <t xml:space="preserve">IZVOR 43                   Prihodi za posebne namjene </t>
  </si>
  <si>
    <t>IZVOR 51                              Pomoći EU</t>
  </si>
  <si>
    <t xml:space="preserve">IZVOR 52                              Ostale pomoći </t>
  </si>
  <si>
    <t xml:space="preserve">IZVOR 552                             Ostale pomoći </t>
  </si>
  <si>
    <t>IZVOR 559                          Ostale refundacije iz sredstava EU</t>
  </si>
  <si>
    <t>IZVOR 561                         Europski socijalni fond (ESF)</t>
  </si>
  <si>
    <t>IZVOR 563                         Europski fond za regionalni razvoj (EFRR)</t>
  </si>
  <si>
    <t>573 Instrumenti Europskog gospodarskog prostora i ostali instrumenti</t>
  </si>
  <si>
    <t>575 Fondovi za unutarnje poslove</t>
  </si>
  <si>
    <t>576 Fond solidarnosti Europske unije</t>
  </si>
  <si>
    <t>IZVOR 581                Mehanizam za oporavak i otpornost</t>
  </si>
  <si>
    <t xml:space="preserve">IZVOR 61                         Donacije </t>
  </si>
  <si>
    <t xml:space="preserve">IZVOR 63                         Inozemne donacije </t>
  </si>
  <si>
    <t>IZVOR 71                          Prihodi od nefinancijske imovine i nadoknade šteta s osnova osiguranja</t>
  </si>
  <si>
    <t>IZVOR 81                Namjenski primici od zaduživanja</t>
  </si>
  <si>
    <t>PRIHODI I PRIMICI (6+7+8)</t>
  </si>
  <si>
    <t>ODNOS (unosi se s negativnim predznakom)</t>
  </si>
  <si>
    <t>LIMIT ZA RASHODE I IZDATKE</t>
  </si>
  <si>
    <t>RASHODI I IZDACI (3+4+5)</t>
  </si>
  <si>
    <t>KONTROLA 2023 (stupac D = nula)</t>
  </si>
  <si>
    <t>Ukupno IZMJENE I DOPUNE FINANCIJSKOG PLANA ZA 2023.</t>
  </si>
  <si>
    <t>KONTROLA 2023  (stupac D = nula)</t>
  </si>
  <si>
    <t>Ukupno RAZLIKA</t>
  </si>
  <si>
    <t>I. OPĆI DIO</t>
  </si>
  <si>
    <t xml:space="preserve">A. RAČUN PRIHODA I RASHODA </t>
  </si>
  <si>
    <t>A1. PRIHODI POSLOVANJA I PRIHODI OD PRODAJE NEFINANCIJSKE IMOVINE</t>
  </si>
  <si>
    <t>UKUPNO PRIHODI</t>
  </si>
  <si>
    <t>61</t>
  </si>
  <si>
    <t>Prihodi od poreza</t>
  </si>
  <si>
    <t>63</t>
  </si>
  <si>
    <t>Pomoći iz inozemstva (darovnice) i od subjekata unutar općeg proračuna</t>
  </si>
  <si>
    <t>64</t>
  </si>
  <si>
    <t>Prihodi od imovine</t>
  </si>
  <si>
    <t>65</t>
  </si>
  <si>
    <t>Prihodi od upravnih i administrativnih pristojbi, pristojbi po posebnim propisima i naknada</t>
  </si>
  <si>
    <t>66</t>
  </si>
  <si>
    <t>Prihodi od prodaje proizvoda i robe te pruženih usluga i prihodi od donacija</t>
  </si>
  <si>
    <t>67</t>
  </si>
  <si>
    <t>Prihodi iz nadležnog proračuna i od HZZO-a temeljem ugovornih obveza</t>
  </si>
  <si>
    <t>68</t>
  </si>
  <si>
    <t>Kazne, upravne mjere i ostali prihodi</t>
  </si>
  <si>
    <t>6</t>
  </si>
  <si>
    <t>UKUPNO:</t>
  </si>
  <si>
    <t>71</t>
  </si>
  <si>
    <t>Prihodi od prodaje neproizvedene dugotrajne imovine</t>
  </si>
  <si>
    <t>72</t>
  </si>
  <si>
    <t>Prihodi od prodaje proizvedene dugotrajne imovine</t>
  </si>
  <si>
    <t>7</t>
  </si>
  <si>
    <t>A. 2. RASHODI POSLOVANJA I RASHODI ZA NABAVU NEFINANCIJSKE IMOVINE</t>
  </si>
  <si>
    <t>Šifra</t>
  </si>
  <si>
    <t>Naziv</t>
  </si>
  <si>
    <t>UKUPNO FINANCIJSKI PLAN za 2023.</t>
  </si>
  <si>
    <t xml:space="preserve">IZVOR 11              Opći prihodi i primici </t>
  </si>
  <si>
    <t>IZVOR 41  Prihodi od igara na sreću</t>
  </si>
  <si>
    <t>IZVOR 575 Fondovi za unutarnje poslove</t>
  </si>
  <si>
    <t>IZVOR 576 Fond solidarnosti Europske unije</t>
  </si>
  <si>
    <t>IZVOR 71                          Prihodi od nefin. imovine i nadoknade šteta s osnova osig.</t>
  </si>
  <si>
    <t>UKUPNO RASHODI</t>
  </si>
  <si>
    <t>RASHODI POSLOVANJA</t>
  </si>
  <si>
    <t>Rashodi za zaposlene</t>
  </si>
  <si>
    <t>Materijalni rashodi</t>
  </si>
  <si>
    <t>Financijski rashodi</t>
  </si>
  <si>
    <t>Subvencije</t>
  </si>
  <si>
    <t>Pomoći dane u inozemstvo i unutar općeg proračuna</t>
  </si>
  <si>
    <t>Naknade građanima i kućanstvima na temelju osiguranja i druge naknade</t>
  </si>
  <si>
    <t>Ostali rashodi</t>
  </si>
  <si>
    <t>RASHODI ZA NABAVU NEFINANCIJSKE IMOVINE</t>
  </si>
  <si>
    <t>Rashodi za nabavu neproizvedene dugotrajne imovine</t>
  </si>
  <si>
    <t>Rashodi za nabavu proizvedene dugotrajne imovine</t>
  </si>
  <si>
    <t>Plemeniti metali i ostale pohranjene vrijednosti</t>
  </si>
  <si>
    <t>Rashodi za nabavu proizvedene kratkotrajne imovine</t>
  </si>
  <si>
    <t>Rashodi za dodatna ulaganja na nefinancijskoj imovini</t>
  </si>
  <si>
    <t xml:space="preserve"> 
UKUPNO IZMJENE I DOPUNE FINANCIJSKOG PLANA za 2023.</t>
  </si>
  <si>
    <t xml:space="preserve">
UKUPNO RAZLIKA </t>
  </si>
  <si>
    <t>A.3. RASHODI PREMA IZVORIMA FINANCIRANJA</t>
  </si>
  <si>
    <t>BROJČANA OZNAKA</t>
  </si>
  <si>
    <t>NAZIV IZVORA FINANCIRANJA</t>
  </si>
  <si>
    <t>UKUPNI RASHODI</t>
  </si>
  <si>
    <t>OPĆI PRIHODI I PRIMICI</t>
  </si>
  <si>
    <t xml:space="preserve">Opći prihodi i primici </t>
  </si>
  <si>
    <t>VLASTITI PRIHODI</t>
  </si>
  <si>
    <t xml:space="preserve">Vlastiti prihodi </t>
  </si>
  <si>
    <t>PRIHODI ZA POSEBNE NAMJENE</t>
  </si>
  <si>
    <t xml:space="preserve"> Prihodi za posebne namjene </t>
  </si>
  <si>
    <t>POMOĆI</t>
  </si>
  <si>
    <t xml:space="preserve"> Pomoći EU</t>
  </si>
  <si>
    <t xml:space="preserve">Ostale pomoći </t>
  </si>
  <si>
    <t xml:space="preserve"> Ostale pomoći </t>
  </si>
  <si>
    <t>Ostale refundacije iz sredstava EU</t>
  </si>
  <si>
    <t>DONACIJE</t>
  </si>
  <si>
    <t xml:space="preserve"> Inozemne donacije </t>
  </si>
  <si>
    <t>PRIHODI OD PRODAJE ILI ZAMJENE NEFINANCIJSKE IMOVINE I NAKNADE S NASLOVA OSIGURANJA</t>
  </si>
  <si>
    <t>Prihodi od nefin. imovine i nadoknade šteta s osnova osig.</t>
  </si>
  <si>
    <t>NAMJENSKI PRIMICI</t>
  </si>
  <si>
    <t>A. 4. RASHODI PREMA FUNKCIJSKOJ KLASIFIKACIJI</t>
  </si>
  <si>
    <t>NAZIV FUNKCIJSKE KLASIFIKACIJE</t>
  </si>
  <si>
    <t>Opće javne usluge</t>
  </si>
  <si>
    <t>Izvršna i zakonodavna tijela, financijski i fiskalni poslovi, vanjski poslovi</t>
  </si>
  <si>
    <t>Inozemna ekonomska pomoć</t>
  </si>
  <si>
    <t>Opće usluge</t>
  </si>
  <si>
    <t>Osnovna istraživanja</t>
  </si>
  <si>
    <t>Opće javne usluge koje nisu drugdje svrstane</t>
  </si>
  <si>
    <t>Transakcije vezane uz javni dug</t>
  </si>
  <si>
    <t>Obrana</t>
  </si>
  <si>
    <t>Vojna obrana</t>
  </si>
  <si>
    <t>Civilna obrana</t>
  </si>
  <si>
    <t>Inozemna vojna pomoć</t>
  </si>
  <si>
    <t>Istraživanje i razvoj obrane</t>
  </si>
  <si>
    <t>Rashodi za obranu koji nisu drugdje svrstani</t>
  </si>
  <si>
    <t>Javni red i sigurnost</t>
  </si>
  <si>
    <t>Usluge policije</t>
  </si>
  <si>
    <t>Usluge protupožarne zaštite</t>
  </si>
  <si>
    <t>Sudovi</t>
  </si>
  <si>
    <t>Zatvori</t>
  </si>
  <si>
    <t>Istraživanje i razvoj: Javni red i sigurnost</t>
  </si>
  <si>
    <t>Rashodi za javni red i sigurnost koji nisu drugdje svrstani</t>
  </si>
  <si>
    <t>Ekonomski poslovi</t>
  </si>
  <si>
    <t>Opći ekonomski, trgovački i poslovi vezani uz rad</t>
  </si>
  <si>
    <t>Poljoprivreda, šumarstvo, ribarstvo i lov</t>
  </si>
  <si>
    <t>Gorivo i energija</t>
  </si>
  <si>
    <t>Rudarstvo, proizvodnja i građevinarstvo</t>
  </si>
  <si>
    <t>Promet</t>
  </si>
  <si>
    <t>Ostale industrije</t>
  </si>
  <si>
    <t>Istraživanje i razvoj: Ekonomski poslovi</t>
  </si>
  <si>
    <t>Ekonomski poslovi koji nisu drugdje svrstani</t>
  </si>
  <si>
    <t>Zaštita okoliša</t>
  </si>
  <si>
    <t>Gospodarenje otpadom</t>
  </si>
  <si>
    <t>Gospodarenje otpadnim vodama</t>
  </si>
  <si>
    <t>Smanjenje zagađivanja</t>
  </si>
  <si>
    <t>Zaštita bioraznolikosti i krajolika</t>
  </si>
  <si>
    <t>Istraživanje i razvoj: Zaštita okoliša</t>
  </si>
  <si>
    <t>Poslovi i usluge zaštite okoliša koji nisu drugdje svrstani</t>
  </si>
  <si>
    <t>Usluge unaprjeđenja stanovanja i zajednice</t>
  </si>
  <si>
    <t>Razvoj stanovanja</t>
  </si>
  <si>
    <t>Razvoj zajednice</t>
  </si>
  <si>
    <t>Opskrba vodom</t>
  </si>
  <si>
    <t>Ulična rasvjeta</t>
  </si>
  <si>
    <t>Istraživanje i razvoj stanovanja i komunalnih pogodnosti</t>
  </si>
  <si>
    <t>Rashodi vezani uz stanovanje i kom. pogodnosti koji nisu drugdje svrstani</t>
  </si>
  <si>
    <t>Zdravstvo</t>
  </si>
  <si>
    <t>Medicinski proizvodi, pribor i oprema</t>
  </si>
  <si>
    <t>Službe za vanjske pacijente</t>
  </si>
  <si>
    <t>Bolničke službe</t>
  </si>
  <si>
    <t>Službe javnog zdravstva</t>
  </si>
  <si>
    <t>Istraživanje i razvoj zdravstva</t>
  </si>
  <si>
    <t>Poslovi i usluge zdravstva koji nisu drugdje svrstani</t>
  </si>
  <si>
    <t>Rekreacija, kultura i religija</t>
  </si>
  <si>
    <t>Službe rekreacije i sporta</t>
  </si>
  <si>
    <t>Službe emitiranja i izdavanja</t>
  </si>
  <si>
    <t>Religijske i druge službe zajednice</t>
  </si>
  <si>
    <t>Istraživanje i razvoj rekreacije, kulture i religije</t>
  </si>
  <si>
    <t>Rashodi za rekreaciju, kulturu i religiju koji nisu drugdje svrstani</t>
  </si>
  <si>
    <t>Obrazovanje</t>
  </si>
  <si>
    <t>Predškolsko i osnovno obrazovanje</t>
  </si>
  <si>
    <t>Srednjoškolsko obrazovanje</t>
  </si>
  <si>
    <t>Poslije srednjoškolsko, ali ne visoko obrazovanje</t>
  </si>
  <si>
    <t>Visoka naobrazba</t>
  </si>
  <si>
    <t>Socijalna zaštita</t>
  </si>
  <si>
    <t>Bolest i invaliditet</t>
  </si>
  <si>
    <t>Starost</t>
  </si>
  <si>
    <t>Sljednici</t>
  </si>
  <si>
    <t>Obitelj i djeca</t>
  </si>
  <si>
    <t>Nezaposlenost</t>
  </si>
  <si>
    <t>Stanovanje</t>
  </si>
  <si>
    <t>Socijalna pomoć stanovništvu koje nije obuhvaćeno redovnim socijalnim programima</t>
  </si>
  <si>
    <t>Istraživanje i razvoj socijalne zaštite</t>
  </si>
  <si>
    <t>Aktivnosti socijalne zaštite koje nisu drugdje svrstane</t>
  </si>
  <si>
    <t>B. RAČUN FINANCIRANJA</t>
  </si>
  <si>
    <t>Izvor prihoda i primitaka</t>
  </si>
  <si>
    <t>FINANCIJSKI PLAN 2023.</t>
  </si>
  <si>
    <t>Primljeni povrati glavnica danih zajmova i depozita</t>
  </si>
  <si>
    <t>Primici od izdanih vrijednosnih papira</t>
  </si>
  <si>
    <t>Primici od prodaje dionica i udjela u glavnici</t>
  </si>
  <si>
    <t>Primici od zaduživanja</t>
  </si>
  <si>
    <t>Izdaci za dane zajmove i depozite</t>
  </si>
  <si>
    <t>Izdaci za otplatu glavnice primljenih kredita i zajmova</t>
  </si>
  <si>
    <t>IZMJENE I DOPUNE ZA 2023.</t>
  </si>
  <si>
    <t>080</t>
  </si>
  <si>
    <t>MINISTARSTVO ZNANOSTI I OBRAZOVANJA</t>
  </si>
  <si>
    <t>NOVI AKT</t>
  </si>
  <si>
    <t>NAZIV AKTIVNOSTI / PROJEKTA</t>
  </si>
  <si>
    <t>Glava (O2) - iz podataka (povijesni pogled)</t>
  </si>
  <si>
    <t>d</t>
  </si>
  <si>
    <t>Podprogram (P3)</t>
  </si>
  <si>
    <t>Funkcijsko područje (F3)</t>
  </si>
  <si>
    <t>08005</t>
  </si>
  <si>
    <t>Ministarstvo znanosti i obrazovanja</t>
  </si>
  <si>
    <t>08008</t>
  </si>
  <si>
    <t>Javni instituti u Republici Hrvatskoj</t>
  </si>
  <si>
    <t>08012</t>
  </si>
  <si>
    <t>Državni zavod za intelektualno vlasništvo</t>
  </si>
  <si>
    <t>21836</t>
  </si>
  <si>
    <t>Nacionalna i sveučilišna knjižnica</t>
  </si>
  <si>
    <t>21852</t>
  </si>
  <si>
    <t>Hrvatska akademska i istraživačka mreža Carnet</t>
  </si>
  <si>
    <t>21869</t>
  </si>
  <si>
    <t>Leksikografski zavod Miroslav Krleža</t>
  </si>
  <si>
    <t>23665</t>
  </si>
  <si>
    <t>Sveučilišni računski centar SRCE</t>
  </si>
  <si>
    <t>23962</t>
  </si>
  <si>
    <t>Agencija za odgoj i obrazovanje</t>
  </si>
  <si>
    <t>38487</t>
  </si>
  <si>
    <t>Agencija za znanost i visoko obrazovanje</t>
  </si>
  <si>
    <t>40883</t>
  </si>
  <si>
    <t>Nacionalni centar za vanjsko vrednovanje obrazovanja</t>
  </si>
  <si>
    <t>43335</t>
  </si>
  <si>
    <t>Agencija za mobilnost i programe Europske unije</t>
  </si>
  <si>
    <t>46173</t>
  </si>
  <si>
    <t>Agencija za strukovno obrazovanje i obrazovanje odraslih</t>
  </si>
  <si>
    <t>52209</t>
  </si>
  <si>
    <t>Hrvatska zaklada za znanost</t>
  </si>
  <si>
    <t>PODPROJEKTI (P4)</t>
  </si>
  <si>
    <t>K679111</t>
  </si>
  <si>
    <t>OP UČINKOVITI LJUDSKI POTENCIJALI 2014.-2020., PRIORITET 1 - GARANCIJA ZA MLADE</t>
  </si>
  <si>
    <t>Dopušteni izvor</t>
  </si>
  <si>
    <t>Unos</t>
  </si>
  <si>
    <t>Tablica 2. POPIS PRORAČUNSKIH KORISNIKA DRŽAVNOG PRORAČUNA</t>
  </si>
  <si>
    <t>3</t>
  </si>
  <si>
    <t>HRVATSKI SABOR</t>
  </si>
  <si>
    <t>HRVATSKI SABOR (19)</t>
  </si>
  <si>
    <t>TRG SV. MARKA 6</t>
  </si>
  <si>
    <t>10000 ZAGREB</t>
  </si>
  <si>
    <t>38597506234</t>
  </si>
  <si>
    <t>POVJERENSTVO ZA FISKALNU POLITIKU</t>
  </si>
  <si>
    <t>POVJERENSTVO ZA FISKALNU POLITIKU (52321)</t>
  </si>
  <si>
    <t>DEMETROVA ULICA 15</t>
  </si>
  <si>
    <t>24871013494</t>
  </si>
  <si>
    <t>DRŽAVNO IZBORNO POVJERENSTVO REPUBLIKE HRVATSKE</t>
  </si>
  <si>
    <t>DRŽAVNO IZBORNO POVJERENSTVO REPUBLIKE HRVATSKE (42434)</t>
  </si>
  <si>
    <t>VISOKA 15</t>
  </si>
  <si>
    <t>79269920246</t>
  </si>
  <si>
    <t>URED PREDSJEDNICE REPUBLIKE HRVATSKE PO PRESTANKU OBNAŠANJA DUŽNOSTI</t>
  </si>
  <si>
    <t>URED PREDSJEDNICE REPUBLIKE HRVATSKE PO PRESTANKU OBNAŠANJA DUŽNOSTI (46028)</t>
  </si>
  <si>
    <t>VISOKA 22</t>
  </si>
  <si>
    <t>90648505547</t>
  </si>
  <si>
    <t>URED PREDSJEDNIKA REPUBLIKE HRVATSKE</t>
  </si>
  <si>
    <t>URED PREDSJEDNIKA REPUBLIKE HRVATSKE (35)</t>
  </si>
  <si>
    <t>PANTOVČAK 241</t>
  </si>
  <si>
    <t>10162055275</t>
  </si>
  <si>
    <t>USTAVNI SUD REPUBLIKE HRVATSKE</t>
  </si>
  <si>
    <t>USTAVNI SUD REPUBLIKE HRVATSKE (6031)</t>
  </si>
  <si>
    <t>TRG SV. MARKA 4</t>
  </si>
  <si>
    <t>43530726662</t>
  </si>
  <si>
    <t>AGENCIJA ZA ZAŠTITU TRŽIŠNOG NATJECANJA</t>
  </si>
  <si>
    <t>AGENCIJA ZA ZAŠTITU TRŽIŠNOG NATJECANJA (20833)</t>
  </si>
  <si>
    <t>SAVSKA CESTA 41/XIV</t>
  </si>
  <si>
    <t>54882480048</t>
  </si>
  <si>
    <t>VLADA REPUBLIKE HRVATSKE</t>
  </si>
  <si>
    <t>VLADA REPUBLIKE HRVATSKE (51)</t>
  </si>
  <si>
    <t>TRG SV. MARKA 2</t>
  </si>
  <si>
    <t>64434885131</t>
  </si>
  <si>
    <t>URED PREDSJEDNIKA VLADE REPUBLIKE HRVATSKE</t>
  </si>
  <si>
    <t>URED PREDSJEDNIKA VLADE REPUBLIKE HRVATSKE (23753)</t>
  </si>
  <si>
    <t>76193608922</t>
  </si>
  <si>
    <t>URED POTPREDSJEDNIKA VLADE REPUBLIKE HRVATSKE</t>
  </si>
  <si>
    <t>URED POTPREDSJEDNIKA VLADE REPUBLIKE HRVATSKE (51386)</t>
  </si>
  <si>
    <t>77620149940</t>
  </si>
  <si>
    <t>URED ZA UDRUGE</t>
  </si>
  <si>
    <t>URED ZA UDRUGE (22275)</t>
  </si>
  <si>
    <t>OPATIČKA 4</t>
  </si>
  <si>
    <t>51456675076</t>
  </si>
  <si>
    <t xml:space="preserve">URED ZASTUPNIKA REPUBLIKE HRVATSKE PRED EUROPSKIM SUDOM ZA LJUDSKA PRAVA </t>
  </si>
  <si>
    <t>URED ZASTUPNIKA REPUBLIKE HRVATSKE PRED EUROPSKIM SUDOM ZA LJUDSKA PRAVA  (47406)</t>
  </si>
  <si>
    <t>DALMATINSKA 1</t>
  </si>
  <si>
    <t>98898752468</t>
  </si>
  <si>
    <t>STRUČNA SLUŽBA SAVJETA ZA NACIONALNE MANJINE</t>
  </si>
  <si>
    <t>STRUČNA SLUŽBA SAVJETA ZA NACIONALNE MANJINE (23979)</t>
  </si>
  <si>
    <t>MESNIČKA 23</t>
  </si>
  <si>
    <t>35036123402</t>
  </si>
  <si>
    <t>URED ZA ZAKONODAVSTVO</t>
  </si>
  <si>
    <t>URED ZA ZAKONODAVSTVO (115)</t>
  </si>
  <si>
    <t>62409285700</t>
  </si>
  <si>
    <t>URED ZA OPĆE POSLOVE HRVATSKOG SABORA I VLADE REPUBLIKE HRVATSKE</t>
  </si>
  <si>
    <t>URED ZA OPĆE POSLOVE HRVATSKOG SABORA I VLADE REPUBLIKE HRVATSKE (123)</t>
  </si>
  <si>
    <t>OPATIČKA 8</t>
  </si>
  <si>
    <t>03055728877</t>
  </si>
  <si>
    <t>URED ZA PROTOKOL</t>
  </si>
  <si>
    <t>URED ZA PROTOKOL (23673)</t>
  </si>
  <si>
    <t>71103687780</t>
  </si>
  <si>
    <t>URED VLADE REPUBLIKE HRVATSKE ZA UNUTARNJU REVIZIJU</t>
  </si>
  <si>
    <t>URED VLADE REPUBLIKE HRVATSKE ZA UNUTARNJU REVIZIJU (23745)</t>
  </si>
  <si>
    <t>TRG BANA JOSIPA JELAČIĆA 15/II</t>
  </si>
  <si>
    <t>58889799307</t>
  </si>
  <si>
    <t>DIREKCIJA ZA KORIŠTENJE SLUŽBENIH ZRAKOPLOVA</t>
  </si>
  <si>
    <t>DIREKCIJA ZA KORIŠTENJE SLUŽBENIH ZRAKOPLOVA (23690)</t>
  </si>
  <si>
    <t>ZRAČNA LUKA ZAGREB P.P. 78, VELIKA GORICA</t>
  </si>
  <si>
    <t>10410 VELIKA GORICA</t>
  </si>
  <si>
    <t>34718613532</t>
  </si>
  <si>
    <t>URED ZA LJUDSKA PRAVA I PRAVA NACIONALNH MANJINA</t>
  </si>
  <si>
    <t>URED ZA LJUDSKA PRAVA I PRAVA NACIONALNH MANJINA (47422)</t>
  </si>
  <si>
    <t>83342260912</t>
  </si>
  <si>
    <t>URED KOMISIJE ZA ODNOSE S VJERSKIM ZAJEDNICAMA</t>
  </si>
  <si>
    <t>URED KOMISIJE ZA ODNOSE S VJERSKIM ZAJEDNICAMA (48066)</t>
  </si>
  <si>
    <t>04131754</t>
  </si>
  <si>
    <t>49974392262</t>
  </si>
  <si>
    <t>URED ZA RAVNOPRAVNOST SPOLOVA</t>
  </si>
  <si>
    <t>URED ZA RAVNOPRAVNOST SPOLOVA (24051)</t>
  </si>
  <si>
    <t>66558259304</t>
  </si>
  <si>
    <t>MINISTARSTVO FINANCIJA</t>
  </si>
  <si>
    <t>MINISTARSTVO FINANCIJA (20157)</t>
  </si>
  <si>
    <t>KATANČIĆEVA 5</t>
  </si>
  <si>
    <t>18683136487</t>
  </si>
  <si>
    <t>AGENCIJA ZA REVIZIJU SUSTAVA PROVEDBE PROGRAMA EUROPSKE UNIJE</t>
  </si>
  <si>
    <t>AGENCIJA ZA REVIZIJU SUSTAVA PROVEDBE PROGRAMA EUROPSKE UNIJE (43732)</t>
  </si>
  <si>
    <t>ALEXANDERA VON HUMBOLDTA 4/V</t>
  </si>
  <si>
    <t>94432282335</t>
  </si>
  <si>
    <t>ODBOR ZA STANDARDE FINANCIJSKOG IZVJEŠTAVANJA</t>
  </si>
  <si>
    <t>ODBOR ZA STANDARDE FINANCIJSKOG IZVJEŠTAVANJA (49286)</t>
  </si>
  <si>
    <t>02052644</t>
  </si>
  <si>
    <t>58499994900</t>
  </si>
  <si>
    <t>SIGURNOSNO OBAVJEŠTAJNA AGENCIJA</t>
  </si>
  <si>
    <t>SIGURNOSNO OBAVJEŠTAJNA AGENCIJA (40834)</t>
  </si>
  <si>
    <t>SAVSKA CESTA 39/1</t>
  </si>
  <si>
    <t>94534817607</t>
  </si>
  <si>
    <t>SREDIŠNJI DRŽAVNI URED ZA SREDIŠNJU JAVNU NABAVU</t>
  </si>
  <si>
    <t>SREDIŠNJI DRŽAVNI URED ZA SREDIŠNJU JAVNU NABAVU (47334)</t>
  </si>
  <si>
    <t>IVANA LUČIĆA 8</t>
  </si>
  <si>
    <t>17683204722</t>
  </si>
  <si>
    <t>MINISTARSTVO OBRANE</t>
  </si>
  <si>
    <t>MINISTARSTVO OBRANE (174)</t>
  </si>
  <si>
    <t>TRG KRALJA PETRA KREŠIMIRA IV 1</t>
  </si>
  <si>
    <t>66486182714</t>
  </si>
  <si>
    <t>SREDIŠNJI DRŽAVNI URED ZA HRVATE IZVAN REPUBLIKE HRVATSKE</t>
  </si>
  <si>
    <t>SREDIŠNJI DRŽAVNI URED ZA HRVATE IZVAN REPUBLIKE HRVATSKE (47439)</t>
  </si>
  <si>
    <t>PANTOVČAK 258</t>
  </si>
  <si>
    <t>03416985458</t>
  </si>
  <si>
    <t>HRVATSKA MATICA ISELJENIKA</t>
  </si>
  <si>
    <t>HRVATSKA MATICA ISELJENIKA (25917)</t>
  </si>
  <si>
    <t>TRG STJEPANA RADIĆA 3</t>
  </si>
  <si>
    <t>28639480902</t>
  </si>
  <si>
    <t xml:space="preserve">SREDIŠNJI DRŽAVNI URED ZA OBNOVU I STAMBENO ZBRINJAVANJE </t>
  </si>
  <si>
    <t>SREDIŠNJI DRŽAVNI URED ZA OBNOVU I STAMBENO ZBRINJAVANJE  (47932)</t>
  </si>
  <si>
    <t>SAVSKA CESTA 28</t>
  </si>
  <si>
    <t>43664740219</t>
  </si>
  <si>
    <t>SREDIŠNJI DRŽAVNI URED ZA RAZVOJ DIGITALNOG DRUŠTVA</t>
  </si>
  <si>
    <t>SREDIŠNJI DRŽAVNI URED ZA RAZVOJ DIGITALNOG DRUŠTVA (49585)</t>
  </si>
  <si>
    <t>04626265</t>
  </si>
  <si>
    <t>55422358623</t>
  </si>
  <si>
    <t>SREDIŠNJI DRŽAVNI URED ZA DEMOGRAFIJU I MLADE</t>
  </si>
  <si>
    <t>SREDIŠNJI DRŽAVNI URED ZA DEMOGRAFIJU I MLADE (51409)</t>
  </si>
  <si>
    <t>TRG NEVENKE TOPALUŠIĆ 1</t>
  </si>
  <si>
    <t>63214615893</t>
  </si>
  <si>
    <t>HRVATSKA VATROGASNA ZAJEDNICA</t>
  </si>
  <si>
    <t>HRVATSKA VATROGASNA ZAJEDNICA (50985)</t>
  </si>
  <si>
    <t>SELSKA CESTA 90A</t>
  </si>
  <si>
    <t>08474627795</t>
  </si>
  <si>
    <t>DRŽAVNA VATROGASNA ŠKOLA</t>
  </si>
  <si>
    <t>DRŽAVNA VATROGASNA ŠKOLA (51853)</t>
  </si>
  <si>
    <t>KSAVERSKA CESTA 107</t>
  </si>
  <si>
    <t>MINISTARSTVO UNUTARNJIH POSLOVA</t>
  </si>
  <si>
    <t>MINISTARSTVO UNUTARNJIH POSLOVA (713)</t>
  </si>
  <si>
    <t>ULICA GRADA VUKOVARA 33</t>
  </si>
  <si>
    <t>36162371878</t>
  </si>
  <si>
    <t>MINISTARSTVO HRVATSKIH BRANITELJA</t>
  </si>
  <si>
    <t>MINISTARSTVO HRVATSKIH BRANITELJA (47037)</t>
  </si>
  <si>
    <t>95131524528</t>
  </si>
  <si>
    <t>JAVNA USTANOVA MEMORIJALNI CENTAR DOMOVINSKOG RATA VUKOVAR</t>
  </si>
  <si>
    <t>JAVNA USTANOVA MEMORIJALNI CENTAR DOMOVINSKOG RATA VUKOVAR (48314)</t>
  </si>
  <si>
    <t>IVE TIJARDOVIĆA 60</t>
  </si>
  <si>
    <t>32000 VUKOVAR</t>
  </si>
  <si>
    <t>18534327031</t>
  </si>
  <si>
    <t>DOM HRVATSKIH VETERANA</t>
  </si>
  <si>
    <t>DOM HRVATSKIH VETERANA (48710)</t>
  </si>
  <si>
    <t>PARK STARA TREŠNJEVKA 4</t>
  </si>
  <si>
    <t>08099901687</t>
  </si>
  <si>
    <t>VETERANSKI CENTAR</t>
  </si>
  <si>
    <t>VETERANSKI CENTAR (52313)</t>
  </si>
  <si>
    <t>TRG NEVENKE TOPALUŠIĆ 1</t>
  </si>
  <si>
    <t>MINISTARSTVO VANJSKIH I EUROPSKIH POSLOVA</t>
  </si>
  <si>
    <t>MINISTARSTVO VANJSKIH I EUROPSKIH POSLOVA (721)</t>
  </si>
  <si>
    <t>TRG NIKOLE ŠUBIĆA ZRINSKOG 7-8</t>
  </si>
  <si>
    <t>43541122224</t>
  </si>
  <si>
    <t>POVJERENSTVO ZA ODLUČIVANJE O SUKOBU INTERESA</t>
  </si>
  <si>
    <t>POVJERENSTVO ZA ODLUČIVANJE O SUKOBU INTERESA (47852)</t>
  </si>
  <si>
    <t>ULICA KNEZA MISLAVA 11/3</t>
  </si>
  <si>
    <t>60383416394</t>
  </si>
  <si>
    <t>MINISTARSTVO KULTURE I MEDIJA</t>
  </si>
  <si>
    <t>MINISTARSTVO KULTURE I MEDIJA (756)</t>
  </si>
  <si>
    <t>RUNJANINOVA 2</t>
  </si>
  <si>
    <t>37836302645</t>
  </si>
  <si>
    <t>DRŽAVNI ARHIV U BJELOVARU</t>
  </si>
  <si>
    <t>DRŽAVNI ARHIV U BJELOVARU (789)</t>
  </si>
  <si>
    <t>TRG EUGENA KVATERNIKA 6</t>
  </si>
  <si>
    <t>43000 BJELOVAR</t>
  </si>
  <si>
    <t>80099091562</t>
  </si>
  <si>
    <t>DRŽAVNI ARHIV U DUBROVNIKU</t>
  </si>
  <si>
    <t>DRŽAVNI ARHIV U DUBROVNIKU (797)</t>
  </si>
  <si>
    <t>SV. DOMINIKA 1</t>
  </si>
  <si>
    <t>20000 DUBROVNIK</t>
  </si>
  <si>
    <t>01076882554</t>
  </si>
  <si>
    <t>DRŽAVNI ARHIV U GOSPIĆU</t>
  </si>
  <si>
    <t>DRŽAVNI ARHIV U GOSPIĆU (23577)</t>
  </si>
  <si>
    <t>KANIŠKA 17</t>
  </si>
  <si>
    <t>53000 GOSPIĆ</t>
  </si>
  <si>
    <t>34694889661</t>
  </si>
  <si>
    <t>DRŽAVNI ARHIV U KARLOVCU</t>
  </si>
  <si>
    <t>DRŽAVNI ARHIV U KARLOVCU (801)</t>
  </si>
  <si>
    <t>LJUDEVITA ŠESTIĆA 5</t>
  </si>
  <si>
    <t>47000 KARLOVAC</t>
  </si>
  <si>
    <t>99575902022</t>
  </si>
  <si>
    <t>DRŽAVNI ARHIV U OSIJEKU</t>
  </si>
  <si>
    <t>DRŽAVNI ARHIV U OSIJEKU (810)</t>
  </si>
  <si>
    <t>KAMILA FIRINGERA 1</t>
  </si>
  <si>
    <t>31000 OSIJEK</t>
  </si>
  <si>
    <t>61338774671</t>
  </si>
  <si>
    <t>DRŽAVNI ARHIV U PAZINU</t>
  </si>
  <si>
    <t>DRŽAVNI ARHIV U PAZINU (828)</t>
  </si>
  <si>
    <t>VLADIMIRA NAZORA 3</t>
  </si>
  <si>
    <t>52000 PAZIN</t>
  </si>
  <si>
    <t>55059300119</t>
  </si>
  <si>
    <t>DRŽAVNI ARHIV U RIJECI</t>
  </si>
  <si>
    <t>DRŽAVNI ARHIV U RIJECI (836)</t>
  </si>
  <si>
    <t>PARK NIKOLE HOSTA 2</t>
  </si>
  <si>
    <t>16391096016</t>
  </si>
  <si>
    <t>DRŽAVNI ARHIV U SISKU</t>
  </si>
  <si>
    <t>DRŽAVNI ARHIV U SISKU (844)</t>
  </si>
  <si>
    <t>FRANKOPANSKA 21</t>
  </si>
  <si>
    <t>44000 SISAK</t>
  </si>
  <si>
    <t>35994268014</t>
  </si>
  <si>
    <t>DRŽAVNI ARHIV U SLAVONSKOM BRODU</t>
  </si>
  <si>
    <t>DRŽAVNI ARHIV U SLAVONSKOM BRODU (852)</t>
  </si>
  <si>
    <t>AUGUSTA CESARCA 1</t>
  </si>
  <si>
    <t>35000 SLAVONSKI BROD</t>
  </si>
  <si>
    <t>11265594372</t>
  </si>
  <si>
    <t>DRŽAVNI ARHIV U SPLITU</t>
  </si>
  <si>
    <t>DRŽAVNI ARHIV U SPLITU (869)</t>
  </si>
  <si>
    <t>GLAGOLJAŠKA 18</t>
  </si>
  <si>
    <t>21000 SPLIT</t>
  </si>
  <si>
    <t>61469620638</t>
  </si>
  <si>
    <t>DRŽAVNI ARHIV U ŠIBENIKU</t>
  </si>
  <si>
    <t>DRŽAVNI ARHIV U ŠIBENIKU (43915)</t>
  </si>
  <si>
    <t>VELIMIRA ŠKORPIKA 6/A</t>
  </si>
  <si>
    <t>22000 ŠIBENIK</t>
  </si>
  <si>
    <t>97880836355</t>
  </si>
  <si>
    <t>DRŽAVNI ARHIV U VARAŽDINU</t>
  </si>
  <si>
    <t>DRŽAVNI ARHIV U VARAŽDINU (877)</t>
  </si>
  <si>
    <t>KOPRIVNIČKA 51</t>
  </si>
  <si>
    <t>42000 VARAŽDIN</t>
  </si>
  <si>
    <t>72801109643</t>
  </si>
  <si>
    <t xml:space="preserve">DRŽAVNI ARHIV U VIROVITICI </t>
  </si>
  <si>
    <t>DRŽAVNI ARHIV U VIROVITICI  (44493)</t>
  </si>
  <si>
    <t>TRG BANA JOSIPA JELAČIĆA 24</t>
  </si>
  <si>
    <t>33000 VIROVITICA</t>
  </si>
  <si>
    <t>37777848565</t>
  </si>
  <si>
    <t xml:space="preserve">DRŽAVNI ARHIV U VUKOVARU </t>
  </si>
  <si>
    <t>DRŽAVNI ARHIV U VUKOVARU  (43636)</t>
  </si>
  <si>
    <t>ŽUPANIJSKA 66</t>
  </si>
  <si>
    <t>05275803945</t>
  </si>
  <si>
    <t>DRŽAVNI ARHIV U ZADRU</t>
  </si>
  <si>
    <t>DRŽAVNI ARHIV U ZADRU (885)</t>
  </si>
  <si>
    <t>RUĐERA BOŠKOVIĆA BB.</t>
  </si>
  <si>
    <t>23000 ZADAR</t>
  </si>
  <si>
    <t>46156591639</t>
  </si>
  <si>
    <t>DRŽAVNI ARHIV U ZAGREBU</t>
  </si>
  <si>
    <t>DRŽAVNI ARHIV U ZAGREBU (893)</t>
  </si>
  <si>
    <t>OPATIČKA 29</t>
  </si>
  <si>
    <t>37363837470</t>
  </si>
  <si>
    <t xml:space="preserve">DRŽAVNI ARHIV ZA MEĐIMURJE </t>
  </si>
  <si>
    <t>DRŽAVNI ARHIV ZA MEĐIMURJE  (43644)</t>
  </si>
  <si>
    <t>ŠTRIGOVA 102</t>
  </si>
  <si>
    <t xml:space="preserve">40312 ŠTRIGOVA </t>
  </si>
  <si>
    <t>13768042762</t>
  </si>
  <si>
    <t>HRVATSKI DRŽAVNI ARHIV</t>
  </si>
  <si>
    <t>HRVATSKI DRŽAVNI ARHIV (764)</t>
  </si>
  <si>
    <t>MARULIĆEV TRG 2</t>
  </si>
  <si>
    <t>46144176176</t>
  </si>
  <si>
    <t>HRVATSKI MEMORIJALNO-DOKUMENTACIJSKI CENTAR DOMOVINSKOGA RATA</t>
  </si>
  <si>
    <t>HRVATSKI MEMORIJALNO-DOKUMENTACIJSKI CENTAR DOMOVINSKOGA RATA (40623)</t>
  </si>
  <si>
    <t>MARULIĆEV TRG 21</t>
  </si>
  <si>
    <t>57527861125</t>
  </si>
  <si>
    <t>ARHEOLOŠKI MUZEJ ISTRE</t>
  </si>
  <si>
    <t>ARHEOLOŠKI MUZEJ ISTRE (924)</t>
  </si>
  <si>
    <t>CARRARINA 3</t>
  </si>
  <si>
    <t>52100 PULA</t>
  </si>
  <si>
    <t>76185043859</t>
  </si>
  <si>
    <t>ARHEOLOŠKI MUZEJ NARONA</t>
  </si>
  <si>
    <t>ARHEOLOŠKI MUZEJ NARONA (40631)</t>
  </si>
  <si>
    <t>NARONSKI TRG 6</t>
  </si>
  <si>
    <t>20352 VID</t>
  </si>
  <si>
    <t>85570198172</t>
  </si>
  <si>
    <t>ARHEOLOŠKI MUZEJ OSIJEK</t>
  </si>
  <si>
    <t>ARHEOLOŠKI MUZEJ OSIJEK (50090)</t>
  </si>
  <si>
    <t>TRG SV. TROJSTVA 2</t>
  </si>
  <si>
    <t>36551793962</t>
  </si>
  <si>
    <t>ARHEOLOŠKI MUZEJ U SPLITU</t>
  </si>
  <si>
    <t>ARHEOLOŠKI MUZEJ U SPLITU (908)</t>
  </si>
  <si>
    <t>ZRINSKO-FRANKOPANSKA 25</t>
  </si>
  <si>
    <t>57340203536</t>
  </si>
  <si>
    <t>ARHEOLOŠKI MUZEJ ZADAR</t>
  </si>
  <si>
    <t>ARHEOLOŠKI MUZEJ ZADAR (916)</t>
  </si>
  <si>
    <t>TRG OPATICE ČIKE 1</t>
  </si>
  <si>
    <t xml:space="preserve">23000 ZADAR </t>
  </si>
  <si>
    <t>88252913683</t>
  </si>
  <si>
    <t>DVOR TRAKOŠČAN</t>
  </si>
  <si>
    <t>DVOR TRAKOŠČAN (932)</t>
  </si>
  <si>
    <t>TRAKOŠČAN 1</t>
  </si>
  <si>
    <t>42253 BEDNJA</t>
  </si>
  <si>
    <t>24929691978</t>
  </si>
  <si>
    <t>GALERIJA KLOVIĆEVI DVORI</t>
  </si>
  <si>
    <t>GALERIJA KLOVIĆEVI DVORI (22242)</t>
  </si>
  <si>
    <t>JEZUITSKI TRG 4</t>
  </si>
  <si>
    <t>78027759648</t>
  </si>
  <si>
    <t>HRVATSKI MUZEJ NAIVNE UMJETNOSTI</t>
  </si>
  <si>
    <t>HRVATSKI MUZEJ NAIVNE UMJETNOSTI (6146)</t>
  </si>
  <si>
    <t>SV. ĆIRILA I METODA 3</t>
  </si>
  <si>
    <t>57897955082</t>
  </si>
  <si>
    <t>HRVATSKI MUZEJ TURIZMA</t>
  </si>
  <si>
    <t>HRVATSKI MUZEJ TURIZMA (43907)</t>
  </si>
  <si>
    <t>PARK ANGIOLINA 1</t>
  </si>
  <si>
    <t>47076735780</t>
  </si>
  <si>
    <t>HRVATSKI POVIJESNI MUZEJ</t>
  </si>
  <si>
    <t>HRVATSKI POVIJESNI MUZEJ (965)</t>
  </si>
  <si>
    <t>MATOŠEVA 9</t>
  </si>
  <si>
    <t>10624495854</t>
  </si>
  <si>
    <t>HRVATSKI ŠPORTSKI MUZEJ</t>
  </si>
  <si>
    <t>HRVATSKI ŠPORTSKI MUZEJ (40682)</t>
  </si>
  <si>
    <t>PRAŠKA 2</t>
  </si>
  <si>
    <t>61689362030</t>
  </si>
  <si>
    <t>J. U. SPOMEN PODRUČJE JASENOVAC</t>
  </si>
  <si>
    <t>J. U. SPOMEN PODRUČJE JASENOVAC (23593)</t>
  </si>
  <si>
    <t>BRAĆE RADIĆA 146</t>
  </si>
  <si>
    <t>44323 JASENOVAC</t>
  </si>
  <si>
    <t>37280079200</t>
  </si>
  <si>
    <t xml:space="preserve">J. U. ZBIRKA UMJETNINA ANTE I WILTRUDE TOPIĆ MIMARA </t>
  </si>
  <si>
    <t>J. U. ZBIRKA UMJETNINA ANTE I WILTRUDE TOPIĆ MIMARA  (22347)</t>
  </si>
  <si>
    <t>ROOSEVELTOV TRG 5</t>
  </si>
  <si>
    <t>78141312758</t>
  </si>
  <si>
    <t>MODERNA GALERIJA</t>
  </si>
  <si>
    <t>MODERNA GALERIJA (973)</t>
  </si>
  <si>
    <t>ANDRIJE HEBRANGA 1</t>
  </si>
  <si>
    <t>94391499491</t>
  </si>
  <si>
    <t>MUZEJ ANTIČKOG STAKLA ZADAR</t>
  </si>
  <si>
    <t>MUZEJ ANTIČKOG STAKLA ZADAR (42112)</t>
  </si>
  <si>
    <t>POLJANA ZEMALJSKOG ODBORA 1</t>
  </si>
  <si>
    <t>74294482659</t>
  </si>
  <si>
    <t>MUZEJ HRVATSKIH ARHEOLOŠKIH SPOMENIKA SPLIT</t>
  </si>
  <si>
    <t>MUZEJ HRVATSKIH ARHEOLOŠKIH SPOMENIKA SPLIT (990)</t>
  </si>
  <si>
    <t>GUNJAČINA BB</t>
  </si>
  <si>
    <t>88269740410</t>
  </si>
  <si>
    <t>MUZEJ HRVATSKOG ZAGORJA</t>
  </si>
  <si>
    <t>MUZEJ HRVATSKOG ZAGORJA (1011)</t>
  </si>
  <si>
    <t>SAMCI 64</t>
  </si>
  <si>
    <t>49245 GORNJA STUBICA</t>
  </si>
  <si>
    <t>11298572202</t>
  </si>
  <si>
    <t>MUZEJ SLAVONIJE OSIJEK</t>
  </si>
  <si>
    <t>MUZEJ SLAVONIJE OSIJEK (1003)</t>
  </si>
  <si>
    <t>TRG SVETOG TROJSTVA 6</t>
  </si>
  <si>
    <t>45589739612</t>
  </si>
  <si>
    <t>MUZEJ VUČEDOLSKE KULTURE</t>
  </si>
  <si>
    <t>MUZEJ VUČEDOLSKE KULTURE (47908)</t>
  </si>
  <si>
    <t>ARHEOLOŠKI LOKALITET VUČEDOL</t>
  </si>
  <si>
    <t>05703458858</t>
  </si>
  <si>
    <t xml:space="preserve">MUZEJI IVANA MEŠTROVIĆA </t>
  </si>
  <si>
    <t>MUZEJI IVANA MEŠTROVIĆA  (949)</t>
  </si>
  <si>
    <t>ŠETALIŠTE IVANA MEŠTROVIĆA 46</t>
  </si>
  <si>
    <t>49483564012</t>
  </si>
  <si>
    <t>MUZEJSKI DOKUMENTACIJSKI CENTAR</t>
  </si>
  <si>
    <t>MUZEJSKI DOKUMENTACIJSKI CENTAR (1020)</t>
  </si>
  <si>
    <t>ILICA 44</t>
  </si>
  <si>
    <t>28048960411</t>
  </si>
  <si>
    <t>TIFLOLOŠKI MUZEJ</t>
  </si>
  <si>
    <t>TIFLOLOŠKI MUZEJ (1038)</t>
  </si>
  <si>
    <t>AUGUSTA ŠENOE 34/3</t>
  </si>
  <si>
    <t>04200585015</t>
  </si>
  <si>
    <t>AGENCIJA ZA ELEKTRONIČKE MEDIJE</t>
  </si>
  <si>
    <t>AGENCIJA ZA ELEKTRONIČKE MEDIJE (49075)</t>
  </si>
  <si>
    <t>JAGIĆEVA 31</t>
  </si>
  <si>
    <t>02307014</t>
  </si>
  <si>
    <t>35237547014</t>
  </si>
  <si>
    <t>ANSAMBL LADO</t>
  </si>
  <si>
    <t>ANSAMBL LADO (1046)</t>
  </si>
  <si>
    <t>TRG MARŠALA TITA 6A</t>
  </si>
  <si>
    <t>28251263363</t>
  </si>
  <si>
    <t>HRVATSKA KNJIŽNICA ZA SLIJEPE</t>
  </si>
  <si>
    <t>HRVATSKA KNJIŽNICA ZA SLIJEPE (23585)</t>
  </si>
  <si>
    <t>DRAŠKOVIĆEVA 80</t>
  </si>
  <si>
    <t>12091168733</t>
  </si>
  <si>
    <t>HRVATSKI AUDIOVIZUALNI CENTAR</t>
  </si>
  <si>
    <t>HRVATSKI AUDIOVIZUALNI CENTAR (44926)</t>
  </si>
  <si>
    <t>NOVA VES 18</t>
  </si>
  <si>
    <t>27103918402</t>
  </si>
  <si>
    <t>HRVATSKI RESTAURATORSKI ZAVOD</t>
  </si>
  <si>
    <t>HRVATSKI RESTAURATORSKI ZAVOD (22339)</t>
  </si>
  <si>
    <t>NIKE GRŠKOVIĆA 23</t>
  </si>
  <si>
    <t>08647229584</t>
  </si>
  <si>
    <t>HRVATSKO NARODNO KAZALIŠTE</t>
  </si>
  <si>
    <t>HRVATSKO NARODNO KAZALIŠTE (25878)</t>
  </si>
  <si>
    <t>TRG MARŠALA TITA 15</t>
  </si>
  <si>
    <t>10852199405</t>
  </si>
  <si>
    <t>MEĐUNARODNI CENTAR ZA PODVODNU ARHEOLOGIJU</t>
  </si>
  <si>
    <t>MEĐUNARODNI CENTAR ZA PODVODNU ARHEOLOGIJU (45189)</t>
  </si>
  <si>
    <t>BOŽIDARA PETRANOVIĆA 1</t>
  </si>
  <si>
    <t>42850342757</t>
  </si>
  <si>
    <t>MINISTARSTVO POLJOPRIVREDE</t>
  </si>
  <si>
    <t>MINISTARSTVO POLJOPRIVREDE (1079)</t>
  </si>
  <si>
    <t>ULICA GRADA VUKOVARA 78</t>
  </si>
  <si>
    <t>76767369197</t>
  </si>
  <si>
    <t>AGENCIJA ZA PLAĆANJA U POLJOPRIVREDI, RIBARSTVU I RURALNOM RAZVOJU</t>
  </si>
  <si>
    <t>AGENCIJA ZA PLAĆANJA U POLJOPRIVREDI, RIBARSTVU I RURALNOM RAZVOJU (45927)</t>
  </si>
  <si>
    <t>ULICA GRADA VUKOVARA 269D</t>
  </si>
  <si>
    <t>99122235709</t>
  </si>
  <si>
    <t>HRVATSKA AGENCIJA ZA POLJOPRIVREDU I HRANU</t>
  </si>
  <si>
    <t>HRVATSKA AGENCIJA ZA POLJOPRIVREDU I HRANU (44565)</t>
  </si>
  <si>
    <t>VINKOVAČKA CESTA 63C</t>
  </si>
  <si>
    <t>35506269186</t>
  </si>
  <si>
    <t>DRŽAVNA ERGELA ĐAKOVO I LIPIK</t>
  </si>
  <si>
    <t>DRŽAVNA ERGELA ĐAKOVO I LIPIK (48103)</t>
  </si>
  <si>
    <t>AUGUSTA ŠENOE 45</t>
  </si>
  <si>
    <t>31400 ĐAKOVO</t>
  </si>
  <si>
    <t>59493690843</t>
  </si>
  <si>
    <t xml:space="preserve">MINISTARSTVO REGIONALNOG RAZVOJA I FONDOVA EUROPSKE UNIJE </t>
  </si>
  <si>
    <t>MINISTARSTVO REGIONALNOG RAZVOJA I FONDOVA EUROPSKE UNIJE  (47123)</t>
  </si>
  <si>
    <t>MIRAMARSKA 22</t>
  </si>
  <si>
    <t>69608914212</t>
  </si>
  <si>
    <t>FOND ZA OBNOVU I RAZVOJ GRADA VUKOVARA</t>
  </si>
  <si>
    <t>FOND ZA OBNOVU I RAZVOJ GRADA VUKOVARA (46366)</t>
  </si>
  <si>
    <t>JOSIPA JURJA STROSSMAYERA 14A</t>
  </si>
  <si>
    <t>32997192616</t>
  </si>
  <si>
    <t>SREDIŠNJA AGENCIJA ZA FINANCIRANJE I UGOVARANJE PROGRAMA I PROJEKATA EU</t>
  </si>
  <si>
    <t>SREDIŠNJA AGENCIJA ZA FINANCIRANJE I UGOVARANJE PROGRAMA I PROJEKATA EU (43255)</t>
  </si>
  <si>
    <t>ULICA GRADA VUKOVARA 284</t>
  </si>
  <si>
    <t>11548277852</t>
  </si>
  <si>
    <t>MINISTARSTVO MORA, PROMETA I INFRASTRUKTURE</t>
  </si>
  <si>
    <t>PRISAVLJE 14</t>
  </si>
  <si>
    <t>22874515170</t>
  </si>
  <si>
    <t>AGENCIJA ZA OBALNI LINIJSKI POMORSKI PROMET</t>
  </si>
  <si>
    <t>AGENCIJA ZA OBALNI LINIJSKI POMORSKI PROMET (41546)</t>
  </si>
  <si>
    <t>ATNOFAGASTE 6</t>
  </si>
  <si>
    <t>27735395987</t>
  </si>
  <si>
    <t>AGENCIJA ZA ISTRAŽIVANJE NESREĆA U ZRAČNOM, POMORSKOM I ŽELJEZNIČKOM PROMETU</t>
  </si>
  <si>
    <t>AGENCIJA ZA ISTRAŽIVANJE NESREĆA U ZRAČNOM, POMORSKOM I ŽELJEZNIČKOM PROMETU (48031)</t>
  </si>
  <si>
    <t>LONJIČKA 2</t>
  </si>
  <si>
    <t>04077199</t>
  </si>
  <si>
    <t>40956403978</t>
  </si>
  <si>
    <t>AGENCIJA ZA SIGURNOST ŽELJEZNIČKOG PROMETA</t>
  </si>
  <si>
    <t>AGENCIJA ZA SIGURNOST ŽELJEZNIČKOG PROMETA (45228)</t>
  </si>
  <si>
    <t>RADNIČKA CESTA 39</t>
  </si>
  <si>
    <t>99256282044</t>
  </si>
  <si>
    <t>HRVATSKA AGENCIJA ZA CIVILNO ZRAKOPLOVSTVO</t>
  </si>
  <si>
    <t>HRVATSKA AGENCIJA ZA CIVILNO ZRAKOPLOVSTVO (49083)</t>
  </si>
  <si>
    <t>02371219</t>
  </si>
  <si>
    <t>76108805525</t>
  </si>
  <si>
    <t>HRVATSKI HIDROGRAFSKI INSTITUT</t>
  </si>
  <si>
    <t>HRVATSKI HIDROGRAFSKI INSTITUT (6066)</t>
  </si>
  <si>
    <t>ZRINSKO-FRANKOPANSKA 161</t>
  </si>
  <si>
    <t>51867618130</t>
  </si>
  <si>
    <t>HRVATSKA REGULATORNA AGENCIJA ZA MREŽNE DJELATNOSTI</t>
  </si>
  <si>
    <t>HRVATSKA REGULATORNA AGENCIJA ZA MREŽNE DJELATNOSTI (45902)</t>
  </si>
  <si>
    <t>ROBERTA FRANGEŠA MIHANOVIĆA 9</t>
  </si>
  <si>
    <t>10110 ZAGREB</t>
  </si>
  <si>
    <t>87950783661</t>
  </si>
  <si>
    <t>JAVNA USTANOVA LUČKA UPRAVA SISAK</t>
  </si>
  <si>
    <t>JAVNA USTANOVA LUČKA UPRAVA SISAK (51255)</t>
  </si>
  <si>
    <t>RIMSKA 28</t>
  </si>
  <si>
    <t>01534475</t>
  </si>
  <si>
    <t>80303023744</t>
  </si>
  <si>
    <t>JAVNA USTANOVA LUČKA UPRAVA SLAVONSKI BROD</t>
  </si>
  <si>
    <t>JAVNA USTANOVA LUČKA UPRAVA SLAVONSKI BROD (51263)</t>
  </si>
  <si>
    <t>ŠETALIŠTE BRAĆE RADIĆ 19/A</t>
  </si>
  <si>
    <t>01515845</t>
  </si>
  <si>
    <t>14562482156</t>
  </si>
  <si>
    <t>LUČKA UPRAVA DUBROVNIK</t>
  </si>
  <si>
    <t>LUČKA UPRAVA DUBROVNIK (51343)</t>
  </si>
  <si>
    <t>OBALA PAPE IVANA PAVLA II. 1</t>
  </si>
  <si>
    <t>01317857</t>
  </si>
  <si>
    <t>51303627909</t>
  </si>
  <si>
    <t>LUČKA UPRAVA OSIJEK</t>
  </si>
  <si>
    <t>LUČKA UPRAVA OSIJEK (51319)</t>
  </si>
  <si>
    <t xml:space="preserve">ŠETALIŠTE KARDINALA FRANJE ŠEPERA 6 </t>
  </si>
  <si>
    <t>01541838</t>
  </si>
  <si>
    <t>78159614650</t>
  </si>
  <si>
    <t>LUČKA UPRAVA PLOČE</t>
  </si>
  <si>
    <t>LUČKA UPRAVA PLOČE (51298)</t>
  </si>
  <si>
    <t>TRG KRALJA TOMISLAVA 21</t>
  </si>
  <si>
    <t>20340 PLOČE</t>
  </si>
  <si>
    <t>01283847</t>
  </si>
  <si>
    <t>98749709951</t>
  </si>
  <si>
    <t>LUČKA UPRAVA RIJEKA</t>
  </si>
  <si>
    <t>LUČKA UPRAVA RIJEKA (51302)</t>
  </si>
  <si>
    <t>RIVA 1</t>
  </si>
  <si>
    <t>01212109</t>
  </si>
  <si>
    <t>60521475400</t>
  </si>
  <si>
    <t>LUČKA UPRAVA SPLIT</t>
  </si>
  <si>
    <t>LUČKA UPRAVA SPLIT (51327)</t>
  </si>
  <si>
    <t>GAT SV. DUJE 1</t>
  </si>
  <si>
    <t>01308106</t>
  </si>
  <si>
    <t>06992092556</t>
  </si>
  <si>
    <t>LUČKA UPRAVA ŠIBENIK</t>
  </si>
  <si>
    <t>LUČKA UPRAVA ŠIBENIK (51335)</t>
  </si>
  <si>
    <t>OBALA HRVATSKE MORNARICE 4</t>
  </si>
  <si>
    <t>01961063</t>
  </si>
  <si>
    <t>98609040957</t>
  </si>
  <si>
    <t>LUČKA UPRAVA VUKOVAR</t>
  </si>
  <si>
    <t>LUČKA UPRAVA VUKOVAR (51280)</t>
  </si>
  <si>
    <t>PAROBRODARSKA 5</t>
  </si>
  <si>
    <t>01541455</t>
  </si>
  <si>
    <t>43504091006</t>
  </si>
  <si>
    <t>LUČKA UPRAVA ZADAR</t>
  </si>
  <si>
    <t>LUČKA UPRAVA ZADAR (51271)</t>
  </si>
  <si>
    <t>GAŽENIČKA CESTA 28A</t>
  </si>
  <si>
    <t>01284649</t>
  </si>
  <si>
    <t>03457471323</t>
  </si>
  <si>
    <t>MINISTARSTVO PROSTORNOGA UREĐENJA, GRADITELJSTVA I DRŽAVNE IMOVINE</t>
  </si>
  <si>
    <t>MINISTARSTVO PROSTORNOGA UREĐENJA, GRADITELJSTVA I DRŽAVNE IMOVINE (47061)</t>
  </si>
  <si>
    <t>ULICA REPUBLIKE AUSTRIJE 20</t>
  </si>
  <si>
    <t>95093210687</t>
  </si>
  <si>
    <t>AGENCIJA ZA PRAVNI PROMET I POSREDOVANJE NEKRETNINAMA</t>
  </si>
  <si>
    <t>AGENCIJA ZA PRAVNI PROMET I POSREDOVANJE NEKRETNINAMA (22058)</t>
  </si>
  <si>
    <t>SAVSKA CESTA 41/VI</t>
  </si>
  <si>
    <t>69331375926</t>
  </si>
  <si>
    <t>DRŽAVNA GEODETSKA UPRAVA</t>
  </si>
  <si>
    <t>DRŽAVNA GEODETSKA UPRAVA (6120)</t>
  </si>
  <si>
    <t>GRUŠKA 20</t>
  </si>
  <si>
    <t>84891127540</t>
  </si>
  <si>
    <t>FOND ZA OBNOVU GRADA ZAGREBA, KRAPINSKO-ZAGORSKE ŽUPANIJE I ZAGREBAČKE ŽUPANIJE</t>
  </si>
  <si>
    <t>FOND ZA OBNOVU GRADA ZAGREBA, KRAPINSKO-ZAGORSKE ŽUPANIJE I ZAGREBAČKE ŽUPANIJE (51724)</t>
  </si>
  <si>
    <t>ULICA IVANA DEŽMANA 10</t>
  </si>
  <si>
    <t>20506058112</t>
  </si>
  <si>
    <t>MINISTARSTVO GOSPODARSTVA I ODRŽIVOG RAZVOJA</t>
  </si>
  <si>
    <t>MINISTARSTVO GOSPODARSTVA I ODRŽIVOG RAZVOJA (47053)</t>
  </si>
  <si>
    <t>RADNIČKA CESTA 80</t>
  </si>
  <si>
    <t>19370100881</t>
  </si>
  <si>
    <t>JAVNA USTANOVA NACIONALNI PARK BRIJUNI - PUBLIC INSTITUTION BRIJUNI NATIONAL PARK</t>
  </si>
  <si>
    <t>JAVNA USTANOVA NACIONALNI PARK BRIJUNI - PUBLIC INSTITUTION BRIJUNI NATIONAL PARK (22162)</t>
  </si>
  <si>
    <t>BRIJUNI</t>
  </si>
  <si>
    <t>52100 PULA-POLA</t>
  </si>
  <si>
    <t>79193158584</t>
  </si>
  <si>
    <t xml:space="preserve">J. U. NACIONALNI PARK KORNATI </t>
  </si>
  <si>
    <t>J. U. NACIONALNI PARK KORNATI  (22138)</t>
  </si>
  <si>
    <t>BUTINA 2</t>
  </si>
  <si>
    <t>22243 MURTER-KORNATI</t>
  </si>
  <si>
    <t>63763133364</t>
  </si>
  <si>
    <t>J. U. NACIONALNI PARK KRKA</t>
  </si>
  <si>
    <t>J. U. NACIONALNI PARK KRKA (22234)</t>
  </si>
  <si>
    <t>TRG IVANA PAVLA II 5</t>
  </si>
  <si>
    <t>67969498372</t>
  </si>
  <si>
    <t>J. U. NACIONALNI PARK MLJET</t>
  </si>
  <si>
    <t>J. U. NACIONALNI PARK MLJET (22179)</t>
  </si>
  <si>
    <t>PRISTANIŠTE 2</t>
  </si>
  <si>
    <t>20226 MLJET</t>
  </si>
  <si>
    <t>41720834491</t>
  </si>
  <si>
    <t>J. U. NACIONALNI PARK PAKLENICA</t>
  </si>
  <si>
    <t>J. U. NACIONALNI PARK PAKLENICA (22200)</t>
  </si>
  <si>
    <t>UL. DR. F. TUĐMANA 14A</t>
  </si>
  <si>
    <t>23244 STARIGRAD</t>
  </si>
  <si>
    <t>24913665146</t>
  </si>
  <si>
    <t>J. U. NACIONALNI PARK PLITVIČKA JEZERA</t>
  </si>
  <si>
    <t>J. U. NACIONALNI PARK PLITVIČKA JEZERA (22218)</t>
  </si>
  <si>
    <t>PLITVIČKA JEZERA BB</t>
  </si>
  <si>
    <t>53231 PLITVIČKA JEZERA</t>
  </si>
  <si>
    <t>91109303119</t>
  </si>
  <si>
    <t>J. U. NACIONALNI PARK RISNJAK</t>
  </si>
  <si>
    <t>J. U. NACIONALNI PARK RISNJAK (22187)</t>
  </si>
  <si>
    <t>BIJELA VODICA 48</t>
  </si>
  <si>
    <t>51317 DELNICE</t>
  </si>
  <si>
    <t>09269345925</t>
  </si>
  <si>
    <t>J. U. NACIONALNI PARK SJEVERNI VELEBIT</t>
  </si>
  <si>
    <t>J. U. NACIONALNI PARK SJEVERNI VELEBIT (26506)</t>
  </si>
  <si>
    <t>KRASNO 96</t>
  </si>
  <si>
    <t>53274 SENJ</t>
  </si>
  <si>
    <t>24661445515</t>
  </si>
  <si>
    <t>J. U. PARK PRIRODE BIOKOVO</t>
  </si>
  <si>
    <t>J. U. PARK PRIRODE BIOKOVO (23243)</t>
  </si>
  <si>
    <t>FRANJEVAČKI PUT 2/A</t>
  </si>
  <si>
    <t>21300 MAKARSKA</t>
  </si>
  <si>
    <t>63685777958</t>
  </si>
  <si>
    <t>J. U. PARK PRIRODE KOPAČKI RIT</t>
  </si>
  <si>
    <t>J. U. PARK PRIRODE KOPAČKI RIT (22154)</t>
  </si>
  <si>
    <t>KOPAČEVO, MALI SAKADAŠ 1</t>
  </si>
  <si>
    <t>31327 BILJE - KOPAČEVO</t>
  </si>
  <si>
    <t>98988824554</t>
  </si>
  <si>
    <t>J. U. PARK PRIRODE LASTOVSKO OTOČJE</t>
  </si>
  <si>
    <t>J. U. PARK PRIRODE LASTOVSKO OTOČJE (42598)</t>
  </si>
  <si>
    <t>TRG SVETOG PETRA 7</t>
  </si>
  <si>
    <t>20289 LASTOVO</t>
  </si>
  <si>
    <t>15186719674</t>
  </si>
  <si>
    <t>J. U. PARK PRIRODE LONJSKO POLJE</t>
  </si>
  <si>
    <t>J. U. PARK PRIRODE LONJSKO POLJE (22226)</t>
  </si>
  <si>
    <t>TRG KRALJA PETRA SVAČIĆA BB</t>
  </si>
  <si>
    <t>44324 JASENOVAC</t>
  </si>
  <si>
    <t>13092477849</t>
  </si>
  <si>
    <t>J. U. PARK PRIRODE MEDVEDNICA</t>
  </si>
  <si>
    <t>J. U. PARK PRIRODE MEDVEDNICA (23497)</t>
  </si>
  <si>
    <t>BLIZNEC BB</t>
  </si>
  <si>
    <t>59832224817</t>
  </si>
  <si>
    <t xml:space="preserve">J. U. PARK PRIRODE PAPUK </t>
  </si>
  <si>
    <t>J. U. PARK PRIRODE PAPUK  (26514)</t>
  </si>
  <si>
    <t>TRG GOSPE VOĆINSKE BB</t>
  </si>
  <si>
    <t>33552 VOĆIN</t>
  </si>
  <si>
    <t>09100391705</t>
  </si>
  <si>
    <t>J. U. PARK PRIRODE TELAŠĆICA</t>
  </si>
  <si>
    <t>J. U. PARK PRIRODE TELAŠĆICA (22195)</t>
  </si>
  <si>
    <t>PUT DANIJELA GRBINA BB</t>
  </si>
  <si>
    <t>23281 SALI</t>
  </si>
  <si>
    <t>39112943608</t>
  </si>
  <si>
    <t>J. U. PARK PRIRODE UČKA</t>
  </si>
  <si>
    <t>J. U. PARK PRIRODE UČKA (25925)</t>
  </si>
  <si>
    <t>LIGANJ 42</t>
  </si>
  <si>
    <t>51415 LOVRAN</t>
  </si>
  <si>
    <t>64113345521</t>
  </si>
  <si>
    <t>JAVNA USTANOVA PARK PRIRODE VELEBIT</t>
  </si>
  <si>
    <t>JAVNA USTANOVA PARK PRIRODE VELEBIT (25933)</t>
  </si>
  <si>
    <t>KANIŽA GOSPIĆKA 4B</t>
  </si>
  <si>
    <t>65211368646</t>
  </si>
  <si>
    <t>JAVNA USTANOVA PARK PRIRODE VRANSKO JEZERO</t>
  </si>
  <si>
    <t>JAVNA USTANOVA PARK PRIRODE VRANSKO JEZERO (26522)</t>
  </si>
  <si>
    <t>KRALJA PETRA SVAČIĆA 2</t>
  </si>
  <si>
    <t>23210 BIOGRAD</t>
  </si>
  <si>
    <t>62106126299</t>
  </si>
  <si>
    <t>J. U. PARK PRIRODE ŽUMBERAK-SAMOBORSKO GORJE</t>
  </si>
  <si>
    <t>J. U. PARK PRIRODE ŽUMBERAK-SAMOBORSKO GORJE (26539)</t>
  </si>
  <si>
    <t>SOŠICE BB</t>
  </si>
  <si>
    <t>10457 ŽUMBERAK</t>
  </si>
  <si>
    <t>11528798664</t>
  </si>
  <si>
    <t>DRŽAVNI HIDROMETEOROLOŠKI ZAVOD</t>
  </si>
  <si>
    <t>DRŽAVNI HIDROMETEOROLOŠKI ZAVOD (21609)</t>
  </si>
  <si>
    <t>RAVNICE 48</t>
  </si>
  <si>
    <t>74660437164</t>
  </si>
  <si>
    <t>AGENCIJA ZA UGLJIKOVODIKE</t>
  </si>
  <si>
    <t>AGENCIJA ZA UGLJIKOVODIKE (49649)</t>
  </si>
  <si>
    <t>MIRAMARSKA 24</t>
  </si>
  <si>
    <t>04171667</t>
  </si>
  <si>
    <t>72156517632</t>
  </si>
  <si>
    <t>HRVATSKA ENERGETSKA REGULATORNA AGENCIJA</t>
  </si>
  <si>
    <t>HRVATSKA ENERGETSKA REGULATORNA AGENCIJA (49091)</t>
  </si>
  <si>
    <t>ULICA GRADA VUKOVARA 14</t>
  </si>
  <si>
    <t>01624482</t>
  </si>
  <si>
    <t>83764654530</t>
  </si>
  <si>
    <t>MINISTARSTVO GOSPODARSTVA I ODRŽIVOG RAZVOJA – RAVNATELJSTVO ZA ROBNE ZALIHE</t>
  </si>
  <si>
    <t>MINISTARSTVO GOSPODARSTVA I ODRŽIVOG RAZVOJA – RAVNATELJSTVO ZA ROBNE ZALIHE (47131)</t>
  </si>
  <si>
    <t>DRŽAVNI ZAVOD ZA MJERITELJSTVO</t>
  </si>
  <si>
    <t>DRŽAVNI ZAVOD ZA MJERITELJSTVO (6082)</t>
  </si>
  <si>
    <t>CAPRAŠKA 6</t>
  </si>
  <si>
    <t>99875008081</t>
  </si>
  <si>
    <t>HRVATSKI ZAVOD ZA NORME</t>
  </si>
  <si>
    <t>HRVATSKI ZAVOD ZA NORME (38495)</t>
  </si>
  <si>
    <t>76844168802</t>
  </si>
  <si>
    <t>HRVATSKA AKREDITACIJSKA AGENCIJA</t>
  </si>
  <si>
    <t>HRVATSKA AKREDITACIJSKA AGENCIJA (38500)</t>
  </si>
  <si>
    <t>98834727195</t>
  </si>
  <si>
    <t>HRVATSKA AGENCIJA ZA MALO GOSPODARSTVO, INOVACIJE I INVESTICIJE</t>
  </si>
  <si>
    <t>HRVATSKA AGENCIJA ZA MALO GOSPODARSTVO, INOVACIJE I INVESTICIJE (46237)</t>
  </si>
  <si>
    <t>KSAVER 208</t>
  </si>
  <si>
    <t>25609559342</t>
  </si>
  <si>
    <t xml:space="preserve">MINISTARSTVO ZNANOSTI I OBRAZOVANJA </t>
  </si>
  <si>
    <t>MINISTARSTVO ZNANOSTI I OBRAZOVANJA  (1222)</t>
  </si>
  <si>
    <t>DONJE SVETICE 38</t>
  </si>
  <si>
    <t>49508397045</t>
  </si>
  <si>
    <t>FAKULTET ORGANIZACIJE I INFORMATIKE U VARAŽDINU</t>
  </si>
  <si>
    <t>FAKULTET ORGANIZACIJE I INFORMATIKE U VARAŽDINU (2063)</t>
  </si>
  <si>
    <t>PAVLINSKA 2</t>
  </si>
  <si>
    <t>02024882310</t>
  </si>
  <si>
    <t>MEĐIMURSKO VELEUČILIŠTE U ČAKOVCU</t>
  </si>
  <si>
    <t>MEĐIMURSKO VELEUČILIŠTE U ČAKOVCU (43749)</t>
  </si>
  <si>
    <t>BANA JOSIPA JELAČIĆA 22/A</t>
  </si>
  <si>
    <t>40000 ČAKOVEC</t>
  </si>
  <si>
    <t>31444990605</t>
  </si>
  <si>
    <t>SVEUČILIŠTE J. J. STROSSMAYERA U OSIJEKU</t>
  </si>
  <si>
    <t>SVEUČILIŠTE J. J. STROSSMAYERA U OSIJEKU (2452)</t>
  </si>
  <si>
    <t>TRG SV. TROJSTVA 3</t>
  </si>
  <si>
    <t>78808975734</t>
  </si>
  <si>
    <t>SVEUČILIŠTE J. J. STROSSMAYERA U OSIJEKU - AKADEMIJA ZA UMJETNOST I KULTURU U OSIJEKU</t>
  </si>
  <si>
    <t>SVEUČILIŠTE J. J. STROSSMAYERA U OSIJEKU - AKADEMIJA ZA UMJETNOST I KULTURU U OSIJEKU (50215)</t>
  </si>
  <si>
    <t>KRALJA PETRA SVAČIĆA 1/F</t>
  </si>
  <si>
    <t>60277424315</t>
  </si>
  <si>
    <t>SVEUČILIŠTE J. J. STROSSMAYERA U OSIJEKU - EKONOMSKI FAKULTET</t>
  </si>
  <si>
    <t>SVEUČILIŠTE J. J. STROSSMAYERA U OSIJEKU - EKONOMSKI FAKULTET (2284)</t>
  </si>
  <si>
    <t>TRG LJUDEVITA GAJA 7</t>
  </si>
  <si>
    <t>52778515544</t>
  </si>
  <si>
    <t>SVEUČILIŠTE J. J. STROSSMAYERA U OSIJEKU - FAKULTET AGROBIOTEHNIČKIH ZNANOSTI OSIJEK</t>
  </si>
  <si>
    <t>SVEUČILIŠTE J. J. STROSSMAYERA U OSIJEKU - FAKULTET AGROBIOTEHNIČKIH ZNANOSTI OSIJEK (2268)</t>
  </si>
  <si>
    <t>VLADIMIRA PRELOGA 1</t>
  </si>
  <si>
    <t>98816779821</t>
  </si>
  <si>
    <t>SVEUČILIŠTE J. J. STROSSMAYERA U OSIJEKU - FAKULTET ELEKTROTEHNIKE, RAČUNARSTVA I INFORMACIJSKIH TEHNOLOGIJA OSIJEK</t>
  </si>
  <si>
    <t>SVEUČILIŠTE J. J. STROSSMAYERA U OSIJEKU - FAKULTET ELEKTROTEHNIKE, RAČUNARSTVA I INFORMACIJSKIH TEHNOLOGIJA OSIJEK (2313)</t>
  </si>
  <si>
    <t>KNEZA TRPIMIRA 2B</t>
  </si>
  <si>
    <t>95494259952</t>
  </si>
  <si>
    <t>SVEUČILIŠTE J. J. STROSSMAYERA U OSIJEKU - FAKULTET ZA DENTALNU MEDICINU I ZDRAVSTVO</t>
  </si>
  <si>
    <t>SVEUČILIŠTE J. J. STROSSMAYERA U OSIJEKU - FAKULTET ZA DENTALNU MEDICINU I ZDRAVSTVO (49796)</t>
  </si>
  <si>
    <t>CRKVENA 21</t>
  </si>
  <si>
    <t>83830458507</t>
  </si>
  <si>
    <t>SVEUČILIŠTE J. J. STROSSMAYERA U OSIJEKU - FAKULTET ZA ODGOJNE I OBRAZOVNE ZNANOSTI</t>
  </si>
  <si>
    <t>SVEUČILIŠTE J. J. STROSSMAYERA U OSIJEKU - FAKULTET ZA ODGOJNE I OBRAZOVNE ZNANOSTI (22486)</t>
  </si>
  <si>
    <t>CARA HADRIJANA 10</t>
  </si>
  <si>
    <t>28082679513</t>
  </si>
  <si>
    <t>SVEUČILIŠTE J. J. STROSSMAYERA U OSIJEKU - FILOZOFSKI FAKULTET</t>
  </si>
  <si>
    <t>SVEUČILIŠTE J. J. STROSSMAYERA U OSIJEKU - FILOZOFSKI FAKULTET (2321)</t>
  </si>
  <si>
    <t>LORENZA JAGERA 9</t>
  </si>
  <si>
    <t>58868871646</t>
  </si>
  <si>
    <t>SVEUČILIŠTE J. J. STROSSMAYERA U OSIJEKU - GRADSKA I SVEUČILIŠNA KNJIŽNICA</t>
  </si>
  <si>
    <t>SVEUČILIŠTE J. J. STROSSMAYERA U OSIJEKU - GRADSKA I SVEUČILIŠNA KNJIŽNICA (2508)</t>
  </si>
  <si>
    <t>EUROPSKA AVENIJA 24</t>
  </si>
  <si>
    <t>46627536930</t>
  </si>
  <si>
    <t>SVEUČILIŠTE J. J. STROSSMAYERA U OSIJEKU - GRAĐEVINSKI I ARHITEKTONSKI FAKULTET OSIJEK</t>
  </si>
  <si>
    <t>SVEUČILIŠTE J. J. STROSSMAYERA U OSIJEKU - GRAĐEVINSKI I ARHITEKTONSKI FAKULTET OSIJEK (2250)</t>
  </si>
  <si>
    <t>ULICA VLADIMIRA PRELOGA 3</t>
  </si>
  <si>
    <t>04150850819</t>
  </si>
  <si>
    <t>KATOLIČKI BOGOSLOVNI FAKULTET U ĐAKOVU</t>
  </si>
  <si>
    <t>KATOLIČKI BOGOSLOVNI FAKULTET U ĐAKOVU (38479)</t>
  </si>
  <si>
    <t xml:space="preserve">PETRA PRERADOVIĆA 17 </t>
  </si>
  <si>
    <t>05384220316</t>
  </si>
  <si>
    <t>SVEUČILIŠTE J. J. STROSSMAYERA U OSIJEKU - KINEZIOLOŠKI FAKULTET OSIJEK</t>
  </si>
  <si>
    <t>SVEUČILIŠTE J. J. STROSSMAYERA U OSIJEKU - KINEZIOLOŠKI FAKULTET OSIJEK (51450)</t>
  </si>
  <si>
    <t>DRINSKA 16/A</t>
  </si>
  <si>
    <t>70788591483</t>
  </si>
  <si>
    <t>SVEUČILIŠTE J. J. STROSSMAYERA U OSIJEKU - MEDICINSKI FAKULTET</t>
  </si>
  <si>
    <t>SVEUČILIŠTE J. J. STROSSMAYERA U OSIJEKU - MEDICINSKI FAKULTET (22849)</t>
  </si>
  <si>
    <t>HUTTLEROVA 4</t>
  </si>
  <si>
    <t>16214165873</t>
  </si>
  <si>
    <t>SVEUČILIŠTE J. J. STROSSMAYERA U OSIJEKU - PRAVNI FAKULTET</t>
  </si>
  <si>
    <t>SVEUČILIŠTE J. J. STROSSMAYERA U OSIJEKU - PRAVNI FAKULTET (2292)</t>
  </si>
  <si>
    <t>STJEPANA RADIĆA 13</t>
  </si>
  <si>
    <t>26416570803</t>
  </si>
  <si>
    <t>SVEUČILIŠTE J. J. STROSSMAYERA U OSIJEKU - PREHRAMBENO TEHNOLOŠKI FAKULTET</t>
  </si>
  <si>
    <t>SVEUČILIŠTE J. J. STROSSMAYERA U OSIJEKU - PREHRAMBENO TEHNOLOŠKI FAKULTET (2276)</t>
  </si>
  <si>
    <t>FRANJE KUHAČA 18</t>
  </si>
  <si>
    <t>96371000697</t>
  </si>
  <si>
    <t>SVEUČILIŠTE JURJA DOBRILE U PULI</t>
  </si>
  <si>
    <t>SVEUČILIŠTE JURJA DOBRILE U PULI (42024)</t>
  </si>
  <si>
    <t>ZAGREBAČKA 30</t>
  </si>
  <si>
    <t>61738073226</t>
  </si>
  <si>
    <t>SVEUČILIŠTE SJEVER</t>
  </si>
  <si>
    <t>SVEUČILIŠTE SJEVER (48267)</t>
  </si>
  <si>
    <t>TRG DR. ŽARKA DOLINARA 1</t>
  </si>
  <si>
    <t>48000 KOPRIVNICA</t>
  </si>
  <si>
    <t>59624928052</t>
  </si>
  <si>
    <t>SVEUČILIŠTE U DUBROVNIKU</t>
  </si>
  <si>
    <t>BRANITELJA DUBROVNIKA 29</t>
  </si>
  <si>
    <t>01338491514</t>
  </si>
  <si>
    <t>SVEUČILIŠTE U RIJECI - AKADEMIJA PRIMJENJENIH UMJETNOSTI (38454)</t>
  </si>
  <si>
    <t>SVEUČILIŠTE U RIJECI - EKONOMSKI FAKULTET (2186)</t>
  </si>
  <si>
    <t>SVEUČILIŠTE U RIJECI - FAKULTET ZA MENADŽMENT U TURIZMU I UGOSTITELJSTVU (2194)</t>
  </si>
  <si>
    <t>SVEUČILIŠTE U RIJECI - FAKULTET ZDRAVSTVENIH STUDIJA U RIJECI (48023)</t>
  </si>
  <si>
    <t>SVEUČILIŠTE U RIJECI - FILOZOFSKI FAKULTET (22857)</t>
  </si>
  <si>
    <t>SVEUČILIŠTE U RIJECI - GRAĐEVINSKI FAKULTET (2160)</t>
  </si>
  <si>
    <t>SVEUČILIŠTE U RIJECI - MEDICINSKI FAKULTET (2225)</t>
  </si>
  <si>
    <t>SVEUČILIŠTE U RIJECI, POMORSKI FAKULTET</t>
  </si>
  <si>
    <t>SVEUČILIŠTE U RIJECI, POMORSKI FAKULTET (22568)</t>
  </si>
  <si>
    <t>SVEUČILIŠTE U RIJECI - PRAVNI FAKULTET (2217)</t>
  </si>
  <si>
    <t>SVEUČILIŠTE U RIJECI - SVEUČILIŠNA KNJIŽNICA (2493)</t>
  </si>
  <si>
    <t>SVEUČILIŠTE U RIJECI - TEHNIČKI FAKULTET (2151)</t>
  </si>
  <si>
    <t>SVEUČILIŠTE U RIJECI - UČITELJSKI FAKULTET (40947)</t>
  </si>
  <si>
    <t>SVEUČILIŠTE U SLAVONSKOM BRODU</t>
  </si>
  <si>
    <t>SVEUČILIŠTE U SLAVONSKOM BRODU (51360)</t>
  </si>
  <si>
    <t>TRG IVANE BRLIĆ MAŽURANIĆ 2</t>
  </si>
  <si>
    <t>33027834374</t>
  </si>
  <si>
    <t>SVEUČILIŠTE U SPLITU</t>
  </si>
  <si>
    <t>SVEUČILIŠTE U SPLITU (2469)</t>
  </si>
  <si>
    <t>POLJIČKA CESTA 35</t>
  </si>
  <si>
    <t>29845096215</t>
  </si>
  <si>
    <t>SVEUČILIŠTE U SPLITU - EKONOMSKI FAKULTET</t>
  </si>
  <si>
    <t>SVEUČILIŠTE U SPLITU - EKONOMSKI FAKULTET (2372)</t>
  </si>
  <si>
    <t>CVITE FISKOVIĆA 5</t>
  </si>
  <si>
    <t>84477684422</t>
  </si>
  <si>
    <t>SVEUČILIŠTE U SPLITU - FAKULTET ELEKTROTEHNIKE, STROJARSTVA I BRODOGRADNJE</t>
  </si>
  <si>
    <t>SVEUČILIŠTE U SPLITU - FAKULTET ELEKTROTEHNIKE, STROJARSTVA I BRODOGRADNJE (2330)</t>
  </si>
  <si>
    <t>RUĐERA BOŠKOVIĆA 32</t>
  </si>
  <si>
    <t>00857144221</t>
  </si>
  <si>
    <t>SVEUČILIŠTE U SPLITU - FAKULTET GRAĐEVINARSTVA, ARHITEKTURE I GEODEZIJE</t>
  </si>
  <si>
    <t>SVEUČILIŠTE U SPLITU - FAKULTET GRAĐEVINARSTVA, ARHITEKTURE I GEODEZIJE (2348)</t>
  </si>
  <si>
    <t>MATICE HRVATSKE 15</t>
  </si>
  <si>
    <t>83615500218</t>
  </si>
  <si>
    <t>SVEUČILIŠTE U SPLITU - FILOZOFSKI FAKULTET</t>
  </si>
  <si>
    <t>SVEUČILIŠTE U SPLITU - FILOZOFSKI FAKULTET (22435)</t>
  </si>
  <si>
    <t>98004523293</t>
  </si>
  <si>
    <t>SVEUČILIŠTE U SPLITU - KATOLIČKI BOGOSLOVNI FAKULTET</t>
  </si>
  <si>
    <t>SVEUČILIŠTE U SPLITU - KATOLIČKI BOGOSLOVNI FAKULTET (23368)</t>
  </si>
  <si>
    <t xml:space="preserve">ZRINSKOG FRANKOPANA 19 </t>
  </si>
  <si>
    <t>SVEUČILIŠTE U SPLITU - KEMIJSKO-TEHNOLOŠKI FAKULTET</t>
  </si>
  <si>
    <t>SVEUČILIŠTE U SPLITU - KEMIJSKO-TEHNOLOŠKI FAKULTET (2356)</t>
  </si>
  <si>
    <t>RUĐERA BOŠKOVIĆA 35</t>
  </si>
  <si>
    <t>99401575594</t>
  </si>
  <si>
    <t>SVEUČILIŠTE U SPLITU - KINEZIOLOŠKI FAKULTET</t>
  </si>
  <si>
    <t>SVEUČILIŠTE U SPLITU - KINEZIOLOŠKI FAKULTET (43773)</t>
  </si>
  <si>
    <t>NIKOLE TESLE 6</t>
  </si>
  <si>
    <t>57848936921</t>
  </si>
  <si>
    <t>SVEUČILIŠTE U SPLITU - MEDICINSKI FAKULTET</t>
  </si>
  <si>
    <t>SVEUČILIŠTE U SPLITU - MEDICINSKI FAKULTET (22451)</t>
  </si>
  <si>
    <t>ŠOLTANSKA 2</t>
  </si>
  <si>
    <t>02879747067</t>
  </si>
  <si>
    <t>SVEUČILIŠTE U SPLITU - POMORSKI FAKULTET</t>
  </si>
  <si>
    <t>SVEUČILIŠTE U SPLITU - POMORSKI FAKULTET (22460)</t>
  </si>
  <si>
    <t>RUĐERA BOŠKOVIĆA 37</t>
  </si>
  <si>
    <t>24624257529</t>
  </si>
  <si>
    <t>SVEUČILIŠTE U SPLITU - PRAVNI FAKULTET</t>
  </si>
  <si>
    <t>SVEUČILIŠTE U SPLITU - PRAVNI FAKULTET (2397)</t>
  </si>
  <si>
    <t>DOMOVINSKOG RATA 8</t>
  </si>
  <si>
    <t>03541568700</t>
  </si>
  <si>
    <t>SVEUČILIŠTE U SPLITU - PRIRODOSLOVNO - MATEMATIČKI FAKULTET</t>
  </si>
  <si>
    <t>SVEUČILIŠTE U SPLITU - PRIRODOSLOVNO - MATEMATIČKI FAKULTET (2410)</t>
  </si>
  <si>
    <t>RUĐERA BOŠKOVIĆA 33</t>
  </si>
  <si>
    <t>20858497843</t>
  </si>
  <si>
    <t>SVEUČILIŠTE U SPLITU - SVEUČILIŠNA KNJIŽNICA</t>
  </si>
  <si>
    <t>SVEUČILIŠTE U SPLITU - SVEUČILIŠNA KNJIŽNICA (2524)</t>
  </si>
  <si>
    <t>RUĐERA BOŠKOVIĆA 31</t>
  </si>
  <si>
    <t>40099344720</t>
  </si>
  <si>
    <t>SVEUČILIŠTE U SPLITU - UMJETNIČKA AKADEMIJA</t>
  </si>
  <si>
    <t>SVEUČILIŠTE U SPLITU - UMJETNIČKA AKADEMIJA (22478)</t>
  </si>
  <si>
    <t>ZAGREBAČKA 3</t>
  </si>
  <si>
    <t>38960125358</t>
  </si>
  <si>
    <t>SVEUČILIŠTE U ZADRU</t>
  </si>
  <si>
    <t>SVEUČILIŠTE U ZADRU (23815)</t>
  </si>
  <si>
    <t>MIHOVILA PAVLINOVIĆA 1</t>
  </si>
  <si>
    <t>10839679016</t>
  </si>
  <si>
    <t>SVEUČILIŠTE U ZAGREBU</t>
  </si>
  <si>
    <t>SVEUČILIŠTE U ZAGREBU (2436)</t>
  </si>
  <si>
    <t>TRG REPUBLIKE HRVATSKE 14</t>
  </si>
  <si>
    <t>36612267447</t>
  </si>
  <si>
    <t>SVEUČILIŠTE U ZAGREBU - AGRONOMSKI FAKULTET</t>
  </si>
  <si>
    <t>SVEUČILIŠTE U ZAGREBU - AGRONOMSKI FAKULTET (1923)</t>
  </si>
  <si>
    <t>SVETOŠIMUNSKA CESTA 25</t>
  </si>
  <si>
    <t>76023745044</t>
  </si>
  <si>
    <t>SVEUČILIŠTE U ZAGREBU - AKADEMIJA DRAMSKE UMJETNOSTI</t>
  </si>
  <si>
    <t>SVEUČILIŠTE U ZAGREBU - AKADEMIJA DRAMSKE UMJETNOSTI (1974)</t>
  </si>
  <si>
    <t>TRG REPUBLIKE HRVATSKE 5</t>
  </si>
  <si>
    <t>52097842295</t>
  </si>
  <si>
    <t>SVEUČILIŠTE U ZAGREBU - AKADEMIJA LIKOVNIH UMJETNOSTI</t>
  </si>
  <si>
    <t>SVEUČILIŠTE U ZAGREBU - AKADEMIJA LIKOVNIH UMJETNOSTI (1982)</t>
  </si>
  <si>
    <t>ILICA 85</t>
  </si>
  <si>
    <t>95847257607</t>
  </si>
  <si>
    <t xml:space="preserve">SVEUČILIŠTE U ZAGREBU - ARHITEKTONSKI FAKULTET </t>
  </si>
  <si>
    <t>SVEUČILIŠTE U ZAGREBU - ARHITEKTONSKI FAKULTET  (1861)</t>
  </si>
  <si>
    <t>KAČIĆEVA 26</t>
  </si>
  <si>
    <t>42061107444</t>
  </si>
  <si>
    <t xml:space="preserve">SVEUČILIŠTE U ZAGREBU - EDUKACIJSKO-REHABILITACIJSKI FAKULTET </t>
  </si>
  <si>
    <t>SVEUČILIŠTE U ZAGREBU - EDUKACIJSKO-REHABILITACIJSKI FAKULTET  (1966)</t>
  </si>
  <si>
    <t>BORONGAJSKA CESTA 83F</t>
  </si>
  <si>
    <t>34967762426</t>
  </si>
  <si>
    <t>SVEUČILIŠTE U ZAGREBU - EKONOMSKI FAKULTET</t>
  </si>
  <si>
    <t>SVEUČILIŠTE U ZAGREBU - EKONOMSKI FAKULTET (1931)</t>
  </si>
  <si>
    <t>TRG J. F. KENNEDEY-A 6</t>
  </si>
  <si>
    <t>27208467122</t>
  </si>
  <si>
    <t>SVEUČILIŠTE U ZAGREBU - FAKULTET ELEKTROTEHNIKE I RAČUNARSTVA</t>
  </si>
  <si>
    <t>SVEUČILIŠTE U ZAGREBU - FAKULTET ELEKTROTEHNIKE I RAČUNARSTVA (1757)</t>
  </si>
  <si>
    <t>UNSKA 3</t>
  </si>
  <si>
    <t>57029260362</t>
  </si>
  <si>
    <t>SVEUČILIŠTE U ZAGREBU - FAKULTET FILOZOFIJE I RELIGIJSKIH ZNANOSTI</t>
  </si>
  <si>
    <t>SVEUČILIŠTE U ZAGREBU - FAKULTET FILOZOFIJE I RELIGIJSKIH ZNANOSTI (6154)</t>
  </si>
  <si>
    <t>JORDANOVAC 110</t>
  </si>
  <si>
    <t>26975482530</t>
  </si>
  <si>
    <t>SVEUČILIŠTE U ZAGREBU - FAKULTET HRVATSKIH STUDIJA</t>
  </si>
  <si>
    <t>SVEUČILIŠTE U ZAGREBU - FAKULTET HRVATSKIH STUDIJA (51191)</t>
  </si>
  <si>
    <t>BORONGAJSKA CESTA 83D</t>
  </si>
  <si>
    <t>99454315441</t>
  </si>
  <si>
    <t>SVEUČILIŠTE U ZAGREBU - FAKULTET KEMIJSKOG INŽENJERSTVA I TEHNOLOGIJE</t>
  </si>
  <si>
    <t>SVEUČILIŠTE U ZAGREBU - FAKULTET KEMIJSKOG INŽENJERSTVA I TEHNOLOGIJE (1790)</t>
  </si>
  <si>
    <t>MARULIĆEV TRG 19</t>
  </si>
  <si>
    <t>71259740533</t>
  </si>
  <si>
    <t>SVEUČILIŠTE U ZAGREBU - FAKULTET POLITIČKIH ZNANOSTI</t>
  </si>
  <si>
    <t>SVEUČILIŠTE U ZAGREBU - FAKULTET POLITIČKIH ZNANOSTI (1907)</t>
  </si>
  <si>
    <t>LEPUŠIĆEVA 6</t>
  </si>
  <si>
    <t>28011548575</t>
  </si>
  <si>
    <t>SVEUČILIŠTE U ZAGREBU - FAKULTET PROMETNIH ZNANOSTI</t>
  </si>
  <si>
    <t>SVEUČILIŠTE U ZAGREBU - FAKULTET PROMETNIH ZNANOSTI (1812)</t>
  </si>
  <si>
    <t>VUKELIĆEVA 4</t>
  </si>
  <si>
    <t>25410051374</t>
  </si>
  <si>
    <t>SVEUČILIŠTE U ZAGREBU - FAKULTET STROJARSTVA I BRODOGRADNJE</t>
  </si>
  <si>
    <t>SVEUČILIŠTE U ZAGREBU - FAKULTET STROJARSTVA I BRODOGRADNJE (1829)</t>
  </si>
  <si>
    <t>IVANA LUČIĆA 5</t>
  </si>
  <si>
    <t>22910368449</t>
  </si>
  <si>
    <t xml:space="preserve">SVEUČILIŠTE U ZAGREBU - FARMACEUTSKO-BIOKEMIJSKI FAKULTET </t>
  </si>
  <si>
    <t>SVEUČILIŠTE U ZAGREBU - FARMACEUTSKO-BIOKEMIJSKI FAKULTET  (2014)</t>
  </si>
  <si>
    <t>ANTE KOVAČIĆA 1</t>
  </si>
  <si>
    <t>14509285435</t>
  </si>
  <si>
    <t>SVEUČILIŠTE U ZAGREBU - FILOZOFSKI FAKULTET</t>
  </si>
  <si>
    <t>SVEUČILIŠTE U ZAGREBU - FILOZOFSKI FAKULTET (1958)</t>
  </si>
  <si>
    <t>IVANA LUČIĆA 3</t>
  </si>
  <si>
    <t>90633715804</t>
  </si>
  <si>
    <t>SVEUČILIŠTE U ZAGREBU - GEODETSKI FAKULTET</t>
  </si>
  <si>
    <t>SVEUČILIŠTE U ZAGREBU - GEODETSKI FAKULTET (1853)</t>
  </si>
  <si>
    <t>ANDRIJE KAČIĆA MIOŠIĆA 26</t>
  </si>
  <si>
    <t>43594593297</t>
  </si>
  <si>
    <t>SVEUČILIŠTE U ZAGREBU - GEOTEHNIČKI FAKULTET</t>
  </si>
  <si>
    <t>SVEUČILIŠTE U ZAGREBU - GEOTEHNIČKI FAKULTET (2102)</t>
  </si>
  <si>
    <t>HALLEROVA ALEJA 7</t>
  </si>
  <si>
    <t>16146181375</t>
  </si>
  <si>
    <t>SVEUČILIŠTE U ZAGREBU - GRAĐEVINSKI FAKULTET</t>
  </si>
  <si>
    <t>SVEUČILIŠTE U ZAGREBU - GRAĐEVINSKI FAKULTET (1837)</t>
  </si>
  <si>
    <t>FRA ANDRIJE KAČIĆA MIOŠIĆA 26</t>
  </si>
  <si>
    <t>62924153420</t>
  </si>
  <si>
    <t>SVEUČILIŠTE U ZAGREBU - GRAFIČKI FAKULTET</t>
  </si>
  <si>
    <t>SVEUČILIŠTE U ZAGREBU - GRAFIČKI FAKULTET (2080)</t>
  </si>
  <si>
    <t>GETALDIĆEVA 2</t>
  </si>
  <si>
    <t>25564990903</t>
  </si>
  <si>
    <t xml:space="preserve">SVEUČILIŠTE U ZAGREBU - KATOLIČKI BOGOSLOVNI FAKULTET </t>
  </si>
  <si>
    <t>SVEUČILIŠTE U ZAGREBU - KATOLIČKI BOGOSLOVNI FAKULTET  (2135)</t>
  </si>
  <si>
    <t xml:space="preserve">VLAŠKA 38 </t>
  </si>
  <si>
    <t>SVEUČILIŠTE U ZAGREBU - KINEZIOLOŠKI FAKULTET</t>
  </si>
  <si>
    <t>SVEUČILIŠTE U ZAGREBU - KINEZIOLOŠKI FAKULTET (2006)</t>
  </si>
  <si>
    <t>HORVAĆANSKI ZAVOJ 15</t>
  </si>
  <si>
    <t>25329931628</t>
  </si>
  <si>
    <t>SVEUČILIŠTE U ZAGREBU - MEDICINSKI FAKULTET</t>
  </si>
  <si>
    <t>SVEUČILIŠTE U ZAGREBU - MEDICINSKI FAKULTET (1888)</t>
  </si>
  <si>
    <t>ŠALATA 3</t>
  </si>
  <si>
    <t>45001686598</t>
  </si>
  <si>
    <t>SVEUČILIŠTE U ZAGREBU - METALURŠKI FAKULTET SISAK</t>
  </si>
  <si>
    <t>SVEUČILIŠTE U ZAGREBU - METALURŠKI FAKULTET SISAK (2071)</t>
  </si>
  <si>
    <t>ALEJA NARODNIH HEROJA 3</t>
  </si>
  <si>
    <t>48006703414</t>
  </si>
  <si>
    <t>SVEUČILIŠTE U ZAGREBU - MUZIČKA AKADEMIJA</t>
  </si>
  <si>
    <t>SVEUČILIŠTE U ZAGREBU - MUZIČKA AKADEMIJA (1999)</t>
  </si>
  <si>
    <t>TRG REPUBLIKE HRVATSKE 12</t>
  </si>
  <si>
    <t>18422925218</t>
  </si>
  <si>
    <t>SVEUČILIŠTE U ZAGREBU - PRAVNI FAKULTET</t>
  </si>
  <si>
    <t>SVEUČILIŠTE U ZAGREBU - PRAVNI FAKULTET (1915)</t>
  </si>
  <si>
    <t>38583303160</t>
  </si>
  <si>
    <t>SVEUČILIŠTE U ZAGREBU - PREHRAMBENO BIOTEHNOLOŠKI FAKULTET</t>
  </si>
  <si>
    <t>SVEUČILIŠTE U ZAGREBU - PREHRAMBENO BIOTEHNOLOŠKI FAKULTET (1845)</t>
  </si>
  <si>
    <t>PIEROTTIJEVA 6</t>
  </si>
  <si>
    <t>47824453867</t>
  </si>
  <si>
    <t>SVEUČILIŠTE U ZAGREBU - PRIRODOSLOVNO-MATEMATIČKI FAKULTET</t>
  </si>
  <si>
    <t>SVEUČILIŠTE U ZAGREBU - PRIRODOSLOVNO-MATEMATIČKI FAKULTET (1781)</t>
  </si>
  <si>
    <t>HORVATOVAC 102A</t>
  </si>
  <si>
    <t>28163265527</t>
  </si>
  <si>
    <t>SVEUČILIŠTE U ZAGREBU - RUDARSKO-GEOLOŠKO-NAFTNI FAKULTET</t>
  </si>
  <si>
    <t>SVEUČILIŠTE U ZAGREBU - RUDARSKO-GEOLOŠKO-NAFTNI FAKULTET (2047)</t>
  </si>
  <si>
    <t>99534693762</t>
  </si>
  <si>
    <t>SVEUČILIŠTE U ZAGREBU - STOMATOLOŠKI FAKULTET</t>
  </si>
  <si>
    <t>SVEUČILIŠTE U ZAGREBU - STOMATOLOŠKI FAKULTET (1870)</t>
  </si>
  <si>
    <t>GUNDULIĆEVA 5</t>
  </si>
  <si>
    <t>70221464726</t>
  </si>
  <si>
    <t>SVEUČILIŠTE U ZAGREBU - FAKULTET ŠUMARSTVA I DRVNE TEHNOLOGIJE</t>
  </si>
  <si>
    <t>SVEUČILIŠTE U ZAGREBU - FAKULTET ŠUMARSTVA I DRVNE TEHNOLOGIJE (1896)</t>
  </si>
  <si>
    <t>07699719217</t>
  </si>
  <si>
    <t>SVEUČILIŠTE U ZAGREBU - TEKSTILNO TEHNOLOŠKI FAKULTET</t>
  </si>
  <si>
    <t>SVEUČILIŠTE U ZAGREBU - TEKSTILNO TEHNOLOŠKI FAKULTET (1804)</t>
  </si>
  <si>
    <t>PRILAZ BARUNA FILIPOVIĆA 28A</t>
  </si>
  <si>
    <t>43097527965</t>
  </si>
  <si>
    <t>SVEUČILIŠTE U ZAGREBU - UČITELJSKI FAKULTET</t>
  </si>
  <si>
    <t>SVEUČILIŠTE U ZAGREBU - UČITELJSKI FAKULTET (1940)</t>
  </si>
  <si>
    <t>SAVSKA CESTA 77</t>
  </si>
  <si>
    <t>72226488129</t>
  </si>
  <si>
    <t>SVEUČILIŠTE U ZAGREBU - VETERINARSKI FAKULTET</t>
  </si>
  <si>
    <t>SVEUČILIŠTE U ZAGREBU - VETERINARSKI FAKULTET (2022)</t>
  </si>
  <si>
    <t>HEINZELOVA 55</t>
  </si>
  <si>
    <t>36389528408</t>
  </si>
  <si>
    <t>TEHNIČKO VELEUČILIŠTE U ZAGREBU</t>
  </si>
  <si>
    <t>TEHNIČKO VELEUČILIŠTE U ZAGREBU (22427)</t>
  </si>
  <si>
    <t>VRBIK 8</t>
  </si>
  <si>
    <t>08814003451</t>
  </si>
  <si>
    <t>VELEUČILIŠTE HRVATSKO ZAGORJE KRAPINA</t>
  </si>
  <si>
    <t>VELEUČILIŠTE HRVATSKO ZAGORJE KRAPINA (50848)</t>
  </si>
  <si>
    <t>ŠETALIŠTE HRVATSKOG NARODNOG PREPORODA 6</t>
  </si>
  <si>
    <t>49000 KRAPINA</t>
  </si>
  <si>
    <t>16465214888</t>
  </si>
  <si>
    <t>VELEUČILIŠTE LAVOSLAV RUŽIČKA U VUKOVARU</t>
  </si>
  <si>
    <t>VELEUČILIŠTE LAVOSLAV RUŽIČKA U VUKOVARU (38446)</t>
  </si>
  <si>
    <t>ŽUPANIJSKA 50</t>
  </si>
  <si>
    <t>21720825730</t>
  </si>
  <si>
    <t>VELEUČILIŠTE MARKO MARULIĆ U KNINU</t>
  </si>
  <si>
    <t>VELEUČILIŠTE MARKO MARULIĆ U KNINU (38438)</t>
  </si>
  <si>
    <t xml:space="preserve">KRALJA PETRA KREŠIMIRA IV. 30 </t>
  </si>
  <si>
    <t>22300 KNIN</t>
  </si>
  <si>
    <t>13664089430</t>
  </si>
  <si>
    <t>VELEUČILIŠTE NIKOLA TESLA U GOSPIĆU</t>
  </si>
  <si>
    <t>VELEUČILIŠTE NIKOLA TESLA U GOSPIĆU (41185)</t>
  </si>
  <si>
    <t>ULICA BANA IVANA KARLOVIĆA 16</t>
  </si>
  <si>
    <t>42552392522</t>
  </si>
  <si>
    <t>VELEUČILIŠTE U KARLOVCU</t>
  </si>
  <si>
    <t>VELEUČILIŠTE U KARLOVCU (21053)</t>
  </si>
  <si>
    <t>TRG J. J. STROSSMAYERA 9</t>
  </si>
  <si>
    <t>62820859976</t>
  </si>
  <si>
    <t>VELEUČILIŠTE U POŽEGI</t>
  </si>
  <si>
    <t>VELEUČILIŠTE U POŽEGI (22398)</t>
  </si>
  <si>
    <t>VUKOVARSKA 17</t>
  </si>
  <si>
    <t>34000 POŽEGA</t>
  </si>
  <si>
    <t>14821098391</t>
  </si>
  <si>
    <t>VELEUČILIŠTE U RIJECI</t>
  </si>
  <si>
    <t>VELEUČILIŠTE U RIJECI (22494)</t>
  </si>
  <si>
    <t>TRPIMIROVA 2/V</t>
  </si>
  <si>
    <t>29573709870</t>
  </si>
  <si>
    <t>VELEUČILIŠTE U ŠIBENIKU</t>
  </si>
  <si>
    <t>VELEUČILIŠTE U ŠIBENIKU (22824)</t>
  </si>
  <si>
    <t>TRG ANDRIJE HEBRANGA 11</t>
  </si>
  <si>
    <t>61727512157</t>
  </si>
  <si>
    <t>VELEUČILIŠTE U VIROVITICI</t>
  </si>
  <si>
    <t>VELEUČILIŠTE U VIROVITICI (42993)</t>
  </si>
  <si>
    <t>ULICA MATIJE GUPCA 78</t>
  </si>
  <si>
    <t>46576407858</t>
  </si>
  <si>
    <t>VISOKO GOSPODARSKO UČILIŠTE U KRIŽEVCIMA</t>
  </si>
  <si>
    <t>VISOKO GOSPODARSKO UČILIŠTE U KRIŽEVCIMA (22371)</t>
  </si>
  <si>
    <t>MILISLAVA DEMERCA 1</t>
  </si>
  <si>
    <t>48260 KRIŽEVCI</t>
  </si>
  <si>
    <t>75480885018</t>
  </si>
  <si>
    <t>ZDRAVSTVENO VELEUČILIŠTE</t>
  </si>
  <si>
    <t>ZDRAVSTVENO VELEUČILIŠTE (22832)</t>
  </si>
  <si>
    <t>MLINARSKA CESTA 38</t>
  </si>
  <si>
    <t>50952646228</t>
  </si>
  <si>
    <t>EKONOMSKI INSTITUT, ZAGREB</t>
  </si>
  <si>
    <t>EKONOMSKI INSTITUT, ZAGREB (2918)</t>
  </si>
  <si>
    <t>TRG J. F. KENNEDY-A 7</t>
  </si>
  <si>
    <t>70925432731</t>
  </si>
  <si>
    <t xml:space="preserve">HRVATSKI GEOLOŠKI INSTITUT </t>
  </si>
  <si>
    <t>HRVATSKI GEOLOŠKI INSTITUT  (22525)</t>
  </si>
  <si>
    <t>SACHSOVA 2</t>
  </si>
  <si>
    <t>43733878539</t>
  </si>
  <si>
    <t>HRVATSKI INSTITUT ZA POVIJEST</t>
  </si>
  <si>
    <t>HRVATSKI INSTITUT ZA POVIJEST (2934)</t>
  </si>
  <si>
    <t>OPATIČKA 10</t>
  </si>
  <si>
    <t>23296176633</t>
  </si>
  <si>
    <t>HRVATSKI ŠUMARSKI INSTITUT</t>
  </si>
  <si>
    <t>HRVATSKI ŠUMARSKI INSTITUT (2967)</t>
  </si>
  <si>
    <t>CVJETNO NASELJE 41</t>
  </si>
  <si>
    <t>10450 JASTREBARSKO</t>
  </si>
  <si>
    <t>13579392023</t>
  </si>
  <si>
    <t>HRVATSKI VETERINARSKI INSTITUT</t>
  </si>
  <si>
    <t>HRVATSKI VETERINARSKI INSTITUT (2983)</t>
  </si>
  <si>
    <t>SAVSKA CESTA 143</t>
  </si>
  <si>
    <t>29059177553</t>
  </si>
  <si>
    <t>INSTITUT DRUŠTVENIH ZNANOSTI IVO PILAR</t>
  </si>
  <si>
    <t>INSTITUT DRUŠTVENIH ZNANOSTI IVO PILAR (3105)</t>
  </si>
  <si>
    <t>MARULIĆEV TRG 19/I</t>
  </si>
  <si>
    <t>32840574937</t>
  </si>
  <si>
    <t>INSTITUT RUĐER BOŠKOVIĆ</t>
  </si>
  <si>
    <t>INSTITUT RUĐER BOŠKOVIĆ (3041)</t>
  </si>
  <si>
    <t>BIJENIČKA CESTA 46</t>
  </si>
  <si>
    <t>69715301002</t>
  </si>
  <si>
    <t>INSTITUT ZA ANTROPOLOGIJU</t>
  </si>
  <si>
    <t>INSTITUT ZA ANTROPOLOGIJU (3113)</t>
  </si>
  <si>
    <t>LJUDEVITA GAJA 32</t>
  </si>
  <si>
    <t>93710699926</t>
  </si>
  <si>
    <t>INSTITUT ZA ARHEOLOGIJU</t>
  </si>
  <si>
    <t>INSTITUT ZA ARHEOLOGIJU (3121)</t>
  </si>
  <si>
    <t>59796264563</t>
  </si>
  <si>
    <t>INSTITUT ZA DRUŠTVENA ISTRAŽIVANJA U ZAGREBU</t>
  </si>
  <si>
    <t>INSTITUT ZA DRUŠTVENA ISTRAŽIVANJA U ZAGREBU (3050)</t>
  </si>
  <si>
    <t>AMRUŠEVA 11</t>
  </si>
  <si>
    <t>11986338639</t>
  </si>
  <si>
    <t>INSTITUT ZA ETNOLOGIJU I FOLKLORISTIKU</t>
  </si>
  <si>
    <t>INSTITUT ZA ETNOLOGIJU I FOLKLORISTIKU (3084)</t>
  </si>
  <si>
    <t>ŠUBIĆEVA 42</t>
  </si>
  <si>
    <t>37781872772</t>
  </si>
  <si>
    <t>INSTITUT ZA FILOZOFIJU</t>
  </si>
  <si>
    <t>INSTITUT ZA FILOZOFIJU (3092)</t>
  </si>
  <si>
    <t>UL. GRADA VUKOVARA 54</t>
  </si>
  <si>
    <t>43667021597</t>
  </si>
  <si>
    <t>INSTITUT ZA FIZIKU</t>
  </si>
  <si>
    <t>INSTITUT ZA FIZIKU (2975)</t>
  </si>
  <si>
    <t>77627408491</t>
  </si>
  <si>
    <t>INSTITUT ZA HRVATSKI JEZIK I JEZIKOSLOVLJE</t>
  </si>
  <si>
    <t>INSTITUT ZA HRVATSKI JEZIK I JEZIKOSLOVLJE (21061)</t>
  </si>
  <si>
    <t>REPUBLIKE AUSTRIJE 16</t>
  </si>
  <si>
    <t>12268324202</t>
  </si>
  <si>
    <t>INSTITUT ZA JADRANSKE KULTURE I MELIORACIJU KRŠA</t>
  </si>
  <si>
    <t>INSTITUT ZA JADRANSKE KULTURE I MELIORACIJU KRŠA (3025)</t>
  </si>
  <si>
    <t>PUT DUILOVA 11</t>
  </si>
  <si>
    <t>90884993104</t>
  </si>
  <si>
    <t>INSTITUT ZA JAVNE FINANCIJE</t>
  </si>
  <si>
    <t>INSTITUT ZA JAVNE FINANCIJE (23286)</t>
  </si>
  <si>
    <t>SMIČIKLASOVA 21</t>
  </si>
  <si>
    <t>41683226810</t>
  </si>
  <si>
    <t>INSTITUT ZA MEDICINSKA ISTRAŽIVANJA I MEDICINU RADA</t>
  </si>
  <si>
    <t>INSTITUT ZA MEDICINSKA ISTRAŽIVANJA I MEDICINU RADA (2959)</t>
  </si>
  <si>
    <t>KSAVERSKA CESTA 2</t>
  </si>
  <si>
    <t>30285469659</t>
  </si>
  <si>
    <t>INSTITUT ZA MIGRACIJE I NARODNOSTI</t>
  </si>
  <si>
    <t>INSTITUT ZA MIGRACIJE I NARODNOSTI (3009)</t>
  </si>
  <si>
    <t>80265403319</t>
  </si>
  <si>
    <t>INSTITUT ZA OCEANOGRAFIJU I RIBARSTVO</t>
  </si>
  <si>
    <t>INSTITUT ZA OCEANOGRAFIJU I RIBARSTVO (2900)</t>
  </si>
  <si>
    <t>ŠETALIŠTE IVANA MEŠTROVIĆA 63</t>
  </si>
  <si>
    <t>86235185568</t>
  </si>
  <si>
    <t>INSTITUT ZA POLJOPRIVREDU I TURIZAM</t>
  </si>
  <si>
    <t>INSTITUT ZA POLJOPRIVREDU I TURIZAM (3076)</t>
  </si>
  <si>
    <t>CARLA HUGUESA 8</t>
  </si>
  <si>
    <t>52440 POREČ</t>
  </si>
  <si>
    <t>03850982961</t>
  </si>
  <si>
    <t>INSTITUT ZA POVIJEST UMJETNOSTI</t>
  </si>
  <si>
    <t>INSTITUT ZA POVIJEST UMJETNOSTI (2942)</t>
  </si>
  <si>
    <t>ULICA GRADA VUKOVARA 68</t>
  </si>
  <si>
    <t>59451980348</t>
  </si>
  <si>
    <t>INSTITUT ZA RAZVOJ I MEĐUNARODNE ODNOSE</t>
  </si>
  <si>
    <t>INSTITUT ZA RAZVOJ I MEĐUNARODNE ODNOSE (22621)</t>
  </si>
  <si>
    <t>LJ. F. VUKOTINOVIĆA 2</t>
  </si>
  <si>
    <t>31120185175</t>
  </si>
  <si>
    <t>INSTITUT ZA TURIZAM</t>
  </si>
  <si>
    <t>INSTITUT ZA TURIZAM (3068)</t>
  </si>
  <si>
    <t>VRHOVEC 5</t>
  </si>
  <si>
    <t>10264179101</t>
  </si>
  <si>
    <t>POLJOPRIVREDNI INSTITUT OSIJEK</t>
  </si>
  <si>
    <t>POLJOPRIVREDNI INSTITUT OSIJEK (2991)</t>
  </si>
  <si>
    <t>JUŽNO PREDGRAĐE 17</t>
  </si>
  <si>
    <t>03665720049</t>
  </si>
  <si>
    <t>STAROSLAVENSKI INSTITUT</t>
  </si>
  <si>
    <t>STAROSLAVENSKI INSTITUT (21070)</t>
  </si>
  <si>
    <t>DEMETROVA 11</t>
  </si>
  <si>
    <t>15291942541</t>
  </si>
  <si>
    <t>DRŽAVNI ZAVOD ZA INTELEKTUALNO VLASNIŠTVO</t>
  </si>
  <si>
    <t>DRŽAVNI ZAVOD ZA INTELEKTUALNO VLASNIŠTVO (6179)</t>
  </si>
  <si>
    <t>89755384389</t>
  </si>
  <si>
    <t>AGENCIJA ZA MOBILNOST I PROGRAME EUROPSKE UNIJE</t>
  </si>
  <si>
    <t>AGENCIJA ZA MOBILNOST I PROGRAME EUROPSKE UNIJE (43335)</t>
  </si>
  <si>
    <t>FRANKOPANSKA 26</t>
  </si>
  <si>
    <t>25385906011</t>
  </si>
  <si>
    <t>AGENCIJA ZA ODGOJ I OBRAZOVANJE</t>
  </si>
  <si>
    <t>AGENCIJA ZA ODGOJ I OBRAZOVANJE (23962)</t>
  </si>
  <si>
    <t>DONJE SVETICE 38/5</t>
  </si>
  <si>
    <t>72193628411</t>
  </si>
  <si>
    <t>AGENCIJA ZA STRUKOVNO OBRAZOVANJE I OBRAZOVANJE ODRASLIH</t>
  </si>
  <si>
    <t>AGENCIJA ZA STRUKOVNO OBRAZOVANJE I OBRAZOVANJE ODRASLIH (46173)</t>
  </si>
  <si>
    <t>GARIĆGRADSKA ULICA 18</t>
  </si>
  <si>
    <t>40719411729</t>
  </si>
  <si>
    <t>AGENCIJA ZA ZNANOST I VISOKO OBRAZOVANJE</t>
  </si>
  <si>
    <t>AGENCIJA ZA ZNANOST I VISOKO OBRAZOVANJE (38487)</t>
  </si>
  <si>
    <t>83358955356</t>
  </si>
  <si>
    <t>HRVATSKA AKADEMSKA I ISTRAŽIVAČKA MREŽA - CARNET</t>
  </si>
  <si>
    <t>HRVATSKA AKADEMSKA I ISTRAŽIVAČKA MREŽA - CARNET (21852)</t>
  </si>
  <si>
    <t>JOSIPA MAROHNIĆA 5</t>
  </si>
  <si>
    <t>58101996540</t>
  </si>
  <si>
    <t>HRVATSKA ZAKLADA ZA ZNANOST</t>
  </si>
  <si>
    <t>ILICA 24</t>
  </si>
  <si>
    <t>LEKSIKOGRAFSKI ZAVOD MIROSLAV KRLEŽA</t>
  </si>
  <si>
    <t>LEKSIKOGRAFSKI ZAVOD MIROSLAV KRLEŽA (21869)</t>
  </si>
  <si>
    <t>49894241709</t>
  </si>
  <si>
    <t>NACIONALNA I SVEUČILIŠNA KNJIŽNICA U ZAGREBU</t>
  </si>
  <si>
    <t>NACIONALNA I SVEUČILIŠNA KNJIŽNICA U ZAGREBU (21836)</t>
  </si>
  <si>
    <t>HRV. BRATSKE ZAJEDNICE 4</t>
  </si>
  <si>
    <t>84838770814</t>
  </si>
  <si>
    <t>NACIONALNI CENTAR ZA VANJSKO VREDNOVANJE OBRAZOVANJA</t>
  </si>
  <si>
    <t>NACIONALNI CENTAR ZA VANJSKO VREDNOVANJE OBRAZOVANJA (40883)</t>
  </si>
  <si>
    <t>ULICA D. TOMLJANOVIĆA GAVRANA 11</t>
  </si>
  <si>
    <t>10020 ZAGREB</t>
  </si>
  <si>
    <t>94833993984</t>
  </si>
  <si>
    <t>SVEUČILIŠTE U ZAGREBU - SVEUČILIŠNI RAČUNSKI CENTAR - SRCE</t>
  </si>
  <si>
    <t>SVEUČILIŠTE U ZAGREBU - SVEUČILIŠNI RAČUNSKI CENTAR - SRCE (23665)</t>
  </si>
  <si>
    <t>34016189309</t>
  </si>
  <si>
    <t>MINISTARSTVO RADA, MIROVINSKOG SUSTAVA, OBITELJI I SOCIJALNE POLITIKE</t>
  </si>
  <si>
    <t>MINISTARSTVO RADA, MIROVINSKOG SUSTAVA, OBITELJI I SOCIJALNE POLITIKE (47096)</t>
  </si>
  <si>
    <t>53969486500</t>
  </si>
  <si>
    <t>HRVATSKI ZAVOD ZA ZAPOŠLJAVANJE*</t>
  </si>
  <si>
    <t>HRVATSKI ZAVOD ZA ZAPOŠLJAVANJE* (25843)</t>
  </si>
  <si>
    <t>SAVSKA CESTA 64</t>
  </si>
  <si>
    <t>91547293790</t>
  </si>
  <si>
    <t>ZAVOD ZA VJEŠTAČENJE, PROFESIONALNU REHABILITACIJU I ZAPOŠLJAVANJE OSOBA S INVALIDITETOM</t>
  </si>
  <si>
    <t>ZAVOD ZA VJEŠTAČENJE, PROFESIONALNU REHABILITACIJU I ZAPOŠLJAVANJE OSOBA S INVALIDITETOM (48242)</t>
  </si>
  <si>
    <t>ANTUNA MIHANOVIĆA 3</t>
  </si>
  <si>
    <t>20502470829</t>
  </si>
  <si>
    <t>SREDIŠNJI REGISTAR OSIGURANIKA</t>
  </si>
  <si>
    <t>SREDIŠNJI REGISTAR OSIGURANIKA (24168)</t>
  </si>
  <si>
    <t>GAJEVA 5</t>
  </si>
  <si>
    <t>93161265507</t>
  </si>
  <si>
    <t>AGENCIJA ZA OSIGURANJE RADNIČKIH TRAŽBINA</t>
  </si>
  <si>
    <t>AGENCIJA ZA OSIGURANJE RADNIČKIH TRAŽBINA (44508)</t>
  </si>
  <si>
    <t>FRANKOPANSKA 11</t>
  </si>
  <si>
    <t>04323472109</t>
  </si>
  <si>
    <t>CENTAR ZA PROFESIONALNU REHABILITACIJU OSIJEK</t>
  </si>
  <si>
    <t>CENTAR ZA PROFESIONALNU REHABILITACIJU OSIJEK (33634)</t>
  </si>
  <si>
    <t>TADIJE SMIČIKLASA 2</t>
  </si>
  <si>
    <t>03021866</t>
  </si>
  <si>
    <t>CENTAR ZA PROFESIONALNU REHABILITACIJU RIJEKA</t>
  </si>
  <si>
    <t>CENTAR ZA PROFESIONALNU REHABILITACIJU RIJEKA (49059)</t>
  </si>
  <si>
    <t>WENZELOVA 3/A</t>
  </si>
  <si>
    <t>04453433</t>
  </si>
  <si>
    <t>CENTAR ZA PROFESIONALNU REHABILITACIJU SPLIT</t>
  </si>
  <si>
    <t>CENTAR ZA PROFESIONALNU REHABILITACIJU SPLIT (49729)</t>
  </si>
  <si>
    <t>RUĐERA BOŠKOVIĆEVA 30</t>
  </si>
  <si>
    <t>04451660</t>
  </si>
  <si>
    <t>CENTAR ZA PROFESIONALNU REHABILITACIJU ZAGREB</t>
  </si>
  <si>
    <t>CENTAR ZA PROFESIONALNU REHABILITACIJU ZAGREB (48865)</t>
  </si>
  <si>
    <t>ULICA REPUBLIKE AUSTRIJE 1</t>
  </si>
  <si>
    <t>04370503</t>
  </si>
  <si>
    <t>CENTAR RUDOLF STEINER DARUVAR</t>
  </si>
  <si>
    <t>CENTAR RUDOLF STEINER DARUVAR (7333)</t>
  </si>
  <si>
    <t>MASARYKOVA 85</t>
  </si>
  <si>
    <t>43500 DARUVAR</t>
  </si>
  <si>
    <t>26028963136</t>
  </si>
  <si>
    <t xml:space="preserve">CENTAR ZA ODGOJ I OBRAZOVANJE DUBRAVA </t>
  </si>
  <si>
    <t>CENTAR ZA ODGOJ I OBRAZOVANJE DUBRAVA  (7472)</t>
  </si>
  <si>
    <t>PR. TOMISLAVA ŠPOLJARA 20</t>
  </si>
  <si>
    <t>31982620821</t>
  </si>
  <si>
    <t>CENTAR ZA ODGOJ I OBRAZOVANJE JURAJ BONAČI</t>
  </si>
  <si>
    <t>CENTAR ZA ODGOJ I OBRAZOVANJE JURAJ BONAČI (7405)</t>
  </si>
  <si>
    <t>BRUNE BUŠIĆA 30</t>
  </si>
  <si>
    <t>00475993244</t>
  </si>
  <si>
    <t>CENTAR ZA ODGOJ I OBRAZOVANJE LUG</t>
  </si>
  <si>
    <t>CENTAR ZA ODGOJ I OBRAZOVANJE LUG (7456)</t>
  </si>
  <si>
    <t>BREGANA, KNEZA ZDESLAVA 2</t>
  </si>
  <si>
    <t>10432 SAMOBOR</t>
  </si>
  <si>
    <t>33776947373</t>
  </si>
  <si>
    <t xml:space="preserve">CENTAR ZA ODGOJ I OBRAZOVANJE SLAVA RAŠKAJ SPLIT </t>
  </si>
  <si>
    <t>CENTAR ZA ODGOJ I OBRAZOVANJE SLAVA RAŠKAJ SPLIT  (7392)</t>
  </si>
  <si>
    <t>RADNIČKA 2</t>
  </si>
  <si>
    <t>22392556339</t>
  </si>
  <si>
    <t>CENTAR ZA ODGOJ I OBRAZOVANJE SLAVA RAŠKAJ ZAGREB</t>
  </si>
  <si>
    <t>CENTAR ZA ODGOJ I OBRAZOVANJE SLAVA RAŠKAJ ZAGREB (7489)</t>
  </si>
  <si>
    <t>NAZOROVA 47</t>
  </si>
  <si>
    <t>16745501648</t>
  </si>
  <si>
    <t>CENTAR ZA ODGOJ I OBRAZOVANJE ŠUBIĆEVAC</t>
  </si>
  <si>
    <t>CENTAR ZA ODGOJ I OBRAZOVANJE ŠUBIĆEVAC (7421)</t>
  </si>
  <si>
    <t>BANA JOSIPA JELAČIĆA 4</t>
  </si>
  <si>
    <t>34291257605</t>
  </si>
  <si>
    <t>CENTAR ZA ODGOJ I OBRAZOVANJE TUŠKANAC</t>
  </si>
  <si>
    <t>CENTAR ZA ODGOJ I OBRAZOVANJE TUŠKANAC (7528)</t>
  </si>
  <si>
    <t>TUŠKANAC 15</t>
  </si>
  <si>
    <t>34634200382</t>
  </si>
  <si>
    <t xml:space="preserve">CENTAR ZA ODGOJ I OBRAZOVANJE VELIKA GORICA </t>
  </si>
  <si>
    <t>CENTAR ZA ODGOJ I OBRAZOVANJE VELIKA GORICA  (7501)</t>
  </si>
  <si>
    <t>ZAGREBAČKA 90</t>
  </si>
  <si>
    <t>28129388615</t>
  </si>
  <si>
    <t>CENTAR ZA ODGOJ I OBRAZOVANJE VINKO BEK</t>
  </si>
  <si>
    <t>CENTAR ZA ODGOJ I OBRAZOVANJE VINKO BEK (7497)</t>
  </si>
  <si>
    <t>KUŠLANOVA 59A</t>
  </si>
  <si>
    <t>16898882733</t>
  </si>
  <si>
    <t>CENTAR ZA ODGOJ I OBRAZOVANJE ZAJEZDA</t>
  </si>
  <si>
    <t>CENTAR ZA ODGOJ I OBRAZOVANJE ZAJEZDA (7536)</t>
  </si>
  <si>
    <t>ZAJEZDA 31</t>
  </si>
  <si>
    <t>49284 BUDINŠĆINA</t>
  </si>
  <si>
    <t>03599152506</t>
  </si>
  <si>
    <t>CENTAR ZA POSEBNO SKRBNIŠTVO</t>
  </si>
  <si>
    <t>CENTAR ZA POSEBNO SKRBNIŠTVO (48402)</t>
  </si>
  <si>
    <t>SAVSKA 41/VI</t>
  </si>
  <si>
    <t>15916354928</t>
  </si>
  <si>
    <t>CENTAR ZA PRUŽANJE USLUGA U ZAJEDNICI IZVOR, SELCE</t>
  </si>
  <si>
    <t>CENTAR ZA PRUŽANJE USLUGA U ZAJEDNICI IZVOR, SELCE (7163)</t>
  </si>
  <si>
    <t>EMILA ANTIĆA 20</t>
  </si>
  <si>
    <t>51266 CRIKVENICA</t>
  </si>
  <si>
    <t>75733262824</t>
  </si>
  <si>
    <t>CENTAR ZA PRUŽANJE USLUGA U ZAJEDNICI KLASJE OSIJEK</t>
  </si>
  <si>
    <t>CENTAR ZA PRUŽANJE USLUGA U ZAJEDNICI KLASJE OSIJEK (7147)</t>
  </si>
  <si>
    <t>RUŽINA 32</t>
  </si>
  <si>
    <t>13771936999</t>
  </si>
  <si>
    <t>CENTAR ZA PRUŽANJE USLUGA U ZAJEDNICI KUĆA SRETNIH CIGLICA, SLAVONSKI BROD</t>
  </si>
  <si>
    <t>CENTAR ZA PRUŽANJE USLUGA U ZAJEDNICI KUĆA SRETNIH CIGLICA, SLAVONSKI BROD (7180)</t>
  </si>
  <si>
    <t>STANKA VRAZA 109A</t>
  </si>
  <si>
    <t>81369633612</t>
  </si>
  <si>
    <t>CENTAR ZA PRUŽANJE USLUGA U ZAJEDNICI LIPIK</t>
  </si>
  <si>
    <t>CENTAR ZA PRUŽANJE USLUGA U ZAJEDNICI LIPIK (7114)</t>
  </si>
  <si>
    <t>TRG DR. FRANJE TUĐMANA 1</t>
  </si>
  <si>
    <t>34551 LIPIK</t>
  </si>
  <si>
    <t>57285376027</t>
  </si>
  <si>
    <t>CENTAR ZA PRUŽANJE USLUGA U ZAJEDNICI MOCIRE</t>
  </si>
  <si>
    <t>CENTAR ZA PRUŽANJE USLUGA U ZAJEDNICI MOCIRE (52305)</t>
  </si>
  <si>
    <t>ASJE PETRIČIĆ 5</t>
  </si>
  <si>
    <t>01092203507</t>
  </si>
  <si>
    <t>CENTAR ZA PRUŽANJE USLUGA U ZAJEDNICI OSIJEK - JA KAO I TI</t>
  </si>
  <si>
    <t>CENTAR ZA PRUŽANJE USLUGA U ZAJEDNICI OSIJEK - JA KAO I TI (7761)</t>
  </si>
  <si>
    <t>MARTINA DIVALTA 2</t>
  </si>
  <si>
    <t>81122081473</t>
  </si>
  <si>
    <t>CENTAR ZA PRUŽANJE USLUGA U ZAJEDNICI OZALJ</t>
  </si>
  <si>
    <t>CENTAR ZA PRUŽANJE USLUGA U ZAJEDNICI OZALJ (7350)</t>
  </si>
  <si>
    <t>JAŠKOVO 50</t>
  </si>
  <si>
    <t>47281 MALI ERJAVEC</t>
  </si>
  <si>
    <t>87620790803</t>
  </si>
  <si>
    <t>CENTAR ZA PRUŽANJE USLUGA U ZAJEDNICI SPLIT</t>
  </si>
  <si>
    <t>CENTAR ZA PRUŽANJE USLUGA U ZAJEDNICI SPLIT (7309)</t>
  </si>
  <si>
    <t>HERCEGOVAČKA 65</t>
  </si>
  <si>
    <t>55330565464</t>
  </si>
  <si>
    <t>CENTAR ZA PRUŽANJE USLUGA U ZAJEDNICI SVITANJE</t>
  </si>
  <si>
    <t>CENTAR ZA PRUŽANJE USLUGA U ZAJEDNICI SVITANJE (7106)</t>
  </si>
  <si>
    <t>TRG TOMISLAVA DR. BARDEKA 10/10</t>
  </si>
  <si>
    <t>75430947376</t>
  </si>
  <si>
    <t>CENTAR ZA PRUŽANJE USLUGA U ZAJEDNICI VLADIMIR NAZOR</t>
  </si>
  <si>
    <t>CENTAR ZA PRUŽANJE USLUGA U ZAJEDNICI VLADIMIR NAZOR (7091)</t>
  </si>
  <si>
    <t>VLADIMIRA NAZORA 10</t>
  </si>
  <si>
    <t>85866981630</t>
  </si>
  <si>
    <t>CENTAR ZA REHABILITACIJU FRA ANTE SEKELEZ</t>
  </si>
  <si>
    <t>CENTAR ZA REHABILITACIJU FRA ANTE SEKELEZ (21801)</t>
  </si>
  <si>
    <t>30. SVIBNJA 16</t>
  </si>
  <si>
    <t>21236 VRLIKA</t>
  </si>
  <si>
    <t>51139896464</t>
  </si>
  <si>
    <t>CENTAR ZA REHABILITACIJU JOSIPOVAC</t>
  </si>
  <si>
    <t>CENTAR ZA REHABILITACIJU JOSIPOVAC (21797)</t>
  </si>
  <si>
    <t>NA RIJECI 13A</t>
  </si>
  <si>
    <t>20207 MLINI</t>
  </si>
  <si>
    <t>62252145399</t>
  </si>
  <si>
    <t>CENTAR ZA REHABILITACIJU KOMAREVO</t>
  </si>
  <si>
    <t>CENTAR ZA REHABILITACIJU KOMAREVO (45986)</t>
  </si>
  <si>
    <t>GORNJE KOMAREVO - CESTA 52/A</t>
  </si>
  <si>
    <t>44010 GORNJE KOMAREVO</t>
  </si>
  <si>
    <t>07830685349</t>
  </si>
  <si>
    <t>CENTAR ZA REHABILITACIJU MALA TEREZIJA</t>
  </si>
  <si>
    <t>CENTAR ZA REHABILITACIJU MALA TEREZIJA (26555)</t>
  </si>
  <si>
    <t>VLADIMIRA GORTANA16</t>
  </si>
  <si>
    <t>32000 VINKOVCI</t>
  </si>
  <si>
    <t>54117433109</t>
  </si>
  <si>
    <t>CENTAR ZA REHABILITACIJU MIR</t>
  </si>
  <si>
    <t>CENTAR ZA REHABILITACIJU MIR (21810)</t>
  </si>
  <si>
    <t>PUT MIRA 16</t>
  </si>
  <si>
    <t>21217 KAŠTELA</t>
  </si>
  <si>
    <t>20663023892</t>
  </si>
  <si>
    <t xml:space="preserve">CENTAR ZA REHABILITACIJU PULA </t>
  </si>
  <si>
    <t>CENTAR ZA REHABILITACIJU PULA  (7430)</t>
  </si>
  <si>
    <t>SANTOROVA 11</t>
  </si>
  <si>
    <t>97096220014</t>
  </si>
  <si>
    <t>CENTAR ZA REHABILITACIJU RIJEKA</t>
  </si>
  <si>
    <t>CENTAR ZA REHABILITACIJU RIJEKA (7384)</t>
  </si>
  <si>
    <t>KOZALA 77/ B</t>
  </si>
  <si>
    <t>53418402939</t>
  </si>
  <si>
    <t>CENTAR ZA REHABILITACIJU SAMARITANAC SPLIT</t>
  </si>
  <si>
    <t>CENTAR ZA REHABILITACIJU SAMARITANAC SPLIT (21789)</t>
  </si>
  <si>
    <t>ĆIRIL METODOVA 14A</t>
  </si>
  <si>
    <t>60945415147</t>
  </si>
  <si>
    <t>CENTAR ZA REHABILITACIJU STANČIĆ</t>
  </si>
  <si>
    <t>CENTAR ZA REHABILITACIJU STANČIĆ (7413)</t>
  </si>
  <si>
    <t>ZAGREBAČKA 23</t>
  </si>
  <si>
    <t>10370 BRCKOVLJANI</t>
  </si>
  <si>
    <t>82103973646</t>
  </si>
  <si>
    <t>CENTAR ZA REHABILITACIJU SVETI FILIP I JAKOV</t>
  </si>
  <si>
    <t>CENTAR ZA REHABILITACIJU SVETI FILIP I JAKOV (7341)</t>
  </si>
  <si>
    <t>PUT PRIMORJA 56</t>
  </si>
  <si>
    <t>23207 SV. FILIP I JAKOV</t>
  </si>
  <si>
    <t>84459154077</t>
  </si>
  <si>
    <t>CENTAR ZA REHABILITACIJU ZAGREB</t>
  </si>
  <si>
    <t>CENTAR ZA REHABILITACIJU ZAGREB (7464)</t>
  </si>
  <si>
    <t>ORLOVAC 2</t>
  </si>
  <si>
    <t>32686631843</t>
  </si>
  <si>
    <t>CENTAR ZA SOCIJALNU SKRB BELI MANASTIR</t>
  </si>
  <si>
    <t>CENTAR ZA SOCIJALNU SKRB BELI MANASTIR (6187)</t>
  </si>
  <si>
    <t>KRALJA TOMISLAVA 37</t>
  </si>
  <si>
    <t>31300 BELI MANASTIR</t>
  </si>
  <si>
    <t>07622109596</t>
  </si>
  <si>
    <t>CENTAR ZA SOCIJALNU SKRB BENKOVAC</t>
  </si>
  <si>
    <t>CENTAR ZA SOCIJALNU SKRB BENKOVAC (6195)</t>
  </si>
  <si>
    <t>TINA UJEVIĆA 7</t>
  </si>
  <si>
    <t>23420 BENKOVAC</t>
  </si>
  <si>
    <t>39615246060</t>
  </si>
  <si>
    <t xml:space="preserve">CENTAR ZA SOCIJALNU SKRB BIOGRAD NA MORU </t>
  </si>
  <si>
    <t>CENTAR ZA SOCIJALNU SKRB BIOGRAD NA MORU  (6200)</t>
  </si>
  <si>
    <t>LOŠINJSKA 2A</t>
  </si>
  <si>
    <t>23210 BIOGRAD NA MORU</t>
  </si>
  <si>
    <t>30600666025</t>
  </si>
  <si>
    <t>CENTAR ZA SOCIJALNU SKRB BJELOVAR</t>
  </si>
  <si>
    <t>CENTAR ZA SOCIJALNU SKRB BJELOVAR (6218)</t>
  </si>
  <si>
    <t>JOSIPA JURJA STROSSMAYERA 2</t>
  </si>
  <si>
    <t>74571480923</t>
  </si>
  <si>
    <t>CENTAR ZA SOCIJALNU SKRB BRAČ - SUPETAR</t>
  </si>
  <si>
    <t>CENTAR ZA SOCIJALNU SKRB BRAČ - SUPETAR (6226)</t>
  </si>
  <si>
    <t>MLADENA VODANOVIĆA 18</t>
  </si>
  <si>
    <t>21400 SUPETAR</t>
  </si>
  <si>
    <t>08337817529</t>
  </si>
  <si>
    <t>CENTAR ZA SOCIJALNU SKRB BUJE, CENTRO DI ASSISTENZA SOCIALE DI BUIE</t>
  </si>
  <si>
    <t>CENTAR ZA SOCIJALNU SKRB BUJE, CENTRO DI ASSISTENZA SOCIALE DI BUIE (6234)</t>
  </si>
  <si>
    <t>RUDINE 1</t>
  </si>
  <si>
    <t>52460 BUJE</t>
  </si>
  <si>
    <t>87917355080</t>
  </si>
  <si>
    <t>CENTAR ZA SOCIJALNU SKRB CRES-LOŠINJ</t>
  </si>
  <si>
    <t>CENTAR ZA SOCIJALNU SKRB CRES-LOŠINJ (6541)</t>
  </si>
  <si>
    <t>BRAĆE VIDULIĆA 8</t>
  </si>
  <si>
    <t>51550 MALI LOŠINJ</t>
  </si>
  <si>
    <t>42190505366</t>
  </si>
  <si>
    <t>CENTAR ZA SOCIJALNU SKRB CRIKVENICA</t>
  </si>
  <si>
    <t>CENTAR ZA SOCIJALNU SKRB CRIKVENICA (6242)</t>
  </si>
  <si>
    <t>GORICA BRAĆE CVETIĆ 2</t>
  </si>
  <si>
    <t>51260 CRIKVENICA</t>
  </si>
  <si>
    <t>73096118098</t>
  </si>
  <si>
    <t xml:space="preserve">CENTAR ZA SOCIJALNU SKRB ČAKOVEC </t>
  </si>
  <si>
    <t>CENTAR ZA SOCIJALNU SKRB ČAKOVEC  (6259)</t>
  </si>
  <si>
    <t>JAKOVA GOTOVCA 9</t>
  </si>
  <si>
    <t>86846610976</t>
  </si>
  <si>
    <t xml:space="preserve">CENTAR ZA SOCIJALNU SKRB ČAZMA </t>
  </si>
  <si>
    <t>CENTAR ZA SOCIJALNU SKRB ČAZMA  (6267)</t>
  </si>
  <si>
    <t>TRG ČAZMANSKOG KAPTOLA 6</t>
  </si>
  <si>
    <t>43240 ČAZMA</t>
  </si>
  <si>
    <t>34497154725</t>
  </si>
  <si>
    <t xml:space="preserve">CENTAR ZA SOCIJALNU SKRB DARUVAR </t>
  </si>
  <si>
    <t>CENTAR ZA SOCIJALNU SKRB DARUVAR  (6275)</t>
  </si>
  <si>
    <t>NIKOLE TESLE 1/A</t>
  </si>
  <si>
    <t>17273800882</t>
  </si>
  <si>
    <t xml:space="preserve">CENTAR ZA SOCIJALNU SKRB DONJA STUBICA </t>
  </si>
  <si>
    <t>CENTAR ZA SOCIJALNU SKRB DONJA STUBICA  (6291)</t>
  </si>
  <si>
    <t>STAROGRADSKA 3</t>
  </si>
  <si>
    <t>49240 DONJA STUBICA</t>
  </si>
  <si>
    <t>37661305531</t>
  </si>
  <si>
    <t>CENTAR ZA SOCIJALNU SKRB DONJI MIHOLJAC</t>
  </si>
  <si>
    <t>CENTAR ZA SOCIJALNU SKRB DONJI MIHOLJAC (6306)</t>
  </si>
  <si>
    <t>VUKOVARSKA 7</t>
  </si>
  <si>
    <t>31540 DONJI MIHOLJAC</t>
  </si>
  <si>
    <t>46631238611</t>
  </si>
  <si>
    <t>CENTAR ZA SOCIJALNU SKRB DRNIŠ</t>
  </si>
  <si>
    <t>CENTAR ZA SOCIJALNU SKRB DRNIŠ (21692)</t>
  </si>
  <si>
    <t xml:space="preserve">KARDINALA ALOJZIJA STEPINCA </t>
  </si>
  <si>
    <t>22320 DRNIŠ</t>
  </si>
  <si>
    <t>48232698465</t>
  </si>
  <si>
    <t>CENTAR ZA SOCIJALNU SKRB DUBROVNIK</t>
  </si>
  <si>
    <t>CENTAR ZA SOCIJALNU SKRB DUBROVNIK (6314)</t>
  </si>
  <si>
    <t>MIHA PRACATA 1</t>
  </si>
  <si>
    <t>53180008172</t>
  </si>
  <si>
    <t>CENTAR ZA SOCIJALNU SKRB DUGA RESA</t>
  </si>
  <si>
    <t>CENTAR ZA SOCIJALNU SKRB DUGA RESA (6322)</t>
  </si>
  <si>
    <t>ULICA 137 BRIGADE 3</t>
  </si>
  <si>
    <t>47250 DUGA RESA</t>
  </si>
  <si>
    <t>65202060373</t>
  </si>
  <si>
    <t>CENTAR ZA SOCIJALNU SKRB DUGO SELO</t>
  </si>
  <si>
    <t>CENTAR ZA SOCIJALNU SKRB DUGO SELO (6339)</t>
  </si>
  <si>
    <t>JOSIPA ZORIĆA 3</t>
  </si>
  <si>
    <t>10370 DUGO SELO</t>
  </si>
  <si>
    <t>91370338596</t>
  </si>
  <si>
    <t>CENTAR ZA SOCIJALNU SKRB ĐAKOVO</t>
  </si>
  <si>
    <t>CENTAR ZA SOCIJALNU SKRB ĐAKOVO (6347)</t>
  </si>
  <si>
    <t>PETRA PRERADOVIĆA 2A</t>
  </si>
  <si>
    <t>02662173046</t>
  </si>
  <si>
    <t>CENTAR ZA SOCIJALNU SKRB ĐURĐEVAC</t>
  </si>
  <si>
    <t>CENTAR ZA SOCIJALNU SKRB ĐURĐEVAC (6355)</t>
  </si>
  <si>
    <t>GAJEVA 6</t>
  </si>
  <si>
    <t>48350 ĐURĐEVAC</t>
  </si>
  <si>
    <t>46724675241</t>
  </si>
  <si>
    <t xml:space="preserve">CENTAR ZA SOCIJALNU SKRB GAREŠNICA </t>
  </si>
  <si>
    <t>CENTAR ZA SOCIJALNU SKRB GAREŠNICA  (6363)</t>
  </si>
  <si>
    <t>VLADIMIRA NAZORA 13</t>
  </si>
  <si>
    <t>43280 GAREŠNICA</t>
  </si>
  <si>
    <t>97204528596</t>
  </si>
  <si>
    <t>CENTAR ZA SOCIJALNU SKRB GLINA</t>
  </si>
  <si>
    <t>CENTAR ZA SOCIJALNU SKRB GLINA (21713)</t>
  </si>
  <si>
    <t>TRG DR. FRANJE TUĐMANA 24</t>
  </si>
  <si>
    <t>44400 GLINA</t>
  </si>
  <si>
    <t>92730834243</t>
  </si>
  <si>
    <t>CENTAR ZA SOCIJALNU SKRB GOSPIĆ</t>
  </si>
  <si>
    <t>CENTAR ZA SOCIJALNU SKRB GOSPIĆ (6371)</t>
  </si>
  <si>
    <t>VILE VELEBITA 6</t>
  </si>
  <si>
    <t>84303052937</t>
  </si>
  <si>
    <t>CENTAR ZA SOCIJALNU SKRB GRUBIŠNO POLJE</t>
  </si>
  <si>
    <t>CENTAR ZA SOCIJALNU SKRB GRUBIŠNO POLJE (50032)</t>
  </si>
  <si>
    <t>TRG BANA JOSIPA JELAČIĆA 7</t>
  </si>
  <si>
    <t>43290 GRUBIŠNO POLJE</t>
  </si>
  <si>
    <t>80558304116</t>
  </si>
  <si>
    <t>CENTAR ZA SOCIJALNU SKRB HRVATSKA KOSTAJNICA</t>
  </si>
  <si>
    <t>CENTAR ZA SOCIJALNU SKRB HRVATSKA KOSTAJNICA (21748)</t>
  </si>
  <si>
    <t>JOSIPA MARIĆA 2</t>
  </si>
  <si>
    <t>44430 HRVATSKA KOSTAJNICA</t>
  </si>
  <si>
    <t>58292354024</t>
  </si>
  <si>
    <t>CENTAR ZA SOCIJALNU SKRB IMOTSKI</t>
  </si>
  <si>
    <t>CENTAR ZA SOCIJALNU SKRB IMOTSKI (6398)</t>
  </si>
  <si>
    <t>BRUNE BUŠIĆA 6</t>
  </si>
  <si>
    <t>21260 IMOTSKI</t>
  </si>
  <si>
    <t>63946108971</t>
  </si>
  <si>
    <t>CENTAR ZA SOCIJALNU SKRB IVANEC</t>
  </si>
  <si>
    <t>CENTAR ZA SOCIJALNU SKRB IVANEC (6402)</t>
  </si>
  <si>
    <t>ĐURE ARNOLDA 11</t>
  </si>
  <si>
    <t>42240 IVANEC</t>
  </si>
  <si>
    <t>61639450947</t>
  </si>
  <si>
    <t>CENTAR ZA SOCIJALNU SKRB IVANIĆ GRAD</t>
  </si>
  <si>
    <t>CENTAR ZA SOCIJALNU SKRB IVANIĆ GRAD (6419)</t>
  </si>
  <si>
    <t>FRANE JURINCA 6</t>
  </si>
  <si>
    <t>10310 IVANIĆ GRAD</t>
  </si>
  <si>
    <t>33291090566</t>
  </si>
  <si>
    <t>CENTAR ZA SOCIJALNU SKRB JASTREBARSKO</t>
  </si>
  <si>
    <t>CENTAR ZA SOCIJALNU SKRB JASTREBARSKO (6427)</t>
  </si>
  <si>
    <t>TRG LJUBE BABIĆA 29</t>
  </si>
  <si>
    <t>05065053844</t>
  </si>
  <si>
    <t>CENTAR ZA SOCIJALNU SKRB KARLOVAC</t>
  </si>
  <si>
    <t>CENTAR ZA SOCIJALNU SKRB KARLOVAC (6435)</t>
  </si>
  <si>
    <t xml:space="preserve">IVANA MEŠTROVIĆA 10 </t>
  </si>
  <si>
    <t>48212013313</t>
  </si>
  <si>
    <t>CENTAR ZA SOCIJALNU SKRB KNIN</t>
  </si>
  <si>
    <t>CENTAR ZA SOCIJALNU SKRB KNIN (21730)</t>
  </si>
  <si>
    <t>GOJKA ŠUŠKA 4</t>
  </si>
  <si>
    <t>16906896167</t>
  </si>
  <si>
    <t>CENTAR ZA SOCIJALNU SKRB KOPRIVNICA</t>
  </si>
  <si>
    <t>CENTAR ZA SOCIJALNU SKRB KOPRIVNICA (6451)</t>
  </si>
  <si>
    <t>TRG EUGENA KUMIČIĆA 2</t>
  </si>
  <si>
    <t>48009435950</t>
  </si>
  <si>
    <t>CENTAR ZA SOCIJALNU SKRB KORČULA</t>
  </si>
  <si>
    <t>CENTAR ZA SOCIJALNU SKRB KORČULA (6460)</t>
  </si>
  <si>
    <t>ŠETALIŠTE FRANA KRŠINIĆA 50</t>
  </si>
  <si>
    <t>20260 KORČULA</t>
  </si>
  <si>
    <t>71397834598</t>
  </si>
  <si>
    <t>CENTAR ZA SOCIJALNU SKRB KRAPINA</t>
  </si>
  <si>
    <t>CENTAR ZA SOCIJALNU SKRB KRAPINA (6478)</t>
  </si>
  <si>
    <t>DRAGUTINA DOMJANIĆA BB</t>
  </si>
  <si>
    <t>90666923133</t>
  </si>
  <si>
    <t>CENTAR ZA SOCIJALNU SKRB KRIŽEVCI</t>
  </si>
  <si>
    <t>CENTAR ZA SOCIJALNU SKRB KRIŽEVCI (6486)</t>
  </si>
  <si>
    <t>BANA JOSIPA JELAČIĆA 5</t>
  </si>
  <si>
    <t>22165957758</t>
  </si>
  <si>
    <t>CENTAR ZA SOCIJALNU SKRB KRK</t>
  </si>
  <si>
    <t>CENTAR ZA SOCIJALNU SKRB KRK (6494)</t>
  </si>
  <si>
    <t>VRŠANSKA 21A</t>
  </si>
  <si>
    <t>51500 KRK</t>
  </si>
  <si>
    <t>84868232360</t>
  </si>
  <si>
    <t>CENTAR ZA SOCIJALNU SKRB KUTINA</t>
  </si>
  <si>
    <t>CENTAR ZA SOCIJALNU SKRB KUTINA (6509)</t>
  </si>
  <si>
    <t>STJEPANA RADIĆA 7/A</t>
  </si>
  <si>
    <t>44320 KUTINA</t>
  </si>
  <si>
    <t>30070250400</t>
  </si>
  <si>
    <t>CENTAR ZA SOCIJALNU SKRB LABIN</t>
  </si>
  <si>
    <t>CENTAR ZA SOCIJALNU SKRB LABIN (6517)</t>
  </si>
  <si>
    <t>ISTARSKA 1</t>
  </si>
  <si>
    <t>52220 LABIN</t>
  </si>
  <si>
    <t>47474661798</t>
  </si>
  <si>
    <t>CENTAR ZA SOCIJALNU SKRB LUDBREG</t>
  </si>
  <si>
    <t>CENTAR ZA SOCIJALNU SKRB LUDBREG (6525)</t>
  </si>
  <si>
    <t>KARDINALA FRANJE KUHARIĆA 12</t>
  </si>
  <si>
    <t>42230 LUDBREG</t>
  </si>
  <si>
    <t>55037689756</t>
  </si>
  <si>
    <t>CENTAR ZA SOCIJALNU SKRB MAKARSKA</t>
  </si>
  <si>
    <t>CENTAR ZA SOCIJALNU SKRB MAKARSKA (6533)</t>
  </si>
  <si>
    <t>KIPARA MEŠTROVIĆA 2A, PTC SV. NIKOLA</t>
  </si>
  <si>
    <t>93309675767</t>
  </si>
  <si>
    <t xml:space="preserve">CENTAR ZA SOCIJALNU SKRB METKOVIĆ </t>
  </si>
  <si>
    <t>CENTAR ZA SOCIJALNU SKRB METKOVIĆ  (6550)</t>
  </si>
  <si>
    <t>ANTE STARČEVIĆA 25</t>
  </si>
  <si>
    <t>20350 METKOVIĆ</t>
  </si>
  <si>
    <t>65800553283</t>
  </si>
  <si>
    <t>CENTAR ZA SOCIJALNU SKRB NAŠICE</t>
  </si>
  <si>
    <t>CENTAR ZA SOCIJALNU SKRB NAŠICE (6568)</t>
  </si>
  <si>
    <t>31500 NAŠICE</t>
  </si>
  <si>
    <t>19876782869</t>
  </si>
  <si>
    <t>CENTAR ZA SOCIJALNU SKRB NOVA GRADIŠKA</t>
  </si>
  <si>
    <t>CENTAR ZA SOCIJALNU SKRB NOVA GRADIŠKA (6576)</t>
  </si>
  <si>
    <t>KARLA DIONEŠA 4/I</t>
  </si>
  <si>
    <t>35400 NOVA GRADIŠKA</t>
  </si>
  <si>
    <t>94667388644</t>
  </si>
  <si>
    <t>CENTAR ZA SOCIJALNU SKRB NOVI MAROF</t>
  </si>
  <si>
    <t>CENTAR ZA SOCIJALNU SKRB NOVI MAROF (6584)</t>
  </si>
  <si>
    <t>MIROSLAVA KRLEŽE 4</t>
  </si>
  <si>
    <t>42220 NOVI MAROF</t>
  </si>
  <si>
    <t>86153055540</t>
  </si>
  <si>
    <t>CENTAR ZA SOCIJALNU SKRB NOVSKA</t>
  </si>
  <si>
    <t>CENTAR ZA SOCIJALNU SKRB NOVSKA (6592)</t>
  </si>
  <si>
    <t>TINA UJEVIĆA 1/A</t>
  </si>
  <si>
    <t>44330 NOVSKA</t>
  </si>
  <si>
    <t>14153105428</t>
  </si>
  <si>
    <t>CENTAR ZA SOCIJALNU SKRB OGULIN</t>
  </si>
  <si>
    <t>CENTAR ZA SOCIJALNU SKRB OGULIN (22890)</t>
  </si>
  <si>
    <t>VIJENAC IVE MARINKOVIĆA 1</t>
  </si>
  <si>
    <t>47300 OGULIN</t>
  </si>
  <si>
    <t>07116128329</t>
  </si>
  <si>
    <t>CENTAR ZA SOCIJALNU SKRB OMIŠ</t>
  </si>
  <si>
    <t>CENTAR ZA SOCIJALNU SKRB OMIŠ (6613)</t>
  </si>
  <si>
    <t>ČETVRT RIBNJAK BB</t>
  </si>
  <si>
    <t>21310 OMIŠ</t>
  </si>
  <si>
    <t>53905164223</t>
  </si>
  <si>
    <t>CENTAR ZA SOCIJALNU SKRB OPATIJA</t>
  </si>
  <si>
    <t>CENTAR ZA SOCIJALNU SKRB OPATIJA (6621)</t>
  </si>
  <si>
    <t>STUBIŠTE BAREDINE 10/1</t>
  </si>
  <si>
    <t>38485604560</t>
  </si>
  <si>
    <t>CENTAR ZA SOCIJALNU SKRB OSIJEK</t>
  </si>
  <si>
    <t>CENTAR ZA SOCIJALNU SKRB OSIJEK (6630)</t>
  </si>
  <si>
    <t>GUNDULIĆEVA 22</t>
  </si>
  <si>
    <t>97716077231</t>
  </si>
  <si>
    <t>CENTAR ZA SOCIJALNU SKRB PAKRAC</t>
  </si>
  <si>
    <t>CENTAR ZA SOCIJALNU SKRB PAKRAC (6656)</t>
  </si>
  <si>
    <t>PETRA PRERADOVIĆA 1</t>
  </si>
  <si>
    <t>34550 PAKRAC</t>
  </si>
  <si>
    <t>20913274956</t>
  </si>
  <si>
    <t>CENTAR ZA SOCIJALNU SKRB PAZIN</t>
  </si>
  <si>
    <t>CENTAR ZA SOCIJALNU SKRB PAZIN (22111)</t>
  </si>
  <si>
    <t>PROLAZ OTOKARA KERŠOVANIJA 2</t>
  </si>
  <si>
    <t>04307151048</t>
  </si>
  <si>
    <t>CENTAR ZA SOCIJALNU SKRB PETRINJA</t>
  </si>
  <si>
    <t>CENTAR ZA SOCIJALNU SKRB PETRINJA (6672)</t>
  </si>
  <si>
    <t>TURKULINOVA 35</t>
  </si>
  <si>
    <t>44250 PETRINJA</t>
  </si>
  <si>
    <t>83245315816</t>
  </si>
  <si>
    <t>CENTAR ZA SOCIJALNU SKRB PLOČE</t>
  </si>
  <si>
    <t>CENTAR ZA SOCIJALNU SKRB PLOČE (6961)</t>
  </si>
  <si>
    <t>DALMATINSKA 40</t>
  </si>
  <si>
    <t>14447760376</t>
  </si>
  <si>
    <t>CENTAR ZA SOCIJALNU SKRB POREČ</t>
  </si>
  <si>
    <t>CENTAR ZA SOCIJALNU SKRB POREČ (6697)</t>
  </si>
  <si>
    <t>DR. MAURO GIOSEFFI 2B</t>
  </si>
  <si>
    <t>27446717561</t>
  </si>
  <si>
    <t>CENTAR ZA SOCIJALNU SKRB POŽEGA</t>
  </si>
  <si>
    <t>CENTAR ZA SOCIJALNU SKRB POŽEGA (6777)</t>
  </si>
  <si>
    <t>DR. FILIPA POTREBICE 2</t>
  </si>
  <si>
    <t>90367068913</t>
  </si>
  <si>
    <t>CENTAR ZA SOCIJALNU SKRB PRELOG</t>
  </si>
  <si>
    <t>CENTAR ZA SOCIJALNU SKRB PRELOG (51749)</t>
  </si>
  <si>
    <t>KRALJA ZVONIMIRA 9</t>
  </si>
  <si>
    <t>40323 PRELOG</t>
  </si>
  <si>
    <t>41243002511</t>
  </si>
  <si>
    <t>CENTAR ZA SOCIJALNU SKRB PULA-POLA</t>
  </si>
  <si>
    <t>CENTAR ZA SOCIJALNU SKRB PULA-POLA (6701)</t>
  </si>
  <si>
    <t>SERGIJEVACA 2</t>
  </si>
  <si>
    <t>46797781162</t>
  </si>
  <si>
    <t>CENTAR ZA SOCIJALNU SKRB RIJEKA</t>
  </si>
  <si>
    <t>CENTAR ZA SOCIJALNU SKRB RIJEKA (6710)</t>
  </si>
  <si>
    <t>LAGINJINA 11A</t>
  </si>
  <si>
    <t>16498344320</t>
  </si>
  <si>
    <t>CENTAR ZA SOCIJALNU SKRB ROVINJ</t>
  </si>
  <si>
    <t>CENTAR ZA SOCIJALNU SKRB ROVINJ (6728)</t>
  </si>
  <si>
    <t>CARERA 21/2</t>
  </si>
  <si>
    <t>52210 ROVINJ</t>
  </si>
  <si>
    <t>78200618356</t>
  </si>
  <si>
    <t>CENTAR ZA SOCIJALNU SKRB SAMOBOR</t>
  </si>
  <si>
    <t>CENTAR ZA SOCIJALNU SKRB SAMOBOR (6736)</t>
  </si>
  <si>
    <t>ZAGORSKA 1</t>
  </si>
  <si>
    <t>10430 SAMOBOR</t>
  </si>
  <si>
    <t>84486125017</t>
  </si>
  <si>
    <t>CENTAR ZA SOCIJALNU SKRB SENJ</t>
  </si>
  <si>
    <t>CENTAR ZA SOCIJALNU SKRB SENJ (6744)</t>
  </si>
  <si>
    <t>VJENCESLAVA NOVAKA 4</t>
  </si>
  <si>
    <t>53270 SENJ</t>
  </si>
  <si>
    <t>86371528033</t>
  </si>
  <si>
    <t>CENTAR ZA SOCIJALNU SKRB SINJ</t>
  </si>
  <si>
    <t>CENTAR ZA SOCIJALNU SKRB SINJ (6752)</t>
  </si>
  <si>
    <t>ŽANKOVA GLAVICA 2</t>
  </si>
  <si>
    <t>21230 SINJ</t>
  </si>
  <si>
    <t>07505873008</t>
  </si>
  <si>
    <t>CENTAR ZA SOCIJALNU SKRB SISAK</t>
  </si>
  <si>
    <t>CENTAR ZA SOCIJALNU SKRB SISAK (6769)</t>
  </si>
  <si>
    <t>IVANA MEŠTROVIĆA 21</t>
  </si>
  <si>
    <t>71787364335</t>
  </si>
  <si>
    <t>CENTAR ZA SOCIJALNU SKRB SLATINA</t>
  </si>
  <si>
    <t>CENTAR ZA SOCIJALNU SKRB SLATINA (6689)</t>
  </si>
  <si>
    <t>VLADIMIRA NAZORA 5/1</t>
  </si>
  <si>
    <t>33520 SLATINA</t>
  </si>
  <si>
    <t>90835485697</t>
  </si>
  <si>
    <t>CENTAR ZA SOCIJALNU SKRB SLAVONSKI BROD</t>
  </si>
  <si>
    <t>CENTAR ZA SOCIJALNU SKRB SLAVONSKI BROD (6785)</t>
  </si>
  <si>
    <t>NASELJE SLAVONIJA I. BB</t>
  </si>
  <si>
    <t>21748116747</t>
  </si>
  <si>
    <t>CENTAR ZA SOCIJALNU SKRB SLUNJ</t>
  </si>
  <si>
    <t>CENTAR ZA SOCIJALNU SKRB SLUNJ (19931)</t>
  </si>
  <si>
    <t>ULICA BRAĆE RADIĆA 1</t>
  </si>
  <si>
    <t>47240 SLUNJ</t>
  </si>
  <si>
    <t>93613587014</t>
  </si>
  <si>
    <t>CENTAR ZA SOCIJALNU SKRB SPLIT</t>
  </si>
  <si>
    <t>CENTAR ZA SOCIJALNU SKRB SPLIT (6890)</t>
  </si>
  <si>
    <t>GUNDULIĆEVA 25</t>
  </si>
  <si>
    <t>50704222350</t>
  </si>
  <si>
    <t xml:space="preserve">CENTAR ZA SOCIJALNU SKRB SVETI IVAN ZELINA </t>
  </si>
  <si>
    <t>CENTAR ZA SOCIJALNU SKRB SVETI IVAN ZELINA  (6937)</t>
  </si>
  <si>
    <t>BRAĆE RADIĆA 2</t>
  </si>
  <si>
    <t>10380 SVETI IVAN ZELINA</t>
  </si>
  <si>
    <t>86252898914</t>
  </si>
  <si>
    <t>CENTAR ZA SOCIJALNU SKRB ŠIBENIK</t>
  </si>
  <si>
    <t>CENTAR ZA SOCIJALNU SKRB ŠIBENIK (6793)</t>
  </si>
  <si>
    <t>PETRA GRUBIŠIĆA 3</t>
  </si>
  <si>
    <t>25482722030</t>
  </si>
  <si>
    <t>CENTAR ZA SOCIJALNU SKRB TROGIR</t>
  </si>
  <si>
    <t>CENTAR ZA SOCIJALNU SKRB TROGIR (6808)</t>
  </si>
  <si>
    <t>HRVATSKIH MUČENIKA 6</t>
  </si>
  <si>
    <t>21220 TROGIR</t>
  </si>
  <si>
    <t>60991875199</t>
  </si>
  <si>
    <t>CENTAR ZA SOCIJALNU SKRB VALPOVO</t>
  </si>
  <si>
    <t>CENTAR ZA SOCIJALNU SKRB VALPOVO (6816)</t>
  </si>
  <si>
    <t>MATIJE GUPCA 11</t>
  </si>
  <si>
    <t>31550 VALPOVO</t>
  </si>
  <si>
    <t>76702509587</t>
  </si>
  <si>
    <t>CENTAR ZA SOCIJALNU SKRB VARAŽDIN</t>
  </si>
  <si>
    <t>CENTAR ZA SOCIJALNU SKRB VARAŽDIN (21981)</t>
  </si>
  <si>
    <t>VLADIMIRA NAZORA 22</t>
  </si>
  <si>
    <t>87061553266</t>
  </si>
  <si>
    <t xml:space="preserve">CENTAR ZA SOCIJALNU SKRB VELIKA GORICA </t>
  </si>
  <si>
    <t>CENTAR ZA SOCIJALNU SKRB VELIKA GORICA  (6832)</t>
  </si>
  <si>
    <t>TRG KRALJA TOMISLAVA 35</t>
  </si>
  <si>
    <t>81941692775</t>
  </si>
  <si>
    <t>CENTAR ZA SOCIJALNU SKRB VINKOVCI</t>
  </si>
  <si>
    <t>CENTAR ZA SOCIJALNU SKRB VINKOVCI (6849)</t>
  </si>
  <si>
    <t>GLAGOLJAŠKA 31E</t>
  </si>
  <si>
    <t xml:space="preserve">32100 VINKOVCI </t>
  </si>
  <si>
    <t>53940614467</t>
  </si>
  <si>
    <t>CENTAR ZA SOCIJALNU SKRB VIROVITICA</t>
  </si>
  <si>
    <t>CENTAR ZA SOCIJALNU SKRB VIROVITICA (6857)</t>
  </si>
  <si>
    <t>VLADIMIRA NAZORA 2</t>
  </si>
  <si>
    <t>57720492539</t>
  </si>
  <si>
    <t>CENTAR ZA SOCIJALNU SKRB VRBOVEC</t>
  </si>
  <si>
    <t>CENTAR ZA SOCIJALNU SKRB VRBOVEC (6873)</t>
  </si>
  <si>
    <t>TRG PETRA ZRINSKOG 23</t>
  </si>
  <si>
    <t>10340 VRBOVEC</t>
  </si>
  <si>
    <t>68238626105</t>
  </si>
  <si>
    <t>CENTAR ZA SOCIJALNU SKRB VUKOVAR</t>
  </si>
  <si>
    <t>CENTAR ZA SOCIJALNU SKRB VUKOVAR (22259)</t>
  </si>
  <si>
    <t>ŽUPANIJSKA 13</t>
  </si>
  <si>
    <t>37171057441</t>
  </si>
  <si>
    <t>CENTAR ZA SOCIJALNU SKRB ZABOK</t>
  </si>
  <si>
    <t>CENTAR ZA SOCIJALNU SKRB ZABOK (6881)</t>
  </si>
  <si>
    <t>MATIJE GUPCA 53</t>
  </si>
  <si>
    <t>49210 ZABOK</t>
  </si>
  <si>
    <t>32389551255</t>
  </si>
  <si>
    <t>CENTAR ZA SOCIJALNU SKRB ZADAR</t>
  </si>
  <si>
    <t>CENTAR ZA SOCIJALNU SKRB ZADAR (6912)</t>
  </si>
  <si>
    <t>19924507354</t>
  </si>
  <si>
    <t>CENTAR ZA SOCIJALNU SKRB ZAGREB</t>
  </si>
  <si>
    <t>CENTAR ZA SOCIJALNU SKRB ZAGREB (22550)</t>
  </si>
  <si>
    <t>KUMIČIĆEVA 5</t>
  </si>
  <si>
    <t>15904096423</t>
  </si>
  <si>
    <t>CENTAR ZA SOCIJALNU SKRB ZAPREŠIĆ</t>
  </si>
  <si>
    <t>CENTAR ZA SOCIJALNU SKRB ZAPREŠIĆ (6929)</t>
  </si>
  <si>
    <t>DRAGE KODRMANA 3A</t>
  </si>
  <si>
    <t>10290 ZAPREŠIĆ</t>
  </si>
  <si>
    <t>75082966551</t>
  </si>
  <si>
    <t>CENTAR ZA SOCIJALNU SKRB ZLATAR BISTRICA</t>
  </si>
  <si>
    <t>CENTAR ZA SOCIJALNU SKRB ZLATAR BISTRICA (6945)</t>
  </si>
  <si>
    <t>STJEPANA RADIĆA 2</t>
  </si>
  <si>
    <t>49247 ZLATAR BISTRICA</t>
  </si>
  <si>
    <t>41999865177</t>
  </si>
  <si>
    <t>CENTAR ZA SOCIJALNU SKRB ŽUPANJA</t>
  </si>
  <si>
    <t>CENTAR ZA SOCIJALNU SKRB ŽUPANJA (6953)</t>
  </si>
  <si>
    <t>DR. FRANJE RAČKOG 30C</t>
  </si>
  <si>
    <t>32270 ŽUPANJA</t>
  </si>
  <si>
    <t>08142078422</t>
  </si>
  <si>
    <t>DJEČJI DOM "IVANA BRLIĆ MAŽURANIĆ" LOVRAN</t>
  </si>
  <si>
    <t>DJEČJI DOM "IVANA BRLIĆ MAŽURANIĆ" LOVRAN (7122)</t>
  </si>
  <si>
    <t>OMLADINSKA 1</t>
  </si>
  <si>
    <t>74578677561</t>
  </si>
  <si>
    <t>DJEČJI DOM SV. ANA, VINKOVCI</t>
  </si>
  <si>
    <t>DJEČJI DOM SV. ANA, VINKOVCI (7202)</t>
  </si>
  <si>
    <t>ANINA 2D</t>
  </si>
  <si>
    <t>32100 VINKOVCI</t>
  </si>
  <si>
    <t>57830965536</t>
  </si>
  <si>
    <t>DJEČJI DOM VRBINA SISAK</t>
  </si>
  <si>
    <t>DJEČJI DOM VRBINA SISAK (7171)</t>
  </si>
  <si>
    <t>ULICA LIPA 11</t>
  </si>
  <si>
    <t>43355278379</t>
  </si>
  <si>
    <t>DNEVNI CENTAR ZA REHABILITACIJU SLAVA RAŠKAJ</t>
  </si>
  <si>
    <t>DNEVNI CENTAR ZA REHABILITACIJU SLAVA RAŠKAJ (7376)</t>
  </si>
  <si>
    <t>MIRE RADUNE BAN 14</t>
  </si>
  <si>
    <t>90729071839</t>
  </si>
  <si>
    <t>DOM ZA ODRASLE OSOBE LOBOR-GRAD</t>
  </si>
  <si>
    <t>DOM ZA ODRASLE OSOBE LOBOR-GRAD (7665)</t>
  </si>
  <si>
    <t>MARKUŠ BRIJEG 131</t>
  </si>
  <si>
    <t>49253 MARKUŠ BRIJEG</t>
  </si>
  <si>
    <t>45761692556</t>
  </si>
  <si>
    <t>DOM ZA DJECU I MLAĐE PUNOLJETNE OSOBE MASLINA, DUBROVNIK</t>
  </si>
  <si>
    <t>DOM ZA DJECU I MLAĐE PUNOLJETNE OSOBE MASLINA, DUBROVNIK (7083)</t>
  </si>
  <si>
    <t>VLAHA BUKOVCA 5</t>
  </si>
  <si>
    <t>53238046672</t>
  </si>
  <si>
    <t>DOM ZA DJECU MAESTRAL SPLIT</t>
  </si>
  <si>
    <t>DOM ZA DJECU MAESTRAL SPLIT (7198)</t>
  </si>
  <si>
    <t>JURJA ŠIŽGORIĆA 4</t>
  </si>
  <si>
    <t>97141575055</t>
  </si>
  <si>
    <t>DOM ZA DJECU ZA MLAĐE I PUNOLJETNE OSOBE PULA</t>
  </si>
  <si>
    <t>DOM ZA DJECU ZA MLAĐE I PUNOLJETNE OSOBE PULA (7155)</t>
  </si>
  <si>
    <t>PINO BUDIČIN 17</t>
  </si>
  <si>
    <t>27209159252</t>
  </si>
  <si>
    <t>DJEČJI DOM ZAGREB</t>
  </si>
  <si>
    <t>DJEČJI DOM ZAGREB (7219)</t>
  </si>
  <si>
    <t>NAZOROVA 49</t>
  </si>
  <si>
    <t>04517778727</t>
  </si>
  <si>
    <t>DOM ZA ODGOJ DJECE BEDEKOVČINA</t>
  </si>
  <si>
    <t>DOM ZA ODGOJ DJECE BEDEKOVČINA (7227)</t>
  </si>
  <si>
    <t>ALEJA DRAGUTINA DOMJANIĆA 15</t>
  </si>
  <si>
    <t>49221 BEDEKOVČINA</t>
  </si>
  <si>
    <t>71367732581</t>
  </si>
  <si>
    <t>DOM ZA ODGOJ DJECE I MLADEŽI KARLOVAC</t>
  </si>
  <si>
    <t>DOM ZA ODGOJ DJECE I MLADEŽI KARLOVAC (7251)</t>
  </si>
  <si>
    <t>BANIJA 14</t>
  </si>
  <si>
    <t>18126711159</t>
  </si>
  <si>
    <t>DOM ZA ODGOJ DJECE I MLADEŽI OSIJEK</t>
  </si>
  <si>
    <t>DOM ZA ODGOJ DJECE I MLADEŽI OSIJEK (7278)</t>
  </si>
  <si>
    <t>VINKOVAČKA 61</t>
  </si>
  <si>
    <t>61997429886</t>
  </si>
  <si>
    <t>DOM ZA ODGOJ DJECE I MLADEŽI PULA</t>
  </si>
  <si>
    <t>DOM ZA ODGOJ DJECE I MLADEŽI PULA (7286)</t>
  </si>
  <si>
    <t>BOŠKOVIĆEV USPON 6</t>
  </si>
  <si>
    <t>61688478244</t>
  </si>
  <si>
    <t>DOM ZA ODGOJ DJECE I MLADEŽI RIJEKA</t>
  </si>
  <si>
    <t>DOM ZA ODGOJ DJECE I MLADEŽI RIJEKA (7294)</t>
  </si>
  <si>
    <t>VUKOVARSKA 49</t>
  </si>
  <si>
    <t>94000861535</t>
  </si>
  <si>
    <t>DOM ZA ODGOJ DJECE I MLADEŽI ZADAR</t>
  </si>
  <si>
    <t>DOM ZA ODGOJ DJECE I MLADEŽI ZADAR (7317)</t>
  </si>
  <si>
    <t>JOSIPA BANA JELAČIĆA 8</t>
  </si>
  <si>
    <t>67719867859</t>
  </si>
  <si>
    <t>DOM ZA ODGOJ DJECE I MLADEŽI ZAGREB</t>
  </si>
  <si>
    <t>DOM ZA ODGOJ DJECE I MLADEŽI ZAGREB (7325)</t>
  </si>
  <si>
    <t>UL. SV. MATEJA 70A</t>
  </si>
  <si>
    <t>10010 ZAGREB - DUGAVE</t>
  </si>
  <si>
    <t>88189190821</t>
  </si>
  <si>
    <t>DOM ZA ODRASLE OSOBE BIDRUŽICA</t>
  </si>
  <si>
    <t>DOM ZA ODRASLE OSOBE BIDRUŽICA (22283)</t>
  </si>
  <si>
    <t>IVANIĆ DESINIČKI 30</t>
  </si>
  <si>
    <t>49216 DESINIĆ</t>
  </si>
  <si>
    <t>47145266223</t>
  </si>
  <si>
    <t>DOM ZA ODRASLE OSOBE BOROVA</t>
  </si>
  <si>
    <t>DOM ZA ODRASLE OSOBE BOROVA (7840)</t>
  </si>
  <si>
    <t>STJEPANA RADIĆA 9A</t>
  </si>
  <si>
    <t>33410 SUHOPOLJE</t>
  </si>
  <si>
    <t>75988025471</t>
  </si>
  <si>
    <t>DOM ZA ODRASLE OSOBE I REHABILITACIJU METKOVIĆ</t>
  </si>
  <si>
    <t>DOM ZA ODRASLE OSOBE I REHABILITACIJU METKOVIĆ (26547)</t>
  </si>
  <si>
    <t>61844359091</t>
  </si>
  <si>
    <t>DOM ZA ODRASLE OSOBE LJESKOVICA</t>
  </si>
  <si>
    <t>DOM ZA ODRASLE OSOBE LJESKOVICA (7673)</t>
  </si>
  <si>
    <t>NOVA LJESKOVICA, JOSIPA KNEŽEVIĆA 41</t>
  </si>
  <si>
    <t>34350 ČAGLIN</t>
  </si>
  <si>
    <t>66458920794</t>
  </si>
  <si>
    <t>DOM ZA ODRASLE OSOBE NUŠTAR</t>
  </si>
  <si>
    <t>DOM ZA ODRASLE OSOBE NUŠTAR (7729)</t>
  </si>
  <si>
    <t>V. LISNSKOG 1A</t>
  </si>
  <si>
    <t>32224 NUŠTAR</t>
  </si>
  <si>
    <t>12399538329</t>
  </si>
  <si>
    <t>DOM ZA ODRASLE OSOBE OREHOVICA</t>
  </si>
  <si>
    <t>DOM ZA ODRASLE OSOBE OREHOVICA (7745)</t>
  </si>
  <si>
    <t>A. ŠENOE 2</t>
  </si>
  <si>
    <t>40322 OREHOVICA</t>
  </si>
  <si>
    <t>67610036162</t>
  </si>
  <si>
    <t>DOM ZA ODRASLE OSOBE TURNIĆ</t>
  </si>
  <si>
    <t>DOM ZA ODRASLE OSOBE TURNIĆ (23569)</t>
  </si>
  <si>
    <t>GIUSEPPE CARABINO 6</t>
  </si>
  <si>
    <t>27939942401</t>
  </si>
  <si>
    <t>DOM ZA ODRASLE OSOBE BJELOVAR</t>
  </si>
  <si>
    <t>DOM ZA ODRASLE OSOBE BJELOVAR (7544)</t>
  </si>
  <si>
    <t>DON FRANE BULIĆA BB</t>
  </si>
  <si>
    <t>62693385109</t>
  </si>
  <si>
    <t>DOM ZA PSIHIČKI BOLESNE ODRASLE OSOBE BLATO</t>
  </si>
  <si>
    <t>DOM ZA PSIHIČKI BOLESNE ODRASLE OSOBE BLATO (7569)</t>
  </si>
  <si>
    <t>ULICA 32 49</t>
  </si>
  <si>
    <t>20271 BLATO</t>
  </si>
  <si>
    <t>99467043079</t>
  </si>
  <si>
    <t>DOM ZA ODRASLE OSOBE JALŽABET</t>
  </si>
  <si>
    <t>DOM ZA ODRASLE OSOBE JALŽABET (7624)</t>
  </si>
  <si>
    <t>KOLODVORSKA 1</t>
  </si>
  <si>
    <t>42203 JALŽABET</t>
  </si>
  <si>
    <t>40551161324</t>
  </si>
  <si>
    <t>DOM ZA PSIHIČKI BOLESNE ODRASLE OSOBE MOTOVUN</t>
  </si>
  <si>
    <t>DOM ZA PSIHIČKI BOLESNE ODRASLE OSOBE MOTOVUN (7690)</t>
  </si>
  <si>
    <t>BRKAČ 28</t>
  </si>
  <si>
    <t>52424 MOTOVUN</t>
  </si>
  <si>
    <t>06458028548</t>
  </si>
  <si>
    <t>DOM ZA ODRASLE OSOBE SV. FRANE ZADAR</t>
  </si>
  <si>
    <t>DOM ZA ODRASLE OSOBE SV. FRANE ZADAR (7938)</t>
  </si>
  <si>
    <t>FRA DONATA FABIJANIĆA 6</t>
  </si>
  <si>
    <t>65698739290</t>
  </si>
  <si>
    <t>DOM ZA ODRASLE OSOBE "SVETA NEDJELJA" NEDEŠĆINA</t>
  </si>
  <si>
    <t>DOM ZA ODRASLE OSOBE "SVETA NEDJELJA" NEDEŠĆINA (7704)</t>
  </si>
  <si>
    <t>NEDEŠĆINA 41</t>
  </si>
  <si>
    <t>52231 SVETA NEDJELJA</t>
  </si>
  <si>
    <t>52406673119</t>
  </si>
  <si>
    <t>DOM ZA PSIHIČKI BOLESNE ODRASLE OSOBE TROGIR</t>
  </si>
  <si>
    <t>DOM ZA PSIHIČKI BOLESNE ODRASLE OSOBE TROGIR (7866)</t>
  </si>
  <si>
    <t>TINA UJEVIĆA 11</t>
  </si>
  <si>
    <t>21220 TOGIR</t>
  </si>
  <si>
    <t>50259535567</t>
  </si>
  <si>
    <t>DOM ZA ODRASLE OSOBE VILA MARIA</t>
  </si>
  <si>
    <t>DOM ZA ODRASLE OSOBE VILA MARIA (23657)</t>
  </si>
  <si>
    <t>ŠIŠANSKA CESTA 2</t>
  </si>
  <si>
    <t>71297971198</t>
  </si>
  <si>
    <t>DOM ZA PSIHIČKI BOLESNE ODRASLE OSOBE ZAGREB</t>
  </si>
  <si>
    <t>DOM ZA PSIHIČKI BOLESNE ODRASLE OSOBE ZAGREB (8051)</t>
  </si>
  <si>
    <t>ŠESTINSKI DOL 53</t>
  </si>
  <si>
    <t>70271854148</t>
  </si>
  <si>
    <t>DOM ZA ODRASLE OSOBE ZEMUNIK</t>
  </si>
  <si>
    <t>DOM ZA ODRASLE OSOBE ZEMUNIK (22322)</t>
  </si>
  <si>
    <t>ULICA I BR. 53</t>
  </si>
  <si>
    <t>23222 ZEMUNIK DONJI</t>
  </si>
  <si>
    <t>26462059731</t>
  </si>
  <si>
    <t>DOM ZA STARIJE I TEŠKO BOLESNE ODRASLE OSOBE "MAJKA MARIJA PETKOVIĆ"</t>
  </si>
  <si>
    <t>DOM ZA STARIJE I TEŠKO BOLESNE ODRASLE OSOBE "MAJKA MARIJA PETKOVIĆ" (43327)</t>
  </si>
  <si>
    <t>33. ULICA 4</t>
  </si>
  <si>
    <t>02263696</t>
  </si>
  <si>
    <t>03115808250</t>
  </si>
  <si>
    <t>DOM ZA STARIJE OSOBE OKLAJ</t>
  </si>
  <si>
    <t>DOM ZA STARIJE OSOBE OKLAJ (46052)</t>
  </si>
  <si>
    <t>PUT KROZ OKLAJ 87/I</t>
  </si>
  <si>
    <t>22303 OKLAJ</t>
  </si>
  <si>
    <t>66528573284</t>
  </si>
  <si>
    <t>ODGOJNI DOM IVANEC</t>
  </si>
  <si>
    <t>ODGOJNI DOM IVANEC (7243)</t>
  </si>
  <si>
    <t>PAHINSKO 6</t>
  </si>
  <si>
    <t>03530904023</t>
  </si>
  <si>
    <t>ODGOJNI DOM MALI LOŠINJ</t>
  </si>
  <si>
    <t>ODGOJNI DOM MALI LOŠINJ (7260)</t>
  </si>
  <si>
    <t>ZAGREBAČKA 16</t>
  </si>
  <si>
    <t>31173278276</t>
  </si>
  <si>
    <t>MINISTARSTVO TURIZMA I SPORTA</t>
  </si>
  <si>
    <t>MINISTARSTVO TURIZMA I SPORTA (43214)</t>
  </si>
  <si>
    <t>87892589782</t>
  </si>
  <si>
    <t>47107</t>
  </si>
  <si>
    <t>MINISTARSTVO ZDRAVSTVA</t>
  </si>
  <si>
    <t>MINISTARSTVO ZDRAVSTVA (47107)</t>
  </si>
  <si>
    <t>KSAVER 200A</t>
  </si>
  <si>
    <t>88362248492</t>
  </si>
  <si>
    <t>KLINIČKA BOLNICA DUBRAVA</t>
  </si>
  <si>
    <t>KLINIČKA BOLNICA DUBRAVA (26571)</t>
  </si>
  <si>
    <t>AVENIJA GOJKA ŠUŠKA 3</t>
  </si>
  <si>
    <t>32206148371</t>
  </si>
  <si>
    <t>KLINIČKA BOLNICA MERKUR</t>
  </si>
  <si>
    <t>KLINIČKA BOLNICA MERKUR (26387)</t>
  </si>
  <si>
    <t>ZAJČEVA 19</t>
  </si>
  <si>
    <t>25883882856</t>
  </si>
  <si>
    <t>KLINIČKI BOLNIČKI CENTAR OSIJEK</t>
  </si>
  <si>
    <t>KLINIČKI BOLNIČKI CENTAR OSIJEK (26400)</t>
  </si>
  <si>
    <t>JOSIPA HUTTLERA 4</t>
  </si>
  <si>
    <t>89819375646</t>
  </si>
  <si>
    <t>KLINIČKI BOLNIČKI CENTAR RIJEKA</t>
  </si>
  <si>
    <t>KLINIČKI BOLNIČKI CENTAR RIJEKA (26379)</t>
  </si>
  <si>
    <t>KREŠIMIROVA 42</t>
  </si>
  <si>
    <t>40237608715</t>
  </si>
  <si>
    <t>KLINIČKI BOLNIČKI CENTAR SESTRE MILOSRDNICE</t>
  </si>
  <si>
    <t>KLINIČKI BOLNIČKI CENTAR SESTRE MILOSRDNICE (26395)</t>
  </si>
  <si>
    <t>VINOGRADSKA CESTA 29</t>
  </si>
  <si>
    <t>84924656517</t>
  </si>
  <si>
    <t>KLINIČKI BOLNIČKI CENTAR SPLIT</t>
  </si>
  <si>
    <t>KLINIČKI BOLNIČKI CENTAR SPLIT (26418)</t>
  </si>
  <si>
    <t>SPINČIĆEVA 1</t>
  </si>
  <si>
    <t>51401063283</t>
  </si>
  <si>
    <t>KLINIČKI BOLNIČKI CENTAR ZAGREB</t>
  </si>
  <si>
    <t>KLINIČKI BOLNIČKI CENTAR ZAGREB (38069)</t>
  </si>
  <si>
    <t>KIŠPATIĆEVA 12</t>
  </si>
  <si>
    <t>46377257342</t>
  </si>
  <si>
    <t>KLINIKA ZA DJEČJE BOLESTI ZAGREB</t>
  </si>
  <si>
    <t>KLINIKA ZA DJEČJE BOLESTI ZAGREB (47893)</t>
  </si>
  <si>
    <t>KLAIĆEVA 16</t>
  </si>
  <si>
    <t>70641763756</t>
  </si>
  <si>
    <t>KLINIKA ZA INFEKTIVNE BOLESTI DR. FRAN MIHALJEVIĆ</t>
  </si>
  <si>
    <t>KLINIKA ZA INFEKTIVNE BOLESTI DR. FRAN MIHALJEVIĆ (26459)</t>
  </si>
  <si>
    <t>MIROGOJSKA CESTA 8</t>
  </si>
  <si>
    <t>47767714195</t>
  </si>
  <si>
    <t>KLINIKA ZA ORTOPEDIJU LOVRAN</t>
  </si>
  <si>
    <t>KLINIKA ZA ORTOPEDIJU LOVRAN (26426)</t>
  </si>
  <si>
    <t>MARŠALA TITA 1</t>
  </si>
  <si>
    <t>09777091543</t>
  </si>
  <si>
    <t>NACIONALNA MEMORIJALNA BOLNICA VUKOVAR</t>
  </si>
  <si>
    <t>NACIONALNA MEMORIJALNA BOLNICA VUKOVAR (38028)</t>
  </si>
  <si>
    <t>ŽUPANIJSKA 35</t>
  </si>
  <si>
    <t>00772208</t>
  </si>
  <si>
    <t>DOM ZDRAVLJA MINISTARSTVA UNUTARNJIH POSLOVA REPUBLIKE HRVATSKE</t>
  </si>
  <si>
    <t>DOM ZDRAVLJA MINISTARSTVA UNUTARNJIH POSLOVA REPUBLIKE HRVATSKE (38655)</t>
  </si>
  <si>
    <t>ŠARENGRADSKA 3</t>
  </si>
  <si>
    <t>10561585601</t>
  </si>
  <si>
    <t>HRVATSKI ZAVOD ZA HITNU MEDICINU</t>
  </si>
  <si>
    <t>HRVATSKI ZAVOD ZA HITNU MEDICINU (44573)</t>
  </si>
  <si>
    <t>PLANINSKA 13</t>
  </si>
  <si>
    <t>45218167072</t>
  </si>
  <si>
    <t>HRVATSKI ZAVOD ZA JAVNO ZDRAVSTVO</t>
  </si>
  <si>
    <t>HRVATSKI ZAVOD ZA JAVNO ZDRAVSTVO (26346)</t>
  </si>
  <si>
    <t>ROCKEFELLEROVA 7</t>
  </si>
  <si>
    <t>75297532041</t>
  </si>
  <si>
    <t>HRVATSKI ZAVOD ZA TRANSFUZIJSKU MEDICINU</t>
  </si>
  <si>
    <t>HRVATSKI ZAVOD ZA TRANSFUZIJSKU MEDICINU (26354)</t>
  </si>
  <si>
    <t>PETROVA 3</t>
  </si>
  <si>
    <t>61248075289</t>
  </si>
  <si>
    <t>IMUNOLOŠKI ZAVOD</t>
  </si>
  <si>
    <t>IMUNOLOŠKI ZAVOD (23616)</t>
  </si>
  <si>
    <t>ROCKEFELLEROVA 2</t>
  </si>
  <si>
    <t>04440153</t>
  </si>
  <si>
    <t>51786203438</t>
  </si>
  <si>
    <t>HRVATSKA AKADEMIJA ZNANOSTI I UMJETNOSTI</t>
  </si>
  <si>
    <t>HRVATSKA AKADEMIJA ZNANOSTI I UMJETNOSTI (21828)</t>
  </si>
  <si>
    <t>ZRINSKI TRG 11</t>
  </si>
  <si>
    <t>61989185242</t>
  </si>
  <si>
    <t>MINISTARSTVO PRAVOSUĐA I UPRAVE</t>
  </si>
  <si>
    <t>MINISTARSTVO PRAVOSUĐA I UPRAVE (51441)</t>
  </si>
  <si>
    <t>ULICA GRADA VUKOVARA 49</t>
  </si>
  <si>
    <t>72910430276</t>
  </si>
  <si>
    <t>PRAVOSUDNA AKADEMIJA</t>
  </si>
  <si>
    <t>PRAVOSUDNA AKADEMIJA (45978)</t>
  </si>
  <si>
    <t>02601168</t>
  </si>
  <si>
    <t>45836640931</t>
  </si>
  <si>
    <t>CENTAR ZA DIJAGNOSTIKU U ZAGREBU</t>
  </si>
  <si>
    <t>CENTAR ZA DIJAGNOSTIKU U ZAGREBU (47668)</t>
  </si>
  <si>
    <t>DR. LUJE NALETILIĆA 1</t>
  </si>
  <si>
    <t>02903989</t>
  </si>
  <si>
    <t xml:space="preserve">CENTAR ZA IZOBRAZBU </t>
  </si>
  <si>
    <t>CENTAR ZA IZOBRAZBU  (24086)</t>
  </si>
  <si>
    <t>22515399253</t>
  </si>
  <si>
    <t>KAZNIONICA U GLINI</t>
  </si>
  <si>
    <t>KAZNIONICA U GLINI (20727)</t>
  </si>
  <si>
    <t>VINOGRADSKA 2</t>
  </si>
  <si>
    <t>19601823684</t>
  </si>
  <si>
    <t>KAZNIONICA U LEPOGLAVI</t>
  </si>
  <si>
    <t>KAZNIONICA U LEPOGLAVI (3164)</t>
  </si>
  <si>
    <t>HRVATSKIH PAVLINA 1</t>
  </si>
  <si>
    <t>42250 LEPOGLAVA</t>
  </si>
  <si>
    <t>10236446484</t>
  </si>
  <si>
    <t>KAZNIONICA U LIPOVICI - POPOVAČA</t>
  </si>
  <si>
    <t>KAZNIONICA U LIPOVICI - POPOVAČA (3172)</t>
  </si>
  <si>
    <t>LIPOVEČKA 22</t>
  </si>
  <si>
    <t>44317 POPOVAČA</t>
  </si>
  <si>
    <t>22519877219</t>
  </si>
  <si>
    <t>KAZNIONICA U POŽEGI</t>
  </si>
  <si>
    <t>KAZNIONICA U POŽEGI (50395)</t>
  </si>
  <si>
    <t>OSJEČKA 77</t>
  </si>
  <si>
    <t>28324816977</t>
  </si>
  <si>
    <t>KAZNIONICA U TUROPOLJU</t>
  </si>
  <si>
    <t>KAZNIONICA U TUROPOLJU (3197)</t>
  </si>
  <si>
    <t>TUROPOLJE BB</t>
  </si>
  <si>
    <t>19085780732</t>
  </si>
  <si>
    <t>KAZNIONICA U VALTURI</t>
  </si>
  <si>
    <t>KAZNIONICA U VALTURI (3201)</t>
  </si>
  <si>
    <t>VALTURSKO POLJE 211</t>
  </si>
  <si>
    <t>17231519023</t>
  </si>
  <si>
    <t>ODGOJNI ZAVOD TUROPOLJE</t>
  </si>
  <si>
    <t>ODGOJNI ZAVOD TUROPOLJE (3156)</t>
  </si>
  <si>
    <t>TUROPOLJSKA BB</t>
  </si>
  <si>
    <t>71207730103</t>
  </si>
  <si>
    <t>ODGOJNI ZAVOD U POŽEGI</t>
  </si>
  <si>
    <t>ODGOJNI ZAVOD U POŽEGI (46614)</t>
  </si>
  <si>
    <t>63220735836</t>
  </si>
  <si>
    <t>ZATVOR U BJELOVARU</t>
  </si>
  <si>
    <t>ZATVOR U BJELOVARU (3210)</t>
  </si>
  <si>
    <t>ŠETALIŠTE DR. IVŠE LEBOVIĆA 40</t>
  </si>
  <si>
    <t>81776072137</t>
  </si>
  <si>
    <t xml:space="preserve">ZATVOR U DUBROVNIKU </t>
  </si>
  <si>
    <t>ZATVOR U DUBROVNIKU  (3228)</t>
  </si>
  <si>
    <t>BANA J. JELAČIĆA 12</t>
  </si>
  <si>
    <t>67505868091</t>
  </si>
  <si>
    <t>ZATVOR U GOSPIĆU</t>
  </si>
  <si>
    <t>ZATVOR U GOSPIĆU (3236)</t>
  </si>
  <si>
    <t>SENJSKIH ŽRTAVA 15</t>
  </si>
  <si>
    <t>22146074849</t>
  </si>
  <si>
    <t>ZATVOR U KARLOVCU</t>
  </si>
  <si>
    <t>ZATVOR U KARLOVCU (3244)</t>
  </si>
  <si>
    <t>JURIJA HAULIKA 1</t>
  </si>
  <si>
    <t>95460314688</t>
  </si>
  <si>
    <t>ZATVOR U OSIJEKU</t>
  </si>
  <si>
    <t>ZATVOR U OSIJEKU (3252)</t>
  </si>
  <si>
    <t>K. A. STEPINCA 8A</t>
  </si>
  <si>
    <t>41454229611</t>
  </si>
  <si>
    <t>ZATVOR U POŽEGI</t>
  </si>
  <si>
    <t>ZATVOR U POŽEGI (50400)</t>
  </si>
  <si>
    <t>OSJEČKA 151A</t>
  </si>
  <si>
    <t>74353238879</t>
  </si>
  <si>
    <t>ZATVOR U PULI</t>
  </si>
  <si>
    <t>ZATVOR U PULI (3277)</t>
  </si>
  <si>
    <t>KRANJČEVIĆEVA 6</t>
  </si>
  <si>
    <t>17447075545</t>
  </si>
  <si>
    <t>ZATVOR U RIJECI</t>
  </si>
  <si>
    <t>ZATVOR U RIJECI (3285)</t>
  </si>
  <si>
    <t>ŽRTAVA FAŠIZMA 5</t>
  </si>
  <si>
    <t>33722890668</t>
  </si>
  <si>
    <t>ZATVOR U SISKU</t>
  </si>
  <si>
    <t>ZATVOR U SISKU (3293)</t>
  </si>
  <si>
    <t>RIMSKA 19</t>
  </si>
  <si>
    <t>02167221104</t>
  </si>
  <si>
    <t>ZATVOR U SPLITU</t>
  </si>
  <si>
    <t>ZATVOR U SPLITU (3308)</t>
  </si>
  <si>
    <t>DRAČEVAC 2C</t>
  </si>
  <si>
    <t>76049012642</t>
  </si>
  <si>
    <t>ZATVOR U ŠIBENIKU</t>
  </si>
  <si>
    <t>ZATVOR U ŠIBENIKU (3316)</t>
  </si>
  <si>
    <t>KARLA VIPAUCA 1</t>
  </si>
  <si>
    <t>63458186326</t>
  </si>
  <si>
    <t>ZATVOR U VARAŽDINU</t>
  </si>
  <si>
    <t>ZATVOR U VARAŽDINU (3324)</t>
  </si>
  <si>
    <t>BRAĆE RADIĆA 4</t>
  </si>
  <si>
    <t>81202714807</t>
  </si>
  <si>
    <t>ZATVOR U ZADRU</t>
  </si>
  <si>
    <t>ZATVOR U ZADRU (3332)</t>
  </si>
  <si>
    <t>ZORE DALMATINSKE 1</t>
  </si>
  <si>
    <t>39019469578</t>
  </si>
  <si>
    <t>ZATVOR U ZAGREBU</t>
  </si>
  <si>
    <t>ZATVOR U ZAGREBU (3349)</t>
  </si>
  <si>
    <t>92668153620</t>
  </si>
  <si>
    <t>ZATVORSKA BOLNICA U ZAGREBU</t>
  </si>
  <si>
    <t>ZATVORSKA BOLNICA U ZAGREBU (3148)</t>
  </si>
  <si>
    <t>SVETOŠIMUNSKA 107</t>
  </si>
  <si>
    <t>13812320938</t>
  </si>
  <si>
    <t>VRHOVNI SUD REPUBLIKE HRVATSKE</t>
  </si>
  <si>
    <t>VRHOVNI SUD REPUBLIKE HRVATSKE (3357)</t>
  </si>
  <si>
    <t>TRG NIKOLE ŠUBIĆA ZRINSKOG 3</t>
  </si>
  <si>
    <t>20599635268</t>
  </si>
  <si>
    <t>VISOKI TRGOVAČKI SUD REPUBLIKE HRVATSKE</t>
  </si>
  <si>
    <t>VISOKI TRGOVAČKI SUD REPUBLIKE HRVATSKE (3582)</t>
  </si>
  <si>
    <t>BERISLAVIĆEVA 11</t>
  </si>
  <si>
    <t>97349366519</t>
  </si>
  <si>
    <t>VISOKI UPRAVNI SUD REPUBLIKE HRVATSKE</t>
  </si>
  <si>
    <t>VISOKI UPRAVNI SUD REPUBLIKE HRVATSKE (20639)</t>
  </si>
  <si>
    <t>FRANKOPANSKA 16</t>
  </si>
  <si>
    <t>13613360068</t>
  </si>
  <si>
    <t>UPRAVNI SUD U OSIJEKU</t>
  </si>
  <si>
    <t>UPRAVNI SUD U OSIJEKU (47140)</t>
  </si>
  <si>
    <t>TRG ANTE STARČEVIĆA 7/II</t>
  </si>
  <si>
    <t>03091658132</t>
  </si>
  <si>
    <t>UPRAVNI SUD U RIJECI</t>
  </si>
  <si>
    <t>UPRAVNI SUD U RIJECI (47158)</t>
  </si>
  <si>
    <t>ERAZMA BARČIĆA 5</t>
  </si>
  <si>
    <t>46227608101</t>
  </si>
  <si>
    <t>UPRAVNI SUD U SPLITU</t>
  </si>
  <si>
    <t>UPRAVNI SUD U SPLITU (47203)</t>
  </si>
  <si>
    <t>PUT SUPAVLA 1</t>
  </si>
  <si>
    <t>45765887838</t>
  </si>
  <si>
    <t>UPRAVNI SUD U ZAGREBU</t>
  </si>
  <si>
    <t>UPRAVNI SUD U ZAGREBU (47199)</t>
  </si>
  <si>
    <t>AVENIJA DUBROVNIK 6 i 8</t>
  </si>
  <si>
    <t>65338495447</t>
  </si>
  <si>
    <t>DRŽAVNO ODVJETNIŠTVO REPUBLIKE HRVATSKE</t>
  </si>
  <si>
    <t>DRŽAVNO ODVJETNIŠTVO REPUBLIKE HRVATSKE (3365)</t>
  </si>
  <si>
    <t>GAJEVA 30A</t>
  </si>
  <si>
    <t>43539267895</t>
  </si>
  <si>
    <t>DRŽAVNO ODVJETNIČKO VIJEĆE</t>
  </si>
  <si>
    <t>DRŽAVNO ODVJETNIČKO VIJEĆE (47287)</t>
  </si>
  <si>
    <t>45840051274</t>
  </si>
  <si>
    <t>DRŽAVNO SUDBENO VIJEĆE</t>
  </si>
  <si>
    <t>DRŽAVNO SUDBENO VIJEĆE (47295)</t>
  </si>
  <si>
    <t>ULICA GRADA VUKOVARA 271</t>
  </si>
  <si>
    <t>66951444283</t>
  </si>
  <si>
    <t>VISOKI PREKRŠAJNII SUD REPUBLIKE HRVATSKE</t>
  </si>
  <si>
    <t>VISOKI PREKRŠAJNII SUD REPUBLIKE HRVATSKE (3381)</t>
  </si>
  <si>
    <t>AUGUSTA ŠENOE 30</t>
  </si>
  <si>
    <t>02594920860</t>
  </si>
  <si>
    <t>VISOKI KAZNENI SUD REPUBLIKE HRVATSKE</t>
  </si>
  <si>
    <t>VISOKI KAZNENI SUD REPUBLIKE HRVATSKE (50928)</t>
  </si>
  <si>
    <t>TRG NIKOLE ŠUBIĆA ZRINSKOG 5</t>
  </si>
  <si>
    <t>66513030326</t>
  </si>
  <si>
    <t>ŽUPANIJSKI SUD U BJELOVARU</t>
  </si>
  <si>
    <t>ŽUPANIJSKI SUD U BJELOVARU (20743)</t>
  </si>
  <si>
    <t>JOSIPA JELAČIĆA 1</t>
  </si>
  <si>
    <t>26346076385</t>
  </si>
  <si>
    <t>ŽUPANIJSKI SUD U DUBROVNIKU</t>
  </si>
  <si>
    <t>ŽUPANIJSKI SUD U DUBROVNIKU (3390)</t>
  </si>
  <si>
    <t>DR. A. STARČEVIĆA 23</t>
  </si>
  <si>
    <t>89577096924</t>
  </si>
  <si>
    <t>ŽUPANIJSKI SUD U KARLOVCU</t>
  </si>
  <si>
    <t>ŽUPANIJSKI SUD U KARLOVCU (3412)</t>
  </si>
  <si>
    <t>TRG HRVATSKIH BRANITELJA 1</t>
  </si>
  <si>
    <t>03592261620</t>
  </si>
  <si>
    <t>ŽUPANIJSKI SUD U OSIJEKU</t>
  </si>
  <si>
    <t>ŽUPANIJSKI SUD U OSIJEKU (3429)</t>
  </si>
  <si>
    <t>EUROPSKA AVENIJA 7</t>
  </si>
  <si>
    <t>84896920817</t>
  </si>
  <si>
    <t>ŽUPANIJSKI SUD U PULI - POLA</t>
  </si>
  <si>
    <t>ŽUPANIJSKI SUD U PULI - POLA (3445)</t>
  </si>
  <si>
    <t>KRANJČEVIĆEVA 8/I</t>
  </si>
  <si>
    <t>52000 PULA</t>
  </si>
  <si>
    <t>69281755283</t>
  </si>
  <si>
    <t>ŽUPANIJSKI SUD U RIJECI</t>
  </si>
  <si>
    <t>ŽUPANIJSKI SUD U RIJECI (3453)</t>
  </si>
  <si>
    <t>ŽRTAVA FAŠIZMA 7</t>
  </si>
  <si>
    <t>22883124500</t>
  </si>
  <si>
    <t>ŽUPANIJSKI SUD U SISKU</t>
  </si>
  <si>
    <t>ŽUPANIJSKI SUD U SISKU (3461)</t>
  </si>
  <si>
    <t>TRG LJUDEVITA POSAVSKOG 5</t>
  </si>
  <si>
    <t>27877699046</t>
  </si>
  <si>
    <t>ŽUPANIJSKI SUD U SLAVONSKOM BRODU</t>
  </si>
  <si>
    <t>ŽUPANIJSKI SUD U SLAVONSKOM BRODU (20778)</t>
  </si>
  <si>
    <t>TOME SKALICE 2</t>
  </si>
  <si>
    <t>88717538459</t>
  </si>
  <si>
    <t>ŽUPANIJSKI SUD U SPLITU</t>
  </si>
  <si>
    <t>ŽUPANIJSKI SUD U SPLITU (3470)</t>
  </si>
  <si>
    <t>GUNDULIĆEVA 29/A</t>
  </si>
  <si>
    <t>11748694684</t>
  </si>
  <si>
    <t>ŽUPANIJSKI SUD U ŠIBENIKU</t>
  </si>
  <si>
    <t>ŽUPANIJSKI SUD U ŠIBENIKU (20786)</t>
  </si>
  <si>
    <t>STJEPANA RADIĆA 81</t>
  </si>
  <si>
    <t>88341107822</t>
  </si>
  <si>
    <t>ŽUPANIJSKI SUD U VARAŽDINU</t>
  </si>
  <si>
    <t>ŽUPANIJSKI SUD U VARAŽDINU (3488)</t>
  </si>
  <si>
    <t>03344665749</t>
  </si>
  <si>
    <t>ŽUPANIJSKI SUD U VELIKOJ GORICI</t>
  </si>
  <si>
    <t>ŽUPANIJSKI SUD U VELIKOJ GORICI (23421)</t>
  </si>
  <si>
    <t>ULICA HRVATSKE BRATSKE ZAJEDNICE 1</t>
  </si>
  <si>
    <t>18580057518</t>
  </si>
  <si>
    <t>ŽUPANIJSKI SUD U VUKOVARU</t>
  </si>
  <si>
    <t>ŽUPANIJSKI SUD U VUKOVARU (20809)</t>
  </si>
  <si>
    <t>ŽUPANIJSKA 33</t>
  </si>
  <si>
    <t>92599990351</t>
  </si>
  <si>
    <t>ŽUPANIJSKI SUD U ZADRU</t>
  </si>
  <si>
    <t>ŽUPANIJSKI SUD U ZADRU (3496)</t>
  </si>
  <si>
    <t>PLEMIĆA BORELLI 9</t>
  </si>
  <si>
    <t>97465301721</t>
  </si>
  <si>
    <t>ŽUPANIJSKI SUD U ZAGREBU</t>
  </si>
  <si>
    <t>ŽUPANIJSKI SUD U ZAGREBU (3507)</t>
  </si>
  <si>
    <t>87134069158</t>
  </si>
  <si>
    <t>TRGOVAČKI SUD U BJELOVARU</t>
  </si>
  <si>
    <t>TRGOVAČKI SUD U BJELOVARU (3515)</t>
  </si>
  <si>
    <t>DR. JUŠE LEBOVIĆA 42</t>
  </si>
  <si>
    <t>07942269267</t>
  </si>
  <si>
    <t>TRGOVAČKI SUD U DUBROVNIKU</t>
  </si>
  <si>
    <t>TRGOVAČKI SUD U DUBROVNIKU (50598)</t>
  </si>
  <si>
    <t>DR. ANTE STARČEVIĆA 23</t>
  </si>
  <si>
    <t>01422936</t>
  </si>
  <si>
    <t>74081602357</t>
  </si>
  <si>
    <t>TRGOVAČKI SUD U OSIJEKU</t>
  </si>
  <si>
    <t>TRGOVAČKI SUD U OSIJEKU (3531)</t>
  </si>
  <si>
    <t>ZAGREBAČKA 2</t>
  </si>
  <si>
    <t>37588811552</t>
  </si>
  <si>
    <t>TRGOVAČKI SUD U PAZINU</t>
  </si>
  <si>
    <t>TRGOVAČKI SUD U PAZINU (48752)</t>
  </si>
  <si>
    <t>DRŠĆEVKA 1</t>
  </si>
  <si>
    <t>46543732715</t>
  </si>
  <si>
    <t>TRGOVAČKI SUD U RIJECI</t>
  </si>
  <si>
    <t>TRGOVAČKI SUD U RIJECI (3540)</t>
  </si>
  <si>
    <t>ZADARSKA 1</t>
  </si>
  <si>
    <t>88785964957</t>
  </si>
  <si>
    <t>TRGOVAČKI SUD U SPLITU</t>
  </si>
  <si>
    <t>TRGOVAČKI SUD U SPLITU (3566)</t>
  </si>
  <si>
    <t>SUKOIŠANSKA 6</t>
  </si>
  <si>
    <t>30842297926</t>
  </si>
  <si>
    <t>TRGOVAČKI SUD U VARAŽDINU</t>
  </si>
  <si>
    <t>TRGOVAČKI SUD U VARAŽDINU (3574)</t>
  </si>
  <si>
    <t>420000 VARAŽDIN</t>
  </si>
  <si>
    <t>07397915111</t>
  </si>
  <si>
    <t>TRGOVAČKI SUD U ZADRU</t>
  </si>
  <si>
    <t>TRGOVAČKI SUD U ZADRU (23405)</t>
  </si>
  <si>
    <t>FRANE TUĐMANA 35</t>
  </si>
  <si>
    <t>39670464653</t>
  </si>
  <si>
    <t>TRGOVAČKI SUD U ZAGREBU</t>
  </si>
  <si>
    <t>TRGOVAČKI SUD U ZAGREBU (20735)</t>
  </si>
  <si>
    <t>AMRUŠEVA 2/II</t>
  </si>
  <si>
    <t>37388188772</t>
  </si>
  <si>
    <t>ŽUPANIJSKO DRŽAVNO ODVJETNIŠTVO U BJELOVARU</t>
  </si>
  <si>
    <t>ŽUPANIJSKO DRŽAVNO ODVJETNIŠTVO U BJELOVARU (20647)</t>
  </si>
  <si>
    <t>ŠET. DR. IVŠE LEBOVIĆA 40</t>
  </si>
  <si>
    <t>86821435474</t>
  </si>
  <si>
    <t>ŽUPANIJSKO DRŽAVNO ODVJETNIŠTVO U DUBROVNIKU</t>
  </si>
  <si>
    <t>ŽUPANIJSKO DRŽAVNO ODVJETNIŠTVO U DUBROVNIKU (3599)</t>
  </si>
  <si>
    <t>44737751634</t>
  </si>
  <si>
    <t>ŽUPANIJSKO DRŽAVNO ODVJETNIŠTVO U KARLOVCU</t>
  </si>
  <si>
    <t>ŽUPANIJSKO DRŽAVNO ODVJETNIŠTVO U KARLOVCU (3611)</t>
  </si>
  <si>
    <t>96351974803</t>
  </si>
  <si>
    <t>ŽUPANIJSKO DRŽAVNO ODVJETNIŠTVO U OSIJEKU</t>
  </si>
  <si>
    <t>ŽUPANIJSKO DRŽAVNO ODVJETNIŠTVO U OSIJEKU (3620)</t>
  </si>
  <si>
    <t>KAPUCINSKA 21</t>
  </si>
  <si>
    <t>61379160880</t>
  </si>
  <si>
    <t>ŽUPANIJSKO DRŽAVNO ODVJETNIŠTVO U PULI - POLA</t>
  </si>
  <si>
    <t>ŽUPANIJSKO DRŽAVNO ODVJETNIŠTVO U PULI - POLA (3646)</t>
  </si>
  <si>
    <t>ROVINJSKA 2A</t>
  </si>
  <si>
    <t>93993757343</t>
  </si>
  <si>
    <t>ŽUPANIJSKO DRŽAVNO ODVJETNIŠTVO U RIJECI</t>
  </si>
  <si>
    <t>ŽUPANIJSKO DRŽAVNO ODVJETNIŠTVO U RIJECI (3654)</t>
  </si>
  <si>
    <t>FRANA KURELCA BB</t>
  </si>
  <si>
    <t>03377753055</t>
  </si>
  <si>
    <t>ŽUPANIJSKO DRŽAVNO ODVJETNIŠTVO U SISKU</t>
  </si>
  <si>
    <t>ŽUPANIJSKO DRŽAVNO ODVJETNIŠTVO U SISKU (3662)</t>
  </si>
  <si>
    <t>FERDE HEFELEA 57</t>
  </si>
  <si>
    <t>05526850490</t>
  </si>
  <si>
    <t>ŽUPANIJSKO DRŽAVNO ODVJETNIŠTVO U SLAVONSKOM BRODU</t>
  </si>
  <si>
    <t>ŽUPANIJSKO DRŽAVNO ODVJETNIŠTVO U SLAVONSKOM BRODU (23456)</t>
  </si>
  <si>
    <t>ANTE STARČEVIĆA 40</t>
  </si>
  <si>
    <t>12144806706</t>
  </si>
  <si>
    <t>ŽUPANIJSKO DRŽAVNO ODVJETNIŠTVO U SPLITU</t>
  </si>
  <si>
    <t>ŽUPANIJSKO DRŽAVNO ODVJETNIŠTVO U SPLITU (3679)</t>
  </si>
  <si>
    <t>GUNDULIĆEVA 29A</t>
  </si>
  <si>
    <t>70793241859</t>
  </si>
  <si>
    <t>ŽUPANIJSKO DRŽAVNO ODVJETNIŠTVO U ŠIBENIKU</t>
  </si>
  <si>
    <t>ŽUPANIJSKO DRŽAVNO ODVJETNIŠTVO U ŠIBENIKU (3687)</t>
  </si>
  <si>
    <t>62915793914</t>
  </si>
  <si>
    <t>ŽUPANIJSKO DRŽAVNO ODVJETNIŠTVO U VARAŽDINU</t>
  </si>
  <si>
    <t>ŽUPANIJSKO DRŽAVNO ODVJETNIŠTVO U VARAŽDINU (3695)</t>
  </si>
  <si>
    <t>23987413075</t>
  </si>
  <si>
    <t>ŽUPANIJSKO DRŽAVNO ODVJETNIŠTVO U VELIKOJ GORICI</t>
  </si>
  <si>
    <t>ŽUPANIJSKO DRŽAVNO ODVJETNIŠTVO U VELIKOJ GORICI (23807)</t>
  </si>
  <si>
    <t>ZAGREBAČKA 44</t>
  </si>
  <si>
    <t>96292040276</t>
  </si>
  <si>
    <t>ŽUPANIJSKO DRŽAVNO ODVJETNIŠTVO U VUKOVARU</t>
  </si>
  <si>
    <t>ŽUPANIJSKO DRŽAVNO ODVJETNIŠTVO U VUKOVARU (21949)</t>
  </si>
  <si>
    <t>ANDRIJE HEBRANGA 2</t>
  </si>
  <si>
    <t>81618487055</t>
  </si>
  <si>
    <t>ŽUPANIJSKO DRŽAVNO ODVJETNIŠTVO U ZADRU</t>
  </si>
  <si>
    <t>ŽUPANIJSKO DRŽAVNO ODVJETNIŠTVO U ZADRU (3700)</t>
  </si>
  <si>
    <t>17132768561</t>
  </si>
  <si>
    <t>ŽUPANIJSKO DRŽAVNO ODVJETNIŠTVO U ZAGREBU</t>
  </si>
  <si>
    <t>ŽUPANIJSKO DRŽAVNO ODVJETNIŠTVO U ZAGREBU (3718)</t>
  </si>
  <si>
    <t>SAVSKA CESTA 41 4</t>
  </si>
  <si>
    <t>16488001145</t>
  </si>
  <si>
    <t>OPĆINSKI GRAĐANSKI SUD U ZAGREBU</t>
  </si>
  <si>
    <t>OPĆINSKI GRAĐANSKI SUD U ZAGREBU (42910)</t>
  </si>
  <si>
    <t>ULICA GRADA VUKOVARA 84</t>
  </si>
  <si>
    <t>01252163117</t>
  </si>
  <si>
    <t>OPĆINSKI KAZNENI SUD U ZAGREBU</t>
  </si>
  <si>
    <t>OPĆINSKI KAZNENI SUD U ZAGREBU (42928)</t>
  </si>
  <si>
    <t>ILICA 207</t>
  </si>
  <si>
    <t>64719361972</t>
  </si>
  <si>
    <t>OPĆINSKI PREKRŠAJNI SUD U SPLITU</t>
  </si>
  <si>
    <t>OPĆINSKI PREKRŠAJNI SUD U SPLITU (20622)</t>
  </si>
  <si>
    <t>DOMOVINSKOG RATA 4</t>
  </si>
  <si>
    <t>38198969688</t>
  </si>
  <si>
    <t>OPĆINSKI PREKRŠAJNI SUD U ZAGREBU</t>
  </si>
  <si>
    <t>OPĆINSKI PREKRŠAJNI SUD U ZAGREBU (20454)</t>
  </si>
  <si>
    <t>AVENIJA DUBROVNIK 8</t>
  </si>
  <si>
    <t>95308842799</t>
  </si>
  <si>
    <t>OPĆINSKI RADNI SUD U ZAGREBU</t>
  </si>
  <si>
    <t>OPĆINSKI RADNI SUD U ZAGREBU (46841)</t>
  </si>
  <si>
    <t>04755372979</t>
  </si>
  <si>
    <t>OPĆINSKI SUD U BJELOVARU</t>
  </si>
  <si>
    <t>OPĆINSKI SUD U BJELOVARU (3742)</t>
  </si>
  <si>
    <t>JOSIPA JELAČIĆA 3</t>
  </si>
  <si>
    <t>57362618039</t>
  </si>
  <si>
    <t>OPĆINSKI SUD U CRIKVENICI</t>
  </si>
  <si>
    <t>OPĆINSKI SUD U CRIKVENICI (50514)</t>
  </si>
  <si>
    <t>ULICA KRALJA TOMISLAVA 85A</t>
  </si>
  <si>
    <t>03127320</t>
  </si>
  <si>
    <t>74084245037</t>
  </si>
  <si>
    <t>OPĆINSKI SUD U ČAKOVCU</t>
  </si>
  <si>
    <t>OPĆINSKI SUD U ČAKOVCU (3783)</t>
  </si>
  <si>
    <t>RUĐERA BOŠKOVIĆA 18</t>
  </si>
  <si>
    <t>55277272395</t>
  </si>
  <si>
    <t>OPĆINSKI SUD U DUBROVNIKU</t>
  </si>
  <si>
    <t>OPĆINSKI SUD U DUBROVNIKU (3847)</t>
  </si>
  <si>
    <t>48074464528</t>
  </si>
  <si>
    <t>OPĆINSKI SUD U ĐAKOVU</t>
  </si>
  <si>
    <t>OPĆINSKI SUD U ĐAKOVU (50522)</t>
  </si>
  <si>
    <t>TRG DR. FRANJE TUĐMANA 2</t>
  </si>
  <si>
    <t>03012069</t>
  </si>
  <si>
    <t>18244017371</t>
  </si>
  <si>
    <t>OPĆINSKI SUD U GOSPIĆU</t>
  </si>
  <si>
    <t>OPĆINSKI SUD U GOSPIĆU (3919)</t>
  </si>
  <si>
    <t>TRG ALOJZIJA STEPINCA 3</t>
  </si>
  <si>
    <t>29608777564</t>
  </si>
  <si>
    <t>OPĆINSKI SUD U KARLOVCU</t>
  </si>
  <si>
    <t>OPĆINSKI SUD U KARLOVCU (20892)</t>
  </si>
  <si>
    <t>05541256968</t>
  </si>
  <si>
    <t>OPĆINSKI SUD U KOPRIVNICI</t>
  </si>
  <si>
    <t>OPĆINSKI SUD U KOPRIVNICI (3994)</t>
  </si>
  <si>
    <t>HRVATSKE DRŽAVNOSTI 5</t>
  </si>
  <si>
    <t>68516938975</t>
  </si>
  <si>
    <t>OPĆINSKI SUD U KUTINI</t>
  </si>
  <si>
    <t>OPĆINSKI SUD U KUTINI (50539)</t>
  </si>
  <si>
    <t>HRVATSKIH BRANITELJA 1</t>
  </si>
  <si>
    <t>03319164</t>
  </si>
  <si>
    <t>69359602385</t>
  </si>
  <si>
    <t>OPĆINSKI SUD U MAKARSKOJ</t>
  </si>
  <si>
    <t>OPĆINSKI SUD U MAKARSKOJ (50547)</t>
  </si>
  <si>
    <t>KRALJA PETRA KREŠIMIRA IV. 2</t>
  </si>
  <si>
    <t>03309568</t>
  </si>
  <si>
    <t>10188505675</t>
  </si>
  <si>
    <t>OPĆINSKI SUD U METKOVIĆU</t>
  </si>
  <si>
    <t>OPĆINSKI SUD U METKOVIĆU (50555)</t>
  </si>
  <si>
    <t>ANDRIJE HEBRANGA 9</t>
  </si>
  <si>
    <t>03107957</t>
  </si>
  <si>
    <t>46522572970</t>
  </si>
  <si>
    <t>OPĆINSKI SUD U NOVOM ZAGREBU</t>
  </si>
  <si>
    <t>OPĆINSKI SUD U NOVOM ZAGREBU (48769)</t>
  </si>
  <si>
    <t>TURININA 3</t>
  </si>
  <si>
    <t>87297014856</t>
  </si>
  <si>
    <t>OPĆINSKI SUD U OSIJEKU</t>
  </si>
  <si>
    <t>OPĆINSKI SUD U OSIJEKU (4132)</t>
  </si>
  <si>
    <t>EUROPSKE AVENIJE 7</t>
  </si>
  <si>
    <t>38625793303</t>
  </si>
  <si>
    <t>OPĆINSKI SUD U PAZINU</t>
  </si>
  <si>
    <t>OPĆINSKI SUD U PAZINU (50563)</t>
  </si>
  <si>
    <t>FRANJEVAČKE STUBE 2</t>
  </si>
  <si>
    <t>03089541</t>
  </si>
  <si>
    <t>27672461276</t>
  </si>
  <si>
    <t>OPĆINSKI SUD U POŽEGI</t>
  </si>
  <si>
    <t>OPĆINSKI SUD U POŽEGI (4212)</t>
  </si>
  <si>
    <t>SV. FLORIJANA 2</t>
  </si>
  <si>
    <t>49328464172</t>
  </si>
  <si>
    <t>OPĆINSKI SUD U PULI - POLA</t>
  </si>
  <si>
    <t>OPĆINSKI SUD U PULI - POLA (4237)</t>
  </si>
  <si>
    <t>KRANJČEVIĆEVA 8</t>
  </si>
  <si>
    <t>38304616284</t>
  </si>
  <si>
    <t>OPĆINSKI SUD U RIJECI</t>
  </si>
  <si>
    <t>OPĆINSKI SUD U RIJECI (4253)</t>
  </si>
  <si>
    <t>54566384631</t>
  </si>
  <si>
    <t>OPĆINSKI SUD U SESVETAMA</t>
  </si>
  <si>
    <t>OPĆINSKI SUD U SESVETAMA (50571)</t>
  </si>
  <si>
    <t>ZAGREBAČKA 22, SESVETE</t>
  </si>
  <si>
    <t>10360 SESVETE</t>
  </si>
  <si>
    <t>03389014</t>
  </si>
  <si>
    <t>72931567836</t>
  </si>
  <si>
    <t>OPĆINSKI SUD U SISKU</t>
  </si>
  <si>
    <t>OPĆINSKI SUD U SISKU (4307)</t>
  </si>
  <si>
    <t>74610670107</t>
  </si>
  <si>
    <t>OPĆINSKI SUD U SLAVONSKOM BRODU</t>
  </si>
  <si>
    <t>OPĆINSKI SUD U SLAVONSKOM BRODU (4323)</t>
  </si>
  <si>
    <t>TRG POBJEDE 13</t>
  </si>
  <si>
    <t>28673386029</t>
  </si>
  <si>
    <t>OPĆINSKI SUD U SPLITU</t>
  </si>
  <si>
    <t>OPĆINSKI SUD U SPLITU (21004)</t>
  </si>
  <si>
    <t>GUNDULIĆEVA 29</t>
  </si>
  <si>
    <t>61980608934</t>
  </si>
  <si>
    <t>OPĆINSKI SUD U ŠIBENIKU</t>
  </si>
  <si>
    <t>OPĆINSKI SUD U ŠIBENIKU (4340)</t>
  </si>
  <si>
    <t>29399232217</t>
  </si>
  <si>
    <t>OPĆINSKI SUD U VARAŽDINU</t>
  </si>
  <si>
    <t>OPĆINSKI SUD U VARAŽDINU (4366)</t>
  </si>
  <si>
    <t>14828046348</t>
  </si>
  <si>
    <t>OPĆINSKI SUD U VELIKOJ GORICI</t>
  </si>
  <si>
    <t>OPĆINSKI SUD U VELIKOJ GORICI (4374)</t>
  </si>
  <si>
    <t>TRG KRALJA TOMISLAVA 36</t>
  </si>
  <si>
    <t>32284739479</t>
  </si>
  <si>
    <t>OPĆINSKI SUD U VINKOVCIMA</t>
  </si>
  <si>
    <t>OPĆINSKI SUD U VINKOVCIMA (50580)</t>
  </si>
  <si>
    <t>TRG BANA J. ŠOKČEVIĆA 17</t>
  </si>
  <si>
    <t>03301818</t>
  </si>
  <si>
    <t>77561654785</t>
  </si>
  <si>
    <t>OPĆINSKI SUD U VIROVITICI</t>
  </si>
  <si>
    <t>OPĆINSKI SUD U VIROVITICI (4399)</t>
  </si>
  <si>
    <t>MASARYKOVA 8</t>
  </si>
  <si>
    <t>47974453918</t>
  </si>
  <si>
    <t>OPĆINSKI SUD U VUKOVARU</t>
  </si>
  <si>
    <t>OPĆINSKI SUD U VUKOVARU (4420)</t>
  </si>
  <si>
    <t>ŽUPANIJSKA 31</t>
  </si>
  <si>
    <t>69370038985</t>
  </si>
  <si>
    <t>OPĆINSKI SUD U ZADRU</t>
  </si>
  <si>
    <t>OPĆINSKI SUD U ZADRU (4446)</t>
  </si>
  <si>
    <t>78866932443</t>
  </si>
  <si>
    <t>OPĆINSKI SUD U ZLATARU</t>
  </si>
  <si>
    <t>OPĆINSKI SUD U ZLATARU (4462)</t>
  </si>
  <si>
    <t>TRG SLOBODE 14A</t>
  </si>
  <si>
    <t>49250 ZLATAR</t>
  </si>
  <si>
    <t>26566866925</t>
  </si>
  <si>
    <t>OPĆINSKO DRŽAVNO ODVJETNIŠTVO U BJELOVARU</t>
  </si>
  <si>
    <t>OPĆINSKO DRŽAVNO ODVJETNIŠTVO U BJELOVARU (4500)</t>
  </si>
  <si>
    <t>57370630720</t>
  </si>
  <si>
    <t>OPĆINSKO DRŽAVNO ODVJETNIŠTVO U ČAKOVCU</t>
  </si>
  <si>
    <t>OPĆINSKO DRŽAVNO ODVJETNIŠTVO U ČAKOVCU (4526)</t>
  </si>
  <si>
    <t>35997508988</t>
  </si>
  <si>
    <t>OPĆINSKO DRŽAVNO ODVJETNIŠTVO U DUBROVNIKU</t>
  </si>
  <si>
    <t>OPĆINSKO DRŽAVNO ODVJETNIŠTVO U DUBROVNIKU (4567)</t>
  </si>
  <si>
    <t>29897835912</t>
  </si>
  <si>
    <t>OPĆINSKO DRŽAVNO ODVJETNIŠTVO U GOSPIĆU</t>
  </si>
  <si>
    <t>OPĆINSKO DRŽAVNO ODVJETNIŠTVO U GOSPIĆU (4606)</t>
  </si>
  <si>
    <t>72336759011</t>
  </si>
  <si>
    <t>OPĆINSKO DRŽAVNO ODVJETNIŠTVO U KARLOVCU</t>
  </si>
  <si>
    <t>OPĆINSKO DRŽAVNO ODVJETNIŠTVO U KARLOVCU (20270)</t>
  </si>
  <si>
    <t>69488952897</t>
  </si>
  <si>
    <t>OPĆINSKO DRŽAVNO ODVJETNIŠTVO U KOPRIVNICI</t>
  </si>
  <si>
    <t>OPĆINSKO DRŽAVNO ODVJETNIŠTVO U KOPRIVNICI (4655)</t>
  </si>
  <si>
    <t>HRVATSKE DRŽAVNOSTI 5A</t>
  </si>
  <si>
    <t>32308927283</t>
  </si>
  <si>
    <t>OPĆINSKO DRŽAVNO ODVJETNIŠTVO U METKOVIĆU</t>
  </si>
  <si>
    <t>OPĆINSKO DRŽAVNO ODVJETNIŠTVO U METKOVIĆU (50483)</t>
  </si>
  <si>
    <t>03107965</t>
  </si>
  <si>
    <t>09719135686</t>
  </si>
  <si>
    <t>OPĆINSKO DRŽAVNO ODVJETNIŠTVO U NOVOM ZAGREBU</t>
  </si>
  <si>
    <t>OPĆINSKO DRŽAVNO ODVJETNIŠTVO U NOVOM ZAGREBU (48785)</t>
  </si>
  <si>
    <t>22739488071</t>
  </si>
  <si>
    <t>OPĆINSKO DRŽAVNO ODVJETNIŠTVO U OSIJEKU</t>
  </si>
  <si>
    <t>OPĆINSKO DRŽAVNO ODVJETNIŠTVO U OSIJEKU (4760)</t>
  </si>
  <si>
    <t>ULICA HRVATSKE REPUBLIKE 43</t>
  </si>
  <si>
    <t>23673736199</t>
  </si>
  <si>
    <t>OPĆINSKO DRŽAVNO ODVJETNIŠTVO U PAZINU</t>
  </si>
  <si>
    <t>OPĆINSKO DRŽAVNO ODVJETNIŠTVO U PAZINU (50491)</t>
  </si>
  <si>
    <t>NARODNOG DOMA 2B</t>
  </si>
  <si>
    <t>03374572</t>
  </si>
  <si>
    <t>44887120463</t>
  </si>
  <si>
    <t>OPĆINSKO DRŽAVNO ODVJETNIŠTVO U POŽEGI</t>
  </si>
  <si>
    <t>OPĆINSKO DRŽAVNO ODVJETNIŠTVO U POŽEGI (4809)</t>
  </si>
  <si>
    <t>25760780719</t>
  </si>
  <si>
    <t>OPĆINSKO DRŽAVNO ODVJETNIŠTVO U PULI - POLA</t>
  </si>
  <si>
    <t>OPĆINSKO DRŽAVNO ODVJETNIŠTVO U PULI - POLA (4817)</t>
  </si>
  <si>
    <t>76040308062</t>
  </si>
  <si>
    <t>OPĆINSKO DRŽAVNO ODVJETNIŠTVO U RIJECI</t>
  </si>
  <si>
    <t>OPĆINSKO DRŽAVNO ODVJETNIŠTVO U RIJECI (4825)</t>
  </si>
  <si>
    <t>FRANA SUPILA 16</t>
  </si>
  <si>
    <t>79067711474</t>
  </si>
  <si>
    <t>OPĆINSKO DRŽAVNO ODVJETNIŠTVO U SISKU</t>
  </si>
  <si>
    <t>OPĆINSKO DRŽAVNO ODVJETNIŠTVO U SISKU (4868)</t>
  </si>
  <si>
    <t>85077656753</t>
  </si>
  <si>
    <t>OPĆINSKO DRŽAVNO ODVJETNIŠTVO U SLAVONSKOM BRODU</t>
  </si>
  <si>
    <t>OPĆINSKO DRŽAVNO ODVJETNIŠTVO U SLAVONSKOM BRODU (4876)</t>
  </si>
  <si>
    <t>TRG POBJEDE 7</t>
  </si>
  <si>
    <t>86687204743</t>
  </si>
  <si>
    <t>OPĆINSKO DRŽAVNO ODVJETNIŠTVO U SPLITU</t>
  </si>
  <si>
    <t>OPĆINSKO DRŽAVNO ODVJETNIŠTVO U SPLITU (4884)</t>
  </si>
  <si>
    <t>IVANA GUNDULIĆA 29A</t>
  </si>
  <si>
    <t>88116062296</t>
  </si>
  <si>
    <t>OPĆINSKO DRŽAVNO ODVJETNIŠTVO U ŠIBENIKU</t>
  </si>
  <si>
    <t>OPĆINSKO DRŽAVNO ODVJETNIŠTVO U ŠIBENIKU (4892)</t>
  </si>
  <si>
    <t>S. RADIĆA 81</t>
  </si>
  <si>
    <t>83225778075</t>
  </si>
  <si>
    <t>OPĆINSKO DRŽAVNO ODVJETNIŠTVO U VARAŽDINU</t>
  </si>
  <si>
    <t>OPĆINSKO DRŽAVNO ODVJETNIŠTVO U VARAŽDINU (4913)</t>
  </si>
  <si>
    <t>KRATKA 1</t>
  </si>
  <si>
    <t>95993665997</t>
  </si>
  <si>
    <t>OPĆINSKO DRŽAVNO ODVJETNIŠTVO U VELIKOJ GORICI</t>
  </si>
  <si>
    <t>OPĆINSKO DRŽAVNO ODVJETNIŠTVO U VELIKOJ GORICI (4921)</t>
  </si>
  <si>
    <t>85707330778</t>
  </si>
  <si>
    <t>OPĆINSKO DRŽAVNO ODVJETNIŠTVO U VINKOVCIMA</t>
  </si>
  <si>
    <t>OPĆINSKO DRŽAVNO ODVJETNIŠTVO U VINKOVCIMA (50506)</t>
  </si>
  <si>
    <t>03301826</t>
  </si>
  <si>
    <t>68615020157</t>
  </si>
  <si>
    <t>OPĆINSKO DRŽAVNO ODVJETNIŠTVO U VIROVITICI</t>
  </si>
  <si>
    <t>OPĆINSKO DRŽAVNO ODVJETNIŠTVO U VIROVITICI (4948)</t>
  </si>
  <si>
    <t>MASARYKOVA 1</t>
  </si>
  <si>
    <t>62300321754</t>
  </si>
  <si>
    <t>OPĆINSKO DRŽAVNO ODVJETNIŠTVO U VUKOVARU</t>
  </si>
  <si>
    <t>OPĆINSKO DRŽAVNO ODVJETNIŠTVO U VUKOVARU (4956)</t>
  </si>
  <si>
    <t>41070350826</t>
  </si>
  <si>
    <t>OPĆINSKO DRŽAVNO ODVJETNIŠTVO U ZADRU</t>
  </si>
  <si>
    <t>OPĆINSKO DRŽAVNO ODVJETNIŠTVO U ZADRU (4972)</t>
  </si>
  <si>
    <t>DR. FRANJE TUĐMANA 35</t>
  </si>
  <si>
    <t>72580451114</t>
  </si>
  <si>
    <t>OPĆINSKO KAZNENO DRŽAVNO ODVJETNIŠTVO U ZAGREBU</t>
  </si>
  <si>
    <t>OPĆINSKO KAZNENO DRŽAVNO ODVJETNIŠTVO U ZAGREBU (4989)</t>
  </si>
  <si>
    <t>SELSKA CESTA 2</t>
  </si>
  <si>
    <t>96423371665</t>
  </si>
  <si>
    <t>OPĆINSKO DRŽAVNO ODVJETNIŠTVO U ZLATARU</t>
  </si>
  <si>
    <t>OPĆINSKO DRŽAVNO ODVJETNIŠTVO U ZLATARU (4997)</t>
  </si>
  <si>
    <t>11393950527</t>
  </si>
  <si>
    <t>OPĆINSKO GRAĐANSKO DRŽAVNO ODVJETNIŠTVO U ZAGREBU</t>
  </si>
  <si>
    <t>OPĆINSKO GRAĐANSKO DRŽAVNO ODVJETNIŠTVO U ZAGREBU (52356)</t>
  </si>
  <si>
    <t>SLAVONSKA AVENIJA 6</t>
  </si>
  <si>
    <t>89381255328</t>
  </si>
  <si>
    <t xml:space="preserve">DRŽAVNO ODVJETNIŠTVO URED ZA SUZBIJANJE KORUPCIJE I ORGANIZIRANOG KRIMINALITETA </t>
  </si>
  <si>
    <t>DRŽAVNO ODVJETNIŠTVO URED ZA SUZBIJANJE KORUPCIJE I ORGANIZIRANOG KRIMINALITETA  (23649)</t>
  </si>
  <si>
    <t>VLAŠKA 116</t>
  </si>
  <si>
    <t>32807825145</t>
  </si>
  <si>
    <t>DRŽAVNA ŠKOLA ZA JAVNU UPRAVU</t>
  </si>
  <si>
    <t>DRŽAVNA ŠKOLA ZA JAVNU UPRAVU (46420)</t>
  </si>
  <si>
    <t>MEDULIĆEVA 36</t>
  </si>
  <si>
    <t>01681646554</t>
  </si>
  <si>
    <t>URED PUČKOG PRAVOBRANITELJA</t>
  </si>
  <si>
    <t>URED PUČKOG PRAVOBRANITELJA (6040)</t>
  </si>
  <si>
    <t>TRG HRVATSKIH VELIKANA 6</t>
  </si>
  <si>
    <t>08026537914</t>
  </si>
  <si>
    <t>PRAVOBRANITELJ ZA DJECU</t>
  </si>
  <si>
    <t>PRAVOBRANITELJ ZA DJECU (24027)</t>
  </si>
  <si>
    <t>NIKOLE TESLE 10</t>
  </si>
  <si>
    <t>71628985886</t>
  </si>
  <si>
    <t>PRAVOBRANITELJ/ICA ZA RAVNOPRAVNOST SPOLOVA</t>
  </si>
  <si>
    <t>PRAVOBRANITELJ/ICA ZA RAVNOPRAVNOST SPOLOVA (24060)</t>
  </si>
  <si>
    <t>PREOBRAŽENSKA 4</t>
  </si>
  <si>
    <t>18164416576</t>
  </si>
  <si>
    <t>PRAVOBRANITELJICA ZA OSOBE S INVALIDITETOM</t>
  </si>
  <si>
    <t>PRAVOBRANITELJICA ZA OSOBE S INVALIDITETOM (43564)</t>
  </si>
  <si>
    <t>SAVSKA CESTA 41/3</t>
  </si>
  <si>
    <t>39572892750</t>
  </si>
  <si>
    <t>DRŽAVNI ZAVOD ZA STATISTIKU</t>
  </si>
  <si>
    <t>DRŽAVNI ZAVOD ZA STATISTIKU (6099)</t>
  </si>
  <si>
    <t>ILICA 3</t>
  </si>
  <si>
    <t>49337502853</t>
  </si>
  <si>
    <t>DRŽAVNI URED ZA REVIZIJU</t>
  </si>
  <si>
    <t>DRŽAVNI URED ZA REVIZIJU (6138)</t>
  </si>
  <si>
    <t xml:space="preserve">TKALČIĆEVA 19 </t>
  </si>
  <si>
    <t>55448281176</t>
  </si>
  <si>
    <t>DRŽAVNA KOMISIJA ZA KONTROLU POSTUPAKA JAVNE NABAVE</t>
  </si>
  <si>
    <t>DRŽAVNA KOMISIJA ZA KONTROLU POSTUPAKA JAVNE NABAVE (24094)</t>
  </si>
  <si>
    <t>KOTURAŠKA 43/4</t>
  </si>
  <si>
    <t>95857869241</t>
  </si>
  <si>
    <t>DRŽAVNI INSPEKTORAT</t>
  </si>
  <si>
    <t>DRŽAVNI INSPEKTORAT (50709)</t>
  </si>
  <si>
    <t>ŠUBIĆEVA 29</t>
  </si>
  <si>
    <t>33706439962</t>
  </si>
  <si>
    <t>URED VIJEĆA ZA NACIONALNU SIGURNOST</t>
  </si>
  <si>
    <t>URED VIJEĆA ZA NACIONALNU SIGURNOST (23987)</t>
  </si>
  <si>
    <t>JURJEVSKA 34</t>
  </si>
  <si>
    <t>35550098638</t>
  </si>
  <si>
    <t>OPERATIVNO-TEHNIČKI CENTAR ZA NADZOR TELEKOMUNIKACIJA</t>
  </si>
  <si>
    <t>OPERATIVNO-TEHNIČKI CENTAR ZA NADZOR TELEKOMUNIKACIJA (42750)</t>
  </si>
  <si>
    <t>ZVONIMIROVA 4</t>
  </si>
  <si>
    <t>24069425282</t>
  </si>
  <si>
    <t>ZAVOD ZA SIGURNOST INFORMACIJSKIH SUSTAVA</t>
  </si>
  <si>
    <t>ZAVOD ZA SIGURNOST INFORMACIJSKIH SUSTAVA (42768)</t>
  </si>
  <si>
    <t>FRA FILIPA GRABOVCA 3</t>
  </si>
  <si>
    <t>43612062527</t>
  </si>
  <si>
    <t>AGENCIJA ZA ZAŠTITU OSOBNIH PODATAKA</t>
  </si>
  <si>
    <t>AGENCIJA ZA ZAŠTITU OSOBNIH PODATAKA (25860)</t>
  </si>
  <si>
    <t>SELSKA CESTA 136</t>
  </si>
  <si>
    <t>28454963989</t>
  </si>
  <si>
    <t>POVJERENIK ZA INFORMIRANJE</t>
  </si>
  <si>
    <t>POVJERENIK ZA INFORMIRANJE (48226)</t>
  </si>
  <si>
    <t>TRG ŽRTAVA FAŠIZMA 3</t>
  </si>
  <si>
    <t>*Sukladno čl. 2. st. 4. Pravilnika o proračunskom računovodstvu i Računskom planu (Narodne novine, broj 124/14, 115/15, 87/16, 3/18, 126/19 i 108/20) za potrebe računovodstvenih i drugih proračunskih evidencija i izvještaja Hrvatski zavod za zapošljavanje smatra se izvanproračunskim korisnikom.</t>
  </si>
  <si>
    <t>UMTMS ERASMUS+</t>
  </si>
  <si>
    <t>ATLANTIS HORIZON2020</t>
  </si>
  <si>
    <t>MASK ERASMUS+</t>
  </si>
  <si>
    <t xml:space="preserve">FESTIVAL ZNANOSTI BLUE CONNECT </t>
  </si>
  <si>
    <t>BIP LJETNA ŠKOLA ERASMUS+</t>
  </si>
  <si>
    <t>Rijeka, 6.12.2023.</t>
  </si>
  <si>
    <t>Vladimirka Telenta, dipl.oec.</t>
  </si>
  <si>
    <t>vladimirka.telenta@uniri.hr</t>
  </si>
  <si>
    <t>Zatezne kamate iz obveznih odnosa - drugo</t>
  </si>
  <si>
    <t>AUTORITA. SISTEMA PORTUALE DEL MARE, Italija</t>
  </si>
  <si>
    <t>Strojarski fakultet Sveučilišta u Ljubljani</t>
  </si>
  <si>
    <t>31.12.2026.</t>
  </si>
  <si>
    <t>Sveučilište u Tesaliji</t>
  </si>
  <si>
    <t>01.09.2022.</t>
  </si>
  <si>
    <t>31.08.2025.</t>
  </si>
  <si>
    <t>O.M. Offshore Monitoring s Cipra</t>
  </si>
  <si>
    <t>Sveučiliše u Rijeci</t>
  </si>
  <si>
    <t>30.12.2024.</t>
  </si>
  <si>
    <t>Engineering Ingeneria Informatica S.P.A</t>
  </si>
  <si>
    <t>01.10.2023.</t>
  </si>
  <si>
    <t>30.09.2025.</t>
  </si>
  <si>
    <t>EMFAF-2023-BlueCareers NEXT BLUE GENERATION</t>
  </si>
  <si>
    <t>01.09.2023.</t>
  </si>
  <si>
    <t>31.08.2026.</t>
  </si>
  <si>
    <t>Sea Tech S.L. iz Španjolske</t>
  </si>
  <si>
    <t>01.11.2022.</t>
  </si>
  <si>
    <t>01.11.2024.</t>
  </si>
  <si>
    <t>01.06.2023.</t>
  </si>
  <si>
    <t>DigiMare Erasmus+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</si>
</sst>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&quot;.&quot;"/>
    <numFmt numFmtId="165" formatCode="00000000"/>
    <numFmt numFmtId="166" formatCode="&quot;kn&quot;#,##0.00_);[Red]\(&quot;kn&quot;#,##0.00\)"/>
    <numFmt numFmtId="167" formatCode="&quot;- &quot;@"/>
    <numFmt numFmtId="168" formatCode="#,##0_ ;\-#,##0\ "/>
    <numFmt numFmtId="169" formatCode="&quot;+ &quot;@"/>
  </numFmts>
  <fonts count="63"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Open Sans"/>
    </font>
    <font>
      <b/>
      <sz val="10"/>
      <color indexed="8"/>
      <name val="Open Sans"/>
      <charset val="238"/>
    </font>
    <font>
      <sz val="10"/>
      <color indexed="8"/>
      <name val="Open Sans"/>
    </font>
    <font>
      <sz val="11"/>
      <color indexed="8"/>
      <name val="Calibri"/>
      <family val="2"/>
      <charset val="238"/>
    </font>
    <font>
      <b/>
      <sz val="10"/>
      <color indexed="56"/>
      <name val="Calibri"/>
      <family val="2"/>
      <charset val="238"/>
    </font>
    <font>
      <sz val="10"/>
      <color indexed="56"/>
      <name val="Calibri"/>
      <family val="2"/>
      <charset val="238"/>
    </font>
    <font>
      <b/>
      <sz val="10"/>
      <color indexed="10"/>
      <name val="Calibri"/>
      <family val="2"/>
      <charset val="238"/>
    </font>
    <font>
      <sz val="10"/>
      <name val="Tahoma"/>
      <family val="2"/>
      <charset val="238"/>
    </font>
    <font>
      <sz val="9"/>
      <name val="Arial"/>
      <family val="2"/>
      <charset val="238"/>
    </font>
    <font>
      <b/>
      <sz val="11"/>
      <color indexed="10"/>
      <name val="Calibri"/>
      <family val="2"/>
      <charset val="238"/>
    </font>
    <font>
      <sz val="10"/>
      <color indexed="8"/>
      <name val="MS Sans Serif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name val="Calibri"/>
      <family val="2"/>
      <charset val="238"/>
    </font>
    <font>
      <sz val="9"/>
      <color rgb="FFFF0000"/>
      <name val="Arial"/>
      <family val="2"/>
      <charset val="238"/>
    </font>
    <font>
      <sz val="10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name val="Calibri"/>
      <family val="2"/>
      <charset val="238"/>
    </font>
    <font>
      <b/>
      <sz val="16"/>
      <color theme="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8"/>
      <name val="Arial"/>
      <family val="2"/>
    </font>
    <font>
      <b/>
      <sz val="8"/>
      <color indexed="9"/>
      <name val="Arial"/>
      <family val="2"/>
      <charset val="238"/>
    </font>
    <font>
      <b/>
      <sz val="10"/>
      <color theme="7"/>
      <name val="Arial"/>
      <family val="2"/>
      <charset val="238"/>
    </font>
    <font>
      <b/>
      <sz val="11"/>
      <color rgb="FFFFC000"/>
      <name val="Calibri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theme="1"/>
      <name val="Calibri"/>
      <family val="2"/>
      <charset val="238"/>
    </font>
    <font>
      <sz val="8"/>
      <color rgb="FFFF0000"/>
      <name val="Arial"/>
      <family val="2"/>
      <charset val="238"/>
    </font>
    <font>
      <sz val="10"/>
      <name val="Arial"/>
      <family val="2"/>
      <charset val="238"/>
    </font>
    <font>
      <sz val="8"/>
      <color rgb="FFFF0000"/>
      <name val="Arial"/>
      <family val="2"/>
    </font>
    <font>
      <sz val="10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b/>
      <sz val="10"/>
      <color theme="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name val="Calibri"/>
      <family val="2"/>
      <charset val="238"/>
    </font>
    <font>
      <b/>
      <sz val="16"/>
      <color indexed="62"/>
      <name val="Calibri"/>
      <family val="2"/>
      <charset val="238"/>
    </font>
    <font>
      <b/>
      <sz val="10"/>
      <color indexed="62"/>
      <name val="Calibri"/>
      <family val="2"/>
      <charset val="238"/>
    </font>
    <font>
      <b/>
      <sz val="10"/>
      <color theme="0" tint="-4.9989318521683403E-2"/>
      <name val="Calibri"/>
      <family val="2"/>
      <charset val="238"/>
    </font>
    <font>
      <i/>
      <sz val="10"/>
      <color indexed="8"/>
      <name val="Calibri"/>
      <family val="2"/>
      <charset val="238"/>
    </font>
    <font>
      <b/>
      <sz val="9.85"/>
      <color indexed="8"/>
      <name val="Calibri"/>
      <family val="2"/>
      <charset val="238"/>
    </font>
    <font>
      <sz val="9.85"/>
      <color indexed="8"/>
      <name val="Calibri"/>
      <family val="2"/>
      <charset val="238"/>
    </font>
    <font>
      <b/>
      <i/>
      <sz val="10"/>
      <color indexed="8"/>
      <name val="Calibri"/>
      <family val="2"/>
      <charset val="238"/>
    </font>
    <font>
      <b/>
      <i/>
      <sz val="10"/>
      <name val="Calibri"/>
      <family val="2"/>
      <charset val="238"/>
    </font>
    <font>
      <b/>
      <i/>
      <sz val="10"/>
      <color indexed="8"/>
      <name val="MS Sans Serif"/>
      <charset val="238"/>
    </font>
    <font>
      <i/>
      <sz val="10"/>
      <color indexed="8"/>
      <name val="MS Sans Serif"/>
      <charset val="238"/>
    </font>
    <font>
      <b/>
      <sz val="12"/>
      <color indexed="9"/>
      <name val="Calibri"/>
      <family val="2"/>
      <charset val="238"/>
    </font>
    <font>
      <b/>
      <sz val="15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6"/>
      <name val="Arial"/>
      <family val="2"/>
      <charset val="238"/>
    </font>
    <font>
      <sz val="10"/>
      <color indexed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indexed="49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bgColor auto="1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4"/>
      </patternFill>
    </fill>
    <fill>
      <patternFill patternType="solid">
        <fgColor indexed="41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double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/>
      <top style="double">
        <color indexed="8"/>
      </top>
      <bottom/>
      <diagonal/>
    </border>
  </borders>
  <cellStyleXfs count="23">
    <xf numFmtId="0" fontId="0" fillId="0" borderId="0"/>
    <xf numFmtId="0" fontId="4" fillId="0" borderId="0"/>
    <xf numFmtId="0" fontId="11" fillId="0" borderId="0"/>
    <xf numFmtId="0" fontId="14" fillId="0" borderId="0"/>
    <xf numFmtId="0" fontId="11" fillId="0" borderId="0"/>
    <xf numFmtId="4" fontId="25" fillId="7" borderId="18" applyNumberFormat="0" applyProtection="0">
      <alignment horizontal="left" vertical="center" indent="1" justifyLastLine="1"/>
    </xf>
    <xf numFmtId="4" fontId="25" fillId="7" borderId="18" applyNumberFormat="0" applyProtection="0">
      <alignment horizontal="left" vertical="center" indent="1" justifyLastLine="1"/>
    </xf>
    <xf numFmtId="4" fontId="25" fillId="0" borderId="18" applyNumberFormat="0" applyProtection="0">
      <alignment horizontal="right" vertical="center"/>
    </xf>
    <xf numFmtId="0" fontId="34" fillId="0" borderId="0"/>
    <xf numFmtId="0" fontId="37" fillId="10" borderId="21" applyNumberFormat="0" applyProtection="0">
      <alignment horizontal="left" vertical="center" wrapText="1" indent="1"/>
    </xf>
    <xf numFmtId="0" fontId="25" fillId="12" borderId="18" applyNumberFormat="0" applyProtection="0">
      <alignment horizontal="left" vertical="center" indent="1" justifyLastLine="1"/>
    </xf>
    <xf numFmtId="4" fontId="25" fillId="7" borderId="18" applyNumberFormat="0" applyProtection="0">
      <alignment horizontal="left" vertical="center" indent="1"/>
    </xf>
    <xf numFmtId="4" fontId="25" fillId="7" borderId="18" applyNumberFormat="0" applyProtection="0">
      <alignment horizontal="left" vertical="center" indent="1"/>
    </xf>
    <xf numFmtId="0" fontId="34" fillId="0" borderId="0"/>
    <xf numFmtId="0" fontId="34" fillId="0" borderId="0"/>
    <xf numFmtId="0" fontId="34" fillId="0" borderId="0"/>
    <xf numFmtId="0" fontId="25" fillId="19" borderId="18" applyNumberFormat="0" applyProtection="0">
      <alignment horizontal="left" vertical="center" indent="1" justifyLastLine="1"/>
    </xf>
    <xf numFmtId="0" fontId="25" fillId="21" borderId="18" applyNumberFormat="0" applyProtection="0">
      <alignment horizontal="left" vertical="center" indent="1" justifyLastLine="1"/>
    </xf>
    <xf numFmtId="0" fontId="25" fillId="22" borderId="18" applyNumberFormat="0" applyProtection="0">
      <alignment horizontal="left" vertical="center" indent="1" justifyLastLine="1"/>
    </xf>
    <xf numFmtId="0" fontId="1" fillId="0" borderId="1" applyNumberFormat="0" applyFill="0" applyAlignment="0" applyProtection="0"/>
    <xf numFmtId="0" fontId="37" fillId="0" borderId="0"/>
    <xf numFmtId="0" fontId="11" fillId="0" borderId="0"/>
    <xf numFmtId="0" fontId="62" fillId="0" borderId="0" applyNumberFormat="0" applyFill="0" applyBorder="0" applyAlignment="0" applyProtection="0"/>
  </cellStyleXfs>
  <cellXfs count="315">
    <xf numFmtId="0" fontId="0" fillId="0" borderId="0" xfId="0"/>
    <xf numFmtId="0" fontId="5" fillId="0" borderId="0" xfId="1" applyFont="1"/>
    <xf numFmtId="0" fontId="6" fillId="0" borderId="0" xfId="1" applyFont="1"/>
    <xf numFmtId="0" fontId="7" fillId="0" borderId="0" xfId="1" applyFont="1" applyAlignment="1">
      <alignment vertical="center"/>
    </xf>
    <xf numFmtId="0" fontId="8" fillId="2" borderId="2" xfId="1" applyFont="1" applyFill="1" applyBorder="1" applyAlignment="1">
      <alignment horizontal="left" vertical="center" wrapText="1"/>
    </xf>
    <xf numFmtId="0" fontId="8" fillId="2" borderId="6" xfId="1" applyFont="1" applyFill="1" applyBorder="1" applyAlignment="1">
      <alignment horizontal="left" vertical="center" wrapText="1"/>
    </xf>
    <xf numFmtId="0" fontId="10" fillId="0" borderId="0" xfId="1" applyFont="1" applyAlignment="1">
      <alignment vertical="center"/>
    </xf>
    <xf numFmtId="0" fontId="12" fillId="3" borderId="10" xfId="2" applyFont="1" applyFill="1" applyBorder="1" applyAlignment="1">
      <alignment horizontal="center" vertical="center"/>
    </xf>
    <xf numFmtId="0" fontId="12" fillId="3" borderId="11" xfId="2" applyFont="1" applyFill="1" applyBorder="1" applyAlignment="1">
      <alignment horizontal="center" vertical="center"/>
    </xf>
    <xf numFmtId="0" fontId="13" fillId="0" borderId="0" xfId="1" applyFont="1" applyAlignment="1">
      <alignment vertical="center"/>
    </xf>
    <xf numFmtId="164" fontId="12" fillId="0" borderId="12" xfId="0" applyNumberFormat="1" applyFont="1" applyBorder="1" applyAlignment="1">
      <alignment horizontal="center" vertical="center"/>
    </xf>
    <xf numFmtId="1" fontId="12" fillId="0" borderId="13" xfId="0" applyNumberFormat="1" applyFont="1" applyBorder="1" applyAlignment="1">
      <alignment horizontal="right" vertical="center"/>
    </xf>
    <xf numFmtId="0" fontId="12" fillId="0" borderId="13" xfId="0" applyFont="1" applyBorder="1" applyAlignment="1">
      <alignment horizontal="left" vertical="center"/>
    </xf>
    <xf numFmtId="0" fontId="12" fillId="0" borderId="13" xfId="0" applyFont="1" applyBorder="1" applyAlignment="1">
      <alignment vertical="center"/>
    </xf>
    <xf numFmtId="165" fontId="12" fillId="0" borderId="13" xfId="0" applyNumberFormat="1" applyFont="1" applyBorder="1" applyAlignment="1">
      <alignment horizontal="left" vertical="center"/>
    </xf>
    <xf numFmtId="165" fontId="12" fillId="0" borderId="13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49" fontId="12" fillId="3" borderId="10" xfId="3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/>
    </xf>
    <xf numFmtId="0" fontId="15" fillId="0" borderId="0" xfId="1" applyFont="1" applyAlignment="1">
      <alignment horizontal="center" vertical="center" wrapText="1"/>
    </xf>
    <xf numFmtId="0" fontId="12" fillId="3" borderId="13" xfId="3" applyFont="1" applyFill="1" applyBorder="1" applyAlignment="1">
      <alignment horizontal="left" vertical="center"/>
    </xf>
    <xf numFmtId="0" fontId="16" fillId="0" borderId="0" xfId="1" applyFont="1" applyAlignment="1">
      <alignment horizontal="center" vertical="center" wrapText="1"/>
    </xf>
    <xf numFmtId="0" fontId="16" fillId="0" borderId="0" xfId="1" applyFont="1" applyAlignment="1">
      <alignment horizontal="left" vertical="center" wrapText="1"/>
    </xf>
    <xf numFmtId="0" fontId="0" fillId="0" borderId="0" xfId="0" applyAlignment="1">
      <alignment horizontal="right"/>
    </xf>
    <xf numFmtId="0" fontId="17" fillId="4" borderId="15" xfId="1" applyFont="1" applyFill="1" applyBorder="1" applyAlignment="1">
      <alignment horizontal="center" vertical="center" wrapText="1"/>
    </xf>
    <xf numFmtId="0" fontId="18" fillId="0" borderId="16" xfId="1" applyFont="1" applyBorder="1" applyAlignment="1">
      <alignment horizontal="left" vertical="center" wrapText="1"/>
    </xf>
    <xf numFmtId="3" fontId="16" fillId="5" borderId="16" xfId="1" applyNumberFormat="1" applyFont="1" applyFill="1" applyBorder="1" applyAlignment="1">
      <alignment horizontal="right" vertical="center" wrapText="1"/>
    </xf>
    <xf numFmtId="3" fontId="7" fillId="0" borderId="0" xfId="1" applyNumberFormat="1" applyFont="1" applyAlignment="1">
      <alignment vertical="center"/>
    </xf>
    <xf numFmtId="0" fontId="18" fillId="0" borderId="16" xfId="1" applyFont="1" applyBorder="1" applyAlignment="1">
      <alignment horizontal="center" vertical="center" wrapText="1"/>
    </xf>
    <xf numFmtId="3" fontId="16" fillId="0" borderId="16" xfId="1" applyNumberFormat="1" applyFont="1" applyBorder="1" applyAlignment="1">
      <alignment horizontal="right" vertical="center"/>
    </xf>
    <xf numFmtId="0" fontId="18" fillId="0" borderId="16" xfId="1" applyFont="1" applyBorder="1" applyAlignment="1">
      <alignment horizontal="left" vertical="center"/>
    </xf>
    <xf numFmtId="0" fontId="18" fillId="0" borderId="16" xfId="1" applyFont="1" applyBorder="1" applyAlignment="1">
      <alignment horizontal="center" vertical="center"/>
    </xf>
    <xf numFmtId="3" fontId="16" fillId="5" borderId="16" xfId="1" applyNumberFormat="1" applyFont="1" applyFill="1" applyBorder="1" applyAlignment="1">
      <alignment horizontal="right" vertical="center"/>
    </xf>
    <xf numFmtId="3" fontId="16" fillId="0" borderId="16" xfId="1" applyNumberFormat="1" applyFont="1" applyBorder="1" applyAlignment="1">
      <alignment horizontal="right" vertical="center" wrapText="1"/>
    </xf>
    <xf numFmtId="3" fontId="18" fillId="0" borderId="16" xfId="1" applyNumberFormat="1" applyFont="1" applyBorder="1" applyAlignment="1">
      <alignment horizontal="right" vertical="center" wrapText="1"/>
    </xf>
    <xf numFmtId="3" fontId="16" fillId="0" borderId="0" xfId="1" applyNumberFormat="1" applyFont="1" applyAlignment="1">
      <alignment horizontal="right" vertical="center"/>
    </xf>
    <xf numFmtId="1" fontId="19" fillId="0" borderId="13" xfId="0" applyNumberFormat="1" applyFont="1" applyBorder="1" applyAlignment="1">
      <alignment horizontal="right" vertical="center"/>
    </xf>
    <xf numFmtId="0" fontId="19" fillId="0" borderId="13" xfId="0" applyFont="1" applyBorder="1" applyAlignment="1">
      <alignment horizontal="left" vertical="center"/>
    </xf>
    <xf numFmtId="0" fontId="19" fillId="3" borderId="13" xfId="3" applyFont="1" applyFill="1" applyBorder="1" applyAlignment="1">
      <alignment horizontal="left" vertical="center"/>
    </xf>
    <xf numFmtId="165" fontId="19" fillId="0" borderId="13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3" fontId="20" fillId="0" borderId="0" xfId="1" applyNumberFormat="1" applyFont="1" applyAlignment="1">
      <alignment vertical="center"/>
    </xf>
    <xf numFmtId="0" fontId="21" fillId="0" borderId="0" xfId="1" applyFont="1" applyAlignment="1">
      <alignment vertical="center"/>
    </xf>
    <xf numFmtId="0" fontId="16" fillId="0" borderId="16" xfId="1" applyFont="1" applyBorder="1" applyAlignment="1">
      <alignment horizontal="left" vertical="center" wrapText="1"/>
    </xf>
    <xf numFmtId="0" fontId="16" fillId="0" borderId="16" xfId="1" quotePrefix="1" applyFont="1" applyBorder="1" applyAlignment="1">
      <alignment horizontal="left" vertical="center" wrapText="1"/>
    </xf>
    <xf numFmtId="0" fontId="12" fillId="3" borderId="10" xfId="3" applyFont="1" applyFill="1" applyBorder="1" applyAlignment="1">
      <alignment horizontal="left" vertical="center"/>
    </xf>
    <xf numFmtId="3" fontId="16" fillId="6" borderId="16" xfId="1" applyNumberFormat="1" applyFont="1" applyFill="1" applyBorder="1" applyAlignment="1">
      <alignment horizontal="right" vertical="center"/>
    </xf>
    <xf numFmtId="3" fontId="16" fillId="6" borderId="16" xfId="1" applyNumberFormat="1" applyFont="1" applyFill="1" applyBorder="1" applyAlignment="1">
      <alignment horizontal="right" vertical="center" wrapText="1"/>
    </xf>
    <xf numFmtId="166" fontId="7" fillId="0" borderId="0" xfId="1" applyNumberFormat="1" applyFont="1" applyAlignment="1">
      <alignment vertical="center"/>
    </xf>
    <xf numFmtId="0" fontId="17" fillId="4" borderId="15" xfId="1" applyFont="1" applyFill="1" applyBorder="1" applyAlignment="1">
      <alignment horizontal="left" vertical="center" wrapText="1"/>
    </xf>
    <xf numFmtId="3" fontId="17" fillId="4" borderId="15" xfId="1" applyNumberFormat="1" applyFont="1" applyFill="1" applyBorder="1" applyAlignment="1">
      <alignment horizontal="right" vertical="center"/>
    </xf>
    <xf numFmtId="0" fontId="22" fillId="0" borderId="0" xfId="1" applyFont="1"/>
    <xf numFmtId="0" fontId="22" fillId="0" borderId="0" xfId="1" applyFont="1" applyAlignment="1">
      <alignment vertical="center"/>
    </xf>
    <xf numFmtId="0" fontId="12" fillId="0" borderId="13" xfId="4" applyFont="1" applyBorder="1" applyAlignment="1">
      <alignment horizontal="left" vertical="center"/>
    </xf>
    <xf numFmtId="165" fontId="12" fillId="0" borderId="13" xfId="4" applyNumberFormat="1" applyFont="1" applyBorder="1" applyAlignment="1">
      <alignment horizontal="center" vertical="center"/>
    </xf>
    <xf numFmtId="0" fontId="12" fillId="0" borderId="13" xfId="0" applyFont="1" applyBorder="1"/>
    <xf numFmtId="165" fontId="12" fillId="0" borderId="13" xfId="0" quotePrefix="1" applyNumberFormat="1" applyFont="1" applyBorder="1" applyAlignment="1">
      <alignment horizontal="center" vertical="center"/>
    </xf>
    <xf numFmtId="0" fontId="24" fillId="0" borderId="0" xfId="0" applyFont="1" applyAlignment="1">
      <alignment vertical="top"/>
    </xf>
    <xf numFmtId="4" fontId="0" fillId="0" borderId="0" xfId="0" applyNumberFormat="1"/>
    <xf numFmtId="0" fontId="26" fillId="8" borderId="18" xfId="5" quotePrefix="1" applyNumberFormat="1" applyFont="1" applyFill="1">
      <alignment horizontal="left" vertical="center" indent="1" justifyLastLine="1"/>
    </xf>
    <xf numFmtId="3" fontId="27" fillId="8" borderId="18" xfId="6" quotePrefix="1" applyNumberFormat="1" applyFont="1" applyFill="1" applyAlignment="1">
      <alignment horizontal="center" vertical="center" wrapText="1" justifyLastLine="1"/>
    </xf>
    <xf numFmtId="0" fontId="28" fillId="4" borderId="0" xfId="1" applyFont="1" applyFill="1" applyAlignment="1">
      <alignment horizontal="center" vertical="center" wrapText="1"/>
    </xf>
    <xf numFmtId="4" fontId="26" fillId="8" borderId="19" xfId="6" applyNumberFormat="1" applyFont="1" applyFill="1" applyBorder="1" applyAlignment="1" applyProtection="1">
      <alignment horizontal="center" vertical="center" wrapText="1" justifyLastLine="1"/>
    </xf>
    <xf numFmtId="0" fontId="29" fillId="0" borderId="18" xfId="6" quotePrefix="1" applyNumberFormat="1" applyFont="1" applyFill="1">
      <alignment horizontal="left" vertical="center" indent="1" justifyLastLine="1"/>
    </xf>
    <xf numFmtId="0" fontId="30" fillId="2" borderId="18" xfId="6" quotePrefix="1" applyNumberFormat="1" applyFont="1" applyFill="1">
      <alignment horizontal="left" vertical="center" indent="1" justifyLastLine="1"/>
    </xf>
    <xf numFmtId="0" fontId="29" fillId="2" borderId="18" xfId="6" quotePrefix="1" applyNumberFormat="1" applyFont="1" applyFill="1" applyAlignment="1">
      <alignment horizontal="center" vertical="center" justifyLastLine="1"/>
    </xf>
    <xf numFmtId="0" fontId="29" fillId="2" borderId="18" xfId="6" quotePrefix="1" applyNumberFormat="1" applyFont="1" applyFill="1">
      <alignment horizontal="left" vertical="center" indent="1" justifyLastLine="1"/>
    </xf>
    <xf numFmtId="0" fontId="29" fillId="3" borderId="18" xfId="6" quotePrefix="1" applyNumberFormat="1" applyFont="1" applyFill="1" applyAlignment="1" applyProtection="1">
      <alignment horizontal="center" vertical="center" justifyLastLine="1"/>
      <protection locked="0"/>
    </xf>
    <xf numFmtId="0" fontId="30" fillId="2" borderId="18" xfId="0" applyFont="1" applyFill="1" applyBorder="1"/>
    <xf numFmtId="3" fontId="30" fillId="0" borderId="18" xfId="7" applyNumberFormat="1" applyFont="1" applyProtection="1">
      <alignment horizontal="right" vertical="center"/>
      <protection locked="0"/>
    </xf>
    <xf numFmtId="3" fontId="26" fillId="8" borderId="18" xfId="6" quotePrefix="1" applyNumberFormat="1" applyFont="1" applyFill="1" applyAlignment="1">
      <alignment horizontal="left" vertical="center" wrapText="1" indent="1" justifyLastLine="1"/>
    </xf>
    <xf numFmtId="0" fontId="26" fillId="8" borderId="20" xfId="5" applyNumberFormat="1" applyFont="1" applyFill="1" applyBorder="1">
      <alignment horizontal="left" vertical="center" indent="1" justifyLastLine="1"/>
    </xf>
    <xf numFmtId="0" fontId="30" fillId="0" borderId="18" xfId="6" quotePrefix="1" applyNumberFormat="1" applyFont="1" applyFill="1">
      <alignment horizontal="left" vertical="center" indent="1" justifyLastLine="1"/>
    </xf>
    <xf numFmtId="0" fontId="0" fillId="9" borderId="0" xfId="0" applyFill="1" applyAlignment="1">
      <alignment horizontal="right"/>
    </xf>
    <xf numFmtId="0" fontId="0" fillId="9" borderId="0" xfId="0" applyFill="1"/>
    <xf numFmtId="0" fontId="31" fillId="0" borderId="0" xfId="0" applyFont="1"/>
    <xf numFmtId="0" fontId="30" fillId="9" borderId="18" xfId="6" quotePrefix="1" applyNumberFormat="1" applyFont="1" applyFill="1">
      <alignment horizontal="left" vertical="center" indent="1" justifyLastLine="1"/>
    </xf>
    <xf numFmtId="3" fontId="0" fillId="0" borderId="0" xfId="0" applyNumberFormat="1"/>
    <xf numFmtId="3" fontId="30" fillId="0" borderId="18" xfId="7" applyNumberFormat="1" applyFont="1" applyProtection="1">
      <alignment horizontal="right" vertical="center"/>
    </xf>
    <xf numFmtId="0" fontId="3" fillId="0" borderId="0" xfId="0" applyFont="1" applyAlignment="1">
      <alignment horizontal="right"/>
    </xf>
    <xf numFmtId="0" fontId="2" fillId="0" borderId="0" xfId="0" applyFont="1"/>
    <xf numFmtId="0" fontId="26" fillId="8" borderId="18" xfId="5" quotePrefix="1" applyNumberFormat="1" applyFont="1" applyFill="1" applyProtection="1">
      <alignment horizontal="left" vertical="center" indent="1" justifyLastLine="1"/>
    </xf>
    <xf numFmtId="4" fontId="26" fillId="8" borderId="0" xfId="6" applyNumberFormat="1" applyFont="1" applyFill="1" applyBorder="1" applyAlignment="1" applyProtection="1">
      <alignment horizontal="center" vertical="center" wrapText="1" justifyLastLine="1"/>
    </xf>
    <xf numFmtId="0" fontId="30" fillId="2" borderId="18" xfId="6" quotePrefix="1" applyNumberFormat="1" applyFont="1" applyFill="1" applyProtection="1">
      <alignment horizontal="left" vertical="center" indent="1" justifyLastLine="1"/>
    </xf>
    <xf numFmtId="0" fontId="30" fillId="0" borderId="18" xfId="6" quotePrefix="1" applyNumberFormat="1" applyFont="1" applyFill="1" applyAlignment="1" applyProtection="1">
      <alignment horizontal="center" vertical="center" justifyLastLine="1"/>
      <protection locked="0"/>
    </xf>
    <xf numFmtId="0" fontId="30" fillId="0" borderId="18" xfId="7" applyNumberFormat="1" applyFont="1" applyAlignment="1" applyProtection="1">
      <alignment horizontal="center" vertical="center"/>
      <protection locked="0"/>
    </xf>
    <xf numFmtId="0" fontId="32" fillId="3" borderId="0" xfId="0" applyFont="1" applyFill="1"/>
    <xf numFmtId="0" fontId="32" fillId="0" borderId="0" xfId="0" applyFont="1"/>
    <xf numFmtId="0" fontId="31" fillId="9" borderId="0" xfId="0" applyFont="1" applyFill="1"/>
    <xf numFmtId="0" fontId="26" fillId="8" borderId="0" xfId="5" quotePrefix="1" applyNumberFormat="1" applyFont="1" applyFill="1" applyBorder="1" applyProtection="1">
      <alignment horizontal="left" vertical="center" indent="1" justifyLastLine="1"/>
    </xf>
    <xf numFmtId="0" fontId="28" fillId="4" borderId="18" xfId="1" applyFont="1" applyFill="1" applyBorder="1" applyAlignment="1">
      <alignment horizontal="center" vertical="center" wrapText="1"/>
    </xf>
    <xf numFmtId="0" fontId="30" fillId="0" borderId="18" xfId="7" applyNumberFormat="1" applyFont="1" applyProtection="1">
      <alignment horizontal="right" vertical="center"/>
      <protection locked="0"/>
    </xf>
    <xf numFmtId="14" fontId="30" fillId="0" borderId="18" xfId="7" applyNumberFormat="1" applyFont="1" applyProtection="1">
      <alignment horizontal="right" vertical="center"/>
      <protection locked="0"/>
    </xf>
    <xf numFmtId="0" fontId="30" fillId="0" borderId="18" xfId="7" applyNumberFormat="1" applyFont="1" applyAlignment="1" applyProtection="1">
      <alignment horizontal="left" vertical="center"/>
      <protection locked="0"/>
    </xf>
    <xf numFmtId="0" fontId="33" fillId="9" borderId="0" xfId="0" applyFont="1" applyFill="1"/>
    <xf numFmtId="0" fontId="35" fillId="0" borderId="10" xfId="8" applyFont="1" applyBorder="1" applyAlignment="1">
      <alignment horizontal="left" vertical="center"/>
    </xf>
    <xf numFmtId="0" fontId="36" fillId="0" borderId="18" xfId="6" quotePrefix="1" applyNumberFormat="1" applyFont="1" applyFill="1" applyAlignment="1" applyProtection="1">
      <alignment horizontal="center" vertical="center" justifyLastLine="1"/>
      <protection locked="0"/>
    </xf>
    <xf numFmtId="0" fontId="37" fillId="11" borderId="21" xfId="9" quotePrefix="1" applyFill="1" applyAlignment="1">
      <alignment horizontal="left" vertical="center" wrapText="1" indent="3"/>
    </xf>
    <xf numFmtId="0" fontId="37" fillId="11" borderId="21" xfId="9" quotePrefix="1" applyFill="1">
      <alignment horizontal="left" vertical="center" wrapText="1" indent="1"/>
    </xf>
    <xf numFmtId="49" fontId="0" fillId="0" borderId="0" xfId="0" applyNumberFormat="1"/>
    <xf numFmtId="167" fontId="25" fillId="0" borderId="18" xfId="10" quotePrefix="1" applyNumberFormat="1" applyFill="1" applyAlignment="1">
      <alignment horizontal="left" vertical="center" indent="3" justifyLastLine="1"/>
    </xf>
    <xf numFmtId="0" fontId="25" fillId="0" borderId="18" xfId="10" quotePrefix="1" applyFill="1">
      <alignment horizontal="left" vertical="center" indent="1" justifyLastLine="1"/>
    </xf>
    <xf numFmtId="0" fontId="25" fillId="0" borderId="18" xfId="11" quotePrefix="1" applyNumberFormat="1" applyFill="1">
      <alignment horizontal="left" vertical="center" indent="1"/>
    </xf>
    <xf numFmtId="0" fontId="38" fillId="0" borderId="18" xfId="11" quotePrefix="1" applyNumberFormat="1" applyFont="1" applyFill="1">
      <alignment horizontal="left" vertical="center" indent="1"/>
    </xf>
    <xf numFmtId="49" fontId="25" fillId="0" borderId="18" xfId="11" quotePrefix="1" applyNumberFormat="1" applyFill="1">
      <alignment horizontal="left" vertical="center" indent="1"/>
    </xf>
    <xf numFmtId="0" fontId="25" fillId="0" borderId="18" xfId="12" quotePrefix="1" applyNumberFormat="1" applyFill="1">
      <alignment horizontal="left" vertical="center" indent="1"/>
    </xf>
    <xf numFmtId="0" fontId="38" fillId="0" borderId="18" xfId="12" quotePrefix="1" applyNumberFormat="1" applyFont="1" applyFill="1">
      <alignment horizontal="left" vertical="center" indent="1"/>
    </xf>
    <xf numFmtId="49" fontId="25" fillId="0" borderId="18" xfId="12" quotePrefix="1" applyNumberFormat="1" applyFill="1">
      <alignment horizontal="left" vertical="center" indent="1"/>
    </xf>
    <xf numFmtId="0" fontId="39" fillId="0" borderId="0" xfId="3" applyFont="1" applyAlignment="1">
      <alignment vertical="center"/>
    </xf>
    <xf numFmtId="0" fontId="40" fillId="0" borderId="0" xfId="3" applyFont="1" applyAlignment="1">
      <alignment horizontal="center" vertical="center" wrapText="1"/>
    </xf>
    <xf numFmtId="0" fontId="20" fillId="0" borderId="0" xfId="3" applyFont="1" applyAlignment="1">
      <alignment vertical="center"/>
    </xf>
    <xf numFmtId="1" fontId="20" fillId="0" borderId="0" xfId="3" applyNumberFormat="1" applyFont="1" applyAlignment="1">
      <alignment vertical="center" wrapText="1"/>
    </xf>
    <xf numFmtId="0" fontId="20" fillId="0" borderId="0" xfId="3" applyFont="1" applyAlignment="1">
      <alignment horizontal="right" vertical="center"/>
    </xf>
    <xf numFmtId="1" fontId="41" fillId="8" borderId="22" xfId="3" applyNumberFormat="1" applyFont="1" applyFill="1" applyBorder="1" applyAlignment="1">
      <alignment horizontal="left" vertical="center" wrapText="1"/>
    </xf>
    <xf numFmtId="1" fontId="41" fillId="8" borderId="15" xfId="3" applyNumberFormat="1" applyFont="1" applyFill="1" applyBorder="1" applyAlignment="1">
      <alignment horizontal="left" vertical="center" wrapText="1"/>
    </xf>
    <xf numFmtId="1" fontId="41" fillId="8" borderId="15" xfId="3" applyNumberFormat="1" applyFont="1" applyFill="1" applyBorder="1" applyAlignment="1">
      <alignment horizontal="center" vertical="center" wrapText="1"/>
    </xf>
    <xf numFmtId="0" fontId="42" fillId="8" borderId="15" xfId="3" applyFont="1" applyFill="1" applyBorder="1" applyAlignment="1">
      <alignment horizontal="center" vertical="center" wrapText="1"/>
    </xf>
    <xf numFmtId="0" fontId="41" fillId="8" borderId="15" xfId="3" applyFont="1" applyFill="1" applyBorder="1" applyAlignment="1">
      <alignment horizontal="center" vertical="center" wrapText="1"/>
    </xf>
    <xf numFmtId="0" fontId="20" fillId="0" borderId="10" xfId="3" applyFont="1" applyBorder="1" applyAlignment="1">
      <alignment vertical="center"/>
    </xf>
    <xf numFmtId="49" fontId="39" fillId="0" borderId="10" xfId="3" applyNumberFormat="1" applyFont="1" applyBorder="1" applyAlignment="1">
      <alignment horizontal="left"/>
    </xf>
    <xf numFmtId="0" fontId="20" fillId="0" borderId="10" xfId="13" applyFont="1" applyBorder="1" applyAlignment="1">
      <alignment horizontal="left" vertical="center" wrapText="1"/>
    </xf>
    <xf numFmtId="3" fontId="41" fillId="8" borderId="15" xfId="3" applyNumberFormat="1" applyFont="1" applyFill="1" applyBorder="1" applyAlignment="1">
      <alignment horizontal="right"/>
    </xf>
    <xf numFmtId="3" fontId="39" fillId="0" borderId="10" xfId="3" applyNumberFormat="1" applyFont="1" applyBorder="1" applyAlignment="1" applyProtection="1">
      <alignment vertical="center"/>
      <protection locked="0"/>
    </xf>
    <xf numFmtId="49" fontId="43" fillId="13" borderId="10" xfId="3" applyNumberFormat="1" applyFont="1" applyFill="1" applyBorder="1" applyAlignment="1">
      <alignment horizontal="left"/>
    </xf>
    <xf numFmtId="0" fontId="44" fillId="13" borderId="10" xfId="13" applyFont="1" applyFill="1" applyBorder="1" applyAlignment="1">
      <alignment horizontal="left" vertical="center" wrapText="1"/>
    </xf>
    <xf numFmtId="3" fontId="43" fillId="13" borderId="10" xfId="3" applyNumberFormat="1" applyFont="1" applyFill="1" applyBorder="1" applyAlignment="1">
      <alignment vertical="center"/>
    </xf>
    <xf numFmtId="49" fontId="20" fillId="0" borderId="10" xfId="3" applyNumberFormat="1" applyFont="1" applyBorder="1" applyAlignment="1">
      <alignment horizontal="left"/>
    </xf>
    <xf numFmtId="49" fontId="39" fillId="0" borderId="11" xfId="3" applyNumberFormat="1" applyFont="1" applyBorder="1" applyAlignment="1">
      <alignment horizontal="left"/>
    </xf>
    <xf numFmtId="0" fontId="20" fillId="0" borderId="11" xfId="13" applyFont="1" applyBorder="1" applyAlignment="1">
      <alignment horizontal="left" vertical="center" wrapText="1"/>
    </xf>
    <xf numFmtId="3" fontId="39" fillId="13" borderId="11" xfId="3" applyNumberFormat="1" applyFont="1" applyFill="1" applyBorder="1" applyAlignment="1">
      <alignment vertical="center"/>
    </xf>
    <xf numFmtId="0" fontId="45" fillId="14" borderId="10" xfId="3" applyFont="1" applyFill="1" applyBorder="1" applyAlignment="1">
      <alignment vertical="center" wrapText="1"/>
    </xf>
    <xf numFmtId="3" fontId="46" fillId="14" borderId="10" xfId="3" applyNumberFormat="1" applyFont="1" applyFill="1" applyBorder="1" applyAlignment="1">
      <alignment vertical="center"/>
    </xf>
    <xf numFmtId="0" fontId="39" fillId="0" borderId="0" xfId="3" applyFont="1" applyAlignment="1">
      <alignment vertical="center" wrapText="1"/>
    </xf>
    <xf numFmtId="0" fontId="39" fillId="0" borderId="0" xfId="3" applyFont="1" applyAlignment="1">
      <alignment horizontal="center" vertical="center" wrapText="1"/>
    </xf>
    <xf numFmtId="0" fontId="39" fillId="0" borderId="0" xfId="3" applyFont="1" applyAlignment="1">
      <alignment horizontal="left" vertical="center" wrapText="1"/>
    </xf>
    <xf numFmtId="3" fontId="39" fillId="0" borderId="10" xfId="3" applyNumberFormat="1" applyFont="1" applyBorder="1" applyAlignment="1">
      <alignment vertical="center"/>
    </xf>
    <xf numFmtId="168" fontId="39" fillId="0" borderId="10" xfId="3" applyNumberFormat="1" applyFont="1" applyBorder="1" applyAlignment="1" applyProtection="1">
      <alignment vertical="center"/>
      <protection locked="0"/>
    </xf>
    <xf numFmtId="0" fontId="47" fillId="8" borderId="15" xfId="3" applyFont="1" applyFill="1" applyBorder="1" applyAlignment="1">
      <alignment horizontal="center" vertical="center" wrapText="1"/>
    </xf>
    <xf numFmtId="0" fontId="43" fillId="0" borderId="0" xfId="3" applyFont="1" applyAlignment="1">
      <alignment vertical="center"/>
    </xf>
    <xf numFmtId="0" fontId="48" fillId="0" borderId="0" xfId="3" quotePrefix="1" applyFont="1" applyAlignment="1">
      <alignment horizontal="center" vertical="center"/>
    </xf>
    <xf numFmtId="0" fontId="49" fillId="0" borderId="0" xfId="3" applyFont="1" applyAlignment="1">
      <alignment vertical="center"/>
    </xf>
    <xf numFmtId="0" fontId="50" fillId="0" borderId="0" xfId="3" quotePrefix="1" applyFont="1" applyAlignment="1">
      <alignment horizontal="center" vertical="center"/>
    </xf>
    <xf numFmtId="0" fontId="50" fillId="0" borderId="0" xfId="3" applyFont="1" applyAlignment="1">
      <alignment vertical="center"/>
    </xf>
    <xf numFmtId="0" fontId="43" fillId="0" borderId="0" xfId="3" applyFont="1" applyAlignment="1">
      <alignment horizontal="center" vertical="center"/>
    </xf>
    <xf numFmtId="0" fontId="39" fillId="0" borderId="0" xfId="3" applyFont="1" applyAlignment="1">
      <alignment horizontal="center" vertical="center"/>
    </xf>
    <xf numFmtId="0" fontId="43" fillId="0" borderId="0" xfId="3" quotePrefix="1" applyFont="1" applyAlignment="1">
      <alignment horizontal="left" vertical="center"/>
    </xf>
    <xf numFmtId="0" fontId="49" fillId="0" borderId="0" xfId="3" quotePrefix="1" applyFont="1" applyAlignment="1">
      <alignment horizontal="left" vertical="center" wrapText="1"/>
    </xf>
    <xf numFmtId="0" fontId="50" fillId="0" borderId="0" xfId="3" quotePrefix="1" applyFont="1" applyAlignment="1">
      <alignment horizontal="left" vertical="center" wrapText="1"/>
    </xf>
    <xf numFmtId="49" fontId="39" fillId="0" borderId="23" xfId="3" applyNumberFormat="1" applyFont="1" applyBorder="1" applyAlignment="1">
      <alignment horizontal="left"/>
    </xf>
    <xf numFmtId="0" fontId="20" fillId="0" borderId="23" xfId="13" applyFont="1" applyBorder="1" applyAlignment="1">
      <alignment horizontal="left" vertical="center" wrapText="1"/>
    </xf>
    <xf numFmtId="3" fontId="39" fillId="0" borderId="23" xfId="3" applyNumberFormat="1" applyFont="1" applyBorder="1" applyAlignment="1">
      <alignment vertical="center"/>
    </xf>
    <xf numFmtId="49" fontId="51" fillId="13" borderId="10" xfId="3" applyNumberFormat="1" applyFont="1" applyFill="1" applyBorder="1" applyAlignment="1">
      <alignment horizontal="left"/>
    </xf>
    <xf numFmtId="0" fontId="52" fillId="13" borderId="10" xfId="13" applyFont="1" applyFill="1" applyBorder="1" applyAlignment="1">
      <alignment horizontal="left" vertical="center" wrapText="1"/>
    </xf>
    <xf numFmtId="3" fontId="51" fillId="13" borderId="10" xfId="3" applyNumberFormat="1" applyFont="1" applyFill="1" applyBorder="1" applyAlignment="1">
      <alignment vertical="center"/>
    </xf>
    <xf numFmtId="0" fontId="39" fillId="0" borderId="10" xfId="14" applyFont="1" applyBorder="1" applyAlignment="1">
      <alignment horizontal="left" wrapText="1"/>
    </xf>
    <xf numFmtId="0" fontId="14" fillId="0" borderId="0" xfId="3"/>
    <xf numFmtId="0" fontId="39" fillId="0" borderId="0" xfId="3" applyFont="1"/>
    <xf numFmtId="0" fontId="15" fillId="0" borderId="24" xfId="3" applyFont="1" applyBorder="1" applyAlignment="1">
      <alignment horizontal="center"/>
    </xf>
    <xf numFmtId="0" fontId="41" fillId="8" borderId="22" xfId="3" applyFont="1" applyFill="1" applyBorder="1" applyAlignment="1">
      <alignment horizontal="center" vertical="center" wrapText="1"/>
    </xf>
    <xf numFmtId="0" fontId="43" fillId="0" borderId="0" xfId="3" applyFont="1"/>
    <xf numFmtId="0" fontId="10" fillId="15" borderId="10" xfId="3" applyFont="1" applyFill="1" applyBorder="1" applyAlignment="1">
      <alignment vertical="center"/>
    </xf>
    <xf numFmtId="3" fontId="46" fillId="14" borderId="10" xfId="3" applyNumberFormat="1" applyFont="1" applyFill="1" applyBorder="1" applyAlignment="1">
      <alignment vertical="center" wrapText="1"/>
    </xf>
    <xf numFmtId="0" fontId="14" fillId="0" borderId="0" xfId="3" applyAlignment="1">
      <alignment vertical="center"/>
    </xf>
    <xf numFmtId="3" fontId="44" fillId="16" borderId="10" xfId="3" applyNumberFormat="1" applyFont="1" applyFill="1" applyBorder="1" applyAlignment="1">
      <alignment horizontal="left" vertical="center"/>
    </xf>
    <xf numFmtId="3" fontId="44" fillId="16" borderId="10" xfId="3" applyNumberFormat="1" applyFont="1" applyFill="1" applyBorder="1" applyAlignment="1">
      <alignment vertical="center" wrapText="1"/>
    </xf>
    <xf numFmtId="3" fontId="43" fillId="16" borderId="10" xfId="3" applyNumberFormat="1" applyFont="1" applyFill="1" applyBorder="1"/>
    <xf numFmtId="3" fontId="44" fillId="16" borderId="25" xfId="3" applyNumberFormat="1" applyFont="1" applyFill="1" applyBorder="1" applyAlignment="1">
      <alignment vertical="center"/>
    </xf>
    <xf numFmtId="0" fontId="44" fillId="0" borderId="0" xfId="3" applyFont="1" applyAlignment="1">
      <alignment vertical="center"/>
    </xf>
    <xf numFmtId="3" fontId="52" fillId="17" borderId="10" xfId="3" applyNumberFormat="1" applyFont="1" applyFill="1" applyBorder="1" applyAlignment="1">
      <alignment horizontal="center" vertical="center"/>
    </xf>
    <xf numFmtId="3" fontId="52" fillId="17" borderId="10" xfId="3" applyNumberFormat="1" applyFont="1" applyFill="1" applyBorder="1" applyAlignment="1">
      <alignment vertical="center" wrapText="1"/>
    </xf>
    <xf numFmtId="3" fontId="43" fillId="13" borderId="26" xfId="3" applyNumberFormat="1" applyFont="1" applyFill="1" applyBorder="1"/>
    <xf numFmtId="3" fontId="20" fillId="17" borderId="10" xfId="3" applyNumberFormat="1" applyFont="1" applyFill="1" applyBorder="1" applyAlignment="1">
      <alignment vertical="center"/>
    </xf>
    <xf numFmtId="0" fontId="51" fillId="0" borderId="0" xfId="3" applyFont="1"/>
    <xf numFmtId="0" fontId="53" fillId="0" borderId="0" xfId="3" applyFont="1"/>
    <xf numFmtId="0" fontId="52" fillId="0" borderId="10" xfId="3" applyFont="1" applyBorder="1" applyAlignment="1">
      <alignment horizontal="center" vertical="center"/>
    </xf>
    <xf numFmtId="0" fontId="51" fillId="0" borderId="10" xfId="3" applyFont="1" applyBorder="1" applyAlignment="1">
      <alignment vertical="center"/>
    </xf>
    <xf numFmtId="3" fontId="43" fillId="13" borderId="26" xfId="3" applyNumberFormat="1" applyFont="1" applyFill="1" applyBorder="1" applyAlignment="1">
      <alignment vertical="center"/>
    </xf>
    <xf numFmtId="0" fontId="52" fillId="0" borderId="10" xfId="3" applyFont="1" applyBorder="1" applyAlignment="1">
      <alignment vertical="center"/>
    </xf>
    <xf numFmtId="0" fontId="44" fillId="16" borderId="10" xfId="3" applyFont="1" applyFill="1" applyBorder="1" applyAlignment="1">
      <alignment horizontal="left" vertical="center"/>
    </xf>
    <xf numFmtId="0" fontId="43" fillId="16" borderId="10" xfId="3" applyFont="1" applyFill="1" applyBorder="1" applyAlignment="1">
      <alignment vertical="center"/>
    </xf>
    <xf numFmtId="3" fontId="43" fillId="16" borderId="10" xfId="3" applyNumberFormat="1" applyFont="1" applyFill="1" applyBorder="1" applyAlignment="1">
      <alignment vertical="center"/>
    </xf>
    <xf numFmtId="3" fontId="43" fillId="16" borderId="11" xfId="3" applyNumberFormat="1" applyFont="1" applyFill="1" applyBorder="1" applyAlignment="1">
      <alignment vertical="center"/>
    </xf>
    <xf numFmtId="0" fontId="48" fillId="0" borderId="0" xfId="3" applyFont="1"/>
    <xf numFmtId="0" fontId="54" fillId="0" borderId="0" xfId="3" applyFont="1"/>
    <xf numFmtId="0" fontId="43" fillId="17" borderId="0" xfId="3" applyFont="1" applyFill="1" applyAlignment="1">
      <alignment horizontal="center" vertical="center"/>
    </xf>
    <xf numFmtId="0" fontId="39" fillId="17" borderId="0" xfId="3" applyFont="1" applyFill="1" applyAlignment="1">
      <alignment vertical="center" wrapText="1"/>
    </xf>
    <xf numFmtId="0" fontId="39" fillId="17" borderId="0" xfId="3" applyFont="1" applyFill="1" applyAlignment="1">
      <alignment vertical="center"/>
    </xf>
    <xf numFmtId="0" fontId="10" fillId="0" borderId="0" xfId="3" applyFont="1" applyAlignment="1">
      <alignment vertical="center"/>
    </xf>
    <xf numFmtId="0" fontId="52" fillId="0" borderId="0" xfId="3" applyFont="1" applyAlignment="1">
      <alignment vertical="center"/>
    </xf>
    <xf numFmtId="0" fontId="51" fillId="0" borderId="0" xfId="3" applyFont="1" applyAlignment="1">
      <alignment horizontal="right" vertical="center"/>
    </xf>
    <xf numFmtId="0" fontId="51" fillId="0" borderId="0" xfId="3" applyFont="1" applyAlignment="1">
      <alignment vertical="center"/>
    </xf>
    <xf numFmtId="0" fontId="40" fillId="0" borderId="0" xfId="3" applyFont="1" applyAlignment="1">
      <alignment vertical="center" wrapText="1"/>
    </xf>
    <xf numFmtId="0" fontId="41" fillId="8" borderId="15" xfId="3" applyFont="1" applyFill="1" applyBorder="1" applyAlignment="1">
      <alignment horizontal="right" vertical="center" wrapText="1"/>
    </xf>
    <xf numFmtId="0" fontId="46" fillId="14" borderId="10" xfId="3" applyFont="1" applyFill="1" applyBorder="1" applyAlignment="1">
      <alignment vertical="center" wrapText="1"/>
    </xf>
    <xf numFmtId="3" fontId="46" fillId="14" borderId="10" xfId="3" applyNumberFormat="1" applyFont="1" applyFill="1" applyBorder="1" applyAlignment="1">
      <alignment horizontal="right" vertical="center" wrapText="1"/>
    </xf>
    <xf numFmtId="0" fontId="44" fillId="13" borderId="10" xfId="13" applyFont="1" applyFill="1" applyBorder="1" applyAlignment="1">
      <alignment horizontal="right" vertical="center" wrapText="1"/>
    </xf>
    <xf numFmtId="3" fontId="44" fillId="13" borderId="10" xfId="13" applyNumberFormat="1" applyFont="1" applyFill="1" applyBorder="1" applyAlignment="1">
      <alignment horizontal="right" vertical="center" wrapText="1"/>
    </xf>
    <xf numFmtId="0" fontId="20" fillId="0" borderId="10" xfId="13" applyFont="1" applyBorder="1" applyAlignment="1">
      <alignment horizontal="right" vertical="center" wrapText="1"/>
    </xf>
    <xf numFmtId="3" fontId="20" fillId="0" borderId="10" xfId="13" applyNumberFormat="1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46" fillId="14" borderId="10" xfId="3" applyFont="1" applyFill="1" applyBorder="1" applyAlignment="1">
      <alignment horizontal="center" vertical="center" wrapText="1"/>
    </xf>
    <xf numFmtId="0" fontId="44" fillId="13" borderId="10" xfId="13" applyFont="1" applyFill="1" applyBorder="1" applyAlignment="1">
      <alignment horizontal="center" vertical="center" wrapText="1"/>
    </xf>
    <xf numFmtId="0" fontId="20" fillId="0" borderId="10" xfId="13" applyFont="1" applyBorder="1" applyAlignment="1">
      <alignment horizontal="center" vertical="center" wrapText="1"/>
    </xf>
    <xf numFmtId="3" fontId="44" fillId="13" borderId="10" xfId="13" applyNumberFormat="1" applyFont="1" applyFill="1" applyBorder="1" applyAlignment="1">
      <alignment vertical="center" wrapText="1"/>
    </xf>
    <xf numFmtId="0" fontId="55" fillId="8" borderId="0" xfId="3" applyFont="1" applyFill="1" applyAlignment="1">
      <alignment horizontal="center" vertical="center"/>
    </xf>
    <xf numFmtId="1" fontId="41" fillId="18" borderId="15" xfId="3" applyNumberFormat="1" applyFont="1" applyFill="1" applyBorder="1" applyAlignment="1">
      <alignment horizontal="center" vertical="center" wrapText="1"/>
    </xf>
    <xf numFmtId="3" fontId="44" fillId="16" borderId="10" xfId="3" applyNumberFormat="1" applyFont="1" applyFill="1" applyBorder="1" applyAlignment="1">
      <alignment vertical="center"/>
    </xf>
    <xf numFmtId="1" fontId="20" fillId="0" borderId="10" xfId="3" applyNumberFormat="1" applyFont="1" applyBorder="1" applyAlignment="1">
      <alignment horizontal="left" vertical="center" wrapText="1"/>
    </xf>
    <xf numFmtId="0" fontId="20" fillId="0" borderId="10" xfId="15" applyFont="1" applyBorder="1" applyAlignment="1">
      <alignment horizontal="left" vertical="center" wrapText="1"/>
    </xf>
    <xf numFmtId="167" fontId="25" fillId="20" borderId="18" xfId="16" quotePrefix="1" applyNumberFormat="1" applyFill="1" applyAlignment="1">
      <alignment horizontal="left" vertical="center" indent="2" justifyLastLine="1"/>
    </xf>
    <xf numFmtId="0" fontId="25" fillId="20" borderId="18" xfId="16" quotePrefix="1" applyFill="1">
      <alignment horizontal="left" vertical="center" indent="1" justifyLastLine="1"/>
    </xf>
    <xf numFmtId="167" fontId="25" fillId="9" borderId="18" xfId="16" quotePrefix="1" applyNumberFormat="1" applyFill="1" applyAlignment="1">
      <alignment horizontal="left" vertical="center" indent="2" justifyLastLine="1"/>
    </xf>
    <xf numFmtId="0" fontId="25" fillId="9" borderId="18" xfId="16" quotePrefix="1" applyFill="1">
      <alignment horizontal="left" vertical="center" indent="1" justifyLastLine="1"/>
    </xf>
    <xf numFmtId="167" fontId="25" fillId="19" borderId="18" xfId="16" quotePrefix="1" applyNumberFormat="1" applyAlignment="1">
      <alignment horizontal="left" vertical="center" indent="2" justifyLastLine="1"/>
    </xf>
    <xf numFmtId="0" fontId="25" fillId="19" borderId="18" xfId="16" quotePrefix="1">
      <alignment horizontal="left" vertical="center" indent="1" justifyLastLine="1"/>
    </xf>
    <xf numFmtId="167" fontId="25" fillId="12" borderId="18" xfId="10" quotePrefix="1" applyNumberFormat="1" applyAlignment="1">
      <alignment horizontal="left" vertical="center" indent="3" justifyLastLine="1"/>
    </xf>
    <xf numFmtId="0" fontId="25" fillId="12" borderId="18" xfId="10" quotePrefix="1">
      <alignment horizontal="left" vertical="center" indent="1" justifyLastLine="1"/>
    </xf>
    <xf numFmtId="167" fontId="25" fillId="21" borderId="18" xfId="17" quotePrefix="1" applyNumberFormat="1" applyAlignment="1">
      <alignment horizontal="left" vertical="center" indent="4" justifyLastLine="1"/>
    </xf>
    <xf numFmtId="0" fontId="25" fillId="21" borderId="18" xfId="17" quotePrefix="1">
      <alignment horizontal="left" vertical="center" indent="1" justifyLastLine="1"/>
    </xf>
    <xf numFmtId="169" fontId="25" fillId="22" borderId="18" xfId="18" quotePrefix="1" applyNumberFormat="1" applyAlignment="1">
      <alignment horizontal="left" vertical="center" indent="5" justifyLastLine="1"/>
    </xf>
    <xf numFmtId="0" fontId="25" fillId="22" borderId="18" xfId="18" quotePrefix="1">
      <alignment horizontal="left" vertical="center" indent="1" justifyLastLine="1"/>
    </xf>
    <xf numFmtId="0" fontId="1" fillId="23" borderId="1" xfId="19" applyNumberFormat="1" applyFill="1" applyAlignment="1">
      <alignment horizontal="left"/>
    </xf>
    <xf numFmtId="0" fontId="1" fillId="23" borderId="1" xfId="19" applyNumberFormat="1" applyFill="1" applyAlignment="1">
      <alignment horizontal="center"/>
    </xf>
    <xf numFmtId="49" fontId="56" fillId="23" borderId="1" xfId="19" applyNumberFormat="1" applyFont="1" applyFill="1" applyAlignment="1">
      <alignment horizontal="left"/>
    </xf>
    <xf numFmtId="0" fontId="57" fillId="0" borderId="0" xfId="0" applyFont="1"/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7" fillId="0" borderId="0" xfId="20"/>
    <xf numFmtId="0" fontId="59" fillId="0" borderId="31" xfId="2" applyFont="1" applyBorder="1" applyAlignment="1">
      <alignment horizontal="center" vertical="center" wrapText="1"/>
    </xf>
    <xf numFmtId="0" fontId="59" fillId="0" borderId="32" xfId="2" applyFont="1" applyBorder="1" applyAlignment="1">
      <alignment horizontal="center" vertical="center" wrapText="1"/>
    </xf>
    <xf numFmtId="0" fontId="59" fillId="0" borderId="33" xfId="2" applyFont="1" applyBorder="1" applyAlignment="1">
      <alignment horizontal="center" vertical="center" wrapText="1"/>
    </xf>
    <xf numFmtId="49" fontId="29" fillId="0" borderId="34" xfId="2" applyNumberFormat="1" applyFont="1" applyBorder="1" applyAlignment="1">
      <alignment horizontal="center" vertical="center" wrapText="1"/>
    </xf>
    <xf numFmtId="49" fontId="29" fillId="0" borderId="35" xfId="2" applyNumberFormat="1" applyFont="1" applyBorder="1" applyAlignment="1">
      <alignment horizontal="center" vertical="center" wrapText="1"/>
    </xf>
    <xf numFmtId="0" fontId="29" fillId="0" borderId="35" xfId="2" applyFont="1" applyBorder="1" applyAlignment="1">
      <alignment horizontal="center" vertical="center" wrapText="1"/>
    </xf>
    <xf numFmtId="0" fontId="29" fillId="0" borderId="35" xfId="20" applyFont="1" applyBorder="1" applyAlignment="1">
      <alignment horizontal="center" vertical="center"/>
    </xf>
    <xf numFmtId="0" fontId="29" fillId="0" borderId="36" xfId="20" applyFont="1" applyBorder="1" applyAlignment="1">
      <alignment horizontal="center" vertical="center"/>
    </xf>
    <xf numFmtId="0" fontId="60" fillId="0" borderId="0" xfId="20" applyFont="1"/>
    <xf numFmtId="164" fontId="59" fillId="0" borderId="12" xfId="20" applyNumberFormat="1" applyFont="1" applyBorder="1" applyAlignment="1">
      <alignment horizontal="center" vertical="center" wrapText="1"/>
    </xf>
    <xf numFmtId="0" fontId="59" fillId="0" borderId="32" xfId="20" applyFont="1" applyBorder="1" applyAlignment="1">
      <alignment horizontal="center" vertical="center" wrapText="1"/>
    </xf>
    <xf numFmtId="0" fontId="59" fillId="0" borderId="37" xfId="20" applyFont="1" applyBorder="1" applyAlignment="1">
      <alignment horizontal="left" vertical="center" wrapText="1" indent="1"/>
    </xf>
    <xf numFmtId="0" fontId="12" fillId="0" borderId="13" xfId="20" applyFont="1" applyBorder="1" applyAlignment="1">
      <alignment horizontal="left" vertical="center" wrapText="1" indent="1"/>
    </xf>
    <xf numFmtId="165" fontId="59" fillId="0" borderId="37" xfId="20" applyNumberFormat="1" applyFont="1" applyBorder="1" applyAlignment="1">
      <alignment horizontal="center" vertical="center" wrapText="1"/>
    </xf>
    <xf numFmtId="49" fontId="59" fillId="0" borderId="38" xfId="20" applyNumberFormat="1" applyFont="1" applyBorder="1" applyAlignment="1">
      <alignment horizontal="center" vertical="center"/>
    </xf>
    <xf numFmtId="0" fontId="58" fillId="0" borderId="0" xfId="20" applyFont="1"/>
    <xf numFmtId="0" fontId="59" fillId="0" borderId="37" xfId="20" applyFont="1" applyBorder="1" applyAlignment="1">
      <alignment horizontal="center" vertical="center" wrapText="1"/>
    </xf>
    <xf numFmtId="0" fontId="59" fillId="0" borderId="13" xfId="20" applyFont="1" applyBorder="1" applyAlignment="1">
      <alignment horizontal="center" vertical="center" wrapText="1"/>
    </xf>
    <xf numFmtId="0" fontId="59" fillId="0" borderId="13" xfId="20" applyFont="1" applyBorder="1" applyAlignment="1">
      <alignment horizontal="left" vertical="center" wrapText="1" indent="1"/>
    </xf>
    <xf numFmtId="165" fontId="59" fillId="0" borderId="13" xfId="20" applyNumberFormat="1" applyFont="1" applyBorder="1" applyAlignment="1">
      <alignment horizontal="center" vertical="center" wrapText="1"/>
    </xf>
    <xf numFmtId="49" fontId="59" fillId="0" borderId="14" xfId="20" applyNumberFormat="1" applyFont="1" applyBorder="1" applyAlignment="1">
      <alignment horizontal="center" vertical="center"/>
    </xf>
    <xf numFmtId="164" fontId="12" fillId="0" borderId="12" xfId="20" applyNumberFormat="1" applyFont="1" applyBorder="1" applyAlignment="1">
      <alignment horizontal="center" vertical="center" wrapText="1"/>
    </xf>
    <xf numFmtId="0" fontId="12" fillId="0" borderId="13" xfId="20" applyFont="1" applyBorder="1" applyAlignment="1">
      <alignment horizontal="center" vertical="center" wrapText="1"/>
    </xf>
    <xf numFmtId="165" fontId="12" fillId="0" borderId="13" xfId="20" applyNumberFormat="1" applyFont="1" applyBorder="1" applyAlignment="1">
      <alignment horizontal="center" vertical="center" wrapText="1"/>
    </xf>
    <xf numFmtId="49" fontId="12" fillId="0" borderId="14" xfId="20" applyNumberFormat="1" applyFont="1" applyBorder="1" applyAlignment="1">
      <alignment horizontal="center" vertical="center"/>
    </xf>
    <xf numFmtId="165" fontId="12" fillId="0" borderId="13" xfId="20" quotePrefix="1" applyNumberFormat="1" applyFont="1" applyBorder="1" applyAlignment="1">
      <alignment horizontal="center" vertical="center" wrapText="1"/>
    </xf>
    <xf numFmtId="0" fontId="12" fillId="0" borderId="39" xfId="20" applyFont="1" applyBorder="1" applyAlignment="1">
      <alignment horizontal="left" vertical="center" wrapText="1" indent="1"/>
    </xf>
    <xf numFmtId="165" fontId="59" fillId="0" borderId="13" xfId="20" quotePrefix="1" applyNumberFormat="1" applyFont="1" applyBorder="1" applyAlignment="1">
      <alignment horizontal="center" vertical="center" wrapText="1"/>
    </xf>
    <xf numFmtId="0" fontId="59" fillId="0" borderId="13" xfId="20" applyFont="1" applyBorder="1" applyAlignment="1">
      <alignment horizontal="left" vertical="center" indent="1"/>
    </xf>
    <xf numFmtId="0" fontId="12" fillId="0" borderId="13" xfId="21" applyFont="1" applyBorder="1" applyAlignment="1">
      <alignment horizontal="left" vertical="center" wrapText="1" indent="1"/>
    </xf>
    <xf numFmtId="165" fontId="12" fillId="0" borderId="13" xfId="20" applyNumberFormat="1" applyFont="1" applyBorder="1" applyAlignment="1">
      <alignment horizontal="center" vertical="center"/>
    </xf>
    <xf numFmtId="165" fontId="12" fillId="0" borderId="13" xfId="20" applyNumberFormat="1" applyFont="1" applyBorder="1" applyAlignment="1">
      <alignment horizontal="left" vertical="center" wrapText="1" indent="1"/>
    </xf>
    <xf numFmtId="0" fontId="12" fillId="0" borderId="13" xfId="20" applyFont="1" applyBorder="1" applyAlignment="1">
      <alignment horizontal="left" vertical="center" indent="1"/>
    </xf>
    <xf numFmtId="0" fontId="12" fillId="0" borderId="40" xfId="20" applyFont="1" applyBorder="1" applyAlignment="1">
      <alignment horizontal="left" vertical="center" wrapText="1" indent="1"/>
    </xf>
    <xf numFmtId="49" fontId="12" fillId="0" borderId="13" xfId="20" applyNumberFormat="1" applyFont="1" applyBorder="1" applyAlignment="1">
      <alignment horizontal="center" vertical="center" wrapText="1"/>
    </xf>
    <xf numFmtId="49" fontId="12" fillId="0" borderId="40" xfId="20" applyNumberFormat="1" applyFont="1" applyBorder="1" applyAlignment="1">
      <alignment horizontal="center" vertical="center" wrapText="1"/>
    </xf>
    <xf numFmtId="0" fontId="12" fillId="0" borderId="13" xfId="4" applyFont="1" applyBorder="1" applyAlignment="1">
      <alignment horizontal="left" vertical="center" wrapText="1" indent="1"/>
    </xf>
    <xf numFmtId="165" fontId="12" fillId="0" borderId="13" xfId="4" applyNumberFormat="1" applyFont="1" applyBorder="1" applyAlignment="1">
      <alignment horizontal="center" vertical="center" wrapText="1"/>
    </xf>
    <xf numFmtId="0" fontId="61" fillId="0" borderId="0" xfId="20" applyFont="1"/>
    <xf numFmtId="0" fontId="12" fillId="0" borderId="13" xfId="2" applyFont="1" applyBorder="1" applyAlignment="1">
      <alignment horizontal="left" vertical="center" wrapText="1" indent="1"/>
    </xf>
    <xf numFmtId="0" fontId="12" fillId="0" borderId="14" xfId="20" applyFont="1" applyBorder="1" applyAlignment="1">
      <alignment horizontal="right" vertical="center" wrapText="1"/>
    </xf>
    <xf numFmtId="49" fontId="12" fillId="0" borderId="13" xfId="20" quotePrefix="1" applyNumberFormat="1" applyFont="1" applyBorder="1" applyAlignment="1">
      <alignment horizontal="center" vertical="center" wrapText="1"/>
    </xf>
    <xf numFmtId="0" fontId="12" fillId="0" borderId="14" xfId="20" quotePrefix="1" applyFont="1" applyBorder="1" applyAlignment="1">
      <alignment horizontal="center" vertical="center" wrapText="1"/>
    </xf>
    <xf numFmtId="49" fontId="12" fillId="0" borderId="14" xfId="20" quotePrefix="1" applyNumberFormat="1" applyFont="1" applyBorder="1" applyAlignment="1">
      <alignment horizontal="center" vertical="center"/>
    </xf>
    <xf numFmtId="0" fontId="59" fillId="0" borderId="0" xfId="20" applyFont="1" applyAlignment="1">
      <alignment horizontal="left" vertical="center" wrapText="1" indent="1"/>
    </xf>
    <xf numFmtId="0" fontId="12" fillId="0" borderId="14" xfId="20" applyFont="1" applyBorder="1" applyAlignment="1">
      <alignment horizontal="center" vertical="center" wrapText="1"/>
    </xf>
    <xf numFmtId="1" fontId="12" fillId="0" borderId="13" xfId="20" applyNumberFormat="1" applyFont="1" applyBorder="1" applyAlignment="1">
      <alignment horizontal="left" vertical="center" wrapText="1" indent="1"/>
    </xf>
    <xf numFmtId="0" fontId="59" fillId="0" borderId="35" xfId="20" applyFont="1" applyBorder="1" applyAlignment="1">
      <alignment horizontal="left" vertical="center" wrapText="1" indent="1"/>
    </xf>
    <xf numFmtId="165" fontId="59" fillId="0" borderId="35" xfId="20" applyNumberFormat="1" applyFont="1" applyBorder="1" applyAlignment="1">
      <alignment horizontal="center" vertical="center" wrapText="1"/>
    </xf>
    <xf numFmtId="49" fontId="59" fillId="0" borderId="36" xfId="20" applyNumberFormat="1" applyFont="1" applyBorder="1" applyAlignment="1">
      <alignment horizontal="center" vertical="center"/>
    </xf>
    <xf numFmtId="0" fontId="37" fillId="0" borderId="0" xfId="20" applyAlignment="1">
      <alignment horizontal="center" vertical="center"/>
    </xf>
    <xf numFmtId="0" fontId="37" fillId="0" borderId="0" xfId="20" applyAlignment="1">
      <alignment vertical="center"/>
    </xf>
    <xf numFmtId="0" fontId="37" fillId="0" borderId="0" xfId="20" applyAlignment="1">
      <alignment horizontal="left" vertical="center" indent="1"/>
    </xf>
    <xf numFmtId="0" fontId="37" fillId="0" borderId="0" xfId="20" applyAlignment="1">
      <alignment horizontal="center"/>
    </xf>
    <xf numFmtId="0" fontId="58" fillId="0" borderId="0" xfId="20" applyFont="1" applyAlignment="1">
      <alignment horizontal="center"/>
    </xf>
    <xf numFmtId="0" fontId="37" fillId="0" borderId="10" xfId="20" applyBorder="1" applyAlignment="1">
      <alignment horizontal="center" vertical="center"/>
    </xf>
    <xf numFmtId="0" fontId="29" fillId="3" borderId="18" xfId="6" quotePrefix="1" applyNumberFormat="1" applyFont="1" applyFill="1" applyAlignment="1" applyProtection="1">
      <alignment horizontal="center" vertical="center" justifyLastLine="1"/>
    </xf>
    <xf numFmtId="4" fontId="0" fillId="0" borderId="0" xfId="0" applyNumberFormat="1" applyProtection="1">
      <protection locked="0"/>
    </xf>
    <xf numFmtId="0" fontId="30" fillId="0" borderId="18" xfId="6" quotePrefix="1" applyNumberFormat="1" applyFont="1" applyFill="1" applyAlignment="1" applyProtection="1">
      <alignment horizontal="center" vertical="center" justifyLastLine="1"/>
    </xf>
    <xf numFmtId="0" fontId="0" fillId="0" borderId="0" xfId="0" applyProtection="1">
      <protection locked="0"/>
    </xf>
    <xf numFmtId="0" fontId="30" fillId="0" borderId="18" xfId="7" applyNumberFormat="1" applyFont="1" applyAlignment="1" applyProtection="1">
      <alignment horizontal="center" vertical="center"/>
    </xf>
    <xf numFmtId="0" fontId="30" fillId="0" borderId="18" xfId="7" applyNumberFormat="1" applyFont="1" applyProtection="1">
      <alignment horizontal="right" vertical="center"/>
    </xf>
    <xf numFmtId="14" fontId="30" fillId="0" borderId="18" xfId="7" applyNumberFormat="1" applyFont="1" applyProtection="1">
      <alignment horizontal="right" vertical="center"/>
    </xf>
    <xf numFmtId="0" fontId="30" fillId="0" borderId="18" xfId="7" applyNumberFormat="1" applyFont="1" applyAlignment="1" applyProtection="1">
      <alignment horizontal="left" vertical="center"/>
    </xf>
    <xf numFmtId="168" fontId="20" fillId="0" borderId="10" xfId="3" applyNumberFormat="1" applyFont="1" applyBorder="1" applyAlignment="1" applyProtection="1">
      <alignment vertical="center"/>
      <protection locked="0"/>
    </xf>
    <xf numFmtId="0" fontId="15" fillId="0" borderId="0" xfId="1" applyFont="1" applyAlignment="1">
      <alignment horizontal="center" vertical="center" wrapText="1"/>
    </xf>
    <xf numFmtId="0" fontId="6" fillId="0" borderId="0" xfId="1" applyFont="1" applyAlignment="1"/>
    <xf numFmtId="0" fontId="8" fillId="0" borderId="3" xfId="1" applyFont="1" applyBorder="1" applyAlignment="1" applyProtection="1">
      <alignment horizontal="center" vertical="center" wrapText="1"/>
      <protection locked="0"/>
    </xf>
    <xf numFmtId="0" fontId="8" fillId="0" borderId="4" xfId="1" applyFont="1" applyBorder="1" applyAlignment="1" applyProtection="1">
      <alignment horizontal="center" vertical="center" wrapText="1"/>
      <protection locked="0"/>
    </xf>
    <xf numFmtId="0" fontId="8" fillId="0" borderId="5" xfId="1" applyFont="1" applyBorder="1" applyAlignment="1" applyProtection="1">
      <alignment horizontal="center" vertical="center" wrapText="1"/>
      <protection locked="0"/>
    </xf>
    <xf numFmtId="0" fontId="9" fillId="0" borderId="7" xfId="1" applyFont="1" applyBorder="1" applyAlignment="1" applyProtection="1">
      <alignment horizontal="left" vertical="center" wrapText="1"/>
      <protection locked="0"/>
    </xf>
    <xf numFmtId="0" fontId="9" fillId="0" borderId="8" xfId="1" applyFont="1" applyBorder="1" applyAlignment="1" applyProtection="1">
      <alignment horizontal="left" vertical="center" wrapText="1"/>
      <protection locked="0"/>
    </xf>
    <xf numFmtId="0" fontId="9" fillId="0" borderId="9" xfId="1" applyFont="1" applyBorder="1" applyAlignment="1" applyProtection="1">
      <alignment horizontal="left" vertical="center" wrapText="1"/>
      <protection locked="0"/>
    </xf>
    <xf numFmtId="0" fontId="62" fillId="0" borderId="7" xfId="22" applyBorder="1" applyAlignment="1" applyProtection="1">
      <alignment horizontal="left" vertical="center" wrapText="1"/>
      <protection locked="0"/>
    </xf>
    <xf numFmtId="0" fontId="16" fillId="0" borderId="0" xfId="1" applyFont="1" applyAlignment="1">
      <alignment horizontal="center" vertical="center" wrapText="1"/>
    </xf>
    <xf numFmtId="0" fontId="23" fillId="0" borderId="17" xfId="0" applyFont="1" applyBorder="1" applyAlignment="1"/>
    <xf numFmtId="0" fontId="23" fillId="0" borderId="0" xfId="0" applyFont="1" applyAlignment="1"/>
    <xf numFmtId="0" fontId="40" fillId="0" borderId="0" xfId="3" applyFont="1" applyAlignment="1">
      <alignment horizontal="center" vertical="center" wrapText="1"/>
    </xf>
    <xf numFmtId="1" fontId="41" fillId="8" borderId="27" xfId="3" applyNumberFormat="1" applyFont="1" applyFill="1" applyBorder="1" applyAlignment="1">
      <alignment horizontal="center" vertical="center" wrapText="1"/>
    </xf>
    <xf numFmtId="1" fontId="41" fillId="8" borderId="28" xfId="3" applyNumberFormat="1" applyFont="1" applyFill="1" applyBorder="1" applyAlignment="1">
      <alignment horizontal="center" vertical="center" wrapText="1"/>
    </xf>
    <xf numFmtId="0" fontId="55" fillId="8" borderId="27" xfId="3" applyFont="1" applyFill="1" applyBorder="1" applyAlignment="1">
      <alignment horizontal="center" vertical="center"/>
    </xf>
    <xf numFmtId="0" fontId="55" fillId="8" borderId="29" xfId="3" applyFont="1" applyFill="1" applyBorder="1" applyAlignment="1">
      <alignment horizontal="center" vertical="center"/>
    </xf>
    <xf numFmtId="0" fontId="55" fillId="8" borderId="28" xfId="3" applyFont="1" applyFill="1" applyBorder="1" applyAlignment="1">
      <alignment horizontal="center" vertical="center"/>
    </xf>
    <xf numFmtId="0" fontId="58" fillId="0" borderId="30" xfId="20" applyFont="1" applyBorder="1" applyAlignment="1">
      <alignment horizontal="center" vertical="center"/>
    </xf>
    <xf numFmtId="0" fontId="12" fillId="0" borderId="41" xfId="20" applyFont="1" applyBorder="1" applyAlignment="1">
      <alignment horizontal="left" vertical="center" wrapText="1"/>
    </xf>
  </cellXfs>
  <cellStyles count="23">
    <cellStyle name="Hiperveza" xfId="22" builtinId="8"/>
    <cellStyle name="Naslov 1" xfId="19" xr:uid="{84E6CA67-2620-4BA9-9564-FAF326E8DF6C}"/>
    <cellStyle name="Normal 2" xfId="3" xr:uid="{CF64D9AB-3579-4D37-B18D-FB78E1FAD5C7}"/>
    <cellStyle name="Normal 2 3" xfId="20" xr:uid="{47D2E775-8310-4881-9643-5D75F55E76D2}"/>
    <cellStyle name="Normal 6" xfId="1" xr:uid="{D7DD0A98-EC3A-446A-84E4-8B26D2230316}"/>
    <cellStyle name="Normalno" xfId="0" builtinId="0"/>
    <cellStyle name="Obično_01_ZAGREBAČKA ŽUPANIJA" xfId="2" xr:uid="{5DE73F91-A262-4D8E-A96A-61C1DAEEA87E}"/>
    <cellStyle name="Obično_14_OSJEČKO-BARANJSKA ŽUPANIJA" xfId="4" xr:uid="{4D588517-784B-4BE7-962D-838D71590A18}"/>
    <cellStyle name="Obično_21_GRAD ZAGREB" xfId="21" xr:uid="{905BC771-DF95-44AC-83DD-5B0B69B4B90F}"/>
    <cellStyle name="Obično_List4" xfId="8" xr:uid="{6474B8DD-F205-47BA-AA0A-2C48104E5C14}"/>
    <cellStyle name="Obično_List7" xfId="13" xr:uid="{EE59ED6E-831D-49AE-9BFE-8D54FCAB7431}"/>
    <cellStyle name="Obično_List8" xfId="14" xr:uid="{C9C02270-01EB-4B79-8873-72DF6EF31DA4}"/>
    <cellStyle name="Obično_List9" xfId="15" xr:uid="{F5D7E33E-4071-42F6-B196-0A2D5CEE47EC}"/>
    <cellStyle name="SAPBEXchaText" xfId="5" xr:uid="{69873D23-1F80-4389-BB98-7EE395BBFE45}"/>
    <cellStyle name="SAPBEXchaText 3" xfId="11" xr:uid="{01C96B3C-0635-4A4C-95A5-860954EF2DC5}"/>
    <cellStyle name="SAPBEXHLevel0" xfId="16" xr:uid="{B56E6C61-A0DB-42F1-95BC-25AED5FA61BF}"/>
    <cellStyle name="SAPBEXHLevel1" xfId="10" xr:uid="{338F7E41-E656-43F2-B9A6-8CD2F545FEFF}"/>
    <cellStyle name="SAPBEXHLevel1 2" xfId="9" xr:uid="{3D54E8F8-C415-4798-AEC8-26A5D1ACB3C3}"/>
    <cellStyle name="SAPBEXHLevel2" xfId="17" xr:uid="{69EED773-D2E1-477A-ACF5-68452BBAFBAA}"/>
    <cellStyle name="SAPBEXHLevel3" xfId="18" xr:uid="{C94676A9-E972-418E-9FB1-17AF12B8FB86}"/>
    <cellStyle name="SAPBEXstdData" xfId="7" xr:uid="{8C4690F2-1D2B-4471-AFA7-EB3906477091}"/>
    <cellStyle name="SAPBEXstdItem" xfId="6" xr:uid="{3EEA1542-303E-4220-9BA8-ED7A13E507B3}"/>
    <cellStyle name="SAPBEXstdItem 3" xfId="12" xr:uid="{1539D8FA-5F77-4FD5-BA31-35634266B8AE}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ladimirka.telenta@uniri.hr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DF52A-E41D-4F3E-9878-97357B4E1382}">
  <sheetPr codeName="Sheet1">
    <pageSetUpPr fitToPage="1"/>
  </sheetPr>
  <dimension ref="A1:XFC996"/>
  <sheetViews>
    <sheetView showGridLines="0" topLeftCell="A10" workbookViewId="0">
      <selection activeCell="G13" sqref="G13"/>
    </sheetView>
  </sheetViews>
  <sheetFormatPr defaultColWidth="0" defaultRowHeight="13.2" zeroHeight="1"/>
  <cols>
    <col min="1" max="1" width="7.5546875" style="2" customWidth="1"/>
    <col min="2" max="2" width="36.109375" style="2" bestFit="1" customWidth="1"/>
    <col min="3" max="3" width="21.44140625" style="2" customWidth="1"/>
    <col min="4" max="4" width="21.109375" style="2" customWidth="1"/>
    <col min="5" max="5" width="21.6640625" style="2" customWidth="1"/>
    <col min="6" max="6" width="11.44140625" style="2" customWidth="1"/>
    <col min="7" max="7" width="14.44140625" style="2" customWidth="1"/>
    <col min="8" max="10" width="14.44140625" style="2" hidden="1" customWidth="1"/>
    <col min="11" max="11" width="6.88671875" style="2" hidden="1" customWidth="1"/>
    <col min="12" max="12" width="120.5546875" style="2" hidden="1" customWidth="1"/>
    <col min="13" max="13" width="6" style="2" hidden="1" customWidth="1"/>
    <col min="14" max="14" width="116" style="2" hidden="1" customWidth="1"/>
    <col min="15" max="15" width="55.5546875" style="2" hidden="1" customWidth="1"/>
    <col min="16" max="16" width="45.109375" style="2" hidden="1" customWidth="1"/>
    <col min="17" max="17" width="35.109375" style="2" hidden="1" customWidth="1"/>
    <col min="18" max="18" width="12.6640625" style="2" hidden="1" customWidth="1"/>
    <col min="19" max="19" width="12" style="2" hidden="1" customWidth="1"/>
    <col min="20" max="20" width="37.33203125" style="2" hidden="1" customWidth="1"/>
    <col min="21" max="21" width="6" style="2" hidden="1" customWidth="1"/>
    <col min="22" max="16383" width="14.44140625" style="2" hidden="1"/>
    <col min="16384" max="16384" width="0.109375" style="2" hidden="1"/>
  </cols>
  <sheetData>
    <row r="1" spans="1:26">
      <c r="A1" s="1"/>
    </row>
    <row r="2" spans="1:26"/>
    <row r="3" spans="1:26" ht="36.75" customHeight="1" thickBot="1">
      <c r="A3" s="3"/>
      <c r="B3" s="4" t="s">
        <v>0</v>
      </c>
      <c r="C3" s="297" t="s">
        <v>1</v>
      </c>
      <c r="D3" s="298"/>
      <c r="E3" s="299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" thickBot="1">
      <c r="A4" s="3"/>
      <c r="B4" s="5" t="s">
        <v>2</v>
      </c>
      <c r="C4" s="300" t="s">
        <v>5909</v>
      </c>
      <c r="D4" s="301"/>
      <c r="E4" s="30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 thickBot="1">
      <c r="A5" s="6"/>
      <c r="B5" s="5" t="s">
        <v>3</v>
      </c>
      <c r="C5" s="300" t="s">
        <v>5910</v>
      </c>
      <c r="D5" s="301"/>
      <c r="E5" s="302"/>
      <c r="F5" s="3"/>
      <c r="G5" s="3"/>
      <c r="H5" s="3"/>
      <c r="I5" s="3"/>
      <c r="J5" s="3"/>
      <c r="K5" s="7" t="s">
        <v>4</v>
      </c>
      <c r="L5" s="7" t="s">
        <v>5</v>
      </c>
      <c r="M5" s="7" t="s">
        <v>6</v>
      </c>
      <c r="N5" s="7" t="s">
        <v>7</v>
      </c>
      <c r="O5" s="7" t="s">
        <v>8</v>
      </c>
      <c r="P5" s="7" t="s">
        <v>9</v>
      </c>
      <c r="Q5" s="7" t="s">
        <v>10</v>
      </c>
      <c r="R5" s="7" t="s">
        <v>11</v>
      </c>
      <c r="S5" s="7" t="s">
        <v>12</v>
      </c>
      <c r="T5" s="7" t="s">
        <v>13</v>
      </c>
      <c r="U5" s="8" t="s">
        <v>14</v>
      </c>
      <c r="V5" s="3"/>
      <c r="W5" s="3"/>
      <c r="X5" s="3"/>
      <c r="Y5" s="3"/>
      <c r="Z5" s="3"/>
    </row>
    <row r="6" spans="1:26" ht="15" thickBot="1">
      <c r="A6" s="9"/>
      <c r="B6" s="5" t="s">
        <v>15</v>
      </c>
      <c r="C6" s="300">
        <v>51338411</v>
      </c>
      <c r="D6" s="301"/>
      <c r="E6" s="302"/>
      <c r="F6" s="3"/>
      <c r="G6" s="3"/>
      <c r="H6" s="3"/>
      <c r="I6" s="3"/>
      <c r="J6" s="3"/>
      <c r="K6" s="2">
        <v>0</v>
      </c>
      <c r="L6" s="2" t="s">
        <v>16</v>
      </c>
      <c r="T6" s="2" t="s">
        <v>17</v>
      </c>
      <c r="U6" s="2" t="s">
        <v>17</v>
      </c>
      <c r="V6" s="3"/>
      <c r="W6" s="3"/>
      <c r="X6" s="3"/>
      <c r="Y6" s="3"/>
      <c r="Z6" s="3"/>
    </row>
    <row r="7" spans="1:26" ht="15" thickBot="1">
      <c r="A7" s="9"/>
      <c r="B7" s="5" t="s">
        <v>18</v>
      </c>
      <c r="C7" s="303" t="s">
        <v>5911</v>
      </c>
      <c r="D7" s="301"/>
      <c r="E7" s="302"/>
      <c r="F7" s="3"/>
      <c r="G7" s="3"/>
      <c r="H7" s="3"/>
      <c r="I7" s="3"/>
      <c r="J7" s="3"/>
      <c r="K7" s="10">
        <v>1</v>
      </c>
      <c r="L7" s="11" t="s">
        <v>19</v>
      </c>
      <c r="M7" s="11">
        <v>2444</v>
      </c>
      <c r="N7" s="12" t="s">
        <v>20</v>
      </c>
      <c r="O7" s="45" t="s">
        <v>20</v>
      </c>
      <c r="P7" s="12" t="s">
        <v>21</v>
      </c>
      <c r="Q7" s="12" t="s">
        <v>22</v>
      </c>
      <c r="R7" s="15">
        <v>3337413</v>
      </c>
      <c r="S7" s="16" t="s">
        <v>23</v>
      </c>
      <c r="T7" s="17" t="s">
        <v>24</v>
      </c>
      <c r="U7" s="18" t="s">
        <v>25</v>
      </c>
      <c r="V7" s="3"/>
      <c r="W7" s="3"/>
      <c r="X7" s="3"/>
      <c r="Y7" s="3"/>
      <c r="Z7" s="3"/>
    </row>
    <row r="8" spans="1:26" ht="14.4">
      <c r="A8" s="9"/>
      <c r="B8" s="9"/>
      <c r="C8" s="3"/>
      <c r="D8" s="3"/>
      <c r="E8" s="3"/>
      <c r="F8" s="3"/>
      <c r="G8" s="3"/>
      <c r="H8" s="3"/>
      <c r="I8" s="3"/>
      <c r="J8" s="3"/>
      <c r="K8" s="10">
        <v>2</v>
      </c>
      <c r="L8" s="11" t="s">
        <v>26</v>
      </c>
      <c r="M8" s="11">
        <v>2444</v>
      </c>
      <c r="N8" s="12" t="s">
        <v>20</v>
      </c>
      <c r="O8" s="13" t="s">
        <v>20</v>
      </c>
      <c r="P8" s="12" t="s">
        <v>21</v>
      </c>
      <c r="Q8" s="12" t="s">
        <v>22</v>
      </c>
      <c r="R8" s="15">
        <v>3337413</v>
      </c>
      <c r="S8" s="16" t="s">
        <v>23</v>
      </c>
      <c r="T8" s="17" t="s">
        <v>24</v>
      </c>
      <c r="U8" s="18" t="s">
        <v>25</v>
      </c>
      <c r="V8" s="3"/>
      <c r="W8" s="3"/>
      <c r="X8" s="3"/>
      <c r="Y8" s="3"/>
      <c r="Z8" s="3"/>
    </row>
    <row r="9" spans="1:26" ht="28.5" customHeight="1">
      <c r="B9" s="295" t="s">
        <v>27</v>
      </c>
      <c r="C9" s="296"/>
      <c r="D9" s="296"/>
      <c r="E9" s="296"/>
      <c r="F9" s="3"/>
      <c r="G9" s="3"/>
      <c r="H9" s="3"/>
      <c r="I9" s="3"/>
      <c r="J9" s="3"/>
      <c r="K9" s="10">
        <v>3</v>
      </c>
      <c r="L9" s="11" t="s">
        <v>28</v>
      </c>
      <c r="M9" s="11">
        <v>2444</v>
      </c>
      <c r="N9" s="12" t="s">
        <v>20</v>
      </c>
      <c r="O9" s="13" t="s">
        <v>20</v>
      </c>
      <c r="P9" s="12" t="s">
        <v>21</v>
      </c>
      <c r="Q9" s="12" t="s">
        <v>22</v>
      </c>
      <c r="R9" s="15">
        <v>3337413</v>
      </c>
      <c r="S9" s="16" t="s">
        <v>23</v>
      </c>
      <c r="T9" s="17" t="s">
        <v>24</v>
      </c>
      <c r="U9" s="18" t="s">
        <v>25</v>
      </c>
      <c r="V9" s="3"/>
      <c r="W9" s="3"/>
      <c r="X9" s="3"/>
      <c r="Y9" s="3"/>
      <c r="Z9" s="3"/>
    </row>
    <row r="10" spans="1:26" ht="18.75" customHeight="1">
      <c r="B10" s="19"/>
      <c r="F10" s="3"/>
      <c r="G10" s="3"/>
      <c r="H10" s="3"/>
      <c r="I10" s="3"/>
      <c r="J10" s="3"/>
      <c r="K10" s="10">
        <v>4</v>
      </c>
      <c r="L10" s="11" t="s">
        <v>29</v>
      </c>
      <c r="M10" s="11">
        <v>2444</v>
      </c>
      <c r="N10" s="12" t="s">
        <v>20</v>
      </c>
      <c r="O10" s="20" t="s">
        <v>20</v>
      </c>
      <c r="P10" s="12" t="s">
        <v>21</v>
      </c>
      <c r="Q10" s="12" t="s">
        <v>22</v>
      </c>
      <c r="R10" s="15">
        <v>3337413</v>
      </c>
      <c r="S10" s="16" t="s">
        <v>23</v>
      </c>
      <c r="T10" s="17" t="s">
        <v>24</v>
      </c>
      <c r="U10" s="18" t="s">
        <v>25</v>
      </c>
      <c r="V10" s="3"/>
      <c r="W10" s="3"/>
      <c r="X10" s="3"/>
      <c r="Y10" s="3"/>
      <c r="Z10" s="3"/>
    </row>
    <row r="11" spans="1:26" ht="12" customHeight="1">
      <c r="B11" s="295" t="s">
        <v>30</v>
      </c>
      <c r="C11" s="296"/>
      <c r="D11" s="296"/>
      <c r="E11" s="296"/>
      <c r="F11" s="3"/>
      <c r="G11" s="3"/>
      <c r="H11" s="3"/>
      <c r="I11" s="3"/>
      <c r="J11" s="3"/>
      <c r="K11" s="10">
        <v>5</v>
      </c>
      <c r="L11" s="11" t="s">
        <v>31</v>
      </c>
      <c r="M11" s="11">
        <v>2444</v>
      </c>
      <c r="N11" s="12" t="s">
        <v>20</v>
      </c>
      <c r="O11" s="20" t="s">
        <v>20</v>
      </c>
      <c r="P11" s="12" t="s">
        <v>21</v>
      </c>
      <c r="Q11" s="12" t="s">
        <v>22</v>
      </c>
      <c r="R11" s="15">
        <v>3337413</v>
      </c>
      <c r="S11" s="16" t="s">
        <v>23</v>
      </c>
      <c r="T11" s="17" t="s">
        <v>24</v>
      </c>
      <c r="U11" s="18" t="s">
        <v>25</v>
      </c>
      <c r="V11" s="3"/>
      <c r="W11" s="3"/>
      <c r="X11" s="3"/>
      <c r="Y11" s="3"/>
      <c r="Z11" s="3"/>
    </row>
    <row r="12" spans="1:26" ht="12" customHeight="1">
      <c r="B12" s="19"/>
      <c r="F12" s="3"/>
      <c r="G12" s="3"/>
      <c r="H12" s="3"/>
      <c r="I12" s="3"/>
      <c r="J12" s="3"/>
      <c r="K12" s="10">
        <v>6</v>
      </c>
      <c r="L12" s="11" t="s">
        <v>32</v>
      </c>
      <c r="M12" s="11">
        <v>2444</v>
      </c>
      <c r="N12" s="12" t="s">
        <v>20</v>
      </c>
      <c r="O12" s="45" t="s">
        <v>20</v>
      </c>
      <c r="P12" s="12" t="s">
        <v>21</v>
      </c>
      <c r="Q12" s="12" t="s">
        <v>22</v>
      </c>
      <c r="R12" s="15">
        <v>3337413</v>
      </c>
      <c r="S12" s="16" t="s">
        <v>23</v>
      </c>
      <c r="T12" s="17" t="s">
        <v>24</v>
      </c>
      <c r="U12" s="18" t="s">
        <v>25</v>
      </c>
      <c r="V12" s="3"/>
      <c r="W12" s="3"/>
      <c r="X12" s="3"/>
      <c r="Y12" s="3"/>
      <c r="Z12" s="3"/>
    </row>
    <row r="13" spans="1:26" ht="33" customHeight="1">
      <c r="B13" s="295" t="s">
        <v>33</v>
      </c>
      <c r="C13" s="296"/>
      <c r="D13" s="296"/>
      <c r="E13" s="296"/>
      <c r="F13" s="21"/>
      <c r="G13" s="3"/>
      <c r="H13" s="3"/>
      <c r="I13" s="3"/>
      <c r="J13" s="3"/>
      <c r="K13" s="10">
        <v>7</v>
      </c>
      <c r="L13" s="11" t="s">
        <v>34</v>
      </c>
      <c r="M13" s="11">
        <v>38454</v>
      </c>
      <c r="N13" s="12" t="s">
        <v>35</v>
      </c>
      <c r="O13" s="45" t="s">
        <v>20</v>
      </c>
      <c r="P13" s="12" t="s">
        <v>36</v>
      </c>
      <c r="Q13" s="12" t="s">
        <v>22</v>
      </c>
      <c r="R13" s="15">
        <v>1954253</v>
      </c>
      <c r="S13" s="16" t="s">
        <v>37</v>
      </c>
      <c r="T13" s="17" t="s">
        <v>24</v>
      </c>
      <c r="U13" s="18" t="s">
        <v>25</v>
      </c>
      <c r="V13" s="3"/>
      <c r="W13" s="3"/>
      <c r="X13" s="3"/>
      <c r="Y13" s="3"/>
      <c r="Z13" s="3"/>
    </row>
    <row r="14" spans="1:26" ht="19.5" customHeight="1">
      <c r="A14" s="22"/>
      <c r="B14" s="22"/>
      <c r="C14" s="3"/>
      <c r="D14" s="3"/>
      <c r="E14" s="23" t="s">
        <v>38</v>
      </c>
      <c r="F14" s="21"/>
      <c r="G14" s="3"/>
      <c r="H14" s="3"/>
      <c r="I14" s="3"/>
      <c r="J14" s="3"/>
      <c r="K14" s="10">
        <v>8</v>
      </c>
      <c r="L14" s="11" t="s">
        <v>39</v>
      </c>
      <c r="M14" s="11">
        <v>2186</v>
      </c>
      <c r="N14" s="12" t="s">
        <v>40</v>
      </c>
      <c r="O14" s="45" t="s">
        <v>20</v>
      </c>
      <c r="P14" s="12" t="s">
        <v>41</v>
      </c>
      <c r="Q14" s="12" t="s">
        <v>22</v>
      </c>
      <c r="R14" s="15">
        <v>3328627</v>
      </c>
      <c r="S14" s="16" t="s">
        <v>42</v>
      </c>
      <c r="T14" s="17" t="s">
        <v>24</v>
      </c>
      <c r="U14" s="18" t="s">
        <v>25</v>
      </c>
      <c r="V14" s="3"/>
      <c r="W14" s="3"/>
      <c r="X14" s="3"/>
      <c r="Y14" s="3"/>
      <c r="Z14" s="3"/>
    </row>
    <row r="15" spans="1:26" ht="43.2">
      <c r="A15" s="24"/>
      <c r="B15" s="24"/>
      <c r="C15" s="24" t="s">
        <v>43</v>
      </c>
      <c r="D15" s="24" t="s">
        <v>44</v>
      </c>
      <c r="E15" s="24" t="s">
        <v>45</v>
      </c>
      <c r="F15" s="3"/>
      <c r="G15" s="3"/>
      <c r="H15" s="3"/>
      <c r="I15" s="3"/>
      <c r="J15" s="3"/>
      <c r="K15" s="10">
        <v>9</v>
      </c>
      <c r="L15" s="11" t="s">
        <v>46</v>
      </c>
      <c r="M15" s="11">
        <v>2194</v>
      </c>
      <c r="N15" s="12" t="s">
        <v>47</v>
      </c>
      <c r="O15" s="45" t="s">
        <v>20</v>
      </c>
      <c r="P15" s="12" t="s">
        <v>48</v>
      </c>
      <c r="Q15" s="12" t="s">
        <v>49</v>
      </c>
      <c r="R15" s="15">
        <v>3091732</v>
      </c>
      <c r="S15" s="16" t="s">
        <v>50</v>
      </c>
      <c r="T15" s="17" t="s">
        <v>24</v>
      </c>
      <c r="U15" s="18" t="s">
        <v>25</v>
      </c>
      <c r="V15" s="3"/>
      <c r="W15" s="3"/>
      <c r="X15" s="3"/>
      <c r="Y15" s="3"/>
      <c r="Z15" s="3"/>
    </row>
    <row r="16" spans="1:26" ht="19.5" customHeight="1">
      <c r="A16" s="25"/>
      <c r="B16" s="25" t="s">
        <v>51</v>
      </c>
      <c r="C16" s="26">
        <f>SUM(C17:C18)</f>
        <v>6468826</v>
      </c>
      <c r="D16" s="26">
        <f>+D17+D18</f>
        <v>6301398</v>
      </c>
      <c r="E16" s="26">
        <f>+E17+E18</f>
        <v>-167428</v>
      </c>
      <c r="F16" s="3"/>
      <c r="G16" s="27"/>
      <c r="H16" s="3"/>
      <c r="I16" s="3"/>
      <c r="J16" s="3"/>
      <c r="K16" s="10">
        <v>10</v>
      </c>
      <c r="L16" s="11" t="s">
        <v>52</v>
      </c>
      <c r="M16" s="11">
        <v>48023</v>
      </c>
      <c r="N16" s="12" t="s">
        <v>53</v>
      </c>
      <c r="O16" s="45" t="s">
        <v>20</v>
      </c>
      <c r="P16" s="12" t="s">
        <v>54</v>
      </c>
      <c r="Q16" s="12" t="s">
        <v>22</v>
      </c>
      <c r="R16" s="15" t="s">
        <v>55</v>
      </c>
      <c r="S16" s="16" t="s">
        <v>56</v>
      </c>
      <c r="T16" s="17" t="s">
        <v>24</v>
      </c>
      <c r="U16" s="18" t="s">
        <v>25</v>
      </c>
      <c r="V16" s="3"/>
      <c r="W16" s="3"/>
      <c r="X16" s="3"/>
      <c r="Y16" s="3"/>
      <c r="Z16" s="3"/>
    </row>
    <row r="17" spans="1:26" ht="19.5" customHeight="1">
      <c r="A17" s="28">
        <v>6</v>
      </c>
      <c r="B17" s="25" t="s">
        <v>57</v>
      </c>
      <c r="C17" s="29">
        <f>+'A.1 PRIHODI'!D16</f>
        <v>6468030</v>
      </c>
      <c r="D17" s="29">
        <f>+'A.1 PRIHODI'!D30</f>
        <v>6300676</v>
      </c>
      <c r="E17" s="29">
        <f>+'A.1 PRIHODI'!D44</f>
        <v>-167354</v>
      </c>
      <c r="F17" s="3"/>
      <c r="G17" s="3"/>
      <c r="H17" s="3"/>
      <c r="I17" s="3"/>
      <c r="J17" s="3"/>
      <c r="K17" s="10">
        <v>11</v>
      </c>
      <c r="L17" s="11" t="s">
        <v>58</v>
      </c>
      <c r="M17" s="11">
        <v>22857</v>
      </c>
      <c r="N17" s="12" t="s">
        <v>59</v>
      </c>
      <c r="O17" s="45" t="s">
        <v>20</v>
      </c>
      <c r="P17" s="12" t="s">
        <v>60</v>
      </c>
      <c r="Q17" s="12" t="s">
        <v>22</v>
      </c>
      <c r="R17" s="15">
        <v>3368491</v>
      </c>
      <c r="S17" s="16" t="s">
        <v>61</v>
      </c>
      <c r="T17" s="17" t="s">
        <v>24</v>
      </c>
      <c r="U17" s="18" t="s">
        <v>25</v>
      </c>
      <c r="V17" s="3"/>
      <c r="W17" s="3"/>
      <c r="X17" s="3"/>
      <c r="Y17" s="3"/>
      <c r="Z17" s="3"/>
    </row>
    <row r="18" spans="1:26" ht="19.5" customHeight="1">
      <c r="A18" s="28">
        <v>7</v>
      </c>
      <c r="B18" s="30" t="s">
        <v>62</v>
      </c>
      <c r="C18" s="29">
        <f>+'A.1 PRIHODI'!D19</f>
        <v>796</v>
      </c>
      <c r="D18" s="29">
        <f>+'A.1 PRIHODI'!D33</f>
        <v>722</v>
      </c>
      <c r="E18" s="29">
        <f>+'A.1 PRIHODI'!D47</f>
        <v>-74</v>
      </c>
      <c r="F18" s="3"/>
      <c r="G18" s="3"/>
      <c r="H18" s="3"/>
      <c r="I18" s="3"/>
      <c r="J18" s="3"/>
      <c r="K18" s="10">
        <v>12</v>
      </c>
      <c r="L18" s="11" t="s">
        <v>63</v>
      </c>
      <c r="M18" s="11">
        <v>2160</v>
      </c>
      <c r="N18" s="12" t="s">
        <v>64</v>
      </c>
      <c r="O18" s="45" t="s">
        <v>20</v>
      </c>
      <c r="P18" s="12" t="s">
        <v>65</v>
      </c>
      <c r="Q18" s="12" t="s">
        <v>22</v>
      </c>
      <c r="R18" s="15">
        <v>3395855</v>
      </c>
      <c r="S18" s="16" t="s">
        <v>66</v>
      </c>
      <c r="T18" s="17" t="s">
        <v>24</v>
      </c>
      <c r="U18" s="18" t="s">
        <v>25</v>
      </c>
      <c r="V18" s="3"/>
      <c r="W18" s="3"/>
      <c r="X18" s="3"/>
      <c r="Y18" s="3"/>
      <c r="Z18" s="3"/>
    </row>
    <row r="19" spans="1:26" ht="19.5" customHeight="1">
      <c r="A19" s="31"/>
      <c r="B19" s="30" t="s">
        <v>67</v>
      </c>
      <c r="C19" s="32">
        <f>SUM(C20:C21)</f>
        <v>6260783</v>
      </c>
      <c r="D19" s="32">
        <f>+D20+D21</f>
        <v>6420263</v>
      </c>
      <c r="E19" s="32">
        <f>+E20+E21</f>
        <v>159480</v>
      </c>
      <c r="F19" s="3"/>
      <c r="G19" s="3"/>
      <c r="H19" s="3"/>
      <c r="I19" s="3"/>
      <c r="J19" s="3"/>
      <c r="K19" s="10">
        <v>13</v>
      </c>
      <c r="L19" s="11" t="s">
        <v>68</v>
      </c>
      <c r="M19" s="11">
        <v>2225</v>
      </c>
      <c r="N19" s="12" t="s">
        <v>69</v>
      </c>
      <c r="O19" s="45" t="s">
        <v>20</v>
      </c>
      <c r="P19" s="12" t="s">
        <v>70</v>
      </c>
      <c r="Q19" s="12" t="s">
        <v>22</v>
      </c>
      <c r="R19" s="15">
        <v>3328554</v>
      </c>
      <c r="S19" s="16" t="s">
        <v>71</v>
      </c>
      <c r="T19" s="17" t="s">
        <v>24</v>
      </c>
      <c r="U19" s="18" t="s">
        <v>25</v>
      </c>
      <c r="V19" s="3"/>
      <c r="W19" s="3"/>
      <c r="X19" s="3"/>
      <c r="Y19" s="3"/>
      <c r="Z19" s="3"/>
    </row>
    <row r="20" spans="1:26" ht="19.5" customHeight="1">
      <c r="A20" s="31">
        <v>3</v>
      </c>
      <c r="B20" s="25" t="s">
        <v>72</v>
      </c>
      <c r="C20" s="33">
        <f>+'A.2 RASHODI'!D5</f>
        <v>5979046</v>
      </c>
      <c r="D20" s="34">
        <f>+'A.2 RASHODI'!D22</f>
        <v>6097113</v>
      </c>
      <c r="E20" s="34">
        <f>+'A.2 RASHODI'!D39</f>
        <v>118067</v>
      </c>
      <c r="F20" s="3"/>
      <c r="G20" s="3"/>
      <c r="H20" s="3"/>
      <c r="I20" s="3"/>
      <c r="J20" s="3"/>
      <c r="K20" s="10">
        <v>14</v>
      </c>
      <c r="L20" s="11" t="s">
        <v>1</v>
      </c>
      <c r="M20" s="11">
        <v>22568</v>
      </c>
      <c r="N20" s="12" t="s">
        <v>73</v>
      </c>
      <c r="O20" s="45" t="s">
        <v>20</v>
      </c>
      <c r="P20" s="12" t="s">
        <v>74</v>
      </c>
      <c r="Q20" s="12" t="s">
        <v>22</v>
      </c>
      <c r="R20" s="15">
        <v>1580485</v>
      </c>
      <c r="S20" s="16" t="s">
        <v>75</v>
      </c>
      <c r="T20" s="17" t="s">
        <v>24</v>
      </c>
      <c r="U20" s="18" t="s">
        <v>25</v>
      </c>
      <c r="V20" s="3"/>
      <c r="W20" s="3"/>
      <c r="X20" s="3"/>
      <c r="Y20" s="3"/>
      <c r="Z20" s="3"/>
    </row>
    <row r="21" spans="1:26" ht="19.5" customHeight="1">
      <c r="A21" s="28">
        <v>4</v>
      </c>
      <c r="B21" s="30" t="s">
        <v>76</v>
      </c>
      <c r="C21" s="33">
        <f>+'A.2 RASHODI'!D13</f>
        <v>281737</v>
      </c>
      <c r="D21" s="34">
        <f>+'A.2 RASHODI'!D30</f>
        <v>323150</v>
      </c>
      <c r="E21" s="34">
        <f>+'A.2 RASHODI'!D47</f>
        <v>41413</v>
      </c>
      <c r="F21" s="3"/>
      <c r="G21" s="3"/>
      <c r="H21" s="3"/>
      <c r="I21" s="3"/>
      <c r="J21" s="3"/>
      <c r="K21" s="10">
        <v>15</v>
      </c>
      <c r="L21" s="11" t="s">
        <v>77</v>
      </c>
      <c r="M21" s="11">
        <v>2217</v>
      </c>
      <c r="N21" s="12" t="s">
        <v>78</v>
      </c>
      <c r="O21" s="45" t="s">
        <v>20</v>
      </c>
      <c r="P21" s="12" t="s">
        <v>79</v>
      </c>
      <c r="Q21" s="12" t="s">
        <v>22</v>
      </c>
      <c r="R21" s="15">
        <v>3328562</v>
      </c>
      <c r="S21" s="16" t="s">
        <v>80</v>
      </c>
      <c r="T21" s="17" t="s">
        <v>24</v>
      </c>
      <c r="U21" s="18" t="s">
        <v>25</v>
      </c>
      <c r="V21" s="3"/>
      <c r="W21" s="3"/>
      <c r="X21" s="3"/>
      <c r="Y21" s="3"/>
      <c r="Z21" s="3"/>
    </row>
    <row r="22" spans="1:26" ht="14.4">
      <c r="A22" s="25"/>
      <c r="B22" s="25" t="s">
        <v>81</v>
      </c>
      <c r="C22" s="26">
        <f>+C16-C19</f>
        <v>208043</v>
      </c>
      <c r="D22" s="26">
        <f>+D16-D19</f>
        <v>-118865</v>
      </c>
      <c r="E22" s="26">
        <f>+E16-E19</f>
        <v>-326908</v>
      </c>
      <c r="F22" s="3"/>
      <c r="G22" s="3"/>
      <c r="H22" s="27"/>
      <c r="I22" s="3"/>
      <c r="J22" s="3"/>
      <c r="K22" s="10">
        <v>16</v>
      </c>
      <c r="L22" s="11" t="s">
        <v>82</v>
      </c>
      <c r="M22" s="11">
        <v>2493</v>
      </c>
      <c r="N22" s="12" t="s">
        <v>83</v>
      </c>
      <c r="O22" s="45" t="s">
        <v>20</v>
      </c>
      <c r="P22" s="12" t="s">
        <v>84</v>
      </c>
      <c r="Q22" s="12" t="s">
        <v>22</v>
      </c>
      <c r="R22" s="15">
        <v>3328686</v>
      </c>
      <c r="S22" s="16" t="s">
        <v>85</v>
      </c>
      <c r="T22" s="17" t="s">
        <v>24</v>
      </c>
      <c r="U22" s="18" t="s">
        <v>25</v>
      </c>
      <c r="V22" s="3"/>
      <c r="W22" s="3"/>
      <c r="X22" s="3"/>
      <c r="Y22" s="3"/>
      <c r="Z22" s="3"/>
    </row>
    <row r="23" spans="1:26" ht="11.25" customHeight="1">
      <c r="B23" s="304"/>
      <c r="C23" s="296"/>
      <c r="D23" s="296"/>
      <c r="E23" s="296"/>
      <c r="F23" s="3"/>
      <c r="G23" s="3"/>
      <c r="H23" s="35"/>
      <c r="I23" s="3"/>
      <c r="J23" s="3"/>
      <c r="K23" s="10">
        <v>17</v>
      </c>
      <c r="L23" s="11" t="s">
        <v>86</v>
      </c>
      <c r="M23" s="11">
        <v>2151</v>
      </c>
      <c r="N23" s="12" t="s">
        <v>87</v>
      </c>
      <c r="O23" s="45" t="s">
        <v>20</v>
      </c>
      <c r="P23" s="12" t="s">
        <v>88</v>
      </c>
      <c r="Q23" s="12" t="s">
        <v>22</v>
      </c>
      <c r="R23" s="15">
        <v>3334317</v>
      </c>
      <c r="S23" s="16" t="s">
        <v>89</v>
      </c>
      <c r="T23" s="17" t="s">
        <v>24</v>
      </c>
      <c r="U23" s="18" t="s">
        <v>25</v>
      </c>
      <c r="V23" s="3"/>
      <c r="W23" s="3"/>
      <c r="X23" s="3"/>
      <c r="Y23" s="3"/>
      <c r="Z23" s="3"/>
    </row>
    <row r="24" spans="1:26" ht="14.4">
      <c r="B24" s="295" t="s">
        <v>90</v>
      </c>
      <c r="C24" s="296"/>
      <c r="D24" s="296"/>
      <c r="E24" s="296"/>
      <c r="F24" s="3"/>
      <c r="G24" s="3"/>
      <c r="H24" s="35"/>
      <c r="I24" s="3"/>
      <c r="J24" s="3"/>
      <c r="K24" s="10">
        <v>18</v>
      </c>
      <c r="L24" s="11" t="s">
        <v>91</v>
      </c>
      <c r="M24" s="11">
        <v>40947</v>
      </c>
      <c r="N24" s="12" t="s">
        <v>92</v>
      </c>
      <c r="O24" s="45" t="s">
        <v>20</v>
      </c>
      <c r="P24" s="12" t="s">
        <v>93</v>
      </c>
      <c r="Q24" s="12" t="s">
        <v>22</v>
      </c>
      <c r="R24" s="15">
        <v>2116073</v>
      </c>
      <c r="S24" s="16" t="s">
        <v>94</v>
      </c>
      <c r="T24" s="17" t="s">
        <v>24</v>
      </c>
      <c r="U24" s="18" t="s">
        <v>25</v>
      </c>
      <c r="V24" s="3"/>
      <c r="W24" s="3"/>
      <c r="X24" s="3"/>
      <c r="Y24" s="3"/>
      <c r="Z24" s="3"/>
    </row>
    <row r="25" spans="1:26" ht="14.4">
      <c r="A25" s="22"/>
      <c r="B25" s="22"/>
      <c r="C25" s="3"/>
      <c r="D25" s="3"/>
      <c r="E25" s="23" t="s">
        <v>38</v>
      </c>
      <c r="F25" s="3"/>
      <c r="G25" s="3"/>
      <c r="H25" s="3"/>
      <c r="I25" s="3"/>
      <c r="J25" s="3"/>
      <c r="K25" s="10">
        <v>19</v>
      </c>
      <c r="L25" s="11"/>
      <c r="M25" s="36"/>
      <c r="N25" s="37"/>
      <c r="O25" s="38"/>
      <c r="P25" s="37"/>
      <c r="Q25" s="12"/>
      <c r="R25" s="39"/>
      <c r="S25" s="40"/>
      <c r="T25" s="17"/>
      <c r="U25" s="18"/>
      <c r="V25" s="3"/>
      <c r="W25" s="3"/>
      <c r="X25" s="3"/>
      <c r="Y25" s="3"/>
      <c r="Z25" s="3"/>
    </row>
    <row r="26" spans="1:26" ht="43.2">
      <c r="A26" s="24"/>
      <c r="B26" s="24"/>
      <c r="C26" s="24" t="s">
        <v>43</v>
      </c>
      <c r="D26" s="24" t="s">
        <v>44</v>
      </c>
      <c r="E26" s="24" t="s">
        <v>45</v>
      </c>
      <c r="F26" s="3"/>
      <c r="G26" s="3"/>
      <c r="H26" s="41"/>
      <c r="I26" s="3"/>
      <c r="J26" s="3"/>
      <c r="K26" s="10">
        <v>20</v>
      </c>
      <c r="L26" s="11"/>
      <c r="M26" s="11"/>
      <c r="N26" s="12"/>
      <c r="O26" s="13"/>
      <c r="P26" s="12"/>
      <c r="Q26" s="12"/>
      <c r="R26" s="15"/>
      <c r="S26" s="16"/>
      <c r="T26" s="17"/>
      <c r="U26" s="18"/>
      <c r="V26" s="3"/>
      <c r="W26" s="3"/>
      <c r="X26" s="3"/>
      <c r="Y26" s="3"/>
      <c r="Z26" s="3"/>
    </row>
    <row r="27" spans="1:26" ht="28.8">
      <c r="A27" s="28">
        <v>8</v>
      </c>
      <c r="B27" s="25" t="s">
        <v>95</v>
      </c>
      <c r="C27" s="29">
        <f>+'B. RAČUN FIN'!D6</f>
        <v>0</v>
      </c>
      <c r="D27" s="29">
        <f>+'B. RAČUN FIN'!D17</f>
        <v>0</v>
      </c>
      <c r="E27" s="29">
        <f>+'B. RAČUN FIN'!D28</f>
        <v>0</v>
      </c>
      <c r="F27" s="3"/>
      <c r="G27" s="3"/>
      <c r="H27" s="3"/>
      <c r="I27" s="3"/>
      <c r="J27" s="3"/>
      <c r="K27" s="10">
        <v>21</v>
      </c>
      <c r="L27" s="11"/>
      <c r="M27" s="11"/>
      <c r="N27" s="12"/>
      <c r="O27" s="13"/>
      <c r="P27" s="12"/>
      <c r="Q27" s="12"/>
      <c r="R27" s="15"/>
      <c r="S27" s="16"/>
      <c r="T27" s="17"/>
      <c r="U27" s="18"/>
      <c r="V27" s="3"/>
      <c r="W27" s="3"/>
      <c r="X27" s="3"/>
      <c r="Y27" s="3"/>
      <c r="Z27" s="3"/>
    </row>
    <row r="28" spans="1:26" ht="28.8">
      <c r="A28" s="28">
        <v>5</v>
      </c>
      <c r="B28" s="25" t="s">
        <v>96</v>
      </c>
      <c r="C28" s="29">
        <f>+'B. RAČUN FIN'!D11</f>
        <v>0</v>
      </c>
      <c r="D28" s="29">
        <f>+'B. RAČUN FIN'!D22</f>
        <v>0</v>
      </c>
      <c r="E28" s="29">
        <f>+'B. RAČUN FIN'!D33</f>
        <v>0</v>
      </c>
      <c r="F28" s="42"/>
      <c r="G28" s="3"/>
      <c r="H28" s="3"/>
      <c r="I28" s="3"/>
      <c r="J28" s="3"/>
      <c r="K28" s="10">
        <v>22</v>
      </c>
      <c r="L28" s="11"/>
      <c r="M28" s="11"/>
      <c r="N28" s="12"/>
      <c r="O28" s="13"/>
      <c r="P28" s="12"/>
      <c r="Q28" s="12"/>
      <c r="R28" s="15"/>
      <c r="S28" s="16"/>
      <c r="T28" s="17"/>
      <c r="U28" s="18"/>
      <c r="V28" s="3"/>
      <c r="W28" s="3"/>
      <c r="X28" s="3"/>
      <c r="Y28" s="3"/>
      <c r="Z28" s="3"/>
    </row>
    <row r="29" spans="1:26" ht="28.8">
      <c r="A29" s="43" t="s">
        <v>97</v>
      </c>
      <c r="B29" s="44" t="s">
        <v>98</v>
      </c>
      <c r="C29" s="33">
        <f>+'Unos prijenosa'!D5</f>
        <v>1568633</v>
      </c>
      <c r="D29" s="33">
        <f>+'Unos prijenosa'!D13</f>
        <v>1394178</v>
      </c>
      <c r="E29" s="33">
        <f>+'Unos prijenosa'!D21</f>
        <v>-174455</v>
      </c>
      <c r="F29" s="3"/>
      <c r="G29" s="3"/>
      <c r="H29" s="3"/>
      <c r="I29" s="3"/>
      <c r="J29" s="3"/>
      <c r="K29" s="10">
        <v>23</v>
      </c>
      <c r="L29" s="11"/>
      <c r="M29" s="11"/>
      <c r="N29" s="12"/>
      <c r="O29" s="45"/>
      <c r="P29" s="12"/>
      <c r="Q29" s="12"/>
      <c r="R29" s="15"/>
      <c r="S29" s="16"/>
      <c r="T29" s="17"/>
      <c r="U29" s="18"/>
      <c r="V29" s="3"/>
      <c r="W29" s="3"/>
      <c r="X29" s="3"/>
      <c r="Y29" s="3"/>
      <c r="Z29" s="3"/>
    </row>
    <row r="30" spans="1:26" ht="28.8">
      <c r="A30" s="43" t="s">
        <v>99</v>
      </c>
      <c r="B30" s="44" t="s">
        <v>100</v>
      </c>
      <c r="C30" s="46">
        <f>+'Unos prijenosa'!D7</f>
        <v>-1776676</v>
      </c>
      <c r="D30" s="46">
        <f>+'Unos prijenosa'!D15</f>
        <v>-1275313</v>
      </c>
      <c r="E30" s="47">
        <f>+'Unos prijenosa'!D23</f>
        <v>501363</v>
      </c>
      <c r="F30" s="3"/>
      <c r="G30" s="3"/>
      <c r="H30" s="3"/>
      <c r="I30" s="3"/>
      <c r="J30" s="3"/>
      <c r="K30" s="10">
        <v>24</v>
      </c>
      <c r="L30" s="11"/>
      <c r="M30" s="11"/>
      <c r="N30" s="12"/>
      <c r="O30" s="45"/>
      <c r="P30" s="12"/>
      <c r="Q30" s="12"/>
      <c r="R30" s="15"/>
      <c r="S30" s="16"/>
      <c r="T30" s="17"/>
      <c r="U30" s="18"/>
      <c r="V30" s="3"/>
      <c r="W30" s="3"/>
      <c r="X30" s="3"/>
      <c r="Y30" s="3"/>
      <c r="Z30" s="3"/>
    </row>
    <row r="31" spans="1:26" ht="14.4">
      <c r="A31" s="25"/>
      <c r="B31" s="25" t="s">
        <v>101</v>
      </c>
      <c r="C31" s="32">
        <f>+C27-C28+C29+C30</f>
        <v>-208043</v>
      </c>
      <c r="D31" s="32">
        <f t="shared" ref="D31:E31" si="0">+D27-D28+D29+D30</f>
        <v>118865</v>
      </c>
      <c r="E31" s="32">
        <f t="shared" si="0"/>
        <v>326908</v>
      </c>
      <c r="F31" s="3"/>
      <c r="G31" s="48"/>
      <c r="H31" s="3"/>
      <c r="I31" s="3"/>
      <c r="J31" s="3"/>
      <c r="K31" s="10">
        <v>25</v>
      </c>
      <c r="L31" s="11"/>
      <c r="M31" s="11"/>
      <c r="N31" s="12"/>
      <c r="O31" s="45"/>
      <c r="P31" s="12"/>
      <c r="Q31" s="12"/>
      <c r="R31" s="15"/>
      <c r="S31" s="16"/>
      <c r="T31" s="17"/>
      <c r="U31" s="18"/>
      <c r="V31" s="3"/>
      <c r="W31" s="3"/>
      <c r="X31" s="3"/>
      <c r="Y31" s="3"/>
      <c r="Z31" s="3"/>
    </row>
    <row r="32" spans="1:26" ht="18.75" customHeight="1">
      <c r="B32" s="304"/>
      <c r="C32" s="296"/>
      <c r="D32" s="296"/>
      <c r="E32" s="296"/>
      <c r="F32" s="3"/>
      <c r="G32" s="3"/>
      <c r="H32" s="3"/>
      <c r="I32" s="3"/>
      <c r="J32" s="3"/>
      <c r="K32" s="10">
        <v>26</v>
      </c>
      <c r="L32" s="11"/>
      <c r="M32" s="11"/>
      <c r="N32" s="12"/>
      <c r="O32" s="45"/>
      <c r="P32" s="12"/>
      <c r="Q32" s="12"/>
      <c r="R32" s="15"/>
      <c r="S32" s="16"/>
      <c r="T32" s="17"/>
      <c r="U32" s="18"/>
      <c r="V32" s="3"/>
      <c r="W32" s="3"/>
      <c r="X32" s="3"/>
      <c r="Y32" s="3"/>
      <c r="Z32" s="3"/>
    </row>
    <row r="33" spans="1:26" ht="14.4">
      <c r="A33" s="49"/>
      <c r="B33" s="49" t="s">
        <v>102</v>
      </c>
      <c r="C33" s="50">
        <f>+C22+C31</f>
        <v>0</v>
      </c>
      <c r="D33" s="50">
        <f>+D22+D31</f>
        <v>0</v>
      </c>
      <c r="E33" s="50">
        <f>+E22+E31</f>
        <v>0</v>
      </c>
      <c r="F33" s="51"/>
      <c r="G33" s="52"/>
      <c r="H33" s="52"/>
      <c r="I33" s="52"/>
      <c r="J33" s="52"/>
      <c r="K33" s="10">
        <v>27</v>
      </c>
      <c r="L33" s="11"/>
      <c r="M33" s="11"/>
      <c r="N33" s="12"/>
      <c r="O33" s="45"/>
      <c r="P33" s="12"/>
      <c r="Q33" s="12"/>
      <c r="R33" s="15"/>
      <c r="S33" s="16"/>
      <c r="T33" s="17"/>
      <c r="U33" s="18"/>
      <c r="V33" s="52"/>
      <c r="W33" s="52"/>
      <c r="X33" s="52"/>
      <c r="Y33" s="52"/>
      <c r="Z33" s="52"/>
    </row>
    <row r="34" spans="1:26" ht="14.4">
      <c r="A34" s="22"/>
      <c r="B34" s="22"/>
      <c r="C34" s="3"/>
      <c r="D34" s="3"/>
      <c r="E34" s="3"/>
      <c r="F34" s="3"/>
      <c r="G34" s="3"/>
      <c r="H34" s="3"/>
      <c r="I34" s="3"/>
      <c r="J34" s="3"/>
      <c r="K34" s="10">
        <v>28</v>
      </c>
      <c r="L34" s="11"/>
      <c r="M34" s="11"/>
      <c r="N34" s="12"/>
      <c r="O34" s="45"/>
      <c r="P34" s="12"/>
      <c r="Q34" s="12"/>
      <c r="R34" s="15"/>
      <c r="S34" s="16"/>
      <c r="T34" s="17"/>
      <c r="U34" s="18"/>
      <c r="V34" s="3"/>
      <c r="W34" s="3"/>
      <c r="X34" s="3"/>
      <c r="Y34" s="3"/>
      <c r="Z34" s="3"/>
    </row>
    <row r="35" spans="1:26" ht="14.4">
      <c r="A35" s="3"/>
      <c r="B35" s="3"/>
      <c r="C35" s="3"/>
      <c r="D35" s="3"/>
      <c r="E35" s="3"/>
      <c r="F35" s="3"/>
      <c r="G35" s="3"/>
      <c r="H35" s="3"/>
      <c r="I35" s="3"/>
      <c r="J35" s="3"/>
      <c r="K35" s="10">
        <v>29</v>
      </c>
      <c r="L35" s="11"/>
      <c r="M35" s="11"/>
      <c r="N35" s="12"/>
      <c r="O35" s="45"/>
      <c r="P35" s="12"/>
      <c r="Q35" s="12"/>
      <c r="R35" s="15"/>
      <c r="S35" s="16"/>
      <c r="T35" s="17"/>
      <c r="U35" s="18"/>
      <c r="V35" s="3"/>
      <c r="W35" s="3"/>
      <c r="X35" s="3"/>
      <c r="Y35" s="3"/>
      <c r="Z35" s="3"/>
    </row>
    <row r="36" spans="1:26" ht="14.4">
      <c r="A36" s="3"/>
      <c r="B36" s="3"/>
      <c r="C36" s="3"/>
      <c r="D36" s="3"/>
      <c r="E36" s="3"/>
      <c r="F36" s="3"/>
      <c r="G36" s="3"/>
      <c r="H36" s="3"/>
      <c r="I36" s="3"/>
      <c r="J36" s="3"/>
      <c r="K36" s="10">
        <v>30</v>
      </c>
      <c r="L36" s="11"/>
      <c r="M36" s="11"/>
      <c r="N36" s="12"/>
      <c r="O36" s="45"/>
      <c r="P36" s="12"/>
      <c r="Q36" s="12"/>
      <c r="R36" s="15"/>
      <c r="S36" s="16"/>
      <c r="T36" s="17"/>
      <c r="U36" s="18"/>
      <c r="V36" s="3"/>
      <c r="W36" s="3"/>
      <c r="X36" s="3"/>
      <c r="Y36" s="3"/>
      <c r="Z36" s="3"/>
    </row>
    <row r="37" spans="1:26" ht="14.4">
      <c r="A37" s="3"/>
      <c r="B37" s="3"/>
      <c r="C37" s="3"/>
      <c r="D37" s="3"/>
      <c r="E37" s="3"/>
      <c r="F37" s="3"/>
      <c r="G37" s="3"/>
      <c r="H37" s="3"/>
      <c r="I37" s="3"/>
      <c r="J37" s="3"/>
      <c r="K37" s="10">
        <v>31</v>
      </c>
      <c r="L37" s="11"/>
      <c r="M37" s="11"/>
      <c r="N37" s="12"/>
      <c r="O37" s="45"/>
      <c r="P37" s="12"/>
      <c r="Q37" s="12"/>
      <c r="R37" s="15"/>
      <c r="S37" s="16"/>
      <c r="T37" s="17"/>
      <c r="U37" s="18"/>
      <c r="V37" s="3"/>
      <c r="W37" s="3"/>
      <c r="X37" s="3"/>
      <c r="Y37" s="3"/>
      <c r="Z37" s="3"/>
    </row>
    <row r="38" spans="1:26" ht="14.4">
      <c r="A38" s="3"/>
      <c r="B38" s="3"/>
      <c r="C38" s="3"/>
      <c r="D38" s="3"/>
      <c r="E38" s="3"/>
      <c r="F38" s="3"/>
      <c r="G38" s="3"/>
      <c r="H38" s="3"/>
      <c r="I38" s="3"/>
      <c r="J38" s="3"/>
      <c r="K38" s="10">
        <v>32</v>
      </c>
      <c r="L38" s="11"/>
      <c r="M38" s="11"/>
      <c r="N38" s="12"/>
      <c r="O38" s="45"/>
      <c r="P38" s="12"/>
      <c r="Q38" s="12"/>
      <c r="R38" s="15"/>
      <c r="S38" s="16"/>
      <c r="T38" s="17"/>
      <c r="U38" s="18"/>
      <c r="V38" s="3"/>
      <c r="W38" s="3"/>
      <c r="X38" s="3"/>
      <c r="Y38" s="3"/>
      <c r="Z38" s="3"/>
    </row>
    <row r="39" spans="1:26" ht="14.4">
      <c r="A39" s="3"/>
      <c r="B39" s="3"/>
      <c r="C39" s="3"/>
      <c r="D39" s="3"/>
      <c r="E39" s="3"/>
      <c r="F39" s="3"/>
      <c r="G39" s="3"/>
      <c r="H39" s="3"/>
      <c r="I39" s="3"/>
      <c r="J39" s="3"/>
      <c r="K39" s="10">
        <v>33</v>
      </c>
      <c r="L39" s="11"/>
      <c r="M39" s="11"/>
      <c r="N39" s="12"/>
      <c r="O39" s="45"/>
      <c r="P39" s="12"/>
      <c r="Q39" s="12"/>
      <c r="R39" s="15"/>
      <c r="S39" s="16"/>
      <c r="T39" s="17"/>
      <c r="U39" s="18"/>
      <c r="V39" s="3"/>
      <c r="W39" s="3"/>
      <c r="X39" s="3"/>
      <c r="Y39" s="3"/>
      <c r="Z39" s="3"/>
    </row>
    <row r="40" spans="1:26" ht="14.4">
      <c r="A40" s="3"/>
      <c r="B40" s="3"/>
      <c r="C40" s="3"/>
      <c r="D40" s="3"/>
      <c r="E40" s="3"/>
      <c r="F40" s="3"/>
      <c r="G40" s="3"/>
      <c r="H40" s="3"/>
      <c r="I40" s="3"/>
      <c r="J40" s="3"/>
      <c r="K40" s="10">
        <v>34</v>
      </c>
      <c r="L40" s="11"/>
      <c r="M40" s="11"/>
      <c r="N40" s="12"/>
      <c r="O40" s="45"/>
      <c r="P40" s="12"/>
      <c r="Q40" s="12"/>
      <c r="R40" s="15"/>
      <c r="S40" s="16"/>
      <c r="T40" s="17"/>
      <c r="U40" s="18"/>
      <c r="V40" s="3"/>
      <c r="W40" s="3"/>
      <c r="X40" s="3"/>
      <c r="Y40" s="3"/>
      <c r="Z40" s="3"/>
    </row>
    <row r="41" spans="1:26" ht="14.4">
      <c r="A41" s="3"/>
      <c r="B41" s="3"/>
      <c r="C41" s="3"/>
      <c r="D41" s="3"/>
      <c r="E41" s="3"/>
      <c r="F41" s="3"/>
      <c r="G41" s="3"/>
      <c r="H41" s="3"/>
      <c r="I41" s="3"/>
      <c r="J41" s="3"/>
      <c r="K41" s="10">
        <v>35</v>
      </c>
      <c r="L41" s="11"/>
      <c r="M41" s="11"/>
      <c r="N41" s="12"/>
      <c r="O41" s="45"/>
      <c r="P41" s="12"/>
      <c r="Q41" s="12"/>
      <c r="R41" s="15"/>
      <c r="S41" s="16"/>
      <c r="T41" s="17"/>
      <c r="U41" s="18"/>
      <c r="V41" s="3"/>
      <c r="W41" s="3"/>
      <c r="X41" s="3"/>
      <c r="Y41" s="3"/>
      <c r="Z41" s="3"/>
    </row>
    <row r="42" spans="1:26" ht="14.4">
      <c r="A42" s="3"/>
      <c r="B42" s="3"/>
      <c r="C42" s="3"/>
      <c r="D42" s="3"/>
      <c r="E42" s="3"/>
      <c r="F42" s="3"/>
      <c r="G42" s="3"/>
      <c r="H42" s="3"/>
      <c r="I42" s="3"/>
      <c r="J42" s="3"/>
      <c r="K42" s="10">
        <v>36</v>
      </c>
      <c r="L42" s="11"/>
      <c r="M42" s="11"/>
      <c r="N42" s="12"/>
      <c r="O42" s="20"/>
      <c r="P42" s="12"/>
      <c r="Q42" s="12"/>
      <c r="R42" s="15"/>
      <c r="S42" s="16"/>
      <c r="T42" s="17"/>
      <c r="U42" s="18"/>
      <c r="V42" s="3"/>
      <c r="W42" s="3"/>
      <c r="X42" s="3"/>
      <c r="Y42" s="3"/>
      <c r="Z42" s="3"/>
    </row>
    <row r="43" spans="1:26" ht="14.4">
      <c r="A43" s="3"/>
      <c r="B43" s="3"/>
      <c r="C43" s="3"/>
      <c r="D43" s="3"/>
      <c r="E43" s="3"/>
      <c r="F43" s="3"/>
      <c r="G43" s="3"/>
      <c r="H43" s="3"/>
      <c r="I43" s="3"/>
      <c r="J43" s="3"/>
      <c r="K43" s="10">
        <v>37</v>
      </c>
      <c r="L43" s="11"/>
      <c r="M43" s="11"/>
      <c r="N43" s="12"/>
      <c r="O43" s="13"/>
      <c r="P43" s="12"/>
      <c r="Q43" s="12"/>
      <c r="R43" s="15"/>
      <c r="S43" s="16"/>
      <c r="T43" s="17"/>
      <c r="U43" s="18"/>
      <c r="V43" s="3"/>
      <c r="W43" s="3"/>
      <c r="X43" s="3"/>
      <c r="Y43" s="3"/>
      <c r="Z43" s="3"/>
    </row>
    <row r="44" spans="1:26" ht="14.4">
      <c r="A44" s="3"/>
      <c r="B44" s="3"/>
      <c r="C44" s="3"/>
      <c r="D44" s="3"/>
      <c r="E44" s="3"/>
      <c r="F44" s="3"/>
      <c r="G44" s="3"/>
      <c r="H44" s="3"/>
      <c r="I44" s="3"/>
      <c r="J44" s="3"/>
      <c r="K44" s="10">
        <v>38</v>
      </c>
      <c r="L44" s="11"/>
      <c r="M44" s="11"/>
      <c r="N44" s="12"/>
      <c r="O44" s="13"/>
      <c r="P44" s="12"/>
      <c r="Q44" s="12"/>
      <c r="R44" s="15"/>
      <c r="S44" s="16"/>
      <c r="T44" s="17"/>
      <c r="U44" s="18"/>
      <c r="V44" s="3"/>
      <c r="W44" s="3"/>
      <c r="X44" s="3"/>
      <c r="Y44" s="3"/>
      <c r="Z44" s="3"/>
    </row>
    <row r="45" spans="1:26" ht="14.4">
      <c r="A45" s="3"/>
      <c r="B45" s="3"/>
      <c r="C45" s="3"/>
      <c r="D45" s="3"/>
      <c r="E45" s="3"/>
      <c r="F45" s="3"/>
      <c r="G45" s="3"/>
      <c r="H45" s="3"/>
      <c r="I45" s="3"/>
      <c r="J45" s="3"/>
      <c r="K45" s="10">
        <v>39</v>
      </c>
      <c r="L45" s="11"/>
      <c r="M45" s="11"/>
      <c r="N45" s="12"/>
      <c r="O45" s="13"/>
      <c r="P45" s="12"/>
      <c r="Q45" s="12"/>
      <c r="R45" s="15"/>
      <c r="S45" s="16"/>
      <c r="T45" s="17"/>
      <c r="U45" s="18"/>
      <c r="V45" s="3"/>
      <c r="W45" s="3"/>
      <c r="X45" s="3"/>
      <c r="Y45" s="3"/>
      <c r="Z45" s="3"/>
    </row>
    <row r="46" spans="1:26" ht="14.4">
      <c r="A46" s="3"/>
      <c r="B46" s="3"/>
      <c r="C46" s="3"/>
      <c r="D46" s="3"/>
      <c r="E46" s="3"/>
      <c r="F46" s="3"/>
      <c r="G46" s="3"/>
      <c r="H46" s="3"/>
      <c r="I46" s="3"/>
      <c r="J46" s="3"/>
      <c r="K46" s="10">
        <v>40</v>
      </c>
      <c r="L46" s="11"/>
      <c r="M46" s="11"/>
      <c r="N46" s="12"/>
      <c r="O46" s="13"/>
      <c r="P46" s="12"/>
      <c r="Q46" s="12"/>
      <c r="R46" s="15"/>
      <c r="S46" s="16"/>
      <c r="T46" s="17"/>
      <c r="U46" s="18"/>
      <c r="V46" s="3"/>
      <c r="W46" s="3"/>
      <c r="X46" s="3"/>
      <c r="Y46" s="3"/>
      <c r="Z46" s="3"/>
    </row>
    <row r="47" spans="1:26" ht="14.4">
      <c r="A47" s="3"/>
      <c r="B47" s="3"/>
      <c r="C47" s="3"/>
      <c r="D47" s="3"/>
      <c r="E47" s="3"/>
      <c r="F47" s="3"/>
      <c r="G47" s="3"/>
      <c r="H47" s="3"/>
      <c r="I47" s="3"/>
      <c r="J47" s="3"/>
      <c r="K47" s="10">
        <v>41</v>
      </c>
      <c r="L47" s="11"/>
      <c r="M47" s="11"/>
      <c r="N47" s="12"/>
      <c r="O47" s="13"/>
      <c r="P47" s="12"/>
      <c r="Q47" s="12"/>
      <c r="R47" s="15"/>
      <c r="S47" s="16"/>
      <c r="T47" s="17"/>
      <c r="U47" s="18"/>
      <c r="V47" s="3"/>
      <c r="W47" s="3"/>
      <c r="X47" s="3"/>
      <c r="Y47" s="3"/>
      <c r="Z47" s="3"/>
    </row>
    <row r="48" spans="1:26" ht="14.4">
      <c r="A48" s="3"/>
      <c r="B48" s="3"/>
      <c r="C48" s="3"/>
      <c r="D48" s="3"/>
      <c r="E48" s="3"/>
      <c r="F48" s="3"/>
      <c r="G48" s="3"/>
      <c r="H48" s="3"/>
      <c r="I48" s="3"/>
      <c r="J48" s="3"/>
      <c r="K48" s="10">
        <v>42</v>
      </c>
      <c r="L48" s="11"/>
      <c r="M48" s="11"/>
      <c r="N48" s="12"/>
      <c r="O48" s="13"/>
      <c r="P48" s="12"/>
      <c r="Q48" s="12"/>
      <c r="R48" s="15"/>
      <c r="S48" s="16"/>
      <c r="T48" s="17"/>
      <c r="U48" s="18"/>
      <c r="V48" s="3"/>
      <c r="W48" s="3"/>
      <c r="X48" s="3"/>
      <c r="Y48" s="3"/>
      <c r="Z48" s="3"/>
    </row>
    <row r="49" spans="1:26" ht="14.4">
      <c r="A49" s="3"/>
      <c r="B49" s="3"/>
      <c r="C49" s="3"/>
      <c r="D49" s="3"/>
      <c r="E49" s="3"/>
      <c r="F49" s="3"/>
      <c r="G49" s="3"/>
      <c r="H49" s="3"/>
      <c r="I49" s="3"/>
      <c r="J49" s="3"/>
      <c r="K49" s="10">
        <v>43</v>
      </c>
      <c r="L49" s="11"/>
      <c r="M49" s="11"/>
      <c r="N49" s="12"/>
      <c r="O49" s="13"/>
      <c r="P49" s="12"/>
      <c r="Q49" s="12"/>
      <c r="R49" s="15"/>
      <c r="S49" s="16"/>
      <c r="T49" s="17"/>
      <c r="U49" s="18"/>
      <c r="V49" s="3"/>
      <c r="W49" s="3"/>
      <c r="X49" s="3"/>
      <c r="Y49" s="3"/>
      <c r="Z49" s="3"/>
    </row>
    <row r="50" spans="1:26" ht="14.4">
      <c r="A50" s="3"/>
      <c r="B50" s="3"/>
      <c r="C50" s="3"/>
      <c r="D50" s="3"/>
      <c r="E50" s="3"/>
      <c r="F50" s="3"/>
      <c r="G50" s="3"/>
      <c r="H50" s="3"/>
      <c r="I50" s="3"/>
      <c r="J50" s="3"/>
      <c r="K50" s="10">
        <v>44</v>
      </c>
      <c r="L50" s="11"/>
      <c r="M50" s="11"/>
      <c r="N50" s="12"/>
      <c r="O50" s="13"/>
      <c r="P50" s="12"/>
      <c r="Q50" s="12"/>
      <c r="R50" s="15"/>
      <c r="S50" s="16"/>
      <c r="T50" s="17"/>
      <c r="U50" s="18"/>
      <c r="V50" s="3"/>
      <c r="W50" s="3"/>
      <c r="X50" s="3"/>
      <c r="Y50" s="3"/>
      <c r="Z50" s="3"/>
    </row>
    <row r="51" spans="1:26" ht="14.4">
      <c r="A51" s="3"/>
      <c r="B51" s="3"/>
      <c r="C51" s="3"/>
      <c r="D51" s="3"/>
      <c r="E51" s="3"/>
      <c r="F51" s="3"/>
      <c r="G51" s="3"/>
      <c r="H51" s="3"/>
      <c r="I51" s="3"/>
      <c r="J51" s="3"/>
      <c r="K51" s="10">
        <v>45</v>
      </c>
      <c r="L51" s="11"/>
      <c r="M51" s="11"/>
      <c r="N51" s="12"/>
      <c r="O51" s="13"/>
      <c r="P51" s="12"/>
      <c r="Q51" s="12"/>
      <c r="R51" s="15"/>
      <c r="S51" s="16"/>
      <c r="T51" s="17"/>
      <c r="U51" s="18"/>
      <c r="V51" s="3"/>
      <c r="W51" s="3"/>
      <c r="X51" s="3"/>
      <c r="Y51" s="3"/>
      <c r="Z51" s="3"/>
    </row>
    <row r="52" spans="1:26" ht="14.4">
      <c r="A52" s="3"/>
      <c r="B52" s="3"/>
      <c r="C52" s="3"/>
      <c r="D52" s="3"/>
      <c r="E52" s="3"/>
      <c r="F52" s="3"/>
      <c r="G52" s="3"/>
      <c r="H52" s="3"/>
      <c r="I52" s="3"/>
      <c r="J52" s="3"/>
      <c r="K52" s="10">
        <v>46</v>
      </c>
      <c r="L52" s="11"/>
      <c r="M52" s="11"/>
      <c r="N52" s="12"/>
      <c r="O52" s="13"/>
      <c r="P52" s="12"/>
      <c r="Q52" s="12"/>
      <c r="R52" s="15"/>
      <c r="S52" s="16"/>
      <c r="T52" s="17"/>
      <c r="U52" s="18"/>
      <c r="V52" s="3"/>
      <c r="W52" s="3"/>
      <c r="X52" s="3"/>
      <c r="Y52" s="3"/>
      <c r="Z52" s="3"/>
    </row>
    <row r="53" spans="1:26" ht="14.4">
      <c r="A53" s="3"/>
      <c r="B53" s="3"/>
      <c r="C53" s="3"/>
      <c r="D53" s="3"/>
      <c r="E53" s="3"/>
      <c r="F53" s="3"/>
      <c r="G53" s="3"/>
      <c r="H53" s="3"/>
      <c r="I53" s="3"/>
      <c r="J53" s="3"/>
      <c r="K53" s="10">
        <v>47</v>
      </c>
      <c r="L53" s="11"/>
      <c r="M53" s="11"/>
      <c r="N53" s="12"/>
      <c r="O53" s="13"/>
      <c r="P53" s="12"/>
      <c r="Q53" s="12"/>
      <c r="R53" s="15"/>
      <c r="S53" s="16"/>
      <c r="T53" s="17"/>
      <c r="U53" s="18"/>
      <c r="V53" s="3"/>
      <c r="W53" s="3"/>
      <c r="X53" s="3"/>
      <c r="Y53" s="3"/>
      <c r="Z53" s="3"/>
    </row>
    <row r="54" spans="1:26" ht="14.4">
      <c r="A54" s="3"/>
      <c r="B54" s="3"/>
      <c r="C54" s="3"/>
      <c r="D54" s="3"/>
      <c r="E54" s="3"/>
      <c r="F54" s="3"/>
      <c r="G54" s="3"/>
      <c r="H54" s="3"/>
      <c r="I54" s="3"/>
      <c r="J54" s="3"/>
      <c r="K54" s="10">
        <v>48</v>
      </c>
      <c r="L54" s="11"/>
      <c r="M54" s="11"/>
      <c r="N54" s="12"/>
      <c r="O54" s="13"/>
      <c r="P54" s="12"/>
      <c r="Q54" s="12"/>
      <c r="R54" s="15"/>
      <c r="S54" s="16"/>
      <c r="T54" s="17"/>
      <c r="U54" s="18"/>
      <c r="V54" s="3"/>
      <c r="W54" s="3"/>
      <c r="X54" s="3"/>
      <c r="Y54" s="3"/>
      <c r="Z54" s="3"/>
    </row>
    <row r="55" spans="1:26" ht="14.4">
      <c r="B55" s="295" t="s">
        <v>103</v>
      </c>
      <c r="C55" s="296"/>
      <c r="D55" s="296"/>
      <c r="E55" s="296"/>
      <c r="F55" s="3"/>
      <c r="G55" s="3"/>
      <c r="H55" s="3"/>
      <c r="I55" s="3"/>
      <c r="J55" s="3"/>
      <c r="K55" s="10">
        <v>49</v>
      </c>
      <c r="L55" s="11"/>
      <c r="M55" s="11"/>
      <c r="N55" s="12"/>
      <c r="O55" s="13"/>
      <c r="P55" s="12"/>
      <c r="Q55" s="12"/>
      <c r="R55" s="15"/>
      <c r="S55" s="16"/>
      <c r="T55" s="17"/>
      <c r="U55" s="18"/>
      <c r="V55" s="3"/>
      <c r="W55" s="3"/>
      <c r="X55" s="3"/>
      <c r="Y55" s="3"/>
      <c r="Z55" s="3"/>
    </row>
    <row r="56" spans="1:26" ht="15.6">
      <c r="B56" s="19"/>
      <c r="F56" s="3"/>
      <c r="G56" s="3"/>
      <c r="H56" s="3"/>
      <c r="I56" s="3"/>
      <c r="J56" s="3"/>
      <c r="K56" s="10">
        <v>50</v>
      </c>
      <c r="L56" s="11"/>
      <c r="M56" s="11"/>
      <c r="N56" s="12"/>
      <c r="O56" s="13"/>
      <c r="P56" s="12"/>
      <c r="Q56" s="12"/>
      <c r="R56" s="15"/>
      <c r="S56" s="16"/>
      <c r="T56" s="17"/>
      <c r="U56" s="18"/>
      <c r="V56" s="3"/>
      <c r="W56" s="3"/>
      <c r="X56" s="3"/>
      <c r="Y56" s="3"/>
      <c r="Z56" s="3"/>
    </row>
    <row r="57" spans="1:26" ht="14.4">
      <c r="B57" s="295" t="s">
        <v>30</v>
      </c>
      <c r="C57" s="296"/>
      <c r="D57" s="296"/>
      <c r="E57" s="296"/>
      <c r="F57" s="3"/>
      <c r="G57" s="3"/>
      <c r="H57" s="3"/>
      <c r="I57" s="3"/>
      <c r="J57" s="3"/>
      <c r="K57" s="10">
        <v>51</v>
      </c>
      <c r="L57" s="11"/>
      <c r="M57" s="11"/>
      <c r="N57" s="12"/>
      <c r="O57" s="13"/>
      <c r="P57" s="12"/>
      <c r="Q57" s="12"/>
      <c r="R57" s="15"/>
      <c r="S57" s="16"/>
      <c r="T57" s="17"/>
      <c r="U57" s="18"/>
      <c r="V57" s="3"/>
      <c r="W57" s="3"/>
      <c r="X57" s="3"/>
      <c r="Y57" s="3"/>
      <c r="Z57" s="3"/>
    </row>
    <row r="58" spans="1:26" ht="15.6">
      <c r="B58" s="19"/>
      <c r="F58" s="3"/>
      <c r="G58" s="3"/>
      <c r="H58" s="3"/>
      <c r="I58" s="3"/>
      <c r="J58" s="3"/>
      <c r="K58" s="10">
        <v>52</v>
      </c>
      <c r="L58" s="11"/>
      <c r="M58" s="11"/>
      <c r="N58" s="12"/>
      <c r="O58" s="13"/>
      <c r="P58" s="12"/>
      <c r="Q58" s="12"/>
      <c r="R58" s="15"/>
      <c r="S58" s="16"/>
      <c r="T58" s="17"/>
      <c r="U58" s="18"/>
      <c r="V58" s="3"/>
      <c r="W58" s="3"/>
      <c r="X58" s="3"/>
      <c r="Y58" s="3"/>
      <c r="Z58" s="3"/>
    </row>
    <row r="59" spans="1:26" ht="14.4">
      <c r="B59" s="295" t="s">
        <v>33</v>
      </c>
      <c r="C59" s="296"/>
      <c r="D59" s="296"/>
      <c r="E59" s="296"/>
      <c r="F59" s="3"/>
      <c r="G59" s="3"/>
      <c r="H59" s="3"/>
      <c r="I59" s="3"/>
      <c r="J59" s="3"/>
      <c r="K59" s="10">
        <v>53</v>
      </c>
      <c r="L59" s="11"/>
      <c r="M59" s="11"/>
      <c r="N59" s="12"/>
      <c r="O59" s="13"/>
      <c r="P59" s="12"/>
      <c r="Q59" s="12"/>
      <c r="R59" s="15"/>
      <c r="S59" s="16"/>
      <c r="T59" s="17"/>
      <c r="U59" s="18"/>
      <c r="V59" s="3"/>
      <c r="W59" s="3"/>
      <c r="X59" s="3"/>
      <c r="Y59" s="3"/>
      <c r="Z59" s="3"/>
    </row>
    <row r="60" spans="1:26" ht="14.4">
      <c r="A60" s="22"/>
      <c r="B60" s="22"/>
      <c r="C60" s="3"/>
      <c r="D60" s="3"/>
      <c r="E60" s="23" t="s">
        <v>104</v>
      </c>
      <c r="F60" s="3"/>
      <c r="G60" s="3"/>
      <c r="H60" s="3"/>
      <c r="I60" s="3"/>
      <c r="J60" s="3"/>
      <c r="K60" s="10">
        <v>54</v>
      </c>
      <c r="L60" s="11"/>
      <c r="M60" s="11"/>
      <c r="N60" s="12"/>
      <c r="O60" s="13"/>
      <c r="P60" s="12"/>
      <c r="Q60" s="12"/>
      <c r="R60" s="15"/>
      <c r="S60" s="16"/>
      <c r="T60" s="17"/>
      <c r="U60" s="18"/>
      <c r="V60" s="3"/>
      <c r="W60" s="3"/>
      <c r="X60" s="3"/>
      <c r="Y60" s="3"/>
      <c r="Z60" s="3"/>
    </row>
    <row r="61" spans="1:26" ht="43.2">
      <c r="A61" s="24"/>
      <c r="B61" s="24"/>
      <c r="C61" s="24" t="s">
        <v>43</v>
      </c>
      <c r="D61" s="24" t="s">
        <v>44</v>
      </c>
      <c r="E61" s="24" t="s">
        <v>45</v>
      </c>
      <c r="F61" s="3"/>
      <c r="G61" s="3"/>
      <c r="H61" s="3"/>
      <c r="I61" s="3"/>
      <c r="J61" s="3"/>
      <c r="K61" s="10">
        <v>55</v>
      </c>
      <c r="L61" s="11"/>
      <c r="M61" s="11"/>
      <c r="N61" s="12"/>
      <c r="O61" s="13"/>
      <c r="P61" s="12"/>
      <c r="Q61" s="12"/>
      <c r="R61" s="15"/>
      <c r="S61" s="16"/>
      <c r="T61" s="17"/>
      <c r="U61" s="18"/>
      <c r="V61" s="3"/>
      <c r="W61" s="3"/>
      <c r="X61" s="3"/>
      <c r="Y61" s="3"/>
      <c r="Z61" s="3"/>
    </row>
    <row r="62" spans="1:26" ht="14.4">
      <c r="A62" s="25"/>
      <c r="B62" s="25" t="s">
        <v>51</v>
      </c>
      <c r="C62" s="26">
        <f>SUM(C63:C64)</f>
        <v>48739369.497000001</v>
      </c>
      <c r="D62" s="26">
        <f>+D63+D64</f>
        <v>47477883.231000006</v>
      </c>
      <c r="E62" s="26">
        <f>+E63+E64</f>
        <v>-1261486.2660000001</v>
      </c>
      <c r="F62" s="3"/>
      <c r="G62" s="3"/>
      <c r="H62" s="3"/>
      <c r="I62" s="3"/>
      <c r="J62" s="3"/>
      <c r="K62" s="10">
        <v>56</v>
      </c>
      <c r="L62" s="11"/>
      <c r="M62" s="11"/>
      <c r="N62" s="12"/>
      <c r="O62" s="13"/>
      <c r="P62" s="12"/>
      <c r="Q62" s="12"/>
      <c r="R62" s="15"/>
      <c r="S62" s="16"/>
      <c r="T62" s="17"/>
      <c r="U62" s="18"/>
      <c r="V62" s="3"/>
      <c r="W62" s="3"/>
      <c r="X62" s="3"/>
      <c r="Y62" s="3"/>
      <c r="Z62" s="3"/>
    </row>
    <row r="63" spans="1:26" ht="15" customHeight="1">
      <c r="A63" s="28">
        <v>6</v>
      </c>
      <c r="B63" s="25" t="s">
        <v>57</v>
      </c>
      <c r="C63" s="29">
        <f>+C17*7.5345</f>
        <v>48733372.035000004</v>
      </c>
      <c r="D63" s="29">
        <f t="shared" ref="D63:E67" si="1">+D17*7.5345</f>
        <v>47472443.322000004</v>
      </c>
      <c r="E63" s="29">
        <f t="shared" si="1"/>
        <v>-1260928.713</v>
      </c>
      <c r="F63" s="3"/>
      <c r="G63" s="3"/>
      <c r="H63" s="3"/>
      <c r="I63" s="3"/>
      <c r="J63" s="3"/>
      <c r="K63" s="10">
        <v>57</v>
      </c>
      <c r="L63" s="11"/>
      <c r="M63" s="11"/>
      <c r="N63" s="12"/>
      <c r="O63" s="13"/>
      <c r="P63" s="12"/>
      <c r="Q63" s="12"/>
      <c r="R63" s="15"/>
      <c r="S63" s="16"/>
      <c r="T63" s="17"/>
      <c r="U63" s="18"/>
      <c r="V63" s="3"/>
      <c r="W63" s="3"/>
      <c r="X63" s="3"/>
      <c r="Y63" s="3"/>
      <c r="Z63" s="3"/>
    </row>
    <row r="64" spans="1:26" ht="14.4">
      <c r="A64" s="28">
        <v>7</v>
      </c>
      <c r="B64" s="30" t="s">
        <v>62</v>
      </c>
      <c r="C64" s="29">
        <f>+C18*7.5345</f>
        <v>5997.4620000000004</v>
      </c>
      <c r="D64" s="29">
        <f t="shared" si="1"/>
        <v>5439.9090000000006</v>
      </c>
      <c r="E64" s="29">
        <f t="shared" si="1"/>
        <v>-557.553</v>
      </c>
      <c r="F64" s="3"/>
      <c r="G64" s="3"/>
      <c r="H64" s="3"/>
      <c r="I64" s="3"/>
      <c r="J64" s="3"/>
      <c r="K64" s="10">
        <v>58</v>
      </c>
      <c r="L64" s="11"/>
      <c r="M64" s="11"/>
      <c r="N64" s="12"/>
      <c r="O64" s="13"/>
      <c r="P64" s="12"/>
      <c r="Q64" s="12"/>
      <c r="R64" s="15"/>
      <c r="S64" s="16"/>
      <c r="T64" s="17"/>
      <c r="U64" s="18"/>
      <c r="V64" s="3"/>
      <c r="W64" s="3"/>
      <c r="X64" s="3"/>
      <c r="Y64" s="3"/>
      <c r="Z64" s="3"/>
    </row>
    <row r="65" spans="1:26" ht="15" customHeight="1">
      <c r="A65" s="31"/>
      <c r="B65" s="30" t="s">
        <v>67</v>
      </c>
      <c r="C65" s="32">
        <f>SUM(C66:C67)</f>
        <v>47171869.513500005</v>
      </c>
      <c r="D65" s="32">
        <f>+D66+D67</f>
        <v>48373471.5735</v>
      </c>
      <c r="E65" s="32">
        <f>+E66+E67</f>
        <v>1201602.06</v>
      </c>
      <c r="F65" s="3"/>
      <c r="G65" s="3"/>
      <c r="H65" s="3"/>
      <c r="I65" s="3"/>
      <c r="J65" s="3"/>
      <c r="K65" s="10">
        <v>59</v>
      </c>
      <c r="L65" s="11"/>
      <c r="M65" s="11"/>
      <c r="N65" s="53"/>
      <c r="O65" s="13"/>
      <c r="P65" s="53"/>
      <c r="Q65" s="53"/>
      <c r="R65" s="54"/>
      <c r="S65" s="16"/>
      <c r="T65" s="17"/>
      <c r="U65" s="18"/>
      <c r="V65" s="3"/>
      <c r="W65" s="3"/>
      <c r="X65" s="3"/>
      <c r="Y65" s="3"/>
      <c r="Z65" s="3"/>
    </row>
    <row r="66" spans="1:26" ht="14.4">
      <c r="A66" s="31">
        <v>3</v>
      </c>
      <c r="B66" s="25" t="s">
        <v>72</v>
      </c>
      <c r="C66" s="29">
        <f>+C20*7.5345</f>
        <v>45049122.087000005</v>
      </c>
      <c r="D66" s="29">
        <f t="shared" si="1"/>
        <v>45938697.898500003</v>
      </c>
      <c r="E66" s="29">
        <f t="shared" si="1"/>
        <v>889575.81150000007</v>
      </c>
      <c r="F66" s="3"/>
      <c r="G66" s="3"/>
      <c r="H66" s="3"/>
      <c r="I66" s="3"/>
      <c r="J66" s="3"/>
      <c r="K66" s="10">
        <v>60</v>
      </c>
      <c r="L66" s="11"/>
      <c r="M66" s="11"/>
      <c r="N66" s="12"/>
      <c r="O66" s="13"/>
      <c r="P66" s="12"/>
      <c r="Q66" s="12"/>
      <c r="R66" s="15"/>
      <c r="S66" s="16"/>
      <c r="T66" s="17"/>
      <c r="U66" s="18"/>
      <c r="V66" s="3"/>
      <c r="W66" s="3"/>
      <c r="X66" s="3"/>
      <c r="Y66" s="3"/>
      <c r="Z66" s="3"/>
    </row>
    <row r="67" spans="1:26" ht="14.4">
      <c r="A67" s="28">
        <v>4</v>
      </c>
      <c r="B67" s="30" t="s">
        <v>76</v>
      </c>
      <c r="C67" s="29">
        <f>+C21*7.5345</f>
        <v>2122747.4265000001</v>
      </c>
      <c r="D67" s="29">
        <f t="shared" si="1"/>
        <v>2434773.6750000003</v>
      </c>
      <c r="E67" s="29">
        <f t="shared" si="1"/>
        <v>312026.24850000005</v>
      </c>
      <c r="F67" s="3"/>
      <c r="G67" s="3"/>
      <c r="H67" s="3"/>
      <c r="I67" s="3"/>
      <c r="J67" s="3"/>
      <c r="K67" s="10">
        <v>61</v>
      </c>
      <c r="L67" s="11"/>
      <c r="M67" s="11"/>
      <c r="N67" s="12"/>
      <c r="O67" s="13"/>
      <c r="P67" s="12"/>
      <c r="Q67" s="12"/>
      <c r="R67" s="15"/>
      <c r="S67" s="16"/>
      <c r="T67" s="17"/>
      <c r="U67" s="18"/>
      <c r="V67" s="3"/>
      <c r="W67" s="3"/>
      <c r="X67" s="3"/>
      <c r="Y67" s="3"/>
      <c r="Z67" s="3"/>
    </row>
    <row r="68" spans="1:26" ht="14.4">
      <c r="A68" s="25"/>
      <c r="B68" s="25" t="s">
        <v>81</v>
      </c>
      <c r="C68" s="26">
        <f>+C62-C65</f>
        <v>1567499.9834999964</v>
      </c>
      <c r="D68" s="26">
        <f>+D62-D65</f>
        <v>-895588.34249999374</v>
      </c>
      <c r="E68" s="26">
        <f>+E62-E65</f>
        <v>-2463088.3260000004</v>
      </c>
      <c r="F68" s="3"/>
      <c r="G68" s="3"/>
      <c r="H68" s="3"/>
      <c r="I68" s="3"/>
      <c r="J68" s="3"/>
      <c r="K68" s="10">
        <v>62</v>
      </c>
      <c r="L68" s="11"/>
      <c r="M68" s="11"/>
      <c r="N68" s="12"/>
      <c r="O68" s="13"/>
      <c r="P68" s="12"/>
      <c r="Q68" s="12"/>
      <c r="R68" s="15"/>
      <c r="S68" s="16"/>
      <c r="T68" s="17"/>
      <c r="U68" s="18"/>
      <c r="V68" s="3"/>
      <c r="W68" s="3"/>
      <c r="X68" s="3"/>
      <c r="Y68" s="3"/>
      <c r="Z68" s="3"/>
    </row>
    <row r="69" spans="1:26" ht="14.4">
      <c r="B69" s="304"/>
      <c r="C69" s="296"/>
      <c r="D69" s="296"/>
      <c r="E69" s="296"/>
      <c r="F69" s="3"/>
      <c r="G69" s="3"/>
      <c r="H69" s="3"/>
      <c r="I69" s="3"/>
      <c r="J69" s="3"/>
      <c r="K69" s="10">
        <v>63</v>
      </c>
      <c r="L69" s="11"/>
      <c r="M69" s="11"/>
      <c r="N69" s="12"/>
      <c r="O69" s="13"/>
      <c r="P69" s="12"/>
      <c r="Q69" s="12"/>
      <c r="R69" s="15"/>
      <c r="S69" s="16"/>
      <c r="T69" s="17"/>
      <c r="U69" s="18"/>
      <c r="V69" s="3"/>
      <c r="W69" s="3"/>
      <c r="X69" s="3"/>
      <c r="Y69" s="3"/>
      <c r="Z69" s="3"/>
    </row>
    <row r="70" spans="1:26" ht="14.4">
      <c r="B70" s="295" t="s">
        <v>90</v>
      </c>
      <c r="C70" s="296"/>
      <c r="D70" s="296"/>
      <c r="E70" s="296"/>
      <c r="F70" s="3"/>
      <c r="G70" s="3"/>
      <c r="H70" s="3"/>
      <c r="I70" s="3"/>
      <c r="J70" s="3"/>
      <c r="K70" s="10">
        <v>64</v>
      </c>
      <c r="L70" s="11"/>
      <c r="M70" s="11"/>
      <c r="N70" s="12"/>
      <c r="O70" s="13"/>
      <c r="P70" s="12"/>
      <c r="Q70" s="12"/>
      <c r="R70" s="15"/>
      <c r="S70" s="16"/>
      <c r="T70" s="17"/>
      <c r="U70" s="18"/>
      <c r="V70" s="3"/>
      <c r="W70" s="3"/>
      <c r="X70" s="3"/>
      <c r="Y70" s="3"/>
      <c r="Z70" s="3"/>
    </row>
    <row r="71" spans="1:26" ht="14.4">
      <c r="A71" s="22"/>
      <c r="B71" s="22"/>
      <c r="C71" s="3"/>
      <c r="D71" s="3"/>
      <c r="E71" s="23" t="s">
        <v>104</v>
      </c>
      <c r="F71" s="3"/>
      <c r="G71" s="3"/>
      <c r="H71" s="3"/>
      <c r="I71" s="3"/>
      <c r="J71" s="3"/>
      <c r="K71" s="10">
        <v>65</v>
      </c>
      <c r="L71" s="11"/>
      <c r="M71" s="11"/>
      <c r="N71" s="12"/>
      <c r="O71" s="13"/>
      <c r="P71" s="12"/>
      <c r="Q71" s="12"/>
      <c r="R71" s="15"/>
      <c r="S71" s="16"/>
      <c r="T71" s="17"/>
      <c r="U71" s="18"/>
      <c r="V71" s="3"/>
      <c r="W71" s="3"/>
      <c r="X71" s="3"/>
      <c r="Y71" s="3"/>
      <c r="Z71" s="3"/>
    </row>
    <row r="72" spans="1:26" ht="43.2">
      <c r="A72" s="24"/>
      <c r="B72" s="24"/>
      <c r="C72" s="24" t="s">
        <v>43</v>
      </c>
      <c r="D72" s="24" t="s">
        <v>44</v>
      </c>
      <c r="E72" s="24" t="s">
        <v>45</v>
      </c>
      <c r="F72" s="3"/>
      <c r="G72" s="3"/>
      <c r="H72" s="3"/>
      <c r="I72" s="3"/>
      <c r="J72" s="3"/>
      <c r="K72" s="10">
        <v>66</v>
      </c>
      <c r="L72" s="11"/>
      <c r="M72" s="11"/>
      <c r="N72" s="12"/>
      <c r="O72" s="13"/>
      <c r="P72" s="12"/>
      <c r="Q72" s="12"/>
      <c r="R72" s="15"/>
      <c r="S72" s="16"/>
      <c r="T72" s="17"/>
      <c r="U72" s="18"/>
      <c r="V72" s="3"/>
      <c r="W72" s="3"/>
      <c r="X72" s="3"/>
      <c r="Y72" s="3"/>
      <c r="Z72" s="3"/>
    </row>
    <row r="73" spans="1:26" ht="28.8">
      <c r="A73" s="28">
        <v>8</v>
      </c>
      <c r="B73" s="25" t="s">
        <v>95</v>
      </c>
      <c r="C73" s="29">
        <f>+C27*7.5345</f>
        <v>0</v>
      </c>
      <c r="D73" s="29">
        <f t="shared" ref="D73:E73" si="2">+D27*7.5345</f>
        <v>0</v>
      </c>
      <c r="E73" s="29">
        <f t="shared" si="2"/>
        <v>0</v>
      </c>
      <c r="F73" s="3"/>
      <c r="G73" s="3"/>
      <c r="H73" s="3"/>
      <c r="I73" s="3"/>
      <c r="J73" s="3"/>
      <c r="K73" s="10">
        <v>67</v>
      </c>
      <c r="L73" s="11"/>
      <c r="M73" s="11"/>
      <c r="N73" s="12"/>
      <c r="O73" s="13"/>
      <c r="P73" s="12"/>
      <c r="Q73" s="12"/>
      <c r="R73" s="15"/>
      <c r="S73" s="16"/>
      <c r="T73" s="17"/>
      <c r="U73" s="18"/>
      <c r="V73" s="3"/>
      <c r="W73" s="3"/>
      <c r="X73" s="3"/>
      <c r="Y73" s="3"/>
      <c r="Z73" s="3"/>
    </row>
    <row r="74" spans="1:26" ht="28.8">
      <c r="A74" s="28">
        <v>5</v>
      </c>
      <c r="B74" s="25" t="s">
        <v>96</v>
      </c>
      <c r="C74" s="29">
        <f t="shared" ref="C74:E76" si="3">+C28*7.5345</f>
        <v>0</v>
      </c>
      <c r="D74" s="29">
        <f t="shared" si="3"/>
        <v>0</v>
      </c>
      <c r="E74" s="29">
        <f t="shared" si="3"/>
        <v>0</v>
      </c>
      <c r="F74" s="3"/>
      <c r="G74" s="3"/>
      <c r="H74" s="3"/>
      <c r="I74" s="3"/>
      <c r="J74" s="3"/>
      <c r="K74" s="10">
        <v>68</v>
      </c>
      <c r="L74" s="11"/>
      <c r="M74" s="11"/>
      <c r="N74" s="12"/>
      <c r="O74" s="13"/>
      <c r="P74" s="12"/>
      <c r="Q74" s="12"/>
      <c r="R74" s="15"/>
      <c r="S74" s="16"/>
      <c r="T74" s="17"/>
      <c r="U74" s="18"/>
      <c r="V74" s="3"/>
      <c r="W74" s="3"/>
      <c r="X74" s="3"/>
      <c r="Y74" s="3"/>
      <c r="Z74" s="3"/>
    </row>
    <row r="75" spans="1:26" ht="28.8">
      <c r="A75" s="43" t="s">
        <v>97</v>
      </c>
      <c r="B75" s="44" t="s">
        <v>98</v>
      </c>
      <c r="C75" s="29">
        <f t="shared" si="3"/>
        <v>11818865.338500001</v>
      </c>
      <c r="D75" s="29">
        <f t="shared" si="3"/>
        <v>10504434.141000001</v>
      </c>
      <c r="E75" s="29">
        <f t="shared" si="3"/>
        <v>-1314431.1975</v>
      </c>
      <c r="F75" s="3"/>
      <c r="G75" s="3"/>
      <c r="H75" s="3"/>
      <c r="I75" s="3"/>
      <c r="J75" s="3"/>
      <c r="K75" s="10">
        <v>69</v>
      </c>
      <c r="L75" s="11"/>
      <c r="M75" s="11"/>
      <c r="N75" s="12"/>
      <c r="O75" s="13"/>
      <c r="P75" s="12"/>
      <c r="Q75" s="12"/>
      <c r="R75" s="15"/>
      <c r="S75" s="16"/>
      <c r="T75" s="17"/>
      <c r="U75" s="18"/>
      <c r="V75" s="3"/>
      <c r="W75" s="3"/>
      <c r="X75" s="3"/>
      <c r="Y75" s="3"/>
      <c r="Z75" s="3"/>
    </row>
    <row r="76" spans="1:26" ht="15" customHeight="1">
      <c r="A76" s="43" t="s">
        <v>99</v>
      </c>
      <c r="B76" s="44" t="s">
        <v>100</v>
      </c>
      <c r="C76" s="29">
        <f t="shared" si="3"/>
        <v>-13386365.322000001</v>
      </c>
      <c r="D76" s="29">
        <f t="shared" si="3"/>
        <v>-9608845.7985000014</v>
      </c>
      <c r="E76" s="29">
        <f t="shared" si="3"/>
        <v>3777519.5235000001</v>
      </c>
      <c r="F76" s="3"/>
      <c r="G76" s="3"/>
      <c r="H76" s="3"/>
      <c r="I76" s="3"/>
      <c r="J76" s="3"/>
      <c r="K76" s="10">
        <v>70</v>
      </c>
      <c r="L76" s="11"/>
      <c r="M76" s="11"/>
      <c r="N76" s="12"/>
      <c r="O76" s="13"/>
      <c r="P76" s="12"/>
      <c r="Q76" s="12"/>
      <c r="R76" s="15"/>
      <c r="S76" s="16"/>
      <c r="T76" s="17"/>
      <c r="U76" s="18"/>
      <c r="V76" s="3"/>
      <c r="W76" s="3"/>
      <c r="X76" s="3"/>
      <c r="Y76" s="3"/>
      <c r="Z76" s="3"/>
    </row>
    <row r="77" spans="1:26" ht="14.4">
      <c r="A77" s="25"/>
      <c r="B77" s="25" t="s">
        <v>101</v>
      </c>
      <c r="C77" s="32">
        <f>+C73-C74+C75+C76</f>
        <v>-1567499.9835000001</v>
      </c>
      <c r="D77" s="32">
        <f t="shared" ref="D77:E77" si="4">+D73-D74+D75+D76</f>
        <v>895588.34249999933</v>
      </c>
      <c r="E77" s="32">
        <f t="shared" si="4"/>
        <v>2463088.3260000004</v>
      </c>
      <c r="F77" s="3"/>
      <c r="G77" s="3"/>
      <c r="H77" s="3"/>
      <c r="I77" s="3"/>
      <c r="J77" s="3"/>
      <c r="K77" s="10">
        <v>71</v>
      </c>
      <c r="L77" s="11"/>
      <c r="M77" s="11"/>
      <c r="N77" s="12"/>
      <c r="O77" s="13"/>
      <c r="P77" s="12"/>
      <c r="Q77" s="12"/>
      <c r="R77" s="15"/>
      <c r="S77" s="16"/>
      <c r="T77" s="17"/>
      <c r="U77" s="18"/>
      <c r="V77" s="3"/>
      <c r="W77" s="3"/>
      <c r="X77" s="3"/>
      <c r="Y77" s="3"/>
      <c r="Z77" s="3"/>
    </row>
    <row r="78" spans="1:26" ht="14.4">
      <c r="B78" s="304"/>
      <c r="C78" s="296"/>
      <c r="D78" s="296"/>
      <c r="E78" s="296"/>
      <c r="F78" s="3"/>
      <c r="G78" s="3"/>
      <c r="H78" s="3"/>
      <c r="I78" s="3"/>
      <c r="J78" s="3"/>
      <c r="K78" s="10">
        <v>72</v>
      </c>
      <c r="L78" s="11"/>
      <c r="M78" s="11"/>
      <c r="N78" s="12"/>
      <c r="O78" s="13"/>
      <c r="P78" s="12"/>
      <c r="Q78" s="12"/>
      <c r="R78" s="15"/>
      <c r="S78" s="16"/>
      <c r="T78" s="17"/>
      <c r="U78" s="18"/>
      <c r="V78" s="3"/>
      <c r="W78" s="3"/>
      <c r="X78" s="3"/>
      <c r="Y78" s="3"/>
      <c r="Z78" s="3"/>
    </row>
    <row r="79" spans="1:26" ht="14.4">
      <c r="A79" s="49"/>
      <c r="B79" s="49" t="s">
        <v>102</v>
      </c>
      <c r="C79" s="50">
        <f>+C68+C77</f>
        <v>-3.7252902984619141E-9</v>
      </c>
      <c r="D79" s="50">
        <f t="shared" ref="D79:E79" si="5">+D68+D77</f>
        <v>5.5879354476928711E-9</v>
      </c>
      <c r="E79" s="50">
        <f t="shared" si="5"/>
        <v>0</v>
      </c>
      <c r="F79" s="3"/>
      <c r="G79" s="3"/>
      <c r="H79" s="3"/>
      <c r="I79" s="3"/>
      <c r="J79" s="3"/>
      <c r="K79" s="10">
        <v>73</v>
      </c>
      <c r="L79" s="11"/>
      <c r="M79" s="11"/>
      <c r="N79" s="12"/>
      <c r="O79" s="13"/>
      <c r="P79" s="12"/>
      <c r="Q79" s="12"/>
      <c r="R79" s="15"/>
      <c r="S79" s="16"/>
      <c r="T79" s="17"/>
      <c r="U79" s="18"/>
      <c r="V79" s="3"/>
      <c r="W79" s="3"/>
      <c r="X79" s="3"/>
      <c r="Y79" s="3"/>
      <c r="Z79" s="3"/>
    </row>
    <row r="80" spans="1:26" ht="14.4">
      <c r="A80" s="3"/>
      <c r="B80" s="3"/>
      <c r="C80" s="3"/>
      <c r="D80" s="3"/>
      <c r="E80" s="3"/>
      <c r="F80" s="3"/>
      <c r="G80" s="3"/>
      <c r="H80" s="3"/>
      <c r="I80" s="3"/>
      <c r="J80" s="3"/>
      <c r="K80" s="10">
        <v>74</v>
      </c>
      <c r="L80" s="11"/>
      <c r="M80" s="11"/>
      <c r="N80" s="12"/>
      <c r="O80" s="13"/>
      <c r="P80" s="12"/>
      <c r="Q80" s="12"/>
      <c r="R80" s="15"/>
      <c r="S80" s="16"/>
      <c r="T80" s="17"/>
      <c r="U80" s="18"/>
      <c r="V80" s="3"/>
      <c r="W80" s="3"/>
      <c r="X80" s="3"/>
      <c r="Y80" s="3"/>
      <c r="Z80" s="3"/>
    </row>
    <row r="81" spans="1:26" ht="14.4">
      <c r="A81" s="3"/>
      <c r="B81" s="3"/>
      <c r="C81" s="3"/>
      <c r="D81" s="3"/>
      <c r="E81" s="3"/>
      <c r="F81" s="3"/>
      <c r="G81" s="3"/>
      <c r="H81" s="3"/>
      <c r="I81" s="3"/>
      <c r="J81" s="3"/>
      <c r="K81" s="10">
        <v>75</v>
      </c>
      <c r="L81" s="11"/>
      <c r="M81" s="11"/>
      <c r="N81" s="12"/>
      <c r="O81" s="13"/>
      <c r="P81" s="12"/>
      <c r="Q81" s="12"/>
      <c r="R81" s="15"/>
      <c r="S81" s="16"/>
      <c r="T81" s="17"/>
      <c r="U81" s="18"/>
      <c r="V81" s="3"/>
      <c r="W81" s="3"/>
      <c r="X81" s="3"/>
      <c r="Y81" s="3"/>
      <c r="Z81" s="3"/>
    </row>
    <row r="82" spans="1:26" ht="14.4">
      <c r="A82" s="3"/>
      <c r="B82" s="3"/>
      <c r="C82" s="3"/>
      <c r="D82" s="3"/>
      <c r="E82" s="3"/>
      <c r="F82" s="3"/>
      <c r="G82" s="3"/>
      <c r="H82" s="3"/>
      <c r="I82" s="3"/>
      <c r="J82" s="3"/>
      <c r="K82" s="10">
        <v>76</v>
      </c>
      <c r="L82" s="11"/>
      <c r="M82" s="11"/>
      <c r="N82" s="12"/>
      <c r="O82" s="13"/>
      <c r="P82" s="12"/>
      <c r="Q82" s="12"/>
      <c r="R82" s="15"/>
      <c r="S82" s="16"/>
      <c r="T82" s="17"/>
      <c r="U82" s="18"/>
      <c r="V82" s="3"/>
      <c r="W82" s="3"/>
      <c r="X82" s="3"/>
      <c r="Y82" s="3"/>
      <c r="Z82" s="3"/>
    </row>
    <row r="83" spans="1:26" ht="14.4">
      <c r="A83" s="3"/>
      <c r="B83" s="3"/>
      <c r="C83" s="3"/>
      <c r="D83" s="3"/>
      <c r="E83" s="3"/>
      <c r="F83" s="3"/>
      <c r="G83" s="3"/>
      <c r="H83" s="3"/>
      <c r="I83" s="3"/>
      <c r="J83" s="3"/>
      <c r="K83" s="10">
        <v>77</v>
      </c>
      <c r="L83" s="11"/>
      <c r="M83" s="55"/>
      <c r="N83" s="12"/>
      <c r="O83" s="13"/>
      <c r="P83" s="12"/>
      <c r="Q83" s="12"/>
      <c r="R83" s="15"/>
      <c r="S83" s="16"/>
      <c r="T83" s="17"/>
      <c r="U83" s="18"/>
      <c r="V83" s="3"/>
      <c r="W83" s="3"/>
      <c r="X83" s="3"/>
      <c r="Y83" s="3"/>
      <c r="Z83" s="3"/>
    </row>
    <row r="84" spans="1:26" ht="14.4" hidden="1">
      <c r="A84" s="3"/>
      <c r="B84" s="3"/>
      <c r="C84" s="3"/>
      <c r="D84" s="3"/>
      <c r="E84" s="3"/>
      <c r="F84" s="3"/>
      <c r="G84" s="3"/>
      <c r="H84" s="3"/>
      <c r="I84" s="3"/>
      <c r="J84" s="3"/>
      <c r="K84" s="10">
        <v>78</v>
      </c>
      <c r="L84" s="11"/>
      <c r="M84" s="11"/>
      <c r="N84" s="12"/>
      <c r="O84" s="13"/>
      <c r="P84" s="12"/>
      <c r="Q84" s="12"/>
      <c r="R84" s="15"/>
      <c r="S84" s="16"/>
      <c r="T84" s="17"/>
      <c r="U84" s="18"/>
      <c r="V84" s="3"/>
      <c r="W84" s="3"/>
      <c r="X84" s="3"/>
      <c r="Y84" s="3"/>
      <c r="Z84" s="3"/>
    </row>
    <row r="85" spans="1:26" ht="14.4" hidden="1">
      <c r="A85" s="3"/>
      <c r="B85" s="3"/>
      <c r="C85" s="3"/>
      <c r="D85" s="3"/>
      <c r="E85" s="3"/>
      <c r="F85" s="3"/>
      <c r="G85" s="3"/>
      <c r="H85" s="3"/>
      <c r="I85" s="3"/>
      <c r="J85" s="3"/>
      <c r="K85" s="10">
        <v>79</v>
      </c>
      <c r="L85" s="11"/>
      <c r="M85" s="11"/>
      <c r="N85" s="12"/>
      <c r="O85" s="13"/>
      <c r="P85" s="12"/>
      <c r="Q85" s="12"/>
      <c r="R85" s="15"/>
      <c r="S85" s="16"/>
      <c r="T85" s="17"/>
      <c r="U85" s="18"/>
      <c r="V85" s="3"/>
      <c r="W85" s="3"/>
      <c r="X85" s="3"/>
      <c r="Y85" s="3"/>
      <c r="Z85" s="3"/>
    </row>
    <row r="86" spans="1:26" ht="14.4" hidden="1">
      <c r="A86" s="3"/>
      <c r="B86" s="3"/>
      <c r="C86" s="3"/>
      <c r="D86" s="3"/>
      <c r="E86" s="3"/>
      <c r="F86" s="3"/>
      <c r="G86" s="3"/>
      <c r="H86" s="3"/>
      <c r="I86" s="3"/>
      <c r="J86" s="3"/>
      <c r="K86" s="10">
        <v>80</v>
      </c>
      <c r="L86" s="11"/>
      <c r="M86" s="11"/>
      <c r="N86" s="12"/>
      <c r="O86" s="13"/>
      <c r="P86" s="14"/>
      <c r="Q86" s="14"/>
      <c r="R86" s="15"/>
      <c r="S86" s="16"/>
      <c r="T86" s="17"/>
      <c r="U86" s="18"/>
      <c r="V86" s="3"/>
      <c r="W86" s="3"/>
      <c r="X86" s="3"/>
      <c r="Y86" s="3"/>
      <c r="Z86" s="3"/>
    </row>
    <row r="87" spans="1:26" ht="14.4" hidden="1">
      <c r="A87" s="3"/>
      <c r="B87" s="3"/>
      <c r="C87" s="3"/>
      <c r="D87" s="3"/>
      <c r="E87" s="3"/>
      <c r="F87" s="3"/>
      <c r="G87" s="3"/>
      <c r="H87" s="3"/>
      <c r="I87" s="3"/>
      <c r="J87" s="3"/>
      <c r="K87" s="10">
        <v>81</v>
      </c>
      <c r="L87" s="11"/>
      <c r="M87" s="11"/>
      <c r="N87" s="12"/>
      <c r="O87" s="13"/>
      <c r="P87" s="12"/>
      <c r="Q87" s="12"/>
      <c r="R87" s="15"/>
      <c r="S87" s="16"/>
      <c r="T87" s="17"/>
      <c r="U87" s="18"/>
      <c r="V87" s="3"/>
      <c r="W87" s="3"/>
      <c r="X87" s="3"/>
      <c r="Y87" s="3"/>
      <c r="Z87" s="3"/>
    </row>
    <row r="88" spans="1:26" ht="14.4" hidden="1">
      <c r="A88" s="3"/>
      <c r="B88" s="3"/>
      <c r="C88" s="3"/>
      <c r="D88" s="3"/>
      <c r="E88" s="3"/>
      <c r="F88" s="3"/>
      <c r="G88" s="3"/>
      <c r="H88" s="3"/>
      <c r="I88" s="3"/>
      <c r="J88" s="3"/>
      <c r="K88" s="10">
        <v>82</v>
      </c>
      <c r="L88" s="11"/>
      <c r="M88" s="11"/>
      <c r="N88" s="12"/>
      <c r="O88" s="13"/>
      <c r="P88" s="12"/>
      <c r="Q88" s="12"/>
      <c r="R88" s="15"/>
      <c r="S88" s="16"/>
      <c r="T88" s="17"/>
      <c r="U88" s="18"/>
      <c r="V88" s="3"/>
      <c r="W88" s="3"/>
      <c r="X88" s="3"/>
      <c r="Y88" s="3"/>
      <c r="Z88" s="3"/>
    </row>
    <row r="89" spans="1:26" ht="14.4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10">
        <v>83</v>
      </c>
      <c r="L89" s="11"/>
      <c r="M89" s="11"/>
      <c r="N89" s="12"/>
      <c r="O89" s="13"/>
      <c r="P89" s="12"/>
      <c r="Q89" s="12"/>
      <c r="R89" s="15"/>
      <c r="S89" s="16"/>
      <c r="T89" s="17"/>
      <c r="U89" s="18"/>
      <c r="V89" s="3"/>
      <c r="W89" s="3"/>
      <c r="X89" s="3"/>
      <c r="Y89" s="3"/>
      <c r="Z89" s="3"/>
    </row>
    <row r="90" spans="1:26" ht="14.4" hidden="1">
      <c r="A90" s="3"/>
      <c r="B90" s="3"/>
      <c r="C90" s="3"/>
      <c r="D90" s="3"/>
      <c r="E90" s="3"/>
      <c r="F90" s="3"/>
      <c r="G90" s="3"/>
      <c r="H90" s="3"/>
      <c r="I90" s="3"/>
      <c r="J90" s="3"/>
      <c r="K90" s="10">
        <v>84</v>
      </c>
      <c r="L90" s="11"/>
      <c r="M90" s="11"/>
      <c r="N90" s="12"/>
      <c r="O90" s="13"/>
      <c r="P90" s="12"/>
      <c r="Q90" s="12"/>
      <c r="R90" s="15"/>
      <c r="S90" s="16"/>
      <c r="T90" s="17"/>
      <c r="U90" s="18"/>
      <c r="V90" s="3"/>
      <c r="W90" s="3"/>
      <c r="X90" s="3"/>
      <c r="Y90" s="3"/>
      <c r="Z90" s="3"/>
    </row>
    <row r="91" spans="1:26" ht="14.4" hidden="1">
      <c r="A91" s="3"/>
      <c r="B91" s="3"/>
      <c r="C91" s="3"/>
      <c r="D91" s="3"/>
      <c r="E91" s="3"/>
      <c r="F91" s="3"/>
      <c r="G91" s="3"/>
      <c r="H91" s="3"/>
      <c r="I91" s="3"/>
      <c r="J91" s="3"/>
      <c r="K91" s="10">
        <v>85</v>
      </c>
      <c r="L91" s="11"/>
      <c r="M91" s="11"/>
      <c r="N91" s="12"/>
      <c r="O91" s="13"/>
      <c r="P91" s="12"/>
      <c r="Q91" s="12"/>
      <c r="R91" s="15"/>
      <c r="S91" s="16"/>
      <c r="T91" s="17"/>
      <c r="U91" s="18"/>
      <c r="V91" s="3"/>
      <c r="W91" s="3"/>
      <c r="X91" s="3"/>
      <c r="Y91" s="3"/>
      <c r="Z91" s="3"/>
    </row>
    <row r="92" spans="1:26" ht="14.4" hidden="1">
      <c r="A92" s="3"/>
      <c r="B92" s="3"/>
      <c r="C92" s="3"/>
      <c r="D92" s="3"/>
      <c r="E92" s="3"/>
      <c r="F92" s="3"/>
      <c r="G92" s="3"/>
      <c r="H92" s="3"/>
      <c r="I92" s="3"/>
      <c r="J92" s="3"/>
      <c r="K92" s="10">
        <v>86</v>
      </c>
      <c r="L92" s="11"/>
      <c r="M92" s="11"/>
      <c r="N92" s="12"/>
      <c r="O92" s="13"/>
      <c r="P92" s="12"/>
      <c r="Q92" s="12"/>
      <c r="R92" s="15"/>
      <c r="S92" s="16"/>
      <c r="T92" s="17"/>
      <c r="U92" s="18"/>
      <c r="V92" s="3"/>
      <c r="W92" s="3"/>
      <c r="X92" s="3"/>
      <c r="Y92" s="3"/>
      <c r="Z92" s="3"/>
    </row>
    <row r="93" spans="1:26" ht="14.4" hidden="1">
      <c r="A93" s="3"/>
      <c r="B93" s="3"/>
      <c r="C93" s="3"/>
      <c r="D93" s="3"/>
      <c r="E93" s="3"/>
      <c r="F93" s="3"/>
      <c r="G93" s="3"/>
      <c r="H93" s="3"/>
      <c r="I93" s="3"/>
      <c r="J93" s="3"/>
      <c r="K93" s="10">
        <v>87</v>
      </c>
      <c r="L93" s="11"/>
      <c r="M93" s="11"/>
      <c r="N93" s="12"/>
      <c r="O93" s="13"/>
      <c r="P93" s="12"/>
      <c r="Q93" s="12"/>
      <c r="R93" s="15"/>
      <c r="S93" s="16"/>
      <c r="T93" s="17"/>
      <c r="U93" s="18"/>
      <c r="V93" s="3"/>
      <c r="W93" s="3"/>
      <c r="X93" s="3"/>
      <c r="Y93" s="3"/>
      <c r="Z93" s="3"/>
    </row>
    <row r="94" spans="1:26" ht="14.4" hidden="1">
      <c r="A94" s="3"/>
      <c r="B94" s="3"/>
      <c r="C94" s="3"/>
      <c r="D94" s="3"/>
      <c r="E94" s="3"/>
      <c r="F94" s="3"/>
      <c r="G94" s="3"/>
      <c r="H94" s="3"/>
      <c r="I94" s="3"/>
      <c r="J94" s="3"/>
      <c r="K94" s="10">
        <v>88</v>
      </c>
      <c r="L94" s="11"/>
      <c r="M94" s="11"/>
      <c r="N94" s="12"/>
      <c r="O94" s="13"/>
      <c r="P94" s="12"/>
      <c r="Q94" s="12"/>
      <c r="R94" s="15"/>
      <c r="S94" s="16"/>
      <c r="T94" s="17"/>
      <c r="U94" s="18"/>
      <c r="V94" s="3"/>
      <c r="W94" s="3"/>
      <c r="X94" s="3"/>
      <c r="Y94" s="3"/>
      <c r="Z94" s="3"/>
    </row>
    <row r="95" spans="1:26" ht="14.4" hidden="1">
      <c r="A95" s="3"/>
      <c r="B95" s="3"/>
      <c r="C95" s="3"/>
      <c r="D95" s="3"/>
      <c r="E95" s="3"/>
      <c r="F95" s="3"/>
      <c r="G95" s="3"/>
      <c r="H95" s="3"/>
      <c r="I95" s="3"/>
      <c r="J95" s="3"/>
      <c r="K95" s="10">
        <v>89</v>
      </c>
      <c r="L95" s="11"/>
      <c r="M95" s="11"/>
      <c r="N95" s="12"/>
      <c r="O95" s="13"/>
      <c r="P95" s="12"/>
      <c r="Q95" s="12"/>
      <c r="R95" s="15"/>
      <c r="S95" s="16"/>
      <c r="T95" s="17"/>
      <c r="U95" s="18"/>
      <c r="V95" s="3"/>
      <c r="W95" s="3"/>
      <c r="X95" s="3"/>
      <c r="Y95" s="3"/>
      <c r="Z95" s="3"/>
    </row>
    <row r="96" spans="1:26" ht="14.4" hidden="1">
      <c r="A96" s="3"/>
      <c r="B96" s="3"/>
      <c r="C96" s="3"/>
      <c r="D96" s="3"/>
      <c r="E96" s="3"/>
      <c r="F96" s="3"/>
      <c r="G96" s="3"/>
      <c r="H96" s="3"/>
      <c r="I96" s="3"/>
      <c r="J96" s="3"/>
      <c r="K96" s="10">
        <v>90</v>
      </c>
      <c r="L96" s="11"/>
      <c r="M96" s="11"/>
      <c r="N96" s="12"/>
      <c r="O96" s="13"/>
      <c r="P96" s="12"/>
      <c r="Q96" s="12"/>
      <c r="R96" s="56"/>
      <c r="S96" s="16"/>
      <c r="T96" s="17"/>
      <c r="U96" s="18"/>
      <c r="V96" s="3"/>
      <c r="W96" s="3"/>
      <c r="X96" s="3"/>
      <c r="Y96" s="3"/>
      <c r="Z96" s="3"/>
    </row>
    <row r="97" spans="1:26" ht="14.4" hidden="1">
      <c r="A97" s="3"/>
      <c r="B97" s="3"/>
      <c r="C97" s="3"/>
      <c r="D97" s="3"/>
      <c r="E97" s="3"/>
      <c r="F97" s="3"/>
      <c r="G97" s="3"/>
      <c r="H97" s="3"/>
      <c r="I97" s="3"/>
      <c r="J97" s="3"/>
      <c r="K97" s="10">
        <v>91</v>
      </c>
      <c r="L97" s="11"/>
      <c r="M97" s="11"/>
      <c r="N97" s="12"/>
      <c r="O97" s="13"/>
      <c r="P97" s="12"/>
      <c r="Q97" s="12"/>
      <c r="R97" s="15"/>
      <c r="S97" s="16"/>
      <c r="T97" s="17"/>
      <c r="U97" s="18"/>
      <c r="V97" s="3"/>
      <c r="W97" s="3"/>
      <c r="X97" s="3"/>
      <c r="Y97" s="3"/>
      <c r="Z97" s="3"/>
    </row>
    <row r="98" spans="1:26" ht="14.4" hidden="1">
      <c r="A98" s="3"/>
      <c r="B98" s="3"/>
      <c r="C98" s="3"/>
      <c r="D98" s="3"/>
      <c r="E98" s="3"/>
      <c r="F98" s="3"/>
      <c r="G98" s="3"/>
      <c r="H98" s="3"/>
      <c r="I98" s="3"/>
      <c r="J98" s="3"/>
      <c r="K98" s="10">
        <v>92</v>
      </c>
      <c r="L98" s="11"/>
      <c r="M98" s="11"/>
      <c r="N98" s="12"/>
      <c r="O98" s="13"/>
      <c r="P98" s="12"/>
      <c r="Q98" s="12"/>
      <c r="R98" s="15"/>
      <c r="S98" s="16"/>
      <c r="T98" s="17"/>
      <c r="U98" s="18"/>
      <c r="V98" s="3"/>
      <c r="W98" s="3"/>
      <c r="X98" s="3"/>
      <c r="Y98" s="3"/>
      <c r="Z98" s="3"/>
    </row>
    <row r="99" spans="1:26" ht="14.4" hidden="1">
      <c r="A99" s="3"/>
      <c r="B99" s="3"/>
      <c r="C99" s="3"/>
      <c r="D99" s="3"/>
      <c r="E99" s="3"/>
      <c r="F99" s="3"/>
      <c r="G99" s="3"/>
      <c r="H99" s="3"/>
      <c r="I99" s="3"/>
      <c r="J99" s="3"/>
      <c r="K99" s="10">
        <v>93</v>
      </c>
      <c r="L99" s="11"/>
      <c r="M99" s="11"/>
      <c r="N99" s="12"/>
      <c r="O99" s="13"/>
      <c r="P99" s="12"/>
      <c r="Q99" s="12"/>
      <c r="R99" s="15"/>
      <c r="S99" s="16"/>
      <c r="T99" s="17"/>
      <c r="U99" s="18"/>
      <c r="V99" s="3"/>
      <c r="W99" s="3"/>
      <c r="X99" s="3"/>
      <c r="Y99" s="3"/>
      <c r="Z99" s="3"/>
    </row>
    <row r="100" spans="1:26" ht="14.4" hidden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10">
        <v>94</v>
      </c>
      <c r="L100" s="11"/>
      <c r="M100" s="11"/>
      <c r="N100" s="12"/>
      <c r="O100" s="13"/>
      <c r="P100" s="12"/>
      <c r="Q100" s="12"/>
      <c r="R100" s="15"/>
      <c r="S100" s="16"/>
      <c r="T100" s="17"/>
      <c r="U100" s="18"/>
      <c r="V100" s="3"/>
      <c r="W100" s="3"/>
      <c r="X100" s="3"/>
      <c r="Y100" s="3"/>
      <c r="Z100" s="3"/>
    </row>
    <row r="101" spans="1:26" ht="14.4" hidden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10">
        <v>95</v>
      </c>
      <c r="L101" s="11"/>
      <c r="M101" s="11"/>
      <c r="N101" s="12"/>
      <c r="O101" s="13"/>
      <c r="P101" s="12"/>
      <c r="Q101" s="12"/>
      <c r="R101" s="15"/>
      <c r="S101" s="16"/>
      <c r="T101" s="17"/>
      <c r="U101" s="18"/>
      <c r="V101" s="3"/>
      <c r="W101" s="3"/>
      <c r="X101" s="3"/>
      <c r="Y101" s="3"/>
      <c r="Z101" s="3"/>
    </row>
    <row r="102" spans="1:26" ht="14.4" hidden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10">
        <v>96</v>
      </c>
      <c r="L102" s="11"/>
      <c r="M102" s="11"/>
      <c r="N102" s="12"/>
      <c r="O102" s="13"/>
      <c r="P102" s="12"/>
      <c r="Q102" s="12"/>
      <c r="R102" s="15"/>
      <c r="S102" s="16"/>
      <c r="T102" s="17"/>
      <c r="U102" s="18"/>
      <c r="V102" s="3"/>
      <c r="W102" s="3"/>
      <c r="X102" s="3"/>
      <c r="Y102" s="3"/>
      <c r="Z102" s="3"/>
    </row>
    <row r="103" spans="1:26" ht="14.4" hidden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10">
        <v>97</v>
      </c>
      <c r="L103" s="11"/>
      <c r="M103" s="11"/>
      <c r="N103" s="12"/>
      <c r="O103" s="13"/>
      <c r="P103" s="12"/>
      <c r="Q103" s="12"/>
      <c r="R103" s="15"/>
      <c r="S103" s="16"/>
      <c r="T103" s="17"/>
      <c r="U103" s="18"/>
      <c r="V103" s="3"/>
      <c r="W103" s="3"/>
      <c r="X103" s="3"/>
      <c r="Y103" s="3"/>
      <c r="Z103" s="3"/>
    </row>
    <row r="104" spans="1:26" ht="14.4" hidden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10">
        <v>98</v>
      </c>
      <c r="L104" s="11"/>
      <c r="M104" s="11"/>
      <c r="N104" s="12"/>
      <c r="O104" s="13"/>
      <c r="P104" s="12"/>
      <c r="Q104" s="12"/>
      <c r="R104" s="15"/>
      <c r="S104" s="16"/>
      <c r="T104" s="17"/>
      <c r="U104" s="18"/>
      <c r="V104" s="3"/>
      <c r="W104" s="3"/>
      <c r="X104" s="3"/>
      <c r="Y104" s="3"/>
      <c r="Z104" s="3"/>
    </row>
    <row r="105" spans="1:26" ht="14.4" hidden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10">
        <v>99</v>
      </c>
      <c r="L105" s="11"/>
      <c r="M105" s="11"/>
      <c r="N105" s="12"/>
      <c r="O105" s="13"/>
      <c r="P105" s="12"/>
      <c r="Q105" s="12"/>
      <c r="R105" s="15"/>
      <c r="S105" s="16"/>
      <c r="T105" s="17"/>
      <c r="U105" s="18"/>
      <c r="V105" s="3"/>
      <c r="W105" s="3"/>
      <c r="X105" s="3"/>
      <c r="Y105" s="3"/>
      <c r="Z105" s="3"/>
    </row>
    <row r="106" spans="1:26" ht="14.4" hidden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10">
        <v>100</v>
      </c>
      <c r="L106" s="11"/>
      <c r="M106" s="11"/>
      <c r="N106" s="12"/>
      <c r="O106" s="13"/>
      <c r="P106" s="12"/>
      <c r="Q106" s="12"/>
      <c r="R106" s="15"/>
      <c r="S106" s="16"/>
      <c r="T106" s="17"/>
      <c r="U106" s="18"/>
      <c r="V106" s="3"/>
      <c r="W106" s="3"/>
      <c r="X106" s="3"/>
      <c r="Y106" s="3"/>
      <c r="Z106" s="3"/>
    </row>
    <row r="107" spans="1:26" ht="14.4" hidden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10">
        <v>101</v>
      </c>
      <c r="L107" s="11"/>
      <c r="M107" s="11"/>
      <c r="N107" s="12"/>
      <c r="O107" s="13"/>
      <c r="P107" s="12"/>
      <c r="Q107" s="12"/>
      <c r="R107" s="15"/>
      <c r="S107" s="16"/>
      <c r="T107" s="17"/>
      <c r="U107" s="18"/>
      <c r="V107" s="3"/>
      <c r="W107" s="3"/>
      <c r="X107" s="3"/>
      <c r="Y107" s="3"/>
      <c r="Z107" s="3"/>
    </row>
    <row r="108" spans="1:26" ht="14.4" hidden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10">
        <v>102</v>
      </c>
      <c r="L108" s="11"/>
      <c r="M108" s="11"/>
      <c r="N108" s="12"/>
      <c r="O108" s="13"/>
      <c r="P108" s="12"/>
      <c r="Q108" s="12"/>
      <c r="R108" s="15"/>
      <c r="S108" s="16"/>
      <c r="T108" s="17"/>
      <c r="U108" s="18"/>
      <c r="V108" s="3"/>
      <c r="W108" s="3"/>
      <c r="X108" s="3"/>
      <c r="Y108" s="3"/>
      <c r="Z108" s="3"/>
    </row>
    <row r="109" spans="1:26" ht="14.4" hidden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10">
        <v>103</v>
      </c>
      <c r="L109" s="11"/>
      <c r="M109" s="11"/>
      <c r="N109" s="12"/>
      <c r="O109" s="13"/>
      <c r="P109" s="12"/>
      <c r="Q109" s="12"/>
      <c r="R109" s="15"/>
      <c r="S109" s="16"/>
      <c r="T109" s="17"/>
      <c r="U109" s="18"/>
      <c r="V109" s="3"/>
      <c r="W109" s="3"/>
      <c r="X109" s="3"/>
      <c r="Y109" s="3"/>
      <c r="Z109" s="3"/>
    </row>
    <row r="110" spans="1:26" ht="14.4" hidden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10">
        <v>104</v>
      </c>
      <c r="L110" s="11"/>
      <c r="M110" s="11"/>
      <c r="N110" s="12"/>
      <c r="O110" s="13"/>
      <c r="P110" s="12"/>
      <c r="Q110" s="12"/>
      <c r="R110" s="15"/>
      <c r="S110" s="16"/>
      <c r="T110" s="17"/>
      <c r="U110" s="18"/>
      <c r="V110" s="3"/>
      <c r="W110" s="3"/>
      <c r="X110" s="3"/>
      <c r="Y110" s="3"/>
      <c r="Z110" s="3"/>
    </row>
    <row r="111" spans="1:26" ht="14.4" hidden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10">
        <v>105</v>
      </c>
      <c r="L111" s="11"/>
      <c r="M111" s="11"/>
      <c r="N111" s="12"/>
      <c r="O111" s="13"/>
      <c r="P111" s="12"/>
      <c r="Q111" s="12"/>
      <c r="R111" s="15"/>
      <c r="S111" s="16"/>
      <c r="T111" s="17"/>
      <c r="U111" s="18"/>
      <c r="V111" s="3"/>
      <c r="W111" s="3"/>
      <c r="X111" s="3"/>
      <c r="Y111" s="3"/>
      <c r="Z111" s="3"/>
    </row>
    <row r="112" spans="1:26" ht="14.4" hidden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10">
        <v>106</v>
      </c>
      <c r="L112" s="11"/>
      <c r="M112" s="11"/>
      <c r="N112" s="12"/>
      <c r="O112" s="13"/>
      <c r="P112" s="12"/>
      <c r="Q112" s="12"/>
      <c r="R112" s="15"/>
      <c r="S112" s="16"/>
      <c r="T112" s="17"/>
      <c r="U112" s="18"/>
      <c r="V112" s="3"/>
      <c r="W112" s="3"/>
      <c r="X112" s="3"/>
      <c r="Y112" s="3"/>
      <c r="Z112" s="3"/>
    </row>
    <row r="113" spans="1:26" ht="14.4" hidden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10">
        <v>107</v>
      </c>
      <c r="L113" s="11"/>
      <c r="M113" s="11"/>
      <c r="N113" s="12"/>
      <c r="O113" s="13"/>
      <c r="P113" s="12"/>
      <c r="Q113" s="12"/>
      <c r="R113" s="15"/>
      <c r="S113" s="16"/>
      <c r="T113" s="17"/>
      <c r="U113" s="18"/>
      <c r="V113" s="3"/>
      <c r="W113" s="3"/>
      <c r="X113" s="3"/>
      <c r="Y113" s="3"/>
      <c r="Z113" s="3"/>
    </row>
    <row r="114" spans="1:26" ht="14.4" hidden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10">
        <v>108</v>
      </c>
      <c r="L114" s="11"/>
      <c r="M114" s="11"/>
      <c r="N114" s="12"/>
      <c r="O114" s="13"/>
      <c r="P114" s="12"/>
      <c r="Q114" s="12"/>
      <c r="R114" s="15"/>
      <c r="S114" s="16"/>
      <c r="T114" s="17"/>
      <c r="U114" s="18"/>
      <c r="V114" s="3"/>
      <c r="W114" s="3"/>
      <c r="X114" s="3"/>
      <c r="Y114" s="3"/>
      <c r="Z114" s="3"/>
    </row>
    <row r="115" spans="1:26" ht="14.4" hidden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10">
        <v>109</v>
      </c>
      <c r="L115" s="11"/>
      <c r="M115" s="11"/>
      <c r="N115" s="12"/>
      <c r="O115" s="13"/>
      <c r="P115" s="12"/>
      <c r="Q115" s="12"/>
      <c r="R115" s="15"/>
      <c r="S115" s="16"/>
      <c r="T115" s="17"/>
      <c r="U115" s="18"/>
      <c r="V115" s="3"/>
      <c r="W115" s="3"/>
      <c r="X115" s="3"/>
      <c r="Y115" s="3"/>
      <c r="Z115" s="3"/>
    </row>
    <row r="116" spans="1:26" ht="14.4" hidden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10">
        <v>110</v>
      </c>
      <c r="L116" s="11"/>
      <c r="M116" s="11"/>
      <c r="N116" s="12"/>
      <c r="O116" s="13"/>
      <c r="P116" s="12"/>
      <c r="Q116" s="12"/>
      <c r="R116" s="15"/>
      <c r="S116" s="16"/>
      <c r="T116" s="17"/>
      <c r="U116" s="18"/>
      <c r="V116" s="3"/>
      <c r="W116" s="3"/>
      <c r="X116" s="3"/>
      <c r="Y116" s="3"/>
      <c r="Z116" s="3"/>
    </row>
    <row r="117" spans="1:26" ht="14.4" hidden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10">
        <v>111</v>
      </c>
      <c r="L117" s="11"/>
      <c r="M117" s="11"/>
      <c r="N117" s="12"/>
      <c r="O117" s="13"/>
      <c r="P117" s="12"/>
      <c r="Q117" s="12"/>
      <c r="R117" s="15"/>
      <c r="S117" s="16"/>
      <c r="T117" s="17"/>
      <c r="U117" s="18"/>
      <c r="V117" s="3"/>
      <c r="W117" s="3"/>
      <c r="X117" s="3"/>
      <c r="Y117" s="3"/>
      <c r="Z117" s="3"/>
    </row>
    <row r="118" spans="1:26" ht="14.4" hidden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10">
        <v>112</v>
      </c>
      <c r="L118" s="11"/>
      <c r="M118" s="11"/>
      <c r="N118" s="12"/>
      <c r="O118" s="13"/>
      <c r="P118" s="12"/>
      <c r="Q118" s="12"/>
      <c r="R118" s="15"/>
      <c r="S118" s="16"/>
      <c r="T118" s="17"/>
      <c r="U118" s="18"/>
      <c r="V118" s="3"/>
      <c r="W118" s="3"/>
      <c r="X118" s="3"/>
      <c r="Y118" s="3"/>
      <c r="Z118" s="3"/>
    </row>
    <row r="119" spans="1:26" ht="14.4" hidden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10">
        <v>113</v>
      </c>
      <c r="L119" s="11"/>
      <c r="M119" s="11"/>
      <c r="N119" s="12"/>
      <c r="O119" s="13"/>
      <c r="P119" s="12"/>
      <c r="Q119" s="12"/>
      <c r="R119" s="15"/>
      <c r="S119" s="16"/>
      <c r="T119" s="17"/>
      <c r="U119" s="18"/>
      <c r="V119" s="3"/>
      <c r="W119" s="3"/>
      <c r="X119" s="3"/>
      <c r="Y119" s="3"/>
      <c r="Z119" s="3"/>
    </row>
    <row r="120" spans="1:26" ht="14.4" hidden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10">
        <v>114</v>
      </c>
      <c r="L120" s="11"/>
      <c r="M120" s="11"/>
      <c r="N120" s="12"/>
      <c r="O120" s="13"/>
      <c r="P120" s="12"/>
      <c r="Q120" s="12"/>
      <c r="R120" s="15"/>
      <c r="S120" s="16"/>
      <c r="T120" s="17"/>
      <c r="U120" s="18"/>
      <c r="V120" s="3"/>
      <c r="W120" s="3"/>
      <c r="X120" s="3"/>
      <c r="Y120" s="3"/>
      <c r="Z120" s="3"/>
    </row>
    <row r="121" spans="1:26" ht="14.4" hidden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10">
        <v>115</v>
      </c>
      <c r="L121" s="11"/>
      <c r="M121" s="11"/>
      <c r="N121" s="12"/>
      <c r="O121" s="13"/>
      <c r="P121" s="12"/>
      <c r="Q121" s="12"/>
      <c r="R121" s="15"/>
      <c r="S121" s="16"/>
      <c r="T121" s="17"/>
      <c r="U121" s="18"/>
      <c r="V121" s="3"/>
      <c r="W121" s="3"/>
      <c r="X121" s="3"/>
      <c r="Y121" s="3"/>
      <c r="Z121" s="3"/>
    </row>
    <row r="122" spans="1:26" ht="14.4" hidden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10">
        <v>116</v>
      </c>
      <c r="L122" s="11"/>
      <c r="M122" s="11"/>
      <c r="N122" s="12"/>
      <c r="O122" s="13"/>
      <c r="P122" s="12"/>
      <c r="Q122" s="12"/>
      <c r="R122" s="15"/>
      <c r="S122" s="16"/>
      <c r="T122" s="17"/>
      <c r="U122" s="18"/>
      <c r="V122" s="3"/>
      <c r="W122" s="3"/>
      <c r="X122" s="3"/>
      <c r="Y122" s="3"/>
      <c r="Z122" s="3"/>
    </row>
    <row r="123" spans="1:26" ht="14.4" hidden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10">
        <v>117</v>
      </c>
      <c r="L123" s="11"/>
      <c r="M123" s="11"/>
      <c r="N123" s="12"/>
      <c r="O123" s="13"/>
      <c r="P123" s="12"/>
      <c r="Q123" s="12"/>
      <c r="R123" s="15"/>
      <c r="S123" s="16"/>
      <c r="T123" s="17"/>
      <c r="U123" s="18"/>
      <c r="V123" s="3"/>
      <c r="W123" s="3"/>
      <c r="X123" s="3"/>
      <c r="Y123" s="3"/>
      <c r="Z123" s="3"/>
    </row>
    <row r="124" spans="1:26" ht="14.4" hidden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10">
        <v>118</v>
      </c>
      <c r="L124" s="11"/>
      <c r="M124" s="11"/>
      <c r="N124" s="12"/>
      <c r="O124" s="13"/>
      <c r="P124" s="12"/>
      <c r="Q124" s="12"/>
      <c r="R124" s="15"/>
      <c r="S124" s="16"/>
      <c r="T124" s="17"/>
      <c r="U124" s="18"/>
      <c r="V124" s="3"/>
      <c r="W124" s="3"/>
      <c r="X124" s="3"/>
      <c r="Y124" s="3"/>
      <c r="Z124" s="3"/>
    </row>
    <row r="125" spans="1:26" ht="14.4" hidden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10">
        <v>119</v>
      </c>
      <c r="L125" s="11"/>
      <c r="M125" s="11"/>
      <c r="N125" s="12"/>
      <c r="O125" s="13"/>
      <c r="P125" s="12"/>
      <c r="Q125" s="12"/>
      <c r="R125" s="15"/>
      <c r="S125" s="16"/>
      <c r="T125" s="17"/>
      <c r="U125" s="18"/>
      <c r="V125" s="3"/>
      <c r="W125" s="3"/>
      <c r="X125" s="3"/>
      <c r="Y125" s="3"/>
      <c r="Z125" s="3"/>
    </row>
    <row r="126" spans="1:26" ht="14.4" hidden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10">
        <v>120</v>
      </c>
      <c r="L126" s="11"/>
      <c r="M126" s="11"/>
      <c r="N126" s="12"/>
      <c r="O126" s="13"/>
      <c r="P126" s="12"/>
      <c r="Q126" s="12"/>
      <c r="R126" s="15"/>
      <c r="S126" s="16"/>
      <c r="T126" s="17"/>
      <c r="U126" s="18"/>
      <c r="V126" s="3"/>
      <c r="W126" s="3"/>
      <c r="X126" s="3"/>
      <c r="Y126" s="3"/>
      <c r="Z126" s="3"/>
    </row>
    <row r="127" spans="1:26" ht="14.4" hidden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10">
        <v>121</v>
      </c>
      <c r="L127" s="11"/>
      <c r="M127" s="11"/>
      <c r="N127" s="12"/>
      <c r="O127" s="13"/>
      <c r="P127" s="12"/>
      <c r="Q127" s="12"/>
      <c r="R127" s="15"/>
      <c r="S127" s="16"/>
      <c r="T127" s="17"/>
      <c r="U127" s="18"/>
      <c r="V127" s="3"/>
      <c r="W127" s="3"/>
      <c r="X127" s="3"/>
      <c r="Y127" s="3"/>
      <c r="Z127" s="3"/>
    </row>
    <row r="128" spans="1:26" ht="14.4" hidden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10">
        <v>122</v>
      </c>
      <c r="L128" s="11"/>
      <c r="M128" s="11"/>
      <c r="N128" s="12"/>
      <c r="O128" s="13"/>
      <c r="P128" s="14"/>
      <c r="Q128" s="12"/>
      <c r="R128" s="15"/>
      <c r="S128" s="16"/>
      <c r="T128" s="17"/>
      <c r="U128" s="18"/>
      <c r="V128" s="3"/>
      <c r="W128" s="3"/>
      <c r="X128" s="3"/>
      <c r="Y128" s="3"/>
      <c r="Z128" s="3"/>
    </row>
    <row r="129" spans="1:26" ht="14.4" hidden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10">
        <v>123</v>
      </c>
      <c r="L129" s="11"/>
      <c r="M129" s="11"/>
      <c r="N129" s="12"/>
      <c r="O129" s="13"/>
      <c r="P129" s="14"/>
      <c r="Q129" s="12"/>
      <c r="R129" s="15"/>
      <c r="S129" s="16"/>
      <c r="T129" s="17"/>
      <c r="U129" s="18"/>
      <c r="V129" s="3"/>
      <c r="W129" s="3"/>
      <c r="X129" s="3"/>
      <c r="Y129" s="3"/>
      <c r="Z129" s="3"/>
    </row>
    <row r="130" spans="1:26" ht="14.4" hidden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10">
        <v>124</v>
      </c>
      <c r="L130" s="11"/>
      <c r="M130" s="11"/>
      <c r="N130" s="12"/>
      <c r="O130" s="13"/>
      <c r="P130" s="14"/>
      <c r="Q130" s="12"/>
      <c r="R130" s="15"/>
      <c r="S130" s="16"/>
      <c r="T130" s="17"/>
      <c r="U130" s="18"/>
      <c r="V130" s="3"/>
      <c r="W130" s="3"/>
      <c r="X130" s="3"/>
      <c r="Y130" s="3"/>
      <c r="Z130" s="3"/>
    </row>
    <row r="131" spans="1:26" ht="14.4" hidden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10">
        <v>125</v>
      </c>
      <c r="L131" s="11"/>
      <c r="M131" s="11"/>
      <c r="N131" s="12"/>
      <c r="O131" s="13"/>
      <c r="P131" s="14"/>
      <c r="Q131" s="12"/>
      <c r="R131" s="15"/>
      <c r="S131" s="16"/>
      <c r="T131" s="17"/>
      <c r="U131" s="18"/>
      <c r="V131" s="3"/>
      <c r="W131" s="3"/>
      <c r="X131" s="3"/>
      <c r="Y131" s="3"/>
      <c r="Z131" s="3"/>
    </row>
    <row r="132" spans="1:26" ht="14.4" hidden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10">
        <v>126</v>
      </c>
      <c r="L132" s="11"/>
      <c r="M132" s="11"/>
      <c r="N132" s="12"/>
      <c r="O132" s="13"/>
      <c r="P132" s="12"/>
      <c r="Q132" s="12"/>
      <c r="R132" s="15"/>
      <c r="S132" s="16"/>
      <c r="T132" s="17"/>
      <c r="U132" s="18"/>
      <c r="V132" s="3"/>
      <c r="W132" s="3"/>
      <c r="X132" s="3"/>
      <c r="Y132" s="3"/>
      <c r="Z132" s="3"/>
    </row>
    <row r="133" spans="1:26" ht="14.4" hidden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10">
        <v>127</v>
      </c>
      <c r="L133" s="11"/>
      <c r="M133" s="11"/>
      <c r="N133" s="12"/>
      <c r="O133" s="13"/>
      <c r="P133" s="14"/>
      <c r="Q133" s="12"/>
      <c r="R133" s="15"/>
      <c r="S133" s="16"/>
      <c r="T133" s="17"/>
      <c r="U133" s="18"/>
      <c r="V133" s="3"/>
      <c r="W133" s="3"/>
      <c r="X133" s="3"/>
      <c r="Y133" s="3"/>
      <c r="Z133" s="3"/>
    </row>
    <row r="134" spans="1:26" ht="14.4" hidden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10">
        <v>128</v>
      </c>
      <c r="L134" s="11"/>
      <c r="M134" s="11"/>
      <c r="N134" s="12"/>
      <c r="O134" s="13"/>
      <c r="P134" s="14"/>
      <c r="Q134" s="12"/>
      <c r="R134" s="15"/>
      <c r="S134" s="16"/>
      <c r="T134" s="17"/>
      <c r="U134" s="18"/>
      <c r="V134" s="3"/>
      <c r="W134" s="3"/>
      <c r="X134" s="3"/>
      <c r="Y134" s="3"/>
      <c r="Z134" s="3"/>
    </row>
    <row r="135" spans="1:26" ht="14.4" hidden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10">
        <v>129</v>
      </c>
      <c r="L135" s="11"/>
      <c r="M135" s="11"/>
      <c r="N135" s="12"/>
      <c r="O135" s="13"/>
      <c r="P135" s="14"/>
      <c r="Q135" s="12"/>
      <c r="R135" s="15"/>
      <c r="S135" s="16"/>
      <c r="T135" s="17"/>
      <c r="U135" s="18"/>
      <c r="V135" s="3"/>
      <c r="W135" s="3"/>
      <c r="X135" s="3"/>
      <c r="Y135" s="3"/>
      <c r="Z135" s="3"/>
    </row>
    <row r="136" spans="1:26" ht="14.4" hidden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10">
        <v>130</v>
      </c>
      <c r="L136" s="11"/>
      <c r="M136" s="11"/>
      <c r="N136" s="12"/>
      <c r="O136" s="13"/>
      <c r="P136" s="14"/>
      <c r="Q136" s="12"/>
      <c r="R136" s="15"/>
      <c r="S136" s="16"/>
      <c r="T136" s="17"/>
      <c r="U136" s="18"/>
      <c r="V136" s="3"/>
      <c r="W136" s="3"/>
      <c r="X136" s="3"/>
      <c r="Y136" s="3"/>
      <c r="Z136" s="3"/>
    </row>
    <row r="137" spans="1:26" ht="14.4" hidden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10">
        <v>131</v>
      </c>
      <c r="L137" s="11"/>
      <c r="M137" s="11"/>
      <c r="N137" s="12"/>
      <c r="O137" s="13"/>
      <c r="P137" s="14"/>
      <c r="Q137" s="12"/>
      <c r="R137" s="15"/>
      <c r="S137" s="16"/>
      <c r="T137" s="17"/>
      <c r="U137" s="18"/>
      <c r="V137" s="3"/>
      <c r="W137" s="3"/>
      <c r="X137" s="3"/>
      <c r="Y137" s="3"/>
      <c r="Z137" s="3"/>
    </row>
    <row r="138" spans="1:26" ht="14.4" hidden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10">
        <v>132</v>
      </c>
      <c r="L138" s="11"/>
      <c r="M138" s="11"/>
      <c r="N138" s="12"/>
      <c r="O138" s="13"/>
      <c r="P138" s="14"/>
      <c r="Q138" s="12"/>
      <c r="R138" s="15"/>
      <c r="S138" s="16"/>
      <c r="T138" s="17"/>
      <c r="U138" s="18"/>
      <c r="V138" s="3"/>
      <c r="W138" s="3"/>
      <c r="X138" s="3"/>
      <c r="Y138" s="3"/>
      <c r="Z138" s="3"/>
    </row>
    <row r="139" spans="1:26" ht="14.4" hidden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4.4" hidden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4.4" hidden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4.4" hidden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4.4" hidden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4.4" hidden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4.4" hidden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4.4" hidden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4.4" hidden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4.4" hidden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4.4" hidden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4.4" hidden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4.4" hidden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4.4" hidden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4.4" hidden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4.4" hidden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4.4" hidden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4.4" hidden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4.4" hidden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4.4" hidden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4.4" hidden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4.4" hidden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4.4" hidden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4.4" hidden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4.4" hidden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4.4" hidden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4.4" hidden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4.4" hidden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4.4" hidden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4.4" hidden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4.4" hidden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4.4" hidden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4.4" hidden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4.4" hidden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4.4" hidden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4.4" hidden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4.4" hidden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4.4" hidden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4.4" hidden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4.4" hidden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4.4" hidden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4.4" hidden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4.4" hidden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4.4" hidden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4.4" hidden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4.4" hidden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4.4" hidden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4.4" hidden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4.4" hidden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4.4" hidden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4.4" hidden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4.4" hidden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4.4" hidden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4.4" hidden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4.4" hidden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4.4" hidden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4.4" hidden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4.4" hidden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4.4" hidden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4.4" hidden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4.4" hidden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4.4" hidden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4.4" hidden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4.4" hidden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4.4" hidden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4.4" hidden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4.4" hidden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4.4" hidden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4.4" hidden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4.4" hidden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4.4" hidden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4.4" hidden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4.4" hidden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4.4" hidden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4.4" hidden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4.4" hidden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4.4" hidden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4.4" hidden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4.4" hidden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4.4" hidden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4.4" hidden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4.4" hidden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4.4" hidden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4.4" hidden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4.4" hidden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4.4" hidden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4.4" hidden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4.4" hidden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4.4" hidden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4.4" hidden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4.4" hidden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4.4" hidden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4.4" hidden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4.4" hidden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4.4" hidden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4.4" hidden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4.4" hidden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4.4" hidden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4.4" hidden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4.4" hidden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4.4" hidden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4.4" hidden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4.4" hidden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4.4" hidden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4.4" hidden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4.4" hidden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4.4" hidden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4.4" hidden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4.4" hidden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4.4" hidden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4.4" hidden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4.4" hidden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4.4" hidden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4.4" hidden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4.4" hidden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4.4" hidden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4.4" hidden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4.4" hidden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4.4" hidden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4.4" hidden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4.4" hidden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4.4" hidden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4.4" hidden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4.4" hidden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4.4" hidden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4.4" hidden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4.4" hidden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4.4" hidden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4.4" hidden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4.4" hidden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4.4" hidden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4.4" hidden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4.4" hidden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4.4" hidden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4.4" hidden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4.4" hidden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4.4" hidden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4.4" hidden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4.4" hidden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4.4" hidden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4.4" hidden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4.4" hidden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4.4" hidden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4.4" hidden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4.4" hidden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4.4" hidden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4.4" hidden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4.4" hidden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4.4" hidden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4.4" hidden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4.4" hidden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4.4" hidden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4.4" hidden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4.4" hidden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4.4" hidden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4.4" hidden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4.4" hidden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4.4" hidden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4.4" hidden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4.4" hidden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4.4" hidden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4.4" hidden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4.4" hidden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4.4" hidden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4.4" hidden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4.4" hidden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4.4" hidden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4.4" hidden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4.4" hidden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4.4" hidden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4.4" hidden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4.4" hidden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4.4" hidden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4.4" hidden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4.4" hidden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4.4" hidden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4.4" hidden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4.4" hidden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4.4" hidden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4.4" hidden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4.4" hidden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4.4" hidden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4.4" hidden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4.4" hidden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4.4" hidden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4.4" hidden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4.4" hidden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4.4" hidden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4.4" hidden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4.4" hidden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4.4" hidden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4.4" hidden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4.4" hidden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4.4" hidden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4.4" hidden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4.4" hidden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4.4" hidden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4.4" hidden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4.4" hidden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4.4" hidden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4.4" hidden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4.4" hidden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4.4" hidden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4.4" hidden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4.4" hidden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4.4" hidden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4.4" hidden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4.4" hidden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4.4" hidden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4.4" hidden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4.4" hidden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4.4" hidden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4.4" hidden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4.4" hidden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4.4" hidden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4.4" hidden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4.4" hidden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4.4" hidden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4.4" hidden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4.4" hidden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4.4" hidden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4.4" hidden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4.4" hidden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4.4" hidden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4.4" hidden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4.4" hidden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4.4" hidden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4.4" hidden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4.4" hidden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4.4" hidden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4.4" hidden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4.4" hidden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4.4" hidden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4.4" hidden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4.4" hidden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4.4" hidden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4.4" hidden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4.4" hidden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4.4" hidden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4.4" hidden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4.4" hidden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4.4" hidden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4.4" hidden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4.4" hidden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4.4" hidden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4.4" hidden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4.4" hidden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4.4" hidden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4.4" hidden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4.4" hidden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4.4" hidden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4.4" hidden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4.4" hidden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4.4" hidden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4.4" hidden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4.4" hidden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4.4" hidden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4.4" hidden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4.4" hidden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4.4" hidden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4.4" hidden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4.4" hidden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4.4" hidden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4.4" hidden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4.4" hidden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4.4" hidden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4.4" hidden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4.4" hidden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4.4" hidden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4.4" hidden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4.4" hidden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4.4" hidden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4.4" hidden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4.4" hidden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4.4" hidden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4.4" hidden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4.4" hidden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4.4" hidden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4.4" hidden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4.4" hidden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4.4" hidden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4.4" hidden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4.4" hidden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4.4" hidden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4.4" hidden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4.4" hidden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4.4" hidden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4.4" hidden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4.4" hidden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4.4" hidden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4.4" hidden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4.4" hidden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4.4" hidden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4.4" hidden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4.4" hidden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4.4" hidden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4.4" hidden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4.4" hidden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4.4" hidden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4.4" hidden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4.4" hidden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4.4" hidden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4.4" hidden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4.4" hidden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4.4" hidden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4.4" hidden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4.4" hidden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4.4" hidden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4.4" hidden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4.4" hidden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4.4" hidden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4.4" hidden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4.4" hidden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4.4" hidden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4.4" hidden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4.4" hidden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4.4" hidden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4.4" hidden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4.4" hidden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4.4" hidden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4.4" hidden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4.4" hidden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4.4" hidden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4.4" hidden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4.4" hidden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4.4" hidden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4.4" hidden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4.4" hidden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4.4" hidden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4.4" hidden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4.4" hidden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4.4" hidden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4.4" hidden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4.4" hidden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4.4" hidden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4.4" hidden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4.4" hidden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4.4" hidden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4.4" hidden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4.4" hidden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4.4" hidden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4.4" hidden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4.4" hidden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4.4" hidden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4.4" hidden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4.4" hidden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4.4" hidden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4.4" hidden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4.4" hidden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4.4" hidden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4.4" hidden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4.4" hidden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4.4" hidden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4.4" hidden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4.4" hidden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4.4" hidden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4.4" hidden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4.4" hidden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4.4" hidden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4.4" hidden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4.4" hidden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4.4" hidden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4.4" hidden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4.4" hidden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4.4" hidden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4.4" hidden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4.4" hidden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4.4" hidden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4.4" hidden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4.4" hidden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4.4" hidden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4.4" hidden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4.4" hidden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4.4" hidden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4.4" hidden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4.4" hidden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4.4" hidden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4.4" hidden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4.4" hidden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4.4" hidden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4.4" hidden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4.4" hidden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4.4" hidden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4.4" hidden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4.4" hidden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4.4" hidden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4.4" hidden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4.4" hidden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4.4" hidden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4.4" hidden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4.4" hidden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4.4" hidden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4.4" hidden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4.4" hidden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4.4" hidden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4.4" hidden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4.4" hidden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4.4" hidden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4.4" hidden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4.4" hidden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4.4" hidden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4.4" hidden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4.4" hidden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4.4" hidden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4.4" hidden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4.4" hidden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4.4" hidden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4.4" hidden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4.4" hidden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4.4" hidden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4.4" hidden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4.4" hidden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4.4" hidden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4.4" hidden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4.4" hidden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4.4" hidden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4.4" hidden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4.4" hidden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4.4" hidden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4.4" hidden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4.4" hidden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4.4" hidden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4.4" hidden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4.4" hidden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4.4" hidden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4.4" hidden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4.4" hidden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4.4" hidden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4.4" hidden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4.4" hidden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4.4" hidden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4.4" hidden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4.4" hidden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4.4" hidden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4.4" hidden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4.4" hidden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4.4" hidden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4.4" hidden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4.4" hidden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4.4" hidden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4.4" hidden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4.4" hidden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4.4" hidden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4.4" hidden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4.4" hidden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4.4" hidden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4.4" hidden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4.4" hidden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4.4" hidden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4.4" hidden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4.4" hidden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4.4" hidden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4.4" hidden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4.4" hidden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4.4" hidden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4.4" hidden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4.4" hidden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4.4" hidden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4.4" hidden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4.4" hidden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4.4" hidden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4.4" hidden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4.4" hidden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4.4" hidden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4.4" hidden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4.4" hidden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4.4" hidden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4.4" hidden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4.4" hidden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4.4" hidden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4.4" hidden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4.4" hidden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4.4" hidden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4.4" hidden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4.4" hidden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4.4" hidden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4.4" hidden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4.4" hidden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4.4" hidden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4.4" hidden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4.4" hidden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4.4" hidden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4.4" hidden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4.4" hidden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4.4" hidden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4.4" hidden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4.4" hidden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4.4" hidden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4.4" hidden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4.4" hidden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4.4" hidden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4.4" hidden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4.4" hidden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4.4" hidden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4.4" hidden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4.4" hidden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4.4" hidden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4.4" hidden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4.4" hidden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4.4" hidden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4.4" hidden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4.4" hidden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4.4" hidden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4.4" hidden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4.4" hidden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4.4" hidden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4.4" hidden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4.4" hidden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4.4" hidden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4.4" hidden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4.4" hidden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4.4" hidden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4.4" hidden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4.4" hidden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4.4" hidden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4.4" hidden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4.4" hidden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4.4" hidden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4.4" hidden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4.4" hidden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4.4" hidden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4.4" hidden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4.4" hidden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4.4" hidden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4.4" hidden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4.4" hidden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4.4" hidden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4.4" hidden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4.4" hidden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4.4" hidden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4.4" hidden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4.4" hidden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4.4" hidden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4.4" hidden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4.4" hidden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4.4" hidden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4.4" hidden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4.4" hidden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4.4" hidden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4.4" hidden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4.4" hidden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4.4" hidden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4.4" hidden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4.4" hidden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4.4" hidden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4.4" hidden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4.4" hidden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4.4" hidden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4.4" hidden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4.4" hidden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4.4" hidden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4.4" hidden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4.4" hidden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4.4" hidden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4.4" hidden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4.4" hidden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4.4" hidden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4.4" hidden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4.4" hidden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4.4" hidden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4.4" hidden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4.4" hidden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4.4" hidden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4.4" hidden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4.4" hidden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4.4" hidden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4.4" hidden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4.4" hidden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4.4" hidden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4.4" hidden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4.4" hidden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4.4" hidden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4.4" hidden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4.4" hidden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4.4" hidden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4.4" hidden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4.4" hidden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4.4" hidden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4.4" hidden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4.4" hidden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4.4" hidden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4.4" hidden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4.4" hidden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4.4" hidden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4.4" hidden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4.4" hidden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4.4" hidden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4.4" hidden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4.4" hidden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4.4" hidden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4.4" hidden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4.4" hidden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4.4" hidden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4.4" hidden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4.4" hidden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4.4" hidden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4.4" hidden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4.4" hidden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4.4" hidden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4.4" hidden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4.4" hidden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4.4" hidden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4.4" hidden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4.4" hidden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4.4" hidden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4.4" hidden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4.4" hidden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4.4" hidden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4.4" hidden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4.4" hidden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4.4" hidden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4.4" hidden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4.4" hidden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4.4" hidden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4.4" hidden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4.4" hidden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4.4" hidden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4.4" hidden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4.4" hidden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4.4" hidden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4.4" hidden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4.4" hidden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4.4" hidden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4.4" hidden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4.4" hidden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4.4" hidden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4.4" hidden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4.4" hidden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4.4" hidden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4.4" hidden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4.4" hidden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4.4" hidden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4.4" hidden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4.4" hidden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4.4" hidden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4.4" hidden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4.4" hidden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4.4" hidden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4.4" hidden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4.4" hidden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4.4" hidden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4.4" hidden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4.4" hidden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4.4" hidden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4.4" hidden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4.4" hidden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4.4" hidden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4.4" hidden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4.4" hidden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4.4" hidden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4.4" hidden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4.4" hidden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4.4" hidden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4.4" hidden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4.4" hidden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4.4" hidden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4.4" hidden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4.4" hidden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4.4" hidden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4.4" hidden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4.4" hidden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4.4" hidden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4.4" hidden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4.4" hidden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4.4" hidden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4.4" hidden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4.4" hidden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4.4" hidden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4.4" hidden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4.4" hidden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4.4" hidden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4.4" hidden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4.4" hidden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4.4" hidden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4.4" hidden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4.4" hidden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4.4" hidden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4.4" hidden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4.4" hidden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4.4" hidden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4.4" hidden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4.4" hidden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4.4" hidden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4.4" hidden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4.4" hidden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4.4" hidden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4.4" hidden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4.4" hidden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4.4" hidden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4.4" hidden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4.4" hidden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4.4" hidden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4.4" hidden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4.4" hidden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4.4" hidden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4.4" hidden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4.4" hidden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4.4" hidden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4.4" hidden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4.4" hidden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4.4" hidden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4.4" hidden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4.4" hidden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4.4" hidden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4.4" hidden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4.4" hidden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4.4" hidden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4.4" hidden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4.4" hidden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4.4" hidden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4.4" hidden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4.4" hidden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4.4" hidden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4.4" hidden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4.4" hidden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4.4" hidden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4.4" hidden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4.4" hidden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4.4" hidden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4.4" hidden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4.4" hidden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4.4" hidden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4.4" hidden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4.4" hidden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4.4" hidden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4.4" hidden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4.4" hidden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4.4" hidden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4.4" hidden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4.4" hidden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4.4" hidden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4.4" hidden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4.4" hidden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4.4" hidden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4.4" hidden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4.4" hidden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4.4" hidden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4.4" hidden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4.4" hidden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4.4" hidden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4.4" hidden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4.4" hidden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4.4" hidden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4.4" hidden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4.4" hidden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4.4" hidden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4.4" hidden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4.4" hidden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4.4" hidden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4.4" hidden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4.4" hidden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4.4" hidden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4.4" hidden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4.4" hidden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4.4" hidden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4.4" hidden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4.4" hidden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4.4" hidden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4.4" hidden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4.4" hidden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4.4" hidden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4.4" hidden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4.4" hidden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4.4" hidden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4.4" hidden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4.4" hidden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4.4" hidden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4.4" hidden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4.4" hidden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4.4" hidden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4.4" hidden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4.4" hidden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4.4" hidden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4.4" hidden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4.4" hidden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4.4" hidden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4.4" hidden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4.4" hidden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4.4" hidden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4.4" hidden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4.4" hidden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4.4" hidden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4.4" hidden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4.4" hidden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4.4" hidden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4.4" hidden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4.4" hidden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4.4" hidden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4.4" hidden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4.4" hidden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4.4" hidden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4.4" hidden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4.4" hidden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4.4" hidden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4.4" hidden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4.4" hidden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4.4" hidden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4.4" hidden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4.4" hidden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4.4" hidden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4.4" hidden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4.4" hidden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4.4" hidden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4.4" hidden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4.4" hidden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4.4" hidden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4.4" hidden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4.4" hidden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4.4" hidden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4.4" hidden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4.4" hidden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4.4" hidden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4.4" hidden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4.4" hidden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4.4" hidden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4.4" hidden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4.4" hidden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4.4" hidden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4.4" hidden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4.4" hidden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4.4" hidden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4.4" hidden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4.4" hidden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4.4" hidden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4.4" hidden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4.4" hidden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4.4" hidden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4.4" hidden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4.4" hidden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4.4" hidden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4.4" hidden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4.4" hidden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4.4" hidden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4.4" hidden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4.4" hidden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4.4" hidden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4.4" hidden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4.4" hidden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4.4" hidden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4.4" hidden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4.4" hidden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4.4" hidden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4.4" hidden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4.4" hidden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4.4" hidden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4.4" hidden="1"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4.4" hidden="1"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4.4" hidden="1"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4.4" hidden="1"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4.4" hidden="1"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4.4" hidden="1"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4.4" hidden="1"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4.4" hidden="1"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4.4" hidden="1"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6:26" ht="14.4" hidden="1"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6:26" ht="14.4" hidden="1"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6:26" ht="14.4" hidden="1"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6:26" ht="14.4" hidden="1">
      <c r="F996" s="3"/>
      <c r="G996" s="3"/>
      <c r="H996" s="3"/>
      <c r="I996" s="3"/>
      <c r="J996" s="3"/>
      <c r="V996" s="3"/>
      <c r="W996" s="3"/>
      <c r="X996" s="3"/>
      <c r="Y996" s="3"/>
      <c r="Z996" s="3"/>
    </row>
  </sheetData>
  <mergeCells count="17">
    <mergeCell ref="B57:E57"/>
    <mergeCell ref="B59:E59"/>
    <mergeCell ref="B69:E69"/>
    <mergeCell ref="B70:E70"/>
    <mergeCell ref="B78:E78"/>
    <mergeCell ref="B55:E55"/>
    <mergeCell ref="C3:E3"/>
    <mergeCell ref="C4:E4"/>
    <mergeCell ref="C5:E5"/>
    <mergeCell ref="C6:E6"/>
    <mergeCell ref="C7:E7"/>
    <mergeCell ref="B9:E9"/>
    <mergeCell ref="B11:E11"/>
    <mergeCell ref="B13:E13"/>
    <mergeCell ref="B23:E23"/>
    <mergeCell ref="B24:E24"/>
    <mergeCell ref="B32:E32"/>
  </mergeCells>
  <dataValidations count="1">
    <dataValidation type="list" allowBlank="1" showInputMessage="1" showErrorMessage="1" prompt="Molimo odabrati proračunskog korisnika iz padajućeg izbornika!" sqref="C3:E3" xr:uid="{78CA4E39-59E3-4E5D-AAAB-D34CB5D89314}">
      <formula1>$L$6:$L$138</formula1>
    </dataValidation>
  </dataValidations>
  <hyperlinks>
    <hyperlink ref="C7" r:id="rId1" xr:uid="{F19DCA16-F6D4-4637-9539-4BC281E11CB4}"/>
  </hyperlinks>
  <pageMargins left="0.7" right="0.7" top="0.75" bottom="0.75" header="0.3" footer="0.3"/>
  <pageSetup paperSize="9" scale="81" fitToHeight="0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F07BC-03F2-4F48-BADA-60731B5F2CF4}">
  <sheetPr codeName="Sheet11"/>
  <dimension ref="A1:JC47"/>
  <sheetViews>
    <sheetView showGridLines="0" workbookViewId="0">
      <selection activeCell="A38" sqref="A38:XFD1048576"/>
    </sheetView>
  </sheetViews>
  <sheetFormatPr defaultColWidth="0" defaultRowHeight="13.8" zeroHeight="1"/>
  <cols>
    <col min="1" max="1" width="7.44140625" style="108" customWidth="1"/>
    <col min="2" max="2" width="4.88671875" style="108" customWidth="1"/>
    <col min="3" max="3" width="59" style="108" customWidth="1"/>
    <col min="4" max="4" width="14.88671875" style="108" customWidth="1"/>
    <col min="5" max="8" width="13.88671875" style="108" customWidth="1"/>
    <col min="9" max="9" width="13.88671875" style="144" customWidth="1"/>
    <col min="10" max="23" width="13.88671875" style="108" customWidth="1"/>
    <col min="24" max="24" width="7.88671875" style="108" customWidth="1"/>
    <col min="25" max="263" width="0" style="108" hidden="1" customWidth="1"/>
    <col min="264" max="16384" width="11.44140625" style="108" hidden="1"/>
  </cols>
  <sheetData>
    <row r="1" spans="1:263"/>
    <row r="2" spans="1:263" ht="15.6" customHeight="1">
      <c r="B2" s="307" t="s">
        <v>3351</v>
      </c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</row>
    <row r="3" spans="1:263" s="110" customFormat="1" ht="14.4">
      <c r="B3" s="111"/>
      <c r="C3" s="111"/>
      <c r="D3" s="111"/>
      <c r="S3" s="112"/>
      <c r="W3" s="23" t="s">
        <v>38</v>
      </c>
    </row>
    <row r="4" spans="1:263" s="110" customFormat="1" ht="15.6" customHeight="1">
      <c r="B4" s="308" t="s">
        <v>3352</v>
      </c>
      <c r="C4" s="309"/>
      <c r="D4" s="310" t="s">
        <v>3353</v>
      </c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2"/>
      <c r="V4" s="205"/>
      <c r="W4" s="205"/>
    </row>
    <row r="5" spans="1:263" s="110" customFormat="1" ht="96.6">
      <c r="A5" s="113" t="s">
        <v>3176</v>
      </c>
      <c r="B5" s="114" t="s">
        <v>3177</v>
      </c>
      <c r="C5" s="114" t="s">
        <v>3178</v>
      </c>
      <c r="D5" s="115" t="s">
        <v>3179</v>
      </c>
      <c r="E5" s="116" t="s">
        <v>3180</v>
      </c>
      <c r="F5" s="116" t="s">
        <v>3181</v>
      </c>
      <c r="G5" s="116" t="s">
        <v>3182</v>
      </c>
      <c r="H5" s="116" t="s">
        <v>3183</v>
      </c>
      <c r="I5" s="116" t="s">
        <v>3184</v>
      </c>
      <c r="J5" s="116" t="s">
        <v>3185</v>
      </c>
      <c r="K5" s="116" t="s">
        <v>3186</v>
      </c>
      <c r="L5" s="116" t="s">
        <v>3187</v>
      </c>
      <c r="M5" s="116" t="s">
        <v>3188</v>
      </c>
      <c r="N5" s="116" t="s">
        <v>3189</v>
      </c>
      <c r="O5" s="116" t="s">
        <v>3190</v>
      </c>
      <c r="P5" s="116" t="s">
        <v>3191</v>
      </c>
      <c r="Q5" s="116" t="s">
        <v>3192</v>
      </c>
      <c r="R5" s="116" t="s">
        <v>3193</v>
      </c>
      <c r="S5" s="117" t="s">
        <v>3194</v>
      </c>
      <c r="T5" s="116" t="s">
        <v>3195</v>
      </c>
      <c r="U5" s="117" t="s">
        <v>3196</v>
      </c>
      <c r="V5" s="117" t="s">
        <v>3197</v>
      </c>
      <c r="W5" s="117" t="s">
        <v>3198</v>
      </c>
    </row>
    <row r="6" spans="1:263" s="167" customFormat="1" ht="12.6" customHeight="1">
      <c r="A6" s="118">
        <v>2023</v>
      </c>
      <c r="B6" s="163">
        <v>8</v>
      </c>
      <c r="C6" s="164" t="s">
        <v>95</v>
      </c>
      <c r="D6" s="180">
        <f>+I6+W6</f>
        <v>0</v>
      </c>
      <c r="E6" s="206"/>
      <c r="F6" s="206"/>
      <c r="G6" s="206"/>
      <c r="H6" s="206"/>
      <c r="I6" s="207">
        <f t="shared" ref="I6:W6" si="0">SUM(I7:I10)</f>
        <v>0</v>
      </c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7">
        <f t="shared" si="0"/>
        <v>0</v>
      </c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6"/>
      <c r="CC6" s="156"/>
      <c r="CD6" s="156"/>
      <c r="CE6" s="156"/>
      <c r="CF6" s="156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156"/>
      <c r="CS6" s="156"/>
      <c r="CT6" s="156"/>
      <c r="CU6" s="156"/>
      <c r="CV6" s="156"/>
      <c r="CW6" s="156"/>
      <c r="CX6" s="156"/>
      <c r="CY6" s="156"/>
      <c r="CZ6" s="156"/>
      <c r="DA6" s="156"/>
      <c r="DB6" s="156"/>
      <c r="DC6" s="156"/>
      <c r="DD6" s="156"/>
      <c r="DE6" s="156"/>
      <c r="DF6" s="156"/>
      <c r="DG6" s="156"/>
      <c r="DH6" s="156"/>
      <c r="DI6" s="156"/>
      <c r="DJ6" s="156"/>
      <c r="DK6" s="156"/>
      <c r="DL6" s="156"/>
      <c r="DM6" s="156"/>
      <c r="DN6" s="156"/>
      <c r="DO6" s="156"/>
      <c r="DP6" s="156"/>
      <c r="DQ6" s="156"/>
      <c r="DR6" s="156"/>
      <c r="DS6" s="156"/>
      <c r="DT6" s="156"/>
      <c r="DU6" s="156"/>
      <c r="DV6" s="156"/>
      <c r="DW6" s="156"/>
      <c r="DX6" s="156"/>
      <c r="DY6" s="156"/>
      <c r="DZ6" s="156"/>
      <c r="EA6" s="156"/>
      <c r="EB6" s="156"/>
      <c r="EC6" s="156"/>
      <c r="ED6" s="156"/>
      <c r="EE6" s="156"/>
      <c r="EF6" s="156"/>
      <c r="EG6" s="156"/>
      <c r="EH6" s="156"/>
      <c r="EI6" s="156"/>
      <c r="EJ6" s="156"/>
      <c r="EK6" s="156"/>
      <c r="EL6" s="156"/>
      <c r="EM6" s="156"/>
      <c r="EN6" s="156"/>
      <c r="EO6" s="156"/>
      <c r="EP6" s="156"/>
      <c r="EQ6" s="156"/>
      <c r="ER6" s="156"/>
      <c r="ES6" s="156"/>
      <c r="ET6" s="156"/>
      <c r="EU6" s="156"/>
      <c r="EV6" s="156"/>
      <c r="EW6" s="156"/>
      <c r="EX6" s="156"/>
      <c r="EY6" s="156"/>
      <c r="EZ6" s="156"/>
      <c r="FA6" s="156"/>
      <c r="FB6" s="156"/>
      <c r="FC6" s="156"/>
      <c r="FD6" s="156"/>
      <c r="FE6" s="156"/>
      <c r="FF6" s="156"/>
      <c r="FG6" s="156"/>
      <c r="FH6" s="156"/>
      <c r="FI6" s="156"/>
      <c r="FJ6" s="156"/>
      <c r="FK6" s="156"/>
      <c r="FL6" s="156"/>
      <c r="FM6" s="156"/>
      <c r="FN6" s="156"/>
      <c r="FO6" s="156"/>
      <c r="FP6" s="156"/>
      <c r="FQ6" s="156"/>
      <c r="FR6" s="156"/>
      <c r="FS6" s="156"/>
      <c r="FT6" s="156"/>
      <c r="FU6" s="156"/>
      <c r="FV6" s="156"/>
      <c r="FW6" s="156"/>
      <c r="FX6" s="156"/>
      <c r="FY6" s="156"/>
      <c r="FZ6" s="156"/>
      <c r="GA6" s="156"/>
      <c r="GB6" s="156"/>
      <c r="GC6" s="156"/>
      <c r="GD6" s="156"/>
      <c r="GE6" s="156"/>
      <c r="GF6" s="156"/>
      <c r="GG6" s="156"/>
      <c r="GH6" s="156"/>
      <c r="GI6" s="156"/>
      <c r="GJ6" s="156"/>
      <c r="GK6" s="156"/>
      <c r="GL6" s="155"/>
      <c r="GM6" s="155"/>
      <c r="GN6" s="155"/>
      <c r="GO6" s="155"/>
      <c r="GP6" s="155"/>
      <c r="GQ6" s="155"/>
      <c r="GR6" s="155"/>
      <c r="GS6" s="155"/>
      <c r="GT6" s="155"/>
      <c r="GU6" s="155"/>
      <c r="GV6" s="155"/>
      <c r="GW6" s="155"/>
      <c r="GX6" s="155"/>
      <c r="GY6" s="155"/>
      <c r="GZ6" s="155"/>
      <c r="HA6" s="155"/>
      <c r="HB6" s="155"/>
      <c r="HC6" s="155"/>
      <c r="HD6" s="155"/>
      <c r="HE6" s="155"/>
      <c r="HF6" s="155"/>
      <c r="HG6" s="155"/>
      <c r="HH6" s="155"/>
      <c r="HI6" s="155"/>
      <c r="HJ6" s="155"/>
      <c r="HK6" s="155"/>
      <c r="HL6" s="155"/>
      <c r="HM6" s="155"/>
      <c r="HN6" s="155"/>
      <c r="HO6" s="155"/>
      <c r="HP6" s="155"/>
      <c r="HQ6" s="155"/>
      <c r="HR6" s="155"/>
      <c r="HS6" s="155"/>
      <c r="HT6" s="155"/>
      <c r="HU6" s="155"/>
      <c r="HV6" s="155"/>
      <c r="HW6" s="155"/>
      <c r="HX6" s="155"/>
      <c r="HY6" s="155"/>
      <c r="HZ6" s="155"/>
      <c r="IA6" s="155"/>
      <c r="IB6" s="155"/>
      <c r="IC6" s="155"/>
      <c r="ID6" s="155"/>
      <c r="IE6" s="155"/>
      <c r="IF6" s="155"/>
      <c r="IG6" s="155"/>
      <c r="IH6" s="155"/>
      <c r="II6" s="155"/>
      <c r="IJ6" s="155"/>
      <c r="IK6" s="155"/>
      <c r="IL6" s="155"/>
      <c r="IM6" s="155"/>
      <c r="IN6" s="155"/>
      <c r="IO6" s="155"/>
      <c r="IP6" s="155"/>
      <c r="IQ6" s="155"/>
      <c r="IR6" s="155"/>
      <c r="IS6" s="155"/>
      <c r="IT6" s="155"/>
      <c r="IU6" s="155"/>
      <c r="IV6" s="155"/>
      <c r="IW6" s="155"/>
      <c r="IX6" s="155"/>
      <c r="IY6" s="155"/>
      <c r="IZ6" s="155"/>
      <c r="JA6" s="155"/>
      <c r="JB6" s="155"/>
      <c r="JC6" s="155"/>
    </row>
    <row r="7" spans="1:263" s="110" customFormat="1">
      <c r="A7" s="118">
        <v>2023</v>
      </c>
      <c r="B7" s="208">
        <v>81</v>
      </c>
      <c r="C7" s="209" t="s">
        <v>3354</v>
      </c>
      <c r="D7" s="121">
        <f>+I7+W7</f>
        <v>0</v>
      </c>
      <c r="E7" s="206"/>
      <c r="F7" s="206"/>
      <c r="G7" s="206"/>
      <c r="H7" s="206"/>
      <c r="I7" s="150">
        <f>SUMIFS('Unos prihoda i primitaka'!$G$3:$G$501,'Unos prihoda i primitaka'!$C$3:$C$501,"=43",'Unos prihoda i primitaka'!$L$3:$L$501,"=81")</f>
        <v>0</v>
      </c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150">
        <f>SUMIFS('Unos prihoda i primitaka'!$G$3:$G$501,'Unos prihoda i primitaka'!$C$3:$C$501,"=81",'Unos prihoda i primitaka'!$L$3:$L$501,"=81")</f>
        <v>0</v>
      </c>
    </row>
    <row r="8" spans="1:263" s="110" customFormat="1">
      <c r="A8" s="118">
        <v>2023</v>
      </c>
      <c r="B8" s="208">
        <v>82</v>
      </c>
      <c r="C8" s="209" t="s">
        <v>3355</v>
      </c>
      <c r="D8" s="121">
        <f t="shared" ref="D8:D10" si="1">+I8+W8</f>
        <v>0</v>
      </c>
      <c r="E8" s="206"/>
      <c r="F8" s="206"/>
      <c r="G8" s="206"/>
      <c r="H8" s="206"/>
      <c r="I8" s="150">
        <f>SUMIFS('Unos prihoda i primitaka'!$G$3:$G$501,'Unos prihoda i primitaka'!$C$3:$C$501,"=43",'Unos prihoda i primitaka'!$L$3:$L$501,"=82")</f>
        <v>0</v>
      </c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150">
        <f>SUMIFS('Unos prihoda i primitaka'!$G$3:$G$501,'Unos prihoda i primitaka'!$C$3:$C$501,"=81",'Unos prihoda i primitaka'!$L$3:$L$501,"=82")</f>
        <v>0</v>
      </c>
    </row>
    <row r="9" spans="1:263" s="110" customFormat="1">
      <c r="A9" s="118">
        <v>2023</v>
      </c>
      <c r="B9" s="208">
        <v>83</v>
      </c>
      <c r="C9" s="209" t="s">
        <v>3356</v>
      </c>
      <c r="D9" s="121">
        <f t="shared" si="1"/>
        <v>0</v>
      </c>
      <c r="E9" s="206"/>
      <c r="F9" s="206"/>
      <c r="G9" s="206"/>
      <c r="H9" s="206"/>
      <c r="I9" s="150">
        <f>SUMIFS('Unos prihoda i primitaka'!$G$3:$G$501,'Unos prihoda i primitaka'!$C$3:$C$501,"=43",'Unos prihoda i primitaka'!$L$3:$L$501,"=83")</f>
        <v>0</v>
      </c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150">
        <f>SUMIFS('Unos prihoda i primitaka'!$G$3:$G$501,'Unos prihoda i primitaka'!$C$3:$C$501,"=81",'Unos prihoda i primitaka'!$L$3:$L$501,"=83")</f>
        <v>0</v>
      </c>
    </row>
    <row r="10" spans="1:263" s="110" customFormat="1">
      <c r="A10" s="118">
        <v>2023</v>
      </c>
      <c r="B10" s="208">
        <v>84</v>
      </c>
      <c r="C10" s="209" t="s">
        <v>3357</v>
      </c>
      <c r="D10" s="121">
        <f t="shared" si="1"/>
        <v>0</v>
      </c>
      <c r="E10" s="206"/>
      <c r="F10" s="206"/>
      <c r="G10" s="206"/>
      <c r="H10" s="206"/>
      <c r="I10" s="150">
        <f>SUMIFS('Unos prihoda i primitaka'!$G$3:$G$501,'Unos prihoda i primitaka'!$C$3:$C$501,"=43",'Unos prihoda i primitaka'!$L$3:$L$501,"=84")</f>
        <v>0</v>
      </c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150">
        <f>SUMIFS('Unos prihoda i primitaka'!$G$3:$G$501,'Unos prihoda i primitaka'!$C$3:$C$501,"=81",'Unos prihoda i primitaka'!$L$3:$L$501,"=84")</f>
        <v>0</v>
      </c>
    </row>
    <row r="11" spans="1:263" s="167" customFormat="1" ht="12.6" customHeight="1">
      <c r="A11" s="118">
        <v>2023</v>
      </c>
      <c r="B11" s="163">
        <v>5</v>
      </c>
      <c r="C11" s="164" t="s">
        <v>96</v>
      </c>
      <c r="D11" s="180">
        <f t="shared" ref="D11:D13" si="2">SUM(E11:W11)</f>
        <v>0</v>
      </c>
      <c r="E11" s="207">
        <f>+E12+E13</f>
        <v>0</v>
      </c>
      <c r="F11" s="207">
        <f t="shared" ref="F11:W11" si="3">+F12+F13</f>
        <v>0</v>
      </c>
      <c r="G11" s="207">
        <f t="shared" si="3"/>
        <v>0</v>
      </c>
      <c r="H11" s="207">
        <f t="shared" si="3"/>
        <v>0</v>
      </c>
      <c r="I11" s="207">
        <f t="shared" si="3"/>
        <v>0</v>
      </c>
      <c r="J11" s="207">
        <f t="shared" si="3"/>
        <v>0</v>
      </c>
      <c r="K11" s="207">
        <f t="shared" si="3"/>
        <v>0</v>
      </c>
      <c r="L11" s="207">
        <f t="shared" si="3"/>
        <v>0</v>
      </c>
      <c r="M11" s="207">
        <f t="shared" si="3"/>
        <v>0</v>
      </c>
      <c r="N11" s="207">
        <f t="shared" si="3"/>
        <v>0</v>
      </c>
      <c r="O11" s="207">
        <f t="shared" si="3"/>
        <v>0</v>
      </c>
      <c r="P11" s="207">
        <f t="shared" si="3"/>
        <v>0</v>
      </c>
      <c r="Q11" s="207">
        <f t="shared" si="3"/>
        <v>0</v>
      </c>
      <c r="R11" s="207">
        <f t="shared" si="3"/>
        <v>0</v>
      </c>
      <c r="S11" s="207">
        <f t="shared" si="3"/>
        <v>0</v>
      </c>
      <c r="T11" s="207">
        <f t="shared" si="3"/>
        <v>0</v>
      </c>
      <c r="U11" s="207">
        <f t="shared" si="3"/>
        <v>0</v>
      </c>
      <c r="V11" s="207">
        <f t="shared" si="3"/>
        <v>0</v>
      </c>
      <c r="W11" s="207">
        <f t="shared" si="3"/>
        <v>0</v>
      </c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6"/>
      <c r="DA11" s="156"/>
      <c r="DB11" s="156"/>
      <c r="DC11" s="156"/>
      <c r="DD11" s="156"/>
      <c r="DE11" s="156"/>
      <c r="DF11" s="156"/>
      <c r="DG11" s="156"/>
      <c r="DH11" s="156"/>
      <c r="DI11" s="156"/>
      <c r="DJ11" s="156"/>
      <c r="DK11" s="156"/>
      <c r="DL11" s="156"/>
      <c r="DM11" s="156"/>
      <c r="DN11" s="156"/>
      <c r="DO11" s="156"/>
      <c r="DP11" s="156"/>
      <c r="DQ11" s="156"/>
      <c r="DR11" s="156"/>
      <c r="DS11" s="156"/>
      <c r="DT11" s="156"/>
      <c r="DU11" s="156"/>
      <c r="DV11" s="156"/>
      <c r="DW11" s="156"/>
      <c r="DX11" s="156"/>
      <c r="DY11" s="156"/>
      <c r="DZ11" s="156"/>
      <c r="EA11" s="156"/>
      <c r="EB11" s="156"/>
      <c r="EC11" s="156"/>
      <c r="ED11" s="156"/>
      <c r="EE11" s="156"/>
      <c r="EF11" s="156"/>
      <c r="EG11" s="156"/>
      <c r="EH11" s="156"/>
      <c r="EI11" s="156"/>
      <c r="EJ11" s="156"/>
      <c r="EK11" s="156"/>
      <c r="EL11" s="156"/>
      <c r="EM11" s="156"/>
      <c r="EN11" s="156"/>
      <c r="EO11" s="156"/>
      <c r="EP11" s="156"/>
      <c r="EQ11" s="156"/>
      <c r="ER11" s="156"/>
      <c r="ES11" s="156"/>
      <c r="ET11" s="156"/>
      <c r="EU11" s="156"/>
      <c r="EV11" s="156"/>
      <c r="EW11" s="156"/>
      <c r="EX11" s="156"/>
      <c r="EY11" s="156"/>
      <c r="EZ11" s="156"/>
      <c r="FA11" s="156"/>
      <c r="FB11" s="156"/>
      <c r="FC11" s="156"/>
      <c r="FD11" s="156"/>
      <c r="FE11" s="156"/>
      <c r="FF11" s="156"/>
      <c r="FG11" s="156"/>
      <c r="FH11" s="156"/>
      <c r="FI11" s="156"/>
      <c r="FJ11" s="156"/>
      <c r="FK11" s="156"/>
      <c r="FL11" s="156"/>
      <c r="FM11" s="156"/>
      <c r="FN11" s="156"/>
      <c r="FO11" s="156"/>
      <c r="FP11" s="156"/>
      <c r="FQ11" s="156"/>
      <c r="FR11" s="156"/>
      <c r="FS11" s="156"/>
      <c r="FT11" s="156"/>
      <c r="FU11" s="156"/>
      <c r="FV11" s="156"/>
      <c r="FW11" s="156"/>
      <c r="FX11" s="156"/>
      <c r="FY11" s="156"/>
      <c r="FZ11" s="156"/>
      <c r="GA11" s="156"/>
      <c r="GB11" s="156"/>
      <c r="GC11" s="156"/>
      <c r="GD11" s="156"/>
      <c r="GE11" s="156"/>
      <c r="GF11" s="156"/>
      <c r="GG11" s="156"/>
      <c r="GH11" s="156"/>
      <c r="GI11" s="156"/>
      <c r="GJ11" s="156"/>
      <c r="GK11" s="156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5"/>
      <c r="HB11" s="155"/>
      <c r="HC11" s="155"/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5"/>
      <c r="IK11" s="155"/>
      <c r="IL11" s="155"/>
      <c r="IM11" s="155"/>
      <c r="IN11" s="155"/>
      <c r="IO11" s="155"/>
      <c r="IP11" s="155"/>
      <c r="IQ11" s="155"/>
      <c r="IR11" s="155"/>
      <c r="IS11" s="155"/>
      <c r="IT11" s="155"/>
      <c r="IU11" s="155"/>
      <c r="IV11" s="155"/>
      <c r="IW11" s="155"/>
      <c r="IX11" s="155"/>
      <c r="IY11" s="155"/>
      <c r="IZ11" s="155"/>
      <c r="JA11" s="155"/>
      <c r="JB11" s="155"/>
      <c r="JC11" s="155"/>
    </row>
    <row r="12" spans="1:263" s="110" customFormat="1">
      <c r="A12" s="118">
        <v>2023</v>
      </c>
      <c r="B12" s="208">
        <v>51</v>
      </c>
      <c r="C12" s="209" t="s">
        <v>3358</v>
      </c>
      <c r="D12" s="121">
        <f t="shared" si="2"/>
        <v>0</v>
      </c>
      <c r="E12" s="171">
        <f>SUMIFS('Unos rashoda i izdataka'!$J$3:$J$501,'Unos rashoda i izdataka'!$C$3:$C$501,"=11",'Unos rashoda i izdataka'!$P$3:$P$501,"=51")+SUMIFS('Unos rashoda P4'!$H$3:$H$501,'Unos rashoda P4'!$A$3:$A$501,"=11",'Unos rashoda P4'!$S$3:$S$501,"=51")</f>
        <v>0</v>
      </c>
      <c r="F12" s="171">
        <f>SUMIFS('Unos rashoda i izdataka'!$J$3:$J$501,'Unos rashoda i izdataka'!$C$3:$C$501,"=12",'Unos rashoda i izdataka'!$P$3:$P$501,"=51")+SUMIFS('Unos rashoda P4'!$H$3:$H$501,'Unos rashoda P4'!$A$3:$A$501,"=12",'Unos rashoda P4'!$S$3:$S$501,"=51")</f>
        <v>0</v>
      </c>
      <c r="G12" s="171">
        <f>SUMIFS('Unos rashoda i izdataka'!$J$3:$J$501,'Unos rashoda i izdataka'!$C$3:$C$501,"=31",'Unos rashoda i izdataka'!$P$3:$P$501,"=51")+SUMIFS('Unos rashoda P4'!$H$3:$H$501,'Unos rashoda P4'!$A$3:$A$501,"=31",'Unos rashoda P4'!$S$3:$S$501,"=51")</f>
        <v>0</v>
      </c>
      <c r="H12" s="171">
        <f>SUMIFS('Unos rashoda i izdataka'!$J$3:$J$501,'Unos rashoda i izdataka'!$C$3:$C$501,"=41",'Unos rashoda i izdataka'!$P$3:$P$501,"=51")+SUMIFS('Unos rashoda P4'!$H$3:$H$501,'Unos rashoda P4'!$A$3:$A$501,"=41",'Unos rashoda P4'!$S$3:$S$501,"=51")</f>
        <v>0</v>
      </c>
      <c r="I12" s="171">
        <f>SUMIFS('Unos rashoda i izdataka'!$J$3:$J$501,'Unos rashoda i izdataka'!$C$3:$C$501,"=43",'Unos rashoda i izdataka'!$P$3:$P$501,"=51")+SUMIFS('Unos rashoda P4'!$H$3:$H$501,'Unos rashoda P4'!$A$3:$A$501,"=43",'Unos rashoda P4'!$S$3:$S$501,"=51")</f>
        <v>0</v>
      </c>
      <c r="J12" s="171">
        <f>SUMIFS('Unos rashoda i izdataka'!$J$3:$J$501,'Unos rashoda i izdataka'!$C$3:$C$501,"=51",'Unos rashoda i izdataka'!$P$3:$P$501,"=51")+SUMIFS('Unos rashoda P4'!$H$3:$H$501,'Unos rashoda P4'!$A$3:$A$501,"=51",'Unos rashoda P4'!$S$3:$S$501,"=51")</f>
        <v>0</v>
      </c>
      <c r="K12" s="171">
        <f>SUMIFS('Unos rashoda i izdataka'!$J$3:$J$501,'Unos rashoda i izdataka'!$C$3:$C$501,"=52",'Unos rashoda i izdataka'!$P$3:$P$501,"=51")+SUMIFS('Unos rashoda P4'!$H$3:$H$501,'Unos rashoda P4'!$A$3:$A$501,"=52",'Unos rashoda P4'!$S$3:$S$501,"=51")</f>
        <v>0</v>
      </c>
      <c r="L12" s="171">
        <f>SUMIFS('Unos rashoda i izdataka'!$J$3:$J$501,'Unos rashoda i izdataka'!$C$3:$C$501,"=552",'Unos rashoda i izdataka'!$P$3:$P$501,"=51")+SUMIFS('Unos rashoda P4'!$H$3:$H$501,'Unos rashoda P4'!$A$3:$A$501,"=552",'Unos rashoda P4'!$S$3:$S$501,"=51")</f>
        <v>0</v>
      </c>
      <c r="M12" s="171">
        <f>SUMIFS('Unos rashoda i izdataka'!$J$3:$J$501,'Unos rashoda i izdataka'!$C$3:$C$501,"=559",'Unos rashoda i izdataka'!$P$3:$P$501,"=51")+SUMIFS('Unos rashoda P4'!$H$3:$H$501,'Unos rashoda P4'!$A$3:$A$501,"=559",'Unos rashoda P4'!$S$3:$S$501,"=51")</f>
        <v>0</v>
      </c>
      <c r="N12" s="171">
        <f>SUMIFS('Unos rashoda i izdataka'!$J$3:$J$501,'Unos rashoda i izdataka'!$C$3:$C$501,"=561",'Unos rashoda i izdataka'!$P$3:$P$501,"=51")+SUMIFS('Unos rashoda P4'!$H$3:$H$501,'Unos rashoda P4'!$A$3:$A$501,"=561",'Unos rashoda P4'!$S$3:$S$501,"=51")</f>
        <v>0</v>
      </c>
      <c r="O12" s="171">
        <f>SUMIFS('Unos rashoda i izdataka'!$J$3:$J$501,'Unos rashoda i izdataka'!$C$3:$C$501,"=563",'Unos rashoda i izdataka'!$P$3:$P$501,"=51")+SUMIFS('Unos rashoda P4'!$H$3:$H$501,'Unos rashoda P4'!$A$3:$A$501,"=563",'Unos rashoda P4'!$S$3:$S$501,"=51")</f>
        <v>0</v>
      </c>
      <c r="P12" s="171">
        <f>SUMIFS('Unos rashoda i izdataka'!$J$3:$J$501,'Unos rashoda i izdataka'!$C$3:$C$501,"=573",'Unos rashoda i izdataka'!$P$3:$P$501,"=51")+SUMIFS('Unos rashoda P4'!$H$3:$H$501,'Unos rashoda P4'!$A$3:$A$501,"=573",'Unos rashoda P4'!$S$3:$S$501,"=51")</f>
        <v>0</v>
      </c>
      <c r="Q12" s="171">
        <f>SUMIFS('Unos rashoda i izdataka'!$J$3:$J$501,'Unos rashoda i izdataka'!$C$3:$C$501,"=575",'Unos rashoda i izdataka'!$P$3:$P$501,"=51")+SUMIFS('Unos rashoda P4'!$H$3:$H$501,'Unos rashoda P4'!$A$3:$A$501,"=575",'Unos rashoda P4'!$S$3:$S$501,"=51")</f>
        <v>0</v>
      </c>
      <c r="R12" s="171">
        <f>SUMIFS('Unos rashoda i izdataka'!$J$3:$J$501,'Unos rashoda i izdataka'!$Q$3:$Q$501,"=576",'Unos rashoda i izdataka'!$P$3:$P$501,"=51")+SUMIFS('Unos rashoda P4'!$H$3:$H$501,'Unos rashoda P4'!$A$3:$A$501,"=576",'Unos rashoda P4'!$S$3:$S$501,"=51")</f>
        <v>0</v>
      </c>
      <c r="S12" s="171">
        <f>SUMIFS('Unos rashoda i izdataka'!$J$3:$J$501,'Unos rashoda i izdataka'!$C$3:$C$501,"=581",'Unos rashoda i izdataka'!$P$3:$P$501,"=51")+SUMIFS('Unos rashoda P4'!$H$3:$H$501,'Unos rashoda P4'!$A$3:$A$501,"=581",'Unos rashoda P4'!$S$3:$S$501,"=51")</f>
        <v>0</v>
      </c>
      <c r="T12" s="171">
        <f>SUMIFS('Unos rashoda i izdataka'!$J$3:$J$501,'Unos rashoda i izdataka'!$C$3:$C$501,"=61",'Unos rashoda i izdataka'!$P$3:$P$501,"=51")+SUMIFS('Unos rashoda P4'!$H$3:$H$501,'Unos rashoda P4'!$A$3:$A$501,"=61",'Unos rashoda P4'!$S$3:$S$501,"=51")</f>
        <v>0</v>
      </c>
      <c r="U12" s="171">
        <f>SUMIFS('Unos rashoda i izdataka'!$J$3:$J$501,'Unos rashoda i izdataka'!$C$3:$C$501,"=63",'Unos rashoda i izdataka'!$P$3:$P$501,"=51")+SUMIFS('Unos rashoda P4'!$H$3:$H$501,'Unos rashoda P4'!$A$3:$A$501,"=63",'Unos rashoda P4'!$S$3:$S$501,"=51")</f>
        <v>0</v>
      </c>
      <c r="V12" s="171">
        <f>SUMIFS('Unos rashoda i izdataka'!$J$3:$J$501,'Unos rashoda i izdataka'!$C$3:$C$501,"=71",'Unos rashoda i izdataka'!$P$3:$P$501,"=51")+SUMIFS('Unos rashoda P4'!$H$3:$H$501,'Unos rashoda P4'!$A$3:$A$501,"=71",'Unos rashoda P4'!$S$3:$S$501,"=51")</f>
        <v>0</v>
      </c>
      <c r="W12" s="171">
        <f>SUMIFS('Unos rashoda i izdataka'!$J$3:$J$501,'Unos rashoda i izdataka'!$C$3:$C$501,"=81",'Unos rashoda i izdataka'!$P$3:$P$501,"=51")+SUMIFS('Unos rashoda P4'!$H$3:$H$501,'Unos rashoda P4'!$A$3:$A$501,"=81",'Unos rashoda P4'!$S$3:$S$501,"=51")</f>
        <v>0</v>
      </c>
    </row>
    <row r="13" spans="1:263" s="110" customFormat="1">
      <c r="A13" s="118">
        <v>2023</v>
      </c>
      <c r="B13" s="208">
        <v>54</v>
      </c>
      <c r="C13" s="209" t="s">
        <v>3359</v>
      </c>
      <c r="D13" s="121">
        <f t="shared" si="2"/>
        <v>0</v>
      </c>
      <c r="E13" s="171">
        <f>SUMIFS('Unos rashoda i izdataka'!$J$3:$J$501,'Unos rashoda i izdataka'!$C$3:$C$501,"=11",'Unos rashoda i izdataka'!$P$3:$P$501,"=54")+SUMIFS('Unos rashoda P4'!$H$3:$H$501,'Unos rashoda P4'!$A$3:$A$501,"=11",'Unos rashoda P4'!$S$3:$S$501,"=54")</f>
        <v>0</v>
      </c>
      <c r="F13" s="171">
        <f>SUMIFS('Unos rashoda i izdataka'!$J$3:$J$501,'Unos rashoda i izdataka'!$C$3:$C$501,"=12",'Unos rashoda i izdataka'!$P$3:$P$501,"=54")+SUMIFS('Unos rashoda P4'!$H$3:$H$501,'Unos rashoda P4'!$A$3:$A$501,"=12",'Unos rashoda P4'!$S$3:$S$501,"=54")</f>
        <v>0</v>
      </c>
      <c r="G13" s="171">
        <f>SUMIFS('Unos rashoda i izdataka'!$J$3:$J$501,'Unos rashoda i izdataka'!$C$3:$C$501,"=31",'Unos rashoda i izdataka'!$P$3:$P$501,"=54")+SUMIFS('Unos rashoda P4'!$H$3:$H$501,'Unos rashoda P4'!$A$3:$A$501,"=31",'Unos rashoda P4'!$S$3:$S$501,"=54")</f>
        <v>0</v>
      </c>
      <c r="H13" s="171">
        <f>SUMIFS('Unos rashoda i izdataka'!$J$3:$J$501,'Unos rashoda i izdataka'!$C$3:$C$501,"=41",'Unos rashoda i izdataka'!$P$3:$P$501,"=54")+SUMIFS('Unos rashoda P4'!$H$3:$H$501,'Unos rashoda P4'!$A$3:$A$501,"=41",'Unos rashoda P4'!$S$3:$S$501,"=54")</f>
        <v>0</v>
      </c>
      <c r="I13" s="171">
        <f>SUMIFS('Unos rashoda i izdataka'!$J$3:$J$501,'Unos rashoda i izdataka'!$C$3:$C$501,"=43",'Unos rashoda i izdataka'!$P$3:$P$501,"=54")+SUMIFS('Unos rashoda P4'!$H$3:$H$501,'Unos rashoda P4'!$A$3:$A$501,"=43",'Unos rashoda P4'!$S$3:$S$501,"=54")</f>
        <v>0</v>
      </c>
      <c r="J13" s="171">
        <f>SUMIFS('Unos rashoda i izdataka'!$J$3:$J$501,'Unos rashoda i izdataka'!$C$3:$C$501,"=51",'Unos rashoda i izdataka'!$P$3:$P$501,"=54")+SUMIFS('Unos rashoda P4'!$H$3:$H$501,'Unos rashoda P4'!$A$3:$A$501,"=51",'Unos rashoda P4'!$S$3:$S$501,"=54")</f>
        <v>0</v>
      </c>
      <c r="K13" s="171">
        <f>SUMIFS('Unos rashoda i izdataka'!$J$3:$J$501,'Unos rashoda i izdataka'!$C$3:$C$501,"=52",'Unos rashoda i izdataka'!$P$3:$P$501,"=54")+SUMIFS('Unos rashoda P4'!$H$3:$H$501,'Unos rashoda P4'!$A$3:$A$501,"=52",'Unos rashoda P4'!$S$3:$S$501,"=54")</f>
        <v>0</v>
      </c>
      <c r="L13" s="171">
        <f>SUMIFS('Unos rashoda i izdataka'!$J$3:$J$501,'Unos rashoda i izdataka'!$C$3:$C$501,"=552",'Unos rashoda i izdataka'!$P$3:$P$501,"=54")+SUMIFS('Unos rashoda P4'!$H$3:$H$501,'Unos rashoda P4'!$A$3:$A$501,"=552",'Unos rashoda P4'!$S$3:$S$501,"=54")</f>
        <v>0</v>
      </c>
      <c r="M13" s="171">
        <f>SUMIFS('Unos rashoda i izdataka'!$J$3:$J$501,'Unos rashoda i izdataka'!$C$3:$C$501,"=559",'Unos rashoda i izdataka'!$P$3:$P$501,"=54")+SUMIFS('Unos rashoda P4'!$H$3:$H$501,'Unos rashoda P4'!$A$3:$A$501,"=559",'Unos rashoda P4'!$S$3:$S$501,"=54")</f>
        <v>0</v>
      </c>
      <c r="N13" s="171">
        <f>SUMIFS('Unos rashoda i izdataka'!$J$3:$J$501,'Unos rashoda i izdataka'!$C$3:$C$501,"=561",'Unos rashoda i izdataka'!$P$3:$P$501,"=54")+SUMIFS('Unos rashoda P4'!$H$3:$H$501,'Unos rashoda P4'!$A$3:$A$501,"=561",'Unos rashoda P4'!$S$3:$S$501,"=54")</f>
        <v>0</v>
      </c>
      <c r="O13" s="171">
        <f>SUMIFS('Unos rashoda i izdataka'!$J$3:$J$501,'Unos rashoda i izdataka'!$C$3:$C$501,"=563",'Unos rashoda i izdataka'!$P$3:$P$501,"=54")+SUMIFS('Unos rashoda P4'!$H$3:$H$501,'Unos rashoda P4'!$A$3:$A$501,"=563",'Unos rashoda P4'!$S$3:$S$501,"=54")</f>
        <v>0</v>
      </c>
      <c r="P13" s="171">
        <f>SUMIFS('Unos rashoda i izdataka'!$J$3:$J$501,'Unos rashoda i izdataka'!$C$3:$C$501,"=573",'Unos rashoda i izdataka'!$P$3:$P$501,"=54")+SUMIFS('Unos rashoda P4'!$H$3:$H$501,'Unos rashoda P4'!$A$3:$A$501,"=573",'Unos rashoda P4'!$S$3:$S$501,"=54")</f>
        <v>0</v>
      </c>
      <c r="Q13" s="171">
        <f>SUMIFS('Unos rashoda i izdataka'!$J$3:$J$501,'Unos rashoda i izdataka'!$C$3:$C$501,"=575",'Unos rashoda i izdataka'!$P$3:$P$501,"=54")+SUMIFS('Unos rashoda P4'!$H$3:$H$501,'Unos rashoda P4'!$A$3:$A$501,"=575",'Unos rashoda P4'!$S$3:$S$501,"=54")</f>
        <v>0</v>
      </c>
      <c r="R13" s="171">
        <f>SUMIFS('Unos rashoda i izdataka'!$J$3:$J$501,'Unos rashoda i izdataka'!$Q$3:$Q$501,"=576",'Unos rashoda i izdataka'!$P$3:$P$501,"=54")+SUMIFS('Unos rashoda P4'!$H$3:$H$501,'Unos rashoda P4'!$A$3:$A$501,"=576",'Unos rashoda P4'!$S$3:$S$501,"=54")</f>
        <v>0</v>
      </c>
      <c r="S13" s="171">
        <f>SUMIFS('Unos rashoda i izdataka'!$J$3:$J$501,'Unos rashoda i izdataka'!$C$3:$C$501,"=581",'Unos rashoda i izdataka'!$P$3:$P$501,"=54")+SUMIFS('Unos rashoda P4'!$H$3:$H$501,'Unos rashoda P4'!$A$3:$A$501,"=581",'Unos rashoda P4'!$S$3:$S$501,"=54")</f>
        <v>0</v>
      </c>
      <c r="T13" s="171">
        <f>SUMIFS('Unos rashoda i izdataka'!$J$3:$J$501,'Unos rashoda i izdataka'!$C$3:$C$501,"=61",'Unos rashoda i izdataka'!$P$3:$P$501,"=54")+SUMIFS('Unos rashoda P4'!$H$3:$H$501,'Unos rashoda P4'!$A$3:$A$501,"=61",'Unos rashoda P4'!$S$3:$S$501,"=54")</f>
        <v>0</v>
      </c>
      <c r="U13" s="171">
        <f>SUMIFS('Unos rashoda i izdataka'!$J$3:$J$501,'Unos rashoda i izdataka'!$C$3:$C$501,"=63",'Unos rashoda i izdataka'!$P$3:$P$501,"=54")+SUMIFS('Unos rashoda P4'!$H$3:$H$501,'Unos rashoda P4'!$A$3:$A$501,"=63",'Unos rashoda P4'!$S$3:$S$501,"=54")</f>
        <v>0</v>
      </c>
      <c r="V13" s="171">
        <f>SUMIFS('Unos rashoda i izdataka'!$J$3:$J$501,'Unos rashoda i izdataka'!$C$3:$C$501,"=71",'Unos rashoda i izdataka'!$P$3:$P$501,"=54")+SUMIFS('Unos rashoda P4'!$H$3:$H$501,'Unos rashoda P4'!$A$3:$A$501,"=71",'Unos rashoda P4'!$S$3:$S$501,"=54")</f>
        <v>0</v>
      </c>
      <c r="W13" s="171">
        <f>SUMIFS('Unos rashoda i izdataka'!$J$3:$J$501,'Unos rashoda i izdataka'!$C$3:$C$501,"=81",'Unos rashoda i izdataka'!$P$3:$P$501,"=54")+SUMIFS('Unos rashoda P4'!$H$3:$H$501,'Unos rashoda P4'!$A$3:$A$501,"=81",'Unos rashoda P4'!$S$3:$S$501,"=54")</f>
        <v>0</v>
      </c>
    </row>
    <row r="14" spans="1:263">
      <c r="B14" s="132"/>
      <c r="C14" s="132"/>
      <c r="D14" s="132"/>
      <c r="E14" s="132"/>
      <c r="F14" s="132"/>
      <c r="G14" s="132"/>
      <c r="H14" s="132"/>
      <c r="I14" s="133"/>
      <c r="J14" s="134"/>
      <c r="K14" s="134"/>
      <c r="L14" s="134"/>
      <c r="M14" s="134"/>
      <c r="N14" s="134"/>
      <c r="O14" s="134"/>
      <c r="P14" s="134"/>
      <c r="Q14" s="134"/>
      <c r="R14" s="134"/>
      <c r="S14" s="112"/>
      <c r="W14" s="112"/>
    </row>
    <row r="15" spans="1:263" s="110" customFormat="1" ht="15.6">
      <c r="B15" s="308" t="s">
        <v>3352</v>
      </c>
      <c r="C15" s="309"/>
      <c r="D15" s="310" t="s">
        <v>3360</v>
      </c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311"/>
      <c r="T15" s="311"/>
      <c r="U15" s="312"/>
      <c r="V15" s="205"/>
      <c r="W15" s="205"/>
    </row>
    <row r="16" spans="1:263" s="110" customFormat="1" ht="96.6">
      <c r="A16" s="113" t="s">
        <v>3176</v>
      </c>
      <c r="B16" s="114" t="s">
        <v>3177</v>
      </c>
      <c r="C16" s="114" t="s">
        <v>3178</v>
      </c>
      <c r="D16" s="115" t="s">
        <v>3204</v>
      </c>
      <c r="E16" s="116" t="s">
        <v>3180</v>
      </c>
      <c r="F16" s="116" t="s">
        <v>3181</v>
      </c>
      <c r="G16" s="116" t="s">
        <v>3182</v>
      </c>
      <c r="H16" s="116" t="s">
        <v>3183</v>
      </c>
      <c r="I16" s="116" t="s">
        <v>3184</v>
      </c>
      <c r="J16" s="116" t="s">
        <v>3185</v>
      </c>
      <c r="K16" s="116" t="s">
        <v>3186</v>
      </c>
      <c r="L16" s="116" t="s">
        <v>3187</v>
      </c>
      <c r="M16" s="116" t="s">
        <v>3188</v>
      </c>
      <c r="N16" s="116" t="s">
        <v>3189</v>
      </c>
      <c r="O16" s="116" t="s">
        <v>3190</v>
      </c>
      <c r="P16" s="116" t="s">
        <v>3191</v>
      </c>
      <c r="Q16" s="116" t="s">
        <v>3192</v>
      </c>
      <c r="R16" s="116" t="s">
        <v>3193</v>
      </c>
      <c r="S16" s="117" t="s">
        <v>3194</v>
      </c>
      <c r="T16" s="116" t="s">
        <v>3195</v>
      </c>
      <c r="U16" s="117" t="s">
        <v>3196</v>
      </c>
      <c r="V16" s="117" t="s">
        <v>3197</v>
      </c>
      <c r="W16" s="117" t="s">
        <v>3198</v>
      </c>
    </row>
    <row r="17" spans="1:263" s="167" customFormat="1" ht="12.6" customHeight="1">
      <c r="A17" s="118">
        <v>2023</v>
      </c>
      <c r="B17" s="163">
        <v>8</v>
      </c>
      <c r="C17" s="164" t="s">
        <v>95</v>
      </c>
      <c r="D17" s="180">
        <f>+I17+W17</f>
        <v>0</v>
      </c>
      <c r="E17" s="206"/>
      <c r="F17" s="206"/>
      <c r="G17" s="206"/>
      <c r="H17" s="206"/>
      <c r="I17" s="207">
        <f t="shared" ref="I17" si="4">SUM(I18:I21)</f>
        <v>0</v>
      </c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7">
        <f t="shared" ref="W17" si="5">SUM(W18:W21)</f>
        <v>0</v>
      </c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6"/>
      <c r="BX17" s="156"/>
      <c r="BY17" s="156"/>
      <c r="BZ17" s="156"/>
      <c r="CA17" s="156"/>
      <c r="CB17" s="156"/>
      <c r="CC17" s="156"/>
      <c r="CD17" s="156"/>
      <c r="CE17" s="156"/>
      <c r="CF17" s="156"/>
      <c r="CG17" s="156"/>
      <c r="CH17" s="156"/>
      <c r="CI17" s="156"/>
      <c r="CJ17" s="156"/>
      <c r="CK17" s="156"/>
      <c r="CL17" s="156"/>
      <c r="CM17" s="156"/>
      <c r="CN17" s="156"/>
      <c r="CO17" s="156"/>
      <c r="CP17" s="156"/>
      <c r="CQ17" s="156"/>
      <c r="CR17" s="156"/>
      <c r="CS17" s="156"/>
      <c r="CT17" s="156"/>
      <c r="CU17" s="156"/>
      <c r="CV17" s="156"/>
      <c r="CW17" s="156"/>
      <c r="CX17" s="156"/>
      <c r="CY17" s="156"/>
      <c r="CZ17" s="156"/>
      <c r="DA17" s="156"/>
      <c r="DB17" s="156"/>
      <c r="DC17" s="156"/>
      <c r="DD17" s="156"/>
      <c r="DE17" s="156"/>
      <c r="DF17" s="156"/>
      <c r="DG17" s="156"/>
      <c r="DH17" s="156"/>
      <c r="DI17" s="156"/>
      <c r="DJ17" s="156"/>
      <c r="DK17" s="156"/>
      <c r="DL17" s="156"/>
      <c r="DM17" s="156"/>
      <c r="DN17" s="156"/>
      <c r="DO17" s="156"/>
      <c r="DP17" s="156"/>
      <c r="DQ17" s="156"/>
      <c r="DR17" s="156"/>
      <c r="DS17" s="156"/>
      <c r="DT17" s="156"/>
      <c r="DU17" s="156"/>
      <c r="DV17" s="156"/>
      <c r="DW17" s="156"/>
      <c r="DX17" s="156"/>
      <c r="DY17" s="156"/>
      <c r="DZ17" s="156"/>
      <c r="EA17" s="156"/>
      <c r="EB17" s="156"/>
      <c r="EC17" s="156"/>
      <c r="ED17" s="156"/>
      <c r="EE17" s="156"/>
      <c r="EF17" s="156"/>
      <c r="EG17" s="156"/>
      <c r="EH17" s="156"/>
      <c r="EI17" s="156"/>
      <c r="EJ17" s="156"/>
      <c r="EK17" s="156"/>
      <c r="EL17" s="156"/>
      <c r="EM17" s="156"/>
      <c r="EN17" s="156"/>
      <c r="EO17" s="156"/>
      <c r="EP17" s="156"/>
      <c r="EQ17" s="156"/>
      <c r="ER17" s="156"/>
      <c r="ES17" s="156"/>
      <c r="ET17" s="156"/>
      <c r="EU17" s="156"/>
      <c r="EV17" s="156"/>
      <c r="EW17" s="156"/>
      <c r="EX17" s="156"/>
      <c r="EY17" s="156"/>
      <c r="EZ17" s="156"/>
      <c r="FA17" s="156"/>
      <c r="FB17" s="156"/>
      <c r="FC17" s="156"/>
      <c r="FD17" s="156"/>
      <c r="FE17" s="156"/>
      <c r="FF17" s="156"/>
      <c r="FG17" s="156"/>
      <c r="FH17" s="156"/>
      <c r="FI17" s="156"/>
      <c r="FJ17" s="156"/>
      <c r="FK17" s="156"/>
      <c r="FL17" s="156"/>
      <c r="FM17" s="156"/>
      <c r="FN17" s="156"/>
      <c r="FO17" s="156"/>
      <c r="FP17" s="156"/>
      <c r="FQ17" s="156"/>
      <c r="FR17" s="156"/>
      <c r="FS17" s="156"/>
      <c r="FT17" s="156"/>
      <c r="FU17" s="156"/>
      <c r="FV17" s="156"/>
      <c r="FW17" s="156"/>
      <c r="FX17" s="156"/>
      <c r="FY17" s="156"/>
      <c r="FZ17" s="156"/>
      <c r="GA17" s="156"/>
      <c r="GB17" s="156"/>
      <c r="GC17" s="156"/>
      <c r="GD17" s="156"/>
      <c r="GE17" s="156"/>
      <c r="GF17" s="156"/>
      <c r="GG17" s="156"/>
      <c r="GH17" s="156"/>
      <c r="GI17" s="156"/>
      <c r="GJ17" s="156"/>
      <c r="GK17" s="156"/>
      <c r="GL17" s="155"/>
      <c r="GM17" s="155"/>
      <c r="GN17" s="155"/>
      <c r="GO17" s="155"/>
      <c r="GP17" s="155"/>
      <c r="GQ17" s="155"/>
      <c r="GR17" s="155"/>
      <c r="GS17" s="155"/>
      <c r="GT17" s="155"/>
      <c r="GU17" s="155"/>
      <c r="GV17" s="155"/>
      <c r="GW17" s="155"/>
      <c r="GX17" s="155"/>
      <c r="GY17" s="155"/>
      <c r="GZ17" s="155"/>
      <c r="HA17" s="155"/>
      <c r="HB17" s="155"/>
      <c r="HC17" s="155"/>
      <c r="HD17" s="155"/>
      <c r="HE17" s="155"/>
      <c r="HF17" s="155"/>
      <c r="HG17" s="155"/>
      <c r="HH17" s="155"/>
      <c r="HI17" s="155"/>
      <c r="HJ17" s="155"/>
      <c r="HK17" s="155"/>
      <c r="HL17" s="155"/>
      <c r="HM17" s="155"/>
      <c r="HN17" s="155"/>
      <c r="HO17" s="155"/>
      <c r="HP17" s="155"/>
      <c r="HQ17" s="155"/>
      <c r="HR17" s="155"/>
      <c r="HS17" s="155"/>
      <c r="HT17" s="155"/>
      <c r="HU17" s="155"/>
      <c r="HV17" s="155"/>
      <c r="HW17" s="155"/>
      <c r="HX17" s="155"/>
      <c r="HY17" s="155"/>
      <c r="HZ17" s="155"/>
      <c r="IA17" s="155"/>
      <c r="IB17" s="155"/>
      <c r="IC17" s="155"/>
      <c r="ID17" s="155"/>
      <c r="IE17" s="155"/>
      <c r="IF17" s="155"/>
      <c r="IG17" s="155"/>
      <c r="IH17" s="155"/>
      <c r="II17" s="155"/>
      <c r="IJ17" s="155"/>
      <c r="IK17" s="155"/>
      <c r="IL17" s="155"/>
      <c r="IM17" s="155"/>
      <c r="IN17" s="155"/>
      <c r="IO17" s="155"/>
      <c r="IP17" s="155"/>
      <c r="IQ17" s="155"/>
      <c r="IR17" s="155"/>
      <c r="IS17" s="155"/>
      <c r="IT17" s="155"/>
      <c r="IU17" s="155"/>
      <c r="IV17" s="155"/>
      <c r="IW17" s="155"/>
      <c r="IX17" s="155"/>
      <c r="IY17" s="155"/>
      <c r="IZ17" s="155"/>
      <c r="JA17" s="155"/>
      <c r="JB17" s="155"/>
      <c r="JC17" s="155"/>
    </row>
    <row r="18" spans="1:263" s="110" customFormat="1">
      <c r="A18" s="118">
        <v>2023</v>
      </c>
      <c r="B18" s="208">
        <v>81</v>
      </c>
      <c r="C18" s="209" t="s">
        <v>3354</v>
      </c>
      <c r="D18" s="121">
        <f>+I18+W18</f>
        <v>0</v>
      </c>
      <c r="E18" s="206"/>
      <c r="F18" s="206"/>
      <c r="G18" s="206"/>
      <c r="H18" s="206"/>
      <c r="I18" s="150">
        <f>SUMIFS('Unos prihoda i primitaka'!$H$3:$H$501,'Unos prihoda i primitaka'!$C$3:$C$501,"=43",'Unos prihoda i primitaka'!$L$3:$L$501,"=81")</f>
        <v>0</v>
      </c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150">
        <f>SUMIFS('Unos prihoda i primitaka'!$H$3:$H$501,'Unos prihoda i primitaka'!$C$3:$C$501,"=81",'Unos prihoda i primitaka'!$L$3:$L$501,"=81")</f>
        <v>0</v>
      </c>
    </row>
    <row r="19" spans="1:263" s="110" customFormat="1">
      <c r="A19" s="118">
        <v>2023</v>
      </c>
      <c r="B19" s="208">
        <v>82</v>
      </c>
      <c r="C19" s="209" t="s">
        <v>3355</v>
      </c>
      <c r="D19" s="121">
        <f t="shared" ref="D19:D21" si="6">+I19+W19</f>
        <v>0</v>
      </c>
      <c r="E19" s="206"/>
      <c r="F19" s="206"/>
      <c r="G19" s="206"/>
      <c r="H19" s="206"/>
      <c r="I19" s="150">
        <f>SUMIFS('Unos prihoda i primitaka'!$H$3:$H$501,'Unos prihoda i primitaka'!$C$3:$C$501,"=43",'Unos prihoda i primitaka'!$L$3:$L$501,"=82")</f>
        <v>0</v>
      </c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150">
        <f>SUMIFS('Unos prihoda i primitaka'!$H$3:$H$501,'Unos prihoda i primitaka'!$C$3:$C$501,"=81",'Unos prihoda i primitaka'!$L$3:$L$501,"=82")</f>
        <v>0</v>
      </c>
    </row>
    <row r="20" spans="1:263" s="110" customFormat="1">
      <c r="A20" s="118">
        <v>2023</v>
      </c>
      <c r="B20" s="208">
        <v>83</v>
      </c>
      <c r="C20" s="209" t="s">
        <v>3356</v>
      </c>
      <c r="D20" s="121">
        <f t="shared" si="6"/>
        <v>0</v>
      </c>
      <c r="E20" s="206"/>
      <c r="F20" s="206"/>
      <c r="G20" s="206"/>
      <c r="H20" s="206"/>
      <c r="I20" s="150">
        <f>SUMIFS('Unos prihoda i primitaka'!$H$3:$H$501,'Unos prihoda i primitaka'!$C$3:$C$501,"=43",'Unos prihoda i primitaka'!$L$3:$L$501,"=83")</f>
        <v>0</v>
      </c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150">
        <f>SUMIFS('Unos prihoda i primitaka'!$H$3:$H$501,'Unos prihoda i primitaka'!$C$3:$C$501,"=81",'Unos prihoda i primitaka'!$L$3:$L$501,"=83")</f>
        <v>0</v>
      </c>
    </row>
    <row r="21" spans="1:263" s="110" customFormat="1">
      <c r="A21" s="118">
        <v>2023</v>
      </c>
      <c r="B21" s="208">
        <v>84</v>
      </c>
      <c r="C21" s="209" t="s">
        <v>3357</v>
      </c>
      <c r="D21" s="121">
        <f t="shared" si="6"/>
        <v>0</v>
      </c>
      <c r="E21" s="206"/>
      <c r="F21" s="206"/>
      <c r="G21" s="206"/>
      <c r="H21" s="206"/>
      <c r="I21" s="150">
        <f>SUMIFS('Unos prihoda i primitaka'!$H$3:$H$501,'Unos prihoda i primitaka'!$C$3:$C$501,"=43",'Unos prihoda i primitaka'!$L$3:$L$501,"=84")</f>
        <v>0</v>
      </c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150">
        <f>SUMIFS('Unos prihoda i primitaka'!$H$3:$H$501,'Unos prihoda i primitaka'!$C$3:$C$501,"=81",'Unos prihoda i primitaka'!$L$3:$L$501,"=84")</f>
        <v>0</v>
      </c>
    </row>
    <row r="22" spans="1:263" s="167" customFormat="1" ht="12.6" customHeight="1">
      <c r="A22" s="118">
        <v>2023</v>
      </c>
      <c r="B22" s="163">
        <v>5</v>
      </c>
      <c r="C22" s="164" t="s">
        <v>96</v>
      </c>
      <c r="D22" s="180">
        <f t="shared" ref="D22:D24" si="7">SUM(E22:W22)</f>
        <v>0</v>
      </c>
      <c r="E22" s="207">
        <f>+E23+E24</f>
        <v>0</v>
      </c>
      <c r="F22" s="207">
        <f t="shared" ref="F22:W22" si="8">+F23+F24</f>
        <v>0</v>
      </c>
      <c r="G22" s="207">
        <f t="shared" si="8"/>
        <v>0</v>
      </c>
      <c r="H22" s="207">
        <f t="shared" si="8"/>
        <v>0</v>
      </c>
      <c r="I22" s="207">
        <f t="shared" si="8"/>
        <v>0</v>
      </c>
      <c r="J22" s="207">
        <f t="shared" si="8"/>
        <v>0</v>
      </c>
      <c r="K22" s="207">
        <f t="shared" si="8"/>
        <v>0</v>
      </c>
      <c r="L22" s="207">
        <f t="shared" si="8"/>
        <v>0</v>
      </c>
      <c r="M22" s="207">
        <f t="shared" si="8"/>
        <v>0</v>
      </c>
      <c r="N22" s="207">
        <f t="shared" si="8"/>
        <v>0</v>
      </c>
      <c r="O22" s="207">
        <f t="shared" si="8"/>
        <v>0</v>
      </c>
      <c r="P22" s="207">
        <f t="shared" si="8"/>
        <v>0</v>
      </c>
      <c r="Q22" s="207">
        <f t="shared" si="8"/>
        <v>0</v>
      </c>
      <c r="R22" s="207">
        <f t="shared" si="8"/>
        <v>0</v>
      </c>
      <c r="S22" s="207">
        <f t="shared" si="8"/>
        <v>0</v>
      </c>
      <c r="T22" s="207">
        <f t="shared" si="8"/>
        <v>0</v>
      </c>
      <c r="U22" s="207">
        <f t="shared" si="8"/>
        <v>0</v>
      </c>
      <c r="V22" s="207">
        <f t="shared" si="8"/>
        <v>0</v>
      </c>
      <c r="W22" s="207">
        <f t="shared" si="8"/>
        <v>0</v>
      </c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  <c r="BT22" s="156"/>
      <c r="BU22" s="156"/>
      <c r="BV22" s="156"/>
      <c r="BW22" s="156"/>
      <c r="BX22" s="156"/>
      <c r="BY22" s="156"/>
      <c r="BZ22" s="156"/>
      <c r="CA22" s="156"/>
      <c r="CB22" s="156"/>
      <c r="CC22" s="156"/>
      <c r="CD22" s="156"/>
      <c r="CE22" s="156"/>
      <c r="CF22" s="156"/>
      <c r="CG22" s="156"/>
      <c r="CH22" s="156"/>
      <c r="CI22" s="156"/>
      <c r="CJ22" s="156"/>
      <c r="CK22" s="156"/>
      <c r="CL22" s="156"/>
      <c r="CM22" s="156"/>
      <c r="CN22" s="156"/>
      <c r="CO22" s="156"/>
      <c r="CP22" s="156"/>
      <c r="CQ22" s="156"/>
      <c r="CR22" s="156"/>
      <c r="CS22" s="156"/>
      <c r="CT22" s="156"/>
      <c r="CU22" s="156"/>
      <c r="CV22" s="156"/>
      <c r="CW22" s="156"/>
      <c r="CX22" s="156"/>
      <c r="CY22" s="156"/>
      <c r="CZ22" s="156"/>
      <c r="DA22" s="156"/>
      <c r="DB22" s="156"/>
      <c r="DC22" s="156"/>
      <c r="DD22" s="156"/>
      <c r="DE22" s="156"/>
      <c r="DF22" s="156"/>
      <c r="DG22" s="156"/>
      <c r="DH22" s="156"/>
      <c r="DI22" s="156"/>
      <c r="DJ22" s="156"/>
      <c r="DK22" s="156"/>
      <c r="DL22" s="156"/>
      <c r="DM22" s="156"/>
      <c r="DN22" s="156"/>
      <c r="DO22" s="156"/>
      <c r="DP22" s="156"/>
      <c r="DQ22" s="156"/>
      <c r="DR22" s="156"/>
      <c r="DS22" s="156"/>
      <c r="DT22" s="156"/>
      <c r="DU22" s="156"/>
      <c r="DV22" s="156"/>
      <c r="DW22" s="156"/>
      <c r="DX22" s="156"/>
      <c r="DY22" s="156"/>
      <c r="DZ22" s="156"/>
      <c r="EA22" s="156"/>
      <c r="EB22" s="156"/>
      <c r="EC22" s="156"/>
      <c r="ED22" s="156"/>
      <c r="EE22" s="156"/>
      <c r="EF22" s="156"/>
      <c r="EG22" s="156"/>
      <c r="EH22" s="156"/>
      <c r="EI22" s="156"/>
      <c r="EJ22" s="156"/>
      <c r="EK22" s="156"/>
      <c r="EL22" s="156"/>
      <c r="EM22" s="156"/>
      <c r="EN22" s="156"/>
      <c r="EO22" s="156"/>
      <c r="EP22" s="156"/>
      <c r="EQ22" s="156"/>
      <c r="ER22" s="156"/>
      <c r="ES22" s="156"/>
      <c r="ET22" s="156"/>
      <c r="EU22" s="156"/>
      <c r="EV22" s="156"/>
      <c r="EW22" s="156"/>
      <c r="EX22" s="156"/>
      <c r="EY22" s="156"/>
      <c r="EZ22" s="156"/>
      <c r="FA22" s="156"/>
      <c r="FB22" s="156"/>
      <c r="FC22" s="156"/>
      <c r="FD22" s="156"/>
      <c r="FE22" s="156"/>
      <c r="FF22" s="156"/>
      <c r="FG22" s="156"/>
      <c r="FH22" s="156"/>
      <c r="FI22" s="156"/>
      <c r="FJ22" s="156"/>
      <c r="FK22" s="156"/>
      <c r="FL22" s="156"/>
      <c r="FM22" s="156"/>
      <c r="FN22" s="156"/>
      <c r="FO22" s="156"/>
      <c r="FP22" s="156"/>
      <c r="FQ22" s="156"/>
      <c r="FR22" s="156"/>
      <c r="FS22" s="156"/>
      <c r="FT22" s="156"/>
      <c r="FU22" s="156"/>
      <c r="FV22" s="156"/>
      <c r="FW22" s="156"/>
      <c r="FX22" s="156"/>
      <c r="FY22" s="156"/>
      <c r="FZ22" s="156"/>
      <c r="GA22" s="156"/>
      <c r="GB22" s="156"/>
      <c r="GC22" s="156"/>
      <c r="GD22" s="156"/>
      <c r="GE22" s="156"/>
      <c r="GF22" s="156"/>
      <c r="GG22" s="156"/>
      <c r="GH22" s="156"/>
      <c r="GI22" s="156"/>
      <c r="GJ22" s="156"/>
      <c r="GK22" s="156"/>
      <c r="GL22" s="155"/>
      <c r="GM22" s="155"/>
      <c r="GN22" s="155"/>
      <c r="GO22" s="155"/>
      <c r="GP22" s="155"/>
      <c r="GQ22" s="155"/>
      <c r="GR22" s="155"/>
      <c r="GS22" s="155"/>
      <c r="GT22" s="155"/>
      <c r="GU22" s="155"/>
      <c r="GV22" s="155"/>
      <c r="GW22" s="155"/>
      <c r="GX22" s="155"/>
      <c r="GY22" s="155"/>
      <c r="GZ22" s="155"/>
      <c r="HA22" s="155"/>
      <c r="HB22" s="155"/>
      <c r="HC22" s="155"/>
      <c r="HD22" s="155"/>
      <c r="HE22" s="155"/>
      <c r="HF22" s="155"/>
      <c r="HG22" s="155"/>
      <c r="HH22" s="155"/>
      <c r="HI22" s="155"/>
      <c r="HJ22" s="155"/>
      <c r="HK22" s="155"/>
      <c r="HL22" s="155"/>
      <c r="HM22" s="155"/>
      <c r="HN22" s="155"/>
      <c r="HO22" s="155"/>
      <c r="HP22" s="155"/>
      <c r="HQ22" s="155"/>
      <c r="HR22" s="155"/>
      <c r="HS22" s="155"/>
      <c r="HT22" s="155"/>
      <c r="HU22" s="155"/>
      <c r="HV22" s="155"/>
      <c r="HW22" s="155"/>
      <c r="HX22" s="155"/>
      <c r="HY22" s="155"/>
      <c r="HZ22" s="155"/>
      <c r="IA22" s="155"/>
      <c r="IB22" s="155"/>
      <c r="IC22" s="155"/>
      <c r="ID22" s="155"/>
      <c r="IE22" s="155"/>
      <c r="IF22" s="155"/>
      <c r="IG22" s="155"/>
      <c r="IH22" s="155"/>
      <c r="II22" s="155"/>
      <c r="IJ22" s="155"/>
      <c r="IK22" s="155"/>
      <c r="IL22" s="155"/>
      <c r="IM22" s="155"/>
      <c r="IN22" s="155"/>
      <c r="IO22" s="155"/>
      <c r="IP22" s="155"/>
      <c r="IQ22" s="155"/>
      <c r="IR22" s="155"/>
      <c r="IS22" s="155"/>
      <c r="IT22" s="155"/>
      <c r="IU22" s="155"/>
      <c r="IV22" s="155"/>
      <c r="IW22" s="155"/>
      <c r="IX22" s="155"/>
      <c r="IY22" s="155"/>
      <c r="IZ22" s="155"/>
      <c r="JA22" s="155"/>
      <c r="JB22" s="155"/>
      <c r="JC22" s="155"/>
    </row>
    <row r="23" spans="1:263" s="110" customFormat="1">
      <c r="A23" s="118">
        <v>2023</v>
      </c>
      <c r="B23" s="208">
        <v>51</v>
      </c>
      <c r="C23" s="209" t="s">
        <v>3358</v>
      </c>
      <c r="D23" s="121">
        <f t="shared" si="7"/>
        <v>0</v>
      </c>
      <c r="E23" s="171">
        <f>SUMIFS('Unos rashoda i izdataka'!$K$3:$K$501,'Unos rashoda i izdataka'!$C$3:$C$501,"=11",'Unos rashoda i izdataka'!$P$3:$P$501,"=51")+SUMIFS('Unos rashoda P4'!$I$3:$I$501,'Unos rashoda P4'!$A$3:$A$501,"=11",'Unos rashoda P4'!$S$3:$S$501,"=51")</f>
        <v>0</v>
      </c>
      <c r="F23" s="171">
        <f>SUMIFS('Unos rashoda i izdataka'!$K$3:$K$501,'Unos rashoda i izdataka'!$C$3:$C$501,"=12",'Unos rashoda i izdataka'!$P$3:$P$501,"=51")+SUMIFS('Unos rashoda P4'!$I$3:$I$501,'Unos rashoda P4'!$A$3:$A$501,"=12",'Unos rashoda P4'!$S$3:$S$501,"=51")</f>
        <v>0</v>
      </c>
      <c r="G23" s="171">
        <f>SUMIFS('Unos rashoda i izdataka'!$K$3:$K$501,'Unos rashoda i izdataka'!$C$3:$C$501,"=31",'Unos rashoda i izdataka'!$P$3:$P$501,"=51")+SUMIFS('Unos rashoda P4'!$I$3:$I$501,'Unos rashoda P4'!$A$3:$A$501,"=31",'Unos rashoda P4'!$S$3:$S$501,"=51")</f>
        <v>0</v>
      </c>
      <c r="H23" s="171">
        <f>SUMIFS('Unos rashoda i izdataka'!$K$3:$K$501,'Unos rashoda i izdataka'!$C$3:$C$501,"=41",'Unos rashoda i izdataka'!$P$3:$P$501,"=51")+SUMIFS('Unos rashoda P4'!$I$3:$I$501,'Unos rashoda P4'!$A$3:$A$501,"=41",'Unos rashoda P4'!$S$3:$S$501,"=51")</f>
        <v>0</v>
      </c>
      <c r="I23" s="171">
        <f>SUMIFS('Unos rashoda i izdataka'!$K$3:$K$501,'Unos rashoda i izdataka'!$C$3:$C$501,"=43",'Unos rashoda i izdataka'!$P$3:$P$501,"=51")+SUMIFS('Unos rashoda P4'!$I$3:$I$501,'Unos rashoda P4'!$A$3:$A$501,"=43",'Unos rashoda P4'!$S$3:$S$501,"=51")</f>
        <v>0</v>
      </c>
      <c r="J23" s="171">
        <f>SUMIFS('Unos rashoda i izdataka'!$K$3:$K$501,'Unos rashoda i izdataka'!$C$3:$C$501,"=51",'Unos rashoda i izdataka'!$P$3:$P$501,"=51")+SUMIFS('Unos rashoda P4'!$I$3:$I$501,'Unos rashoda P4'!$A$3:$A$501,"=51",'Unos rashoda P4'!$S$3:$S$501,"=51")</f>
        <v>0</v>
      </c>
      <c r="K23" s="171">
        <f>SUMIFS('Unos rashoda i izdataka'!$K$3:$K$501,'Unos rashoda i izdataka'!$C$3:$C$501,"=52",'Unos rashoda i izdataka'!$P$3:$P$501,"=51")+SUMIFS('Unos rashoda P4'!$I$3:$I$501,'Unos rashoda P4'!$A$3:$A$501,"=52",'Unos rashoda P4'!$S$3:$S$501,"=51")</f>
        <v>0</v>
      </c>
      <c r="L23" s="171">
        <f>SUMIFS('Unos rashoda i izdataka'!$K$3:$K$501,'Unos rashoda i izdataka'!$C$3:$C$501,"=552",'Unos rashoda i izdataka'!$P$3:$P$501,"=51")+SUMIFS('Unos rashoda P4'!$I$3:$I$501,'Unos rashoda P4'!$A$3:$A$501,"=552",'Unos rashoda P4'!$S$3:$S$501,"=51")</f>
        <v>0</v>
      </c>
      <c r="M23" s="171">
        <f>SUMIFS('Unos rashoda i izdataka'!$K$3:$K$501,'Unos rashoda i izdataka'!$C$3:$C$501,"=559",'Unos rashoda i izdataka'!$P$3:$P$501,"=51")+SUMIFS('Unos rashoda P4'!$I$3:$I$501,'Unos rashoda P4'!$A$3:$A$501,"=559",'Unos rashoda P4'!$S$3:$S$501,"=51")</f>
        <v>0</v>
      </c>
      <c r="N23" s="171">
        <f>SUMIFS('Unos rashoda i izdataka'!$K$3:$K$501,'Unos rashoda i izdataka'!$C$3:$C$501,"=561",'Unos rashoda i izdataka'!$P$3:$P$501,"=51")+SUMIFS('Unos rashoda P4'!$I$3:$I$501,'Unos rashoda P4'!$A$3:$A$501,"=561",'Unos rashoda P4'!$S$3:$S$501,"=51")</f>
        <v>0</v>
      </c>
      <c r="O23" s="171">
        <f>SUMIFS('Unos rashoda i izdataka'!$K$3:$K$501,'Unos rashoda i izdataka'!$C$3:$C$501,"=563",'Unos rashoda i izdataka'!$P$3:$P$501,"=51")+SUMIFS('Unos rashoda P4'!$I$3:$I$501,'Unos rashoda P4'!$A$3:$A$501,"=563",'Unos rashoda P4'!$S$3:$S$501,"=51")</f>
        <v>0</v>
      </c>
      <c r="P23" s="171">
        <f>SUMIFS('Unos rashoda i izdataka'!$K$3:$K$501,'Unos rashoda i izdataka'!$C$3:$C$501,"=573",'Unos rashoda i izdataka'!$P$3:$P$501,"=51")+SUMIFS('Unos rashoda P4'!$I$3:$I$501,'Unos rashoda P4'!$A$3:$A$501,"=573",'Unos rashoda P4'!$S$3:$S$501,"=51")</f>
        <v>0</v>
      </c>
      <c r="Q23" s="171">
        <f>SUMIFS('Unos rashoda i izdataka'!$K$3:$K$501,'Unos rashoda i izdataka'!$C$3:$C$501,"=575",'Unos rashoda i izdataka'!$P$3:$P$501,"=51")+SUMIFS('Unos rashoda P4'!$I$3:$I$501,'Unos rashoda P4'!$A$3:$A$501,"=575",'Unos rashoda P4'!$S$3:$S$501,"=51")</f>
        <v>0</v>
      </c>
      <c r="R23" s="171">
        <f>SUMIFS('Unos rashoda i izdataka'!$K$3:$K$501,'Unos rashoda i izdataka'!$Q$3:$Q$501,"=576",'Unos rashoda i izdataka'!$P$3:$P$501,"=51")+SUMIFS('Unos rashoda P4'!$I$3:$I$501,'Unos rashoda P4'!$A$3:$A$501,"=576",'Unos rashoda P4'!$S$3:$S$501,"=51")</f>
        <v>0</v>
      </c>
      <c r="S23" s="171">
        <f>SUMIFS('Unos rashoda i izdataka'!$K$3:$K$501,'Unos rashoda i izdataka'!$C$3:$C$501,"=581",'Unos rashoda i izdataka'!$P$3:$P$501,"=51")+SUMIFS('Unos rashoda P4'!$I$3:$I$501,'Unos rashoda P4'!$A$3:$A$501,"=581",'Unos rashoda P4'!$S$3:$S$501,"=51")</f>
        <v>0</v>
      </c>
      <c r="T23" s="171">
        <f>SUMIFS('Unos rashoda i izdataka'!$K$3:$K$501,'Unos rashoda i izdataka'!$C$3:$C$501,"=61",'Unos rashoda i izdataka'!$P$3:$P$501,"=51")+SUMIFS('Unos rashoda P4'!$I$3:$I$501,'Unos rashoda P4'!$A$3:$A$501,"=61",'Unos rashoda P4'!$S$3:$S$501,"=51")</f>
        <v>0</v>
      </c>
      <c r="U23" s="171">
        <f>SUMIFS('Unos rashoda i izdataka'!$K$3:$K$501,'Unos rashoda i izdataka'!$C$3:$C$501,"=63",'Unos rashoda i izdataka'!$P$3:$P$501,"=51")+SUMIFS('Unos rashoda P4'!$I$3:$I$501,'Unos rashoda P4'!$A$3:$A$501,"=63",'Unos rashoda P4'!$S$3:$S$501,"=51")</f>
        <v>0</v>
      </c>
      <c r="V23" s="171">
        <f>SUMIFS('Unos rashoda i izdataka'!$K$3:$K$501,'Unos rashoda i izdataka'!$C$3:$C$501,"=71",'Unos rashoda i izdataka'!$P$3:$P$501,"=51")+SUMIFS('Unos rashoda P4'!$I$3:$I$501,'Unos rashoda P4'!$A$3:$A$501,"=71",'Unos rashoda P4'!$S$3:$S$501,"=51")</f>
        <v>0</v>
      </c>
      <c r="W23" s="171">
        <f>SUMIFS('Unos rashoda i izdataka'!$K$3:$K$501,'Unos rashoda i izdataka'!$C$3:$C$501,"=81",'Unos rashoda i izdataka'!$P$3:$P$501,"=51")+SUMIFS('Unos rashoda P4'!$I$3:$I$501,'Unos rashoda P4'!$A$3:$A$501,"=81",'Unos rashoda P4'!$S$3:$S$501,"=51")</f>
        <v>0</v>
      </c>
    </row>
    <row r="24" spans="1:263" s="110" customFormat="1">
      <c r="A24" s="118">
        <v>2023</v>
      </c>
      <c r="B24" s="208">
        <v>54</v>
      </c>
      <c r="C24" s="209" t="s">
        <v>3359</v>
      </c>
      <c r="D24" s="121">
        <f t="shared" si="7"/>
        <v>0</v>
      </c>
      <c r="E24" s="171">
        <f>SUMIFS('Unos rashoda i izdataka'!$K$3:$K$501,'Unos rashoda i izdataka'!$C$3:$C$501,"=11",'Unos rashoda i izdataka'!$P$3:$P$501,"=54")+SUMIFS('Unos rashoda P4'!$I$3:$I$501,'Unos rashoda P4'!$A$3:$A$501,"=11",'Unos rashoda P4'!$S$3:$S$501,"=54")</f>
        <v>0</v>
      </c>
      <c r="F24" s="171">
        <f>SUMIFS('Unos rashoda i izdataka'!$K$3:$K$501,'Unos rashoda i izdataka'!$C$3:$C$501,"=12",'Unos rashoda i izdataka'!$P$3:$P$501,"=54")+SUMIFS('Unos rashoda P4'!$I$3:$I$501,'Unos rashoda P4'!$A$3:$A$501,"=12",'Unos rashoda P4'!$S$3:$S$501,"=54")</f>
        <v>0</v>
      </c>
      <c r="G24" s="171">
        <f>SUMIFS('Unos rashoda i izdataka'!$K$3:$K$501,'Unos rashoda i izdataka'!$C$3:$C$501,"=31",'Unos rashoda i izdataka'!$P$3:$P$501,"=54")+SUMIFS('Unos rashoda P4'!$I$3:$I$501,'Unos rashoda P4'!$A$3:$A$501,"=31",'Unos rashoda P4'!$S$3:$S$501,"=54")</f>
        <v>0</v>
      </c>
      <c r="H24" s="171">
        <f>SUMIFS('Unos rashoda i izdataka'!$K$3:$K$501,'Unos rashoda i izdataka'!$C$3:$C$501,"=41",'Unos rashoda i izdataka'!$P$3:$P$501,"=54")+SUMIFS('Unos rashoda P4'!$I$3:$I$501,'Unos rashoda P4'!$A$3:$A$501,"=41",'Unos rashoda P4'!$S$3:$S$501,"=54")</f>
        <v>0</v>
      </c>
      <c r="I24" s="171">
        <f>SUMIFS('Unos rashoda i izdataka'!$K$3:$K$501,'Unos rashoda i izdataka'!$C$3:$C$501,"=43",'Unos rashoda i izdataka'!$P$3:$P$501,"=54")+SUMIFS('Unos rashoda P4'!$I$3:$I$501,'Unos rashoda P4'!$A$3:$A$501,"=43",'Unos rashoda P4'!$S$3:$S$501,"=54")</f>
        <v>0</v>
      </c>
      <c r="J24" s="171">
        <f>SUMIFS('Unos rashoda i izdataka'!$K$3:$K$501,'Unos rashoda i izdataka'!$C$3:$C$501,"=51",'Unos rashoda i izdataka'!$P$3:$P$501,"=54")+SUMIFS('Unos rashoda P4'!$I$3:$I$501,'Unos rashoda P4'!$A$3:$A$501,"=51",'Unos rashoda P4'!$S$3:$S$501,"=54")</f>
        <v>0</v>
      </c>
      <c r="K24" s="171">
        <f>SUMIFS('Unos rashoda i izdataka'!$K$3:$K$501,'Unos rashoda i izdataka'!$C$3:$C$501,"=52",'Unos rashoda i izdataka'!$P$3:$P$501,"=54")+SUMIFS('Unos rashoda P4'!$I$3:$I$501,'Unos rashoda P4'!$A$3:$A$501,"=52",'Unos rashoda P4'!$S$3:$S$501,"=54")</f>
        <v>0</v>
      </c>
      <c r="L24" s="171">
        <f>SUMIFS('Unos rashoda i izdataka'!$K$3:$K$501,'Unos rashoda i izdataka'!$C$3:$C$501,"=552",'Unos rashoda i izdataka'!$P$3:$P$501,"=54")+SUMIFS('Unos rashoda P4'!$I$3:$I$501,'Unos rashoda P4'!$A$3:$A$501,"=552",'Unos rashoda P4'!$S$3:$S$501,"=54")</f>
        <v>0</v>
      </c>
      <c r="M24" s="171">
        <f>SUMIFS('Unos rashoda i izdataka'!$K$3:$K$501,'Unos rashoda i izdataka'!$C$3:$C$501,"=559",'Unos rashoda i izdataka'!$P$3:$P$501,"=54")+SUMIFS('Unos rashoda P4'!$I$3:$I$501,'Unos rashoda P4'!$A$3:$A$501,"=559",'Unos rashoda P4'!$S$3:$S$501,"=54")</f>
        <v>0</v>
      </c>
      <c r="N24" s="171">
        <f>SUMIFS('Unos rashoda i izdataka'!$K$3:$K$501,'Unos rashoda i izdataka'!$C$3:$C$501,"=561",'Unos rashoda i izdataka'!$P$3:$P$501,"=54")+SUMIFS('Unos rashoda P4'!$I$3:$I$501,'Unos rashoda P4'!$A$3:$A$501,"=561",'Unos rashoda P4'!$S$3:$S$501,"=54")</f>
        <v>0</v>
      </c>
      <c r="O24" s="171">
        <f>SUMIFS('Unos rashoda i izdataka'!$K$3:$K$501,'Unos rashoda i izdataka'!$C$3:$C$501,"=563",'Unos rashoda i izdataka'!$P$3:$P$501,"=54")+SUMIFS('Unos rashoda P4'!$I$3:$I$501,'Unos rashoda P4'!$A$3:$A$501,"=563",'Unos rashoda P4'!$S$3:$S$501,"=54")</f>
        <v>0</v>
      </c>
      <c r="P24" s="171">
        <f>SUMIFS('Unos rashoda i izdataka'!$K$3:$K$501,'Unos rashoda i izdataka'!$C$3:$C$501,"=573",'Unos rashoda i izdataka'!$P$3:$P$501,"=54")+SUMIFS('Unos rashoda P4'!$I$3:$I$501,'Unos rashoda P4'!$A$3:$A$501,"=573",'Unos rashoda P4'!$S$3:$S$501,"=54")</f>
        <v>0</v>
      </c>
      <c r="Q24" s="171">
        <f>SUMIFS('Unos rashoda i izdataka'!$K$3:$K$501,'Unos rashoda i izdataka'!$C$3:$C$501,"=575",'Unos rashoda i izdataka'!$P$3:$P$501,"=54")+SUMIFS('Unos rashoda P4'!$I$3:$I$501,'Unos rashoda P4'!$A$3:$A$501,"=575",'Unos rashoda P4'!$S$3:$S$501,"=54")</f>
        <v>0</v>
      </c>
      <c r="R24" s="171">
        <f>SUMIFS('Unos rashoda i izdataka'!$K$3:$K$501,'Unos rashoda i izdataka'!$Q$3:$Q$501,"=576",'Unos rashoda i izdataka'!$P$3:$P$501,"=54")+SUMIFS('Unos rashoda P4'!$I$3:$I$501,'Unos rashoda P4'!$A$3:$A$501,"=576",'Unos rashoda P4'!$S$3:$S$501,"=54")</f>
        <v>0</v>
      </c>
      <c r="S24" s="171">
        <f>SUMIFS('Unos rashoda i izdataka'!$K$3:$K$501,'Unos rashoda i izdataka'!$C$3:$C$501,"=581",'Unos rashoda i izdataka'!$P$3:$P$501,"=54")+SUMIFS('Unos rashoda P4'!$I$3:$I$501,'Unos rashoda P4'!$A$3:$A$501,"=581",'Unos rashoda P4'!$S$3:$S$501,"=54")</f>
        <v>0</v>
      </c>
      <c r="T24" s="171">
        <f>SUMIFS('Unos rashoda i izdataka'!$K$3:$K$501,'Unos rashoda i izdataka'!$C$3:$C$501,"=61",'Unos rashoda i izdataka'!$P$3:$P$501,"=54")+SUMIFS('Unos rashoda P4'!$I$3:$I$501,'Unos rashoda P4'!$A$3:$A$501,"=61",'Unos rashoda P4'!$S$3:$S$501,"=54")</f>
        <v>0</v>
      </c>
      <c r="U24" s="171">
        <f>SUMIFS('Unos rashoda i izdataka'!$K$3:$K$501,'Unos rashoda i izdataka'!$C$3:$C$501,"=63",'Unos rashoda i izdataka'!$P$3:$P$501,"=54")+SUMIFS('Unos rashoda P4'!$I$3:$I$501,'Unos rashoda P4'!$A$3:$A$501,"=63",'Unos rashoda P4'!$S$3:$S$501,"=54")</f>
        <v>0</v>
      </c>
      <c r="V24" s="171">
        <f>SUMIFS('Unos rashoda i izdataka'!$K$3:$K$501,'Unos rashoda i izdataka'!$C$3:$C$501,"=71",'Unos rashoda i izdataka'!$P$3:$P$501,"=54")+SUMIFS('Unos rashoda P4'!$I$3:$I$501,'Unos rashoda P4'!$A$3:$A$501,"=71",'Unos rashoda P4'!$S$3:$S$501,"=54")</f>
        <v>0</v>
      </c>
      <c r="W24" s="171">
        <f>SUMIFS('Unos rashoda i izdataka'!$K$3:$K$501,'Unos rashoda i izdataka'!$C$3:$C$501,"=81",'Unos rashoda i izdataka'!$P$3:$P$501,"=54")+SUMIFS('Unos rashoda P4'!$I$3:$I$501,'Unos rashoda P4'!$A$3:$A$501,"=81",'Unos rashoda P4'!$S$3:$S$501,"=54")</f>
        <v>0</v>
      </c>
    </row>
    <row r="25" spans="1:263">
      <c r="B25" s="132"/>
      <c r="C25" s="132"/>
      <c r="D25" s="132"/>
      <c r="E25" s="132"/>
      <c r="F25" s="132"/>
      <c r="G25" s="132"/>
      <c r="H25" s="132"/>
      <c r="I25" s="133"/>
      <c r="J25" s="134"/>
      <c r="K25" s="134"/>
      <c r="L25" s="134"/>
      <c r="M25" s="134"/>
      <c r="N25" s="134"/>
      <c r="O25" s="134"/>
      <c r="P25" s="134"/>
      <c r="Q25" s="134"/>
      <c r="R25" s="134"/>
      <c r="S25" s="112"/>
      <c r="W25" s="112"/>
    </row>
    <row r="26" spans="1:263" s="110" customFormat="1" ht="15.6">
      <c r="B26" s="308" t="s">
        <v>3352</v>
      </c>
      <c r="C26" s="309"/>
      <c r="D26" s="310" t="s">
        <v>45</v>
      </c>
      <c r="E26" s="311"/>
      <c r="F26" s="311"/>
      <c r="G26" s="311"/>
      <c r="H26" s="311"/>
      <c r="I26" s="311"/>
      <c r="J26" s="311"/>
      <c r="K26" s="311"/>
      <c r="L26" s="311"/>
      <c r="M26" s="311"/>
      <c r="N26" s="311"/>
      <c r="O26" s="311"/>
      <c r="P26" s="311"/>
      <c r="Q26" s="311"/>
      <c r="R26" s="311"/>
      <c r="S26" s="311"/>
      <c r="T26" s="311"/>
      <c r="U26" s="312"/>
      <c r="V26" s="205"/>
      <c r="W26" s="205"/>
    </row>
    <row r="27" spans="1:263" s="110" customFormat="1" ht="96.6">
      <c r="A27" s="113" t="s">
        <v>3176</v>
      </c>
      <c r="B27" s="114" t="s">
        <v>3177</v>
      </c>
      <c r="C27" s="114" t="s">
        <v>3178</v>
      </c>
      <c r="D27" s="115" t="s">
        <v>3206</v>
      </c>
      <c r="E27" s="137" t="s">
        <v>3180</v>
      </c>
      <c r="F27" s="137" t="s">
        <v>3181</v>
      </c>
      <c r="G27" s="137" t="s">
        <v>3182</v>
      </c>
      <c r="H27" s="137" t="s">
        <v>3183</v>
      </c>
      <c r="I27" s="137" t="s">
        <v>3184</v>
      </c>
      <c r="J27" s="137" t="s">
        <v>3185</v>
      </c>
      <c r="K27" s="137" t="s">
        <v>3186</v>
      </c>
      <c r="L27" s="137" t="s">
        <v>3187</v>
      </c>
      <c r="M27" s="137" t="s">
        <v>3188</v>
      </c>
      <c r="N27" s="137" t="s">
        <v>3189</v>
      </c>
      <c r="O27" s="137" t="s">
        <v>3190</v>
      </c>
      <c r="P27" s="137" t="s">
        <v>3191</v>
      </c>
      <c r="Q27" s="137" t="s">
        <v>3192</v>
      </c>
      <c r="R27" s="137" t="s">
        <v>3193</v>
      </c>
      <c r="S27" s="117" t="s">
        <v>3194</v>
      </c>
      <c r="T27" s="117" t="s">
        <v>3195</v>
      </c>
      <c r="U27" s="117" t="s">
        <v>3196</v>
      </c>
      <c r="V27" s="117" t="s">
        <v>3197</v>
      </c>
      <c r="W27" s="117" t="s">
        <v>3198</v>
      </c>
    </row>
    <row r="28" spans="1:263" s="167" customFormat="1" ht="12.6" customHeight="1">
      <c r="A28" s="118">
        <v>2023</v>
      </c>
      <c r="B28" s="163">
        <v>8</v>
      </c>
      <c r="C28" s="164" t="s">
        <v>95</v>
      </c>
      <c r="D28" s="180">
        <f>+I28+W28</f>
        <v>0</v>
      </c>
      <c r="E28" s="206"/>
      <c r="F28" s="206"/>
      <c r="G28" s="206"/>
      <c r="H28" s="206"/>
      <c r="I28" s="207">
        <f t="shared" ref="I28" si="9">SUM(I29:I32)</f>
        <v>0</v>
      </c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7">
        <f t="shared" ref="W28" si="10">SUM(W29:W32)</f>
        <v>0</v>
      </c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6"/>
      <c r="BT28" s="156"/>
      <c r="BU28" s="156"/>
      <c r="BV28" s="156"/>
      <c r="BW28" s="156"/>
      <c r="BX28" s="156"/>
      <c r="BY28" s="156"/>
      <c r="BZ28" s="156"/>
      <c r="CA28" s="156"/>
      <c r="CB28" s="156"/>
      <c r="CC28" s="156"/>
      <c r="CD28" s="156"/>
      <c r="CE28" s="156"/>
      <c r="CF28" s="156"/>
      <c r="CG28" s="156"/>
      <c r="CH28" s="156"/>
      <c r="CI28" s="156"/>
      <c r="CJ28" s="156"/>
      <c r="CK28" s="156"/>
      <c r="CL28" s="156"/>
      <c r="CM28" s="156"/>
      <c r="CN28" s="156"/>
      <c r="CO28" s="156"/>
      <c r="CP28" s="156"/>
      <c r="CQ28" s="156"/>
      <c r="CR28" s="156"/>
      <c r="CS28" s="156"/>
      <c r="CT28" s="156"/>
      <c r="CU28" s="156"/>
      <c r="CV28" s="156"/>
      <c r="CW28" s="156"/>
      <c r="CX28" s="156"/>
      <c r="CY28" s="156"/>
      <c r="CZ28" s="156"/>
      <c r="DA28" s="156"/>
      <c r="DB28" s="156"/>
      <c r="DC28" s="156"/>
      <c r="DD28" s="156"/>
      <c r="DE28" s="156"/>
      <c r="DF28" s="156"/>
      <c r="DG28" s="156"/>
      <c r="DH28" s="156"/>
      <c r="DI28" s="156"/>
      <c r="DJ28" s="156"/>
      <c r="DK28" s="156"/>
      <c r="DL28" s="156"/>
      <c r="DM28" s="156"/>
      <c r="DN28" s="156"/>
      <c r="DO28" s="156"/>
      <c r="DP28" s="156"/>
      <c r="DQ28" s="156"/>
      <c r="DR28" s="156"/>
      <c r="DS28" s="156"/>
      <c r="DT28" s="156"/>
      <c r="DU28" s="156"/>
      <c r="DV28" s="156"/>
      <c r="DW28" s="156"/>
      <c r="DX28" s="156"/>
      <c r="DY28" s="156"/>
      <c r="DZ28" s="156"/>
      <c r="EA28" s="156"/>
      <c r="EB28" s="156"/>
      <c r="EC28" s="156"/>
      <c r="ED28" s="156"/>
      <c r="EE28" s="156"/>
      <c r="EF28" s="156"/>
      <c r="EG28" s="156"/>
      <c r="EH28" s="156"/>
      <c r="EI28" s="156"/>
      <c r="EJ28" s="156"/>
      <c r="EK28" s="156"/>
      <c r="EL28" s="156"/>
      <c r="EM28" s="156"/>
      <c r="EN28" s="156"/>
      <c r="EO28" s="156"/>
      <c r="EP28" s="156"/>
      <c r="EQ28" s="156"/>
      <c r="ER28" s="156"/>
      <c r="ES28" s="156"/>
      <c r="ET28" s="156"/>
      <c r="EU28" s="156"/>
      <c r="EV28" s="156"/>
      <c r="EW28" s="156"/>
      <c r="EX28" s="156"/>
      <c r="EY28" s="156"/>
      <c r="EZ28" s="156"/>
      <c r="FA28" s="156"/>
      <c r="FB28" s="156"/>
      <c r="FC28" s="156"/>
      <c r="FD28" s="156"/>
      <c r="FE28" s="156"/>
      <c r="FF28" s="156"/>
      <c r="FG28" s="156"/>
      <c r="FH28" s="156"/>
      <c r="FI28" s="156"/>
      <c r="FJ28" s="156"/>
      <c r="FK28" s="156"/>
      <c r="FL28" s="156"/>
      <c r="FM28" s="156"/>
      <c r="FN28" s="156"/>
      <c r="FO28" s="156"/>
      <c r="FP28" s="156"/>
      <c r="FQ28" s="156"/>
      <c r="FR28" s="156"/>
      <c r="FS28" s="156"/>
      <c r="FT28" s="156"/>
      <c r="FU28" s="156"/>
      <c r="FV28" s="156"/>
      <c r="FW28" s="156"/>
      <c r="FX28" s="156"/>
      <c r="FY28" s="156"/>
      <c r="FZ28" s="156"/>
      <c r="GA28" s="156"/>
      <c r="GB28" s="156"/>
      <c r="GC28" s="156"/>
      <c r="GD28" s="156"/>
      <c r="GE28" s="156"/>
      <c r="GF28" s="156"/>
      <c r="GG28" s="156"/>
      <c r="GH28" s="156"/>
      <c r="GI28" s="156"/>
      <c r="GJ28" s="156"/>
      <c r="GK28" s="156"/>
      <c r="GL28" s="155"/>
      <c r="GM28" s="155"/>
      <c r="GN28" s="155"/>
      <c r="GO28" s="155"/>
      <c r="GP28" s="155"/>
      <c r="GQ28" s="155"/>
      <c r="GR28" s="155"/>
      <c r="GS28" s="155"/>
      <c r="GT28" s="155"/>
      <c r="GU28" s="155"/>
      <c r="GV28" s="155"/>
      <c r="GW28" s="155"/>
      <c r="GX28" s="155"/>
      <c r="GY28" s="155"/>
      <c r="GZ28" s="155"/>
      <c r="HA28" s="155"/>
      <c r="HB28" s="155"/>
      <c r="HC28" s="155"/>
      <c r="HD28" s="155"/>
      <c r="HE28" s="155"/>
      <c r="HF28" s="155"/>
      <c r="HG28" s="155"/>
      <c r="HH28" s="155"/>
      <c r="HI28" s="155"/>
      <c r="HJ28" s="155"/>
      <c r="HK28" s="155"/>
      <c r="HL28" s="155"/>
      <c r="HM28" s="155"/>
      <c r="HN28" s="155"/>
      <c r="HO28" s="155"/>
      <c r="HP28" s="155"/>
      <c r="HQ28" s="155"/>
      <c r="HR28" s="155"/>
      <c r="HS28" s="155"/>
      <c r="HT28" s="155"/>
      <c r="HU28" s="155"/>
      <c r="HV28" s="155"/>
      <c r="HW28" s="155"/>
      <c r="HX28" s="155"/>
      <c r="HY28" s="155"/>
      <c r="HZ28" s="155"/>
      <c r="IA28" s="155"/>
      <c r="IB28" s="155"/>
      <c r="IC28" s="155"/>
      <c r="ID28" s="155"/>
      <c r="IE28" s="155"/>
      <c r="IF28" s="155"/>
      <c r="IG28" s="155"/>
      <c r="IH28" s="155"/>
      <c r="II28" s="155"/>
      <c r="IJ28" s="155"/>
      <c r="IK28" s="155"/>
      <c r="IL28" s="155"/>
      <c r="IM28" s="155"/>
      <c r="IN28" s="155"/>
      <c r="IO28" s="155"/>
      <c r="IP28" s="155"/>
      <c r="IQ28" s="155"/>
      <c r="IR28" s="155"/>
      <c r="IS28" s="155"/>
      <c r="IT28" s="155"/>
      <c r="IU28" s="155"/>
      <c r="IV28" s="155"/>
      <c r="IW28" s="155"/>
      <c r="IX28" s="155"/>
      <c r="IY28" s="155"/>
      <c r="IZ28" s="155"/>
      <c r="JA28" s="155"/>
      <c r="JB28" s="155"/>
      <c r="JC28" s="155"/>
    </row>
    <row r="29" spans="1:263" s="110" customFormat="1">
      <c r="A29" s="118">
        <v>2023</v>
      </c>
      <c r="B29" s="208">
        <v>81</v>
      </c>
      <c r="C29" s="209" t="s">
        <v>3354</v>
      </c>
      <c r="D29" s="121">
        <f>+I29+W29</f>
        <v>0</v>
      </c>
      <c r="E29" s="206"/>
      <c r="F29" s="206"/>
      <c r="G29" s="206"/>
      <c r="H29" s="206"/>
      <c r="I29" s="150">
        <f>SUMIFS('Unos prihoda i primitaka'!$I$3:$I$501,'Unos prihoda i primitaka'!$C$3:$C$501,"=43",'Unos prihoda i primitaka'!$L$3:$L$501,"=81")</f>
        <v>0</v>
      </c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150">
        <f>SUMIFS('Unos prihoda i primitaka'!$I$3:$I$501,'Unos prihoda i primitaka'!$C$3:$C$501,"=81",'Unos prihoda i primitaka'!$L$3:$L$501,"=81")</f>
        <v>0</v>
      </c>
    </row>
    <row r="30" spans="1:263" s="110" customFormat="1">
      <c r="A30" s="118">
        <v>2023</v>
      </c>
      <c r="B30" s="208">
        <v>82</v>
      </c>
      <c r="C30" s="209" t="s">
        <v>3355</v>
      </c>
      <c r="D30" s="121">
        <f t="shared" ref="D30:D32" si="11">+I30+W30</f>
        <v>0</v>
      </c>
      <c r="E30" s="206"/>
      <c r="F30" s="206"/>
      <c r="G30" s="206"/>
      <c r="H30" s="206"/>
      <c r="I30" s="150">
        <f>SUMIFS('Unos prihoda i primitaka'!$I$3:$I$501,'Unos prihoda i primitaka'!$C$3:$C$501,"=43",'Unos prihoda i primitaka'!$L$3:$L$501,"=82")</f>
        <v>0</v>
      </c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150">
        <f>SUMIFS('Unos prihoda i primitaka'!$I$3:$I$501,'Unos prihoda i primitaka'!$C$3:$C$501,"=81",'Unos prihoda i primitaka'!$L$3:$L$501,"=82")</f>
        <v>0</v>
      </c>
    </row>
    <row r="31" spans="1:263" s="110" customFormat="1">
      <c r="A31" s="118">
        <v>2023</v>
      </c>
      <c r="B31" s="208">
        <v>83</v>
      </c>
      <c r="C31" s="209" t="s">
        <v>3356</v>
      </c>
      <c r="D31" s="121">
        <f t="shared" si="11"/>
        <v>0</v>
      </c>
      <c r="E31" s="206"/>
      <c r="F31" s="206"/>
      <c r="G31" s="206"/>
      <c r="H31" s="206"/>
      <c r="I31" s="150">
        <f>SUMIFS('Unos prihoda i primitaka'!$I$3:$I$501,'Unos prihoda i primitaka'!$C$3:$C$501,"=43",'Unos prihoda i primitaka'!$L$3:$L$501,"=83")</f>
        <v>0</v>
      </c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150">
        <f>SUMIFS('Unos prihoda i primitaka'!$I$3:$I$501,'Unos prihoda i primitaka'!$C$3:$C$501,"=81",'Unos prihoda i primitaka'!$L$3:$L$501,"=83")</f>
        <v>0</v>
      </c>
    </row>
    <row r="32" spans="1:263" s="110" customFormat="1">
      <c r="A32" s="118">
        <v>2023</v>
      </c>
      <c r="B32" s="208">
        <v>84</v>
      </c>
      <c r="C32" s="209" t="s">
        <v>3357</v>
      </c>
      <c r="D32" s="121">
        <f t="shared" si="11"/>
        <v>0</v>
      </c>
      <c r="E32" s="206"/>
      <c r="F32" s="206"/>
      <c r="G32" s="206"/>
      <c r="H32" s="206"/>
      <c r="I32" s="150">
        <f>SUMIFS('Unos prihoda i primitaka'!$I$3:$I$501,'Unos prihoda i primitaka'!$C$3:$C$501,"=43",'Unos prihoda i primitaka'!$L$3:$L$501,"=84")</f>
        <v>0</v>
      </c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150">
        <f>SUMIFS('Unos prihoda i primitaka'!$I$3:$I$501,'Unos prihoda i primitaka'!$C$3:$C$501,"=81",'Unos prihoda i primitaka'!$L$3:$L$501,"=84")</f>
        <v>0</v>
      </c>
    </row>
    <row r="33" spans="1:263" s="167" customFormat="1" ht="12.6" customHeight="1">
      <c r="A33" s="118">
        <v>2023</v>
      </c>
      <c r="B33" s="163">
        <v>5</v>
      </c>
      <c r="C33" s="164" t="s">
        <v>96</v>
      </c>
      <c r="D33" s="180">
        <f>SUM(E33:W33)</f>
        <v>0</v>
      </c>
      <c r="E33" s="207">
        <f>+E34+E35</f>
        <v>0</v>
      </c>
      <c r="F33" s="207">
        <f t="shared" ref="F33:W33" si="12">+F34+F35</f>
        <v>0</v>
      </c>
      <c r="G33" s="207">
        <f t="shared" si="12"/>
        <v>0</v>
      </c>
      <c r="H33" s="207">
        <f t="shared" si="12"/>
        <v>0</v>
      </c>
      <c r="I33" s="207">
        <f t="shared" si="12"/>
        <v>0</v>
      </c>
      <c r="J33" s="207">
        <f t="shared" si="12"/>
        <v>0</v>
      </c>
      <c r="K33" s="207">
        <f t="shared" si="12"/>
        <v>0</v>
      </c>
      <c r="L33" s="207">
        <f t="shared" si="12"/>
        <v>0</v>
      </c>
      <c r="M33" s="207">
        <f t="shared" si="12"/>
        <v>0</v>
      </c>
      <c r="N33" s="207">
        <f t="shared" si="12"/>
        <v>0</v>
      </c>
      <c r="O33" s="207">
        <f t="shared" si="12"/>
        <v>0</v>
      </c>
      <c r="P33" s="207">
        <f t="shared" si="12"/>
        <v>0</v>
      </c>
      <c r="Q33" s="207">
        <f t="shared" si="12"/>
        <v>0</v>
      </c>
      <c r="R33" s="207">
        <f t="shared" si="12"/>
        <v>0</v>
      </c>
      <c r="S33" s="207">
        <f t="shared" si="12"/>
        <v>0</v>
      </c>
      <c r="T33" s="207">
        <f t="shared" si="12"/>
        <v>0</v>
      </c>
      <c r="U33" s="207">
        <f t="shared" si="12"/>
        <v>0</v>
      </c>
      <c r="V33" s="207">
        <f t="shared" si="12"/>
        <v>0</v>
      </c>
      <c r="W33" s="207">
        <f t="shared" si="12"/>
        <v>0</v>
      </c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6"/>
      <c r="BY33" s="156"/>
      <c r="BZ33" s="156"/>
      <c r="CA33" s="156"/>
      <c r="CB33" s="156"/>
      <c r="CC33" s="156"/>
      <c r="CD33" s="156"/>
      <c r="CE33" s="156"/>
      <c r="CF33" s="156"/>
      <c r="CG33" s="156"/>
      <c r="CH33" s="156"/>
      <c r="CI33" s="156"/>
      <c r="CJ33" s="156"/>
      <c r="CK33" s="156"/>
      <c r="CL33" s="156"/>
      <c r="CM33" s="156"/>
      <c r="CN33" s="156"/>
      <c r="CO33" s="156"/>
      <c r="CP33" s="156"/>
      <c r="CQ33" s="156"/>
      <c r="CR33" s="156"/>
      <c r="CS33" s="156"/>
      <c r="CT33" s="156"/>
      <c r="CU33" s="156"/>
      <c r="CV33" s="156"/>
      <c r="CW33" s="156"/>
      <c r="CX33" s="156"/>
      <c r="CY33" s="156"/>
      <c r="CZ33" s="156"/>
      <c r="DA33" s="156"/>
      <c r="DB33" s="156"/>
      <c r="DC33" s="156"/>
      <c r="DD33" s="156"/>
      <c r="DE33" s="156"/>
      <c r="DF33" s="156"/>
      <c r="DG33" s="156"/>
      <c r="DH33" s="156"/>
      <c r="DI33" s="156"/>
      <c r="DJ33" s="156"/>
      <c r="DK33" s="156"/>
      <c r="DL33" s="156"/>
      <c r="DM33" s="156"/>
      <c r="DN33" s="156"/>
      <c r="DO33" s="156"/>
      <c r="DP33" s="156"/>
      <c r="DQ33" s="156"/>
      <c r="DR33" s="156"/>
      <c r="DS33" s="156"/>
      <c r="DT33" s="156"/>
      <c r="DU33" s="156"/>
      <c r="DV33" s="156"/>
      <c r="DW33" s="156"/>
      <c r="DX33" s="156"/>
      <c r="DY33" s="156"/>
      <c r="DZ33" s="156"/>
      <c r="EA33" s="156"/>
      <c r="EB33" s="156"/>
      <c r="EC33" s="156"/>
      <c r="ED33" s="156"/>
      <c r="EE33" s="156"/>
      <c r="EF33" s="156"/>
      <c r="EG33" s="156"/>
      <c r="EH33" s="156"/>
      <c r="EI33" s="156"/>
      <c r="EJ33" s="156"/>
      <c r="EK33" s="156"/>
      <c r="EL33" s="156"/>
      <c r="EM33" s="156"/>
      <c r="EN33" s="156"/>
      <c r="EO33" s="156"/>
      <c r="EP33" s="156"/>
      <c r="EQ33" s="156"/>
      <c r="ER33" s="156"/>
      <c r="ES33" s="156"/>
      <c r="ET33" s="156"/>
      <c r="EU33" s="156"/>
      <c r="EV33" s="156"/>
      <c r="EW33" s="156"/>
      <c r="EX33" s="156"/>
      <c r="EY33" s="156"/>
      <c r="EZ33" s="156"/>
      <c r="FA33" s="156"/>
      <c r="FB33" s="156"/>
      <c r="FC33" s="156"/>
      <c r="FD33" s="156"/>
      <c r="FE33" s="156"/>
      <c r="FF33" s="156"/>
      <c r="FG33" s="156"/>
      <c r="FH33" s="156"/>
      <c r="FI33" s="156"/>
      <c r="FJ33" s="156"/>
      <c r="FK33" s="156"/>
      <c r="FL33" s="156"/>
      <c r="FM33" s="156"/>
      <c r="FN33" s="156"/>
      <c r="FO33" s="156"/>
      <c r="FP33" s="156"/>
      <c r="FQ33" s="156"/>
      <c r="FR33" s="156"/>
      <c r="FS33" s="156"/>
      <c r="FT33" s="156"/>
      <c r="FU33" s="156"/>
      <c r="FV33" s="156"/>
      <c r="FW33" s="156"/>
      <c r="FX33" s="156"/>
      <c r="FY33" s="156"/>
      <c r="FZ33" s="156"/>
      <c r="GA33" s="156"/>
      <c r="GB33" s="156"/>
      <c r="GC33" s="156"/>
      <c r="GD33" s="156"/>
      <c r="GE33" s="156"/>
      <c r="GF33" s="156"/>
      <c r="GG33" s="156"/>
      <c r="GH33" s="156"/>
      <c r="GI33" s="156"/>
      <c r="GJ33" s="156"/>
      <c r="GK33" s="156"/>
      <c r="GL33" s="155"/>
      <c r="GM33" s="155"/>
      <c r="GN33" s="155"/>
      <c r="GO33" s="155"/>
      <c r="GP33" s="155"/>
      <c r="GQ33" s="155"/>
      <c r="GR33" s="155"/>
      <c r="GS33" s="155"/>
      <c r="GT33" s="155"/>
      <c r="GU33" s="155"/>
      <c r="GV33" s="155"/>
      <c r="GW33" s="155"/>
      <c r="GX33" s="155"/>
      <c r="GY33" s="155"/>
      <c r="GZ33" s="155"/>
      <c r="HA33" s="155"/>
      <c r="HB33" s="155"/>
      <c r="HC33" s="155"/>
      <c r="HD33" s="155"/>
      <c r="HE33" s="155"/>
      <c r="HF33" s="155"/>
      <c r="HG33" s="155"/>
      <c r="HH33" s="155"/>
      <c r="HI33" s="155"/>
      <c r="HJ33" s="155"/>
      <c r="HK33" s="155"/>
      <c r="HL33" s="155"/>
      <c r="HM33" s="155"/>
      <c r="HN33" s="155"/>
      <c r="HO33" s="155"/>
      <c r="HP33" s="155"/>
      <c r="HQ33" s="155"/>
      <c r="HR33" s="155"/>
      <c r="HS33" s="155"/>
      <c r="HT33" s="155"/>
      <c r="HU33" s="155"/>
      <c r="HV33" s="155"/>
      <c r="HW33" s="155"/>
      <c r="HX33" s="155"/>
      <c r="HY33" s="155"/>
      <c r="HZ33" s="155"/>
      <c r="IA33" s="155"/>
      <c r="IB33" s="155"/>
      <c r="IC33" s="155"/>
      <c r="ID33" s="155"/>
      <c r="IE33" s="155"/>
      <c r="IF33" s="155"/>
      <c r="IG33" s="155"/>
      <c r="IH33" s="155"/>
      <c r="II33" s="155"/>
      <c r="IJ33" s="155"/>
      <c r="IK33" s="155"/>
      <c r="IL33" s="155"/>
      <c r="IM33" s="155"/>
      <c r="IN33" s="155"/>
      <c r="IO33" s="155"/>
      <c r="IP33" s="155"/>
      <c r="IQ33" s="155"/>
      <c r="IR33" s="155"/>
      <c r="IS33" s="155"/>
      <c r="IT33" s="155"/>
      <c r="IU33" s="155"/>
      <c r="IV33" s="155"/>
      <c r="IW33" s="155"/>
      <c r="IX33" s="155"/>
      <c r="IY33" s="155"/>
      <c r="IZ33" s="155"/>
      <c r="JA33" s="155"/>
      <c r="JB33" s="155"/>
      <c r="JC33" s="155"/>
    </row>
    <row r="34" spans="1:263" s="110" customFormat="1">
      <c r="A34" s="118">
        <v>2023</v>
      </c>
      <c r="B34" s="208">
        <v>51</v>
      </c>
      <c r="C34" s="209" t="s">
        <v>3358</v>
      </c>
      <c r="D34" s="121">
        <f t="shared" ref="D34:D35" si="13">SUM(E34:W34)</f>
        <v>0</v>
      </c>
      <c r="E34" s="171">
        <f>SUMIFS('Unos rashoda i izdataka'!$L$3:$L$501,'Unos rashoda i izdataka'!$C$3:$C$501,"=11",'Unos rashoda i izdataka'!$P$3:$P$501,"=51")+SUMIFS('Unos rashoda P4'!$J$3:$J$501,'Unos rashoda P4'!$A$3:$A$501,"=11",'Unos rashoda P4'!$S$3:$S$501,"=51")</f>
        <v>0</v>
      </c>
      <c r="F34" s="171">
        <f>SUMIFS('Unos rashoda i izdataka'!$L$3:$L$501,'Unos rashoda i izdataka'!$C$3:$C$501,"=12",'Unos rashoda i izdataka'!$P$3:$P$501,"=51")+SUMIFS('Unos rashoda P4'!$J$3:$J$501,'Unos rashoda P4'!$A$3:$A$501,"=12",'Unos rashoda P4'!$S$3:$S$501,"=51")</f>
        <v>0</v>
      </c>
      <c r="G34" s="171">
        <f>SUMIFS('Unos rashoda i izdataka'!$L$3:$L$501,'Unos rashoda i izdataka'!$C$3:$C$501,"=31",'Unos rashoda i izdataka'!$P$3:$P$501,"=51")+SUMIFS('Unos rashoda P4'!$J$3:$J$501,'Unos rashoda P4'!$A$3:$A$501,"=31",'Unos rashoda P4'!$S$3:$S$501,"=51")</f>
        <v>0</v>
      </c>
      <c r="H34" s="171">
        <f>SUMIFS('Unos rashoda i izdataka'!$L$3:$L$501,'Unos rashoda i izdataka'!$C$3:$C$501,"=41",'Unos rashoda i izdataka'!$P$3:$P$501,"=51")+SUMIFS('Unos rashoda P4'!$J$3:$J$501,'Unos rashoda P4'!$A$3:$A$501,"=41",'Unos rashoda P4'!$S$3:$S$501,"=51")</f>
        <v>0</v>
      </c>
      <c r="I34" s="171">
        <f>SUMIFS('Unos rashoda i izdataka'!$L$3:$L$501,'Unos rashoda i izdataka'!$C$3:$C$501,"=43",'Unos rashoda i izdataka'!$P$3:$P$501,"=51")+SUMIFS('Unos rashoda P4'!$J$3:$J$501,'Unos rashoda P4'!$A$3:$A$501,"=43",'Unos rashoda P4'!$S$3:$S$501,"=51")</f>
        <v>0</v>
      </c>
      <c r="J34" s="171">
        <f>SUMIFS('Unos rashoda i izdataka'!$L$3:$L$501,'Unos rashoda i izdataka'!$C$3:$C$501,"=51",'Unos rashoda i izdataka'!$P$3:$P$501,"=51")+SUMIFS('Unos rashoda P4'!$J$3:$J$501,'Unos rashoda P4'!$A$3:$A$501,"=51",'Unos rashoda P4'!$S$3:$S$501,"=51")</f>
        <v>0</v>
      </c>
      <c r="K34" s="171">
        <f>SUMIFS('Unos rashoda i izdataka'!$L$3:$L$501,'Unos rashoda i izdataka'!$C$3:$C$501,"=52",'Unos rashoda i izdataka'!$P$3:$P$501,"=51")+SUMIFS('Unos rashoda P4'!$J$3:$J$501,'Unos rashoda P4'!$A$3:$A$501,"=52",'Unos rashoda P4'!$S$3:$S$501,"=51")</f>
        <v>0</v>
      </c>
      <c r="L34" s="171">
        <f>SUMIFS('Unos rashoda i izdataka'!$L$3:$L$501,'Unos rashoda i izdataka'!$C$3:$C$501,"=552",'Unos rashoda i izdataka'!$P$3:$P$501,"=51")+SUMIFS('Unos rashoda P4'!$J$3:$J$501,'Unos rashoda P4'!$A$3:$A$501,"=552",'Unos rashoda P4'!$S$3:$S$501,"=51")</f>
        <v>0</v>
      </c>
      <c r="M34" s="171">
        <f>SUMIFS('Unos rashoda i izdataka'!$L$3:$L$501,'Unos rashoda i izdataka'!$C$3:$C$501,"=559",'Unos rashoda i izdataka'!$P$3:$P$501,"=51")+SUMIFS('Unos rashoda P4'!$J$3:$J$501,'Unos rashoda P4'!$A$3:$A$501,"=559",'Unos rashoda P4'!$S$3:$S$501,"=51")</f>
        <v>0</v>
      </c>
      <c r="N34" s="171">
        <f>SUMIFS('Unos rashoda i izdataka'!$L$3:$L$501,'Unos rashoda i izdataka'!$C$3:$C$501,"=561",'Unos rashoda i izdataka'!$P$3:$P$501,"=51")+SUMIFS('Unos rashoda P4'!$J$3:$J$501,'Unos rashoda P4'!$A$3:$A$501,"=561",'Unos rashoda P4'!$S$3:$S$501,"=51")</f>
        <v>0</v>
      </c>
      <c r="O34" s="171">
        <f>SUMIFS('Unos rashoda i izdataka'!$L$3:$L$501,'Unos rashoda i izdataka'!$C$3:$C$501,"=563",'Unos rashoda i izdataka'!$P$3:$P$501,"=51")+SUMIFS('Unos rashoda P4'!$J$3:$J$501,'Unos rashoda P4'!$A$3:$A$501,"=563",'Unos rashoda P4'!$S$3:$S$501,"=51")</f>
        <v>0</v>
      </c>
      <c r="P34" s="171">
        <f>SUMIFS('Unos rashoda i izdataka'!$L$3:$L$501,'Unos rashoda i izdataka'!$C$3:$C$501,"=573",'Unos rashoda i izdataka'!$P$3:$P$501,"=51")+SUMIFS('Unos rashoda P4'!$J$3:$J$501,'Unos rashoda P4'!$A$3:$A$501,"=573",'Unos rashoda P4'!$S$3:$S$501,"=51")</f>
        <v>0</v>
      </c>
      <c r="Q34" s="171">
        <f>SUMIFS('Unos rashoda i izdataka'!$L$3:$L$501,'Unos rashoda i izdataka'!$C$3:$C$501,"=575",'Unos rashoda i izdataka'!$P$3:$P$501,"=51")+SUMIFS('Unos rashoda P4'!$J$3:$J$501,'Unos rashoda P4'!$A$3:$A$501,"=575",'Unos rashoda P4'!$S$3:$S$501,"=51")</f>
        <v>0</v>
      </c>
      <c r="R34" s="171">
        <f>SUMIFS('Unos rashoda i izdataka'!$L$3:$L$501,'Unos rashoda i izdataka'!$Q$3:$Q$501,"=576",'Unos rashoda i izdataka'!$P$3:$P$501,"=51")+SUMIFS('Unos rashoda P4'!$J$3:$J$501,'Unos rashoda P4'!$A$3:$A$501,"=576",'Unos rashoda P4'!$S$3:$S$501,"=51")</f>
        <v>0</v>
      </c>
      <c r="S34" s="171">
        <f>SUMIFS('Unos rashoda i izdataka'!$L$3:$L$501,'Unos rashoda i izdataka'!$C$3:$C$501,"=581",'Unos rashoda i izdataka'!$P$3:$P$501,"=51")+SUMIFS('Unos rashoda P4'!$J$3:$J$501,'Unos rashoda P4'!$A$3:$A$501,"=581",'Unos rashoda P4'!$S$3:$S$501,"=51")</f>
        <v>0</v>
      </c>
      <c r="T34" s="171">
        <f>SUMIFS('Unos rashoda i izdataka'!$L$3:$L$501,'Unos rashoda i izdataka'!$C$3:$C$501,"=61",'Unos rashoda i izdataka'!$P$3:$P$501,"=51")+SUMIFS('Unos rashoda P4'!$J$3:$J$501,'Unos rashoda P4'!$A$3:$A$501,"=61",'Unos rashoda P4'!$S$3:$S$501,"=51")</f>
        <v>0</v>
      </c>
      <c r="U34" s="171">
        <f>SUMIFS('Unos rashoda i izdataka'!$L$3:$L$501,'Unos rashoda i izdataka'!$C$3:$C$501,"=63",'Unos rashoda i izdataka'!$P$3:$P$501,"=51")+SUMIFS('Unos rashoda P4'!$J$3:$J$501,'Unos rashoda P4'!$A$3:$A$501,"=63",'Unos rashoda P4'!$S$3:$S$501,"=51")</f>
        <v>0</v>
      </c>
      <c r="V34" s="171">
        <f>SUMIFS('Unos rashoda i izdataka'!$L$3:$L$501,'Unos rashoda i izdataka'!$C$3:$C$501,"=71",'Unos rashoda i izdataka'!$P$3:$P$501,"=51")+SUMIFS('Unos rashoda P4'!$J$3:$J$501,'Unos rashoda P4'!$A$3:$A$501,"=71",'Unos rashoda P4'!$S$3:$S$501,"=51")</f>
        <v>0</v>
      </c>
      <c r="W34" s="171">
        <f>SUMIFS('Unos rashoda i izdataka'!$L$3:$L$501,'Unos rashoda i izdataka'!$C$3:$C$501,"=81",'Unos rashoda i izdataka'!$P$3:$P$501,"=51")+SUMIFS('Unos rashoda P4'!$J$3:$J$501,'Unos rashoda P4'!$A$3:$A$501,"=81",'Unos rashoda P4'!$S$3:$S$501,"=51")</f>
        <v>0</v>
      </c>
    </row>
    <row r="35" spans="1:263" s="110" customFormat="1">
      <c r="A35" s="118">
        <v>2023</v>
      </c>
      <c r="B35" s="208">
        <v>54</v>
      </c>
      <c r="C35" s="209" t="s">
        <v>3359</v>
      </c>
      <c r="D35" s="121">
        <f t="shared" si="13"/>
        <v>0</v>
      </c>
      <c r="E35" s="171">
        <f>SUMIFS('Unos rashoda i izdataka'!$L$3:$L$501,'Unos rashoda i izdataka'!$C$3:$C$501,"=11",'Unos rashoda i izdataka'!$P$3:$P$501,"=54")+SUMIFS('Unos rashoda P4'!$J$3:$J$501,'Unos rashoda P4'!$A$3:$A$501,"=11",'Unos rashoda P4'!$S$3:$S$501,"=54")</f>
        <v>0</v>
      </c>
      <c r="F35" s="171">
        <f>SUMIFS('Unos rashoda i izdataka'!$L$3:$L$501,'Unos rashoda i izdataka'!$C$3:$C$501,"=12",'Unos rashoda i izdataka'!$P$3:$P$501,"=54")+SUMIFS('Unos rashoda P4'!$J$3:$J$501,'Unos rashoda P4'!$A$3:$A$501,"=12",'Unos rashoda P4'!$S$3:$S$501,"=54")</f>
        <v>0</v>
      </c>
      <c r="G35" s="171">
        <f>SUMIFS('Unos rashoda i izdataka'!$L$3:$L$501,'Unos rashoda i izdataka'!$C$3:$C$501,"=31",'Unos rashoda i izdataka'!$P$3:$P$501,"=54")+SUMIFS('Unos rashoda P4'!$J$3:$J$501,'Unos rashoda P4'!$A$3:$A$501,"=31",'Unos rashoda P4'!$S$3:$S$501,"=54")</f>
        <v>0</v>
      </c>
      <c r="H35" s="171">
        <f>SUMIFS('Unos rashoda i izdataka'!$L$3:$L$501,'Unos rashoda i izdataka'!$C$3:$C$501,"=41",'Unos rashoda i izdataka'!$P$3:$P$501,"=54")+SUMIFS('Unos rashoda P4'!$J$3:$J$501,'Unos rashoda P4'!$A$3:$A$501,"=41",'Unos rashoda P4'!$S$3:$S$501,"=54")</f>
        <v>0</v>
      </c>
      <c r="I35" s="171">
        <f>SUMIFS('Unos rashoda i izdataka'!$L$3:$L$501,'Unos rashoda i izdataka'!$C$3:$C$501,"=43",'Unos rashoda i izdataka'!$P$3:$P$501,"=54")+SUMIFS('Unos rashoda P4'!$J$3:$J$501,'Unos rashoda P4'!$A$3:$A$501,"=43",'Unos rashoda P4'!$S$3:$S$501,"=54")</f>
        <v>0</v>
      </c>
      <c r="J35" s="171">
        <f>SUMIFS('Unos rashoda i izdataka'!$L$3:$L$501,'Unos rashoda i izdataka'!$C$3:$C$501,"=51",'Unos rashoda i izdataka'!$P$3:$P$501,"=54")+SUMIFS('Unos rashoda P4'!$J$3:$J$501,'Unos rashoda P4'!$A$3:$A$501,"=51",'Unos rashoda P4'!$S$3:$S$501,"=54")</f>
        <v>0</v>
      </c>
      <c r="K35" s="171">
        <f>SUMIFS('Unos rashoda i izdataka'!$L$3:$L$501,'Unos rashoda i izdataka'!$C$3:$C$501,"=52",'Unos rashoda i izdataka'!$P$3:$P$501,"=54")+SUMIFS('Unos rashoda P4'!$J$3:$J$501,'Unos rashoda P4'!$A$3:$A$501,"=52",'Unos rashoda P4'!$S$3:$S$501,"=54")</f>
        <v>0</v>
      </c>
      <c r="L35" s="171">
        <f>SUMIFS('Unos rashoda i izdataka'!$L$3:$L$501,'Unos rashoda i izdataka'!$C$3:$C$501,"=552",'Unos rashoda i izdataka'!$P$3:$P$501,"=54")+SUMIFS('Unos rashoda P4'!$J$3:$J$501,'Unos rashoda P4'!$A$3:$A$501,"=552",'Unos rashoda P4'!$S$3:$S$501,"=54")</f>
        <v>0</v>
      </c>
      <c r="M35" s="171">
        <f>SUMIFS('Unos rashoda i izdataka'!$L$3:$L$501,'Unos rashoda i izdataka'!$C$3:$C$501,"=559",'Unos rashoda i izdataka'!$P$3:$P$501,"=54")+SUMIFS('Unos rashoda P4'!$J$3:$J$501,'Unos rashoda P4'!$A$3:$A$501,"=559",'Unos rashoda P4'!$S$3:$S$501,"=54")</f>
        <v>0</v>
      </c>
      <c r="N35" s="171">
        <f>SUMIFS('Unos rashoda i izdataka'!$L$3:$L$501,'Unos rashoda i izdataka'!$C$3:$C$501,"=561",'Unos rashoda i izdataka'!$P$3:$P$501,"=54")+SUMIFS('Unos rashoda P4'!$J$3:$J$501,'Unos rashoda P4'!$A$3:$A$501,"=561",'Unos rashoda P4'!$S$3:$S$501,"=54")</f>
        <v>0</v>
      </c>
      <c r="O35" s="171">
        <f>SUMIFS('Unos rashoda i izdataka'!$L$3:$L$501,'Unos rashoda i izdataka'!$C$3:$C$501,"=563",'Unos rashoda i izdataka'!$P$3:$P$501,"=54")+SUMIFS('Unos rashoda P4'!$J$3:$J$501,'Unos rashoda P4'!$A$3:$A$501,"=563",'Unos rashoda P4'!$S$3:$S$501,"=54")</f>
        <v>0</v>
      </c>
      <c r="P35" s="171">
        <f>SUMIFS('Unos rashoda i izdataka'!$L$3:$L$501,'Unos rashoda i izdataka'!$C$3:$C$501,"=573",'Unos rashoda i izdataka'!$P$3:$P$501,"=54")+SUMIFS('Unos rashoda P4'!$J$3:$J$501,'Unos rashoda P4'!$A$3:$A$501,"=573",'Unos rashoda P4'!$S$3:$S$501,"=54")</f>
        <v>0</v>
      </c>
      <c r="Q35" s="171">
        <f>SUMIFS('Unos rashoda i izdataka'!$L$3:$L$501,'Unos rashoda i izdataka'!$C$3:$C$501,"=575",'Unos rashoda i izdataka'!$P$3:$P$501,"=54")+SUMIFS('Unos rashoda P4'!$J$3:$J$501,'Unos rashoda P4'!$A$3:$A$501,"=575",'Unos rashoda P4'!$S$3:$S$501,"=54")</f>
        <v>0</v>
      </c>
      <c r="R35" s="171">
        <f>SUMIFS('Unos rashoda i izdataka'!$L$3:$L$501,'Unos rashoda i izdataka'!$Q$3:$Q$501,"=576",'Unos rashoda i izdataka'!$P$3:$P$501,"=54")+SUMIFS('Unos rashoda P4'!$J$3:$J$501,'Unos rashoda P4'!$A$3:$A$501,"=576",'Unos rashoda P4'!$S$3:$S$501,"=54")</f>
        <v>0</v>
      </c>
      <c r="S35" s="171">
        <f>SUMIFS('Unos rashoda i izdataka'!$L$3:$L$501,'Unos rashoda i izdataka'!$C$3:$C$501,"=581",'Unos rashoda i izdataka'!$P$3:$P$501,"=54")+SUMIFS('Unos rashoda P4'!$J$3:$J$501,'Unos rashoda P4'!$A$3:$A$501,"=581",'Unos rashoda P4'!$S$3:$S$501,"=54")</f>
        <v>0</v>
      </c>
      <c r="T35" s="171">
        <f>SUMIFS('Unos rashoda i izdataka'!$L$3:$L$501,'Unos rashoda i izdataka'!$C$3:$C$501,"=61",'Unos rashoda i izdataka'!$P$3:$P$501,"=54")+SUMIFS('Unos rashoda P4'!$J$3:$J$501,'Unos rashoda P4'!$A$3:$A$501,"=61",'Unos rashoda P4'!$S$3:$S$501,"=54")</f>
        <v>0</v>
      </c>
      <c r="U35" s="171">
        <f>SUMIFS('Unos rashoda i izdataka'!$L$3:$L$501,'Unos rashoda i izdataka'!$C$3:$C$501,"=63",'Unos rashoda i izdataka'!$P$3:$P$501,"=54")+SUMIFS('Unos rashoda P4'!$J$3:$J$501,'Unos rashoda P4'!$A$3:$A$501,"=63",'Unos rashoda P4'!$S$3:$S$501,"=54")</f>
        <v>0</v>
      </c>
      <c r="V35" s="171">
        <f>SUMIFS('Unos rashoda i izdataka'!$L$3:$L$501,'Unos rashoda i izdataka'!$C$3:$C$501,"=71",'Unos rashoda i izdataka'!$P$3:$P$501,"=54")+SUMIFS('Unos rashoda P4'!$J$3:$J$501,'Unos rashoda P4'!$A$3:$A$501,"=71",'Unos rashoda P4'!$S$3:$S$501,"=54")</f>
        <v>0</v>
      </c>
      <c r="W35" s="171">
        <f>SUMIFS('Unos rashoda i izdataka'!$L$3:$L$501,'Unos rashoda i izdataka'!$C$3:$C$501,"=81",'Unos rashoda i izdataka'!$P$3:$P$501,"=54")+SUMIFS('Unos rashoda P4'!$J$3:$J$501,'Unos rashoda P4'!$A$3:$A$501,"=81",'Unos rashoda P4'!$S$3:$S$501,"=54")</f>
        <v>0</v>
      </c>
    </row>
    <row r="36" spans="1:263">
      <c r="B36" s="132"/>
      <c r="C36" s="132"/>
      <c r="D36" s="132"/>
      <c r="E36" s="132"/>
      <c r="F36" s="132"/>
      <c r="G36" s="132"/>
      <c r="H36" s="132"/>
      <c r="I36" s="133"/>
      <c r="J36" s="134"/>
      <c r="K36" s="134"/>
      <c r="L36" s="134"/>
      <c r="M36" s="134"/>
      <c r="N36" s="134"/>
      <c r="O36" s="134"/>
      <c r="P36" s="134"/>
      <c r="Q36" s="134"/>
      <c r="R36" s="134"/>
      <c r="S36" s="112"/>
      <c r="W36" s="112"/>
    </row>
    <row r="37" spans="1:263">
      <c r="G37" s="138"/>
      <c r="H37" s="138"/>
      <c r="I37" s="139"/>
      <c r="J37" s="140"/>
      <c r="K37" s="140"/>
      <c r="L37" s="140"/>
      <c r="M37" s="140"/>
      <c r="N37" s="140"/>
      <c r="O37" s="140"/>
      <c r="P37" s="140"/>
      <c r="Q37" s="140"/>
      <c r="R37" s="140"/>
    </row>
    <row r="38" spans="1:263" hidden="1">
      <c r="G38" s="138"/>
      <c r="H38" s="138"/>
      <c r="I38" s="141"/>
      <c r="J38" s="142"/>
      <c r="K38" s="142"/>
      <c r="L38" s="142"/>
      <c r="M38" s="142"/>
      <c r="N38" s="142"/>
      <c r="O38" s="142"/>
      <c r="P38" s="142"/>
      <c r="Q38" s="142"/>
      <c r="R38" s="142"/>
    </row>
    <row r="39" spans="1:263" hidden="1">
      <c r="B39" s="138"/>
      <c r="C39" s="138"/>
      <c r="D39" s="138"/>
      <c r="E39" s="138"/>
      <c r="F39" s="138"/>
      <c r="G39" s="138"/>
      <c r="H39" s="138"/>
      <c r="I39" s="143"/>
      <c r="J39" s="138"/>
      <c r="K39" s="138"/>
      <c r="L39" s="138"/>
      <c r="M39" s="138"/>
      <c r="N39" s="138"/>
      <c r="O39" s="138"/>
      <c r="P39" s="138"/>
      <c r="Q39" s="138"/>
      <c r="R39" s="138"/>
    </row>
    <row r="40" spans="1:263" hidden="1">
      <c r="B40" s="138"/>
      <c r="C40" s="138"/>
      <c r="D40" s="138"/>
      <c r="E40" s="138"/>
      <c r="F40" s="138"/>
      <c r="G40" s="138"/>
      <c r="H40" s="138"/>
      <c r="I40" s="143"/>
      <c r="J40" s="138"/>
      <c r="K40" s="138"/>
      <c r="L40" s="138"/>
      <c r="M40" s="138"/>
      <c r="N40" s="138"/>
      <c r="O40" s="138"/>
      <c r="P40" s="138"/>
      <c r="Q40" s="138"/>
      <c r="R40" s="138"/>
    </row>
    <row r="41" spans="1:263" hidden="1">
      <c r="B41" s="138"/>
      <c r="C41" s="138"/>
      <c r="D41" s="138"/>
      <c r="E41" s="138"/>
      <c r="F41" s="138"/>
      <c r="G41" s="138"/>
      <c r="H41" s="138"/>
      <c r="I41" s="143"/>
      <c r="J41" s="138"/>
      <c r="K41" s="138"/>
      <c r="L41" s="138"/>
      <c r="M41" s="138"/>
      <c r="N41" s="138"/>
      <c r="O41" s="138"/>
      <c r="P41" s="138"/>
      <c r="Q41" s="138"/>
      <c r="R41" s="138"/>
    </row>
    <row r="42" spans="1:263" hidden="1">
      <c r="B42" s="138"/>
      <c r="C42" s="138"/>
      <c r="D42" s="138"/>
      <c r="E42" s="138"/>
      <c r="F42" s="138"/>
      <c r="G42" s="138"/>
      <c r="H42" s="138"/>
    </row>
    <row r="43" spans="1:263" hidden="1">
      <c r="B43" s="138"/>
      <c r="C43" s="138"/>
      <c r="D43" s="138"/>
      <c r="E43" s="138"/>
      <c r="F43" s="138"/>
      <c r="G43" s="138"/>
      <c r="H43" s="138"/>
      <c r="I43" s="143"/>
      <c r="J43" s="138"/>
      <c r="K43" s="138"/>
      <c r="L43" s="138"/>
      <c r="M43" s="138"/>
      <c r="N43" s="138"/>
      <c r="O43" s="138"/>
      <c r="P43" s="138"/>
      <c r="Q43" s="138"/>
      <c r="R43" s="138"/>
    </row>
    <row r="44" spans="1:263" hidden="1">
      <c r="B44" s="138"/>
      <c r="C44" s="138"/>
      <c r="D44" s="138"/>
      <c r="E44" s="138"/>
      <c r="F44" s="138"/>
      <c r="G44" s="138"/>
      <c r="H44" s="138"/>
      <c r="I44" s="143"/>
      <c r="J44" s="145"/>
      <c r="K44" s="145"/>
      <c r="L44" s="145"/>
      <c r="M44" s="145"/>
      <c r="N44" s="145"/>
      <c r="O44" s="145"/>
      <c r="P44" s="145"/>
      <c r="Q44" s="145"/>
      <c r="R44" s="145"/>
    </row>
    <row r="45" spans="1:263" hidden="1">
      <c r="B45" s="138"/>
      <c r="C45" s="138"/>
      <c r="D45" s="138"/>
      <c r="E45" s="138"/>
      <c r="F45" s="138"/>
      <c r="G45" s="138"/>
      <c r="H45" s="138"/>
      <c r="I45" s="143"/>
      <c r="J45" s="138"/>
      <c r="K45" s="138"/>
      <c r="L45" s="138"/>
      <c r="M45" s="138"/>
      <c r="N45" s="138"/>
      <c r="O45" s="138"/>
      <c r="P45" s="138"/>
      <c r="Q45" s="138"/>
      <c r="R45" s="138"/>
    </row>
    <row r="46" spans="1:263" hidden="1">
      <c r="B46" s="138"/>
      <c r="C46" s="138"/>
      <c r="D46" s="138"/>
      <c r="E46" s="138"/>
      <c r="F46" s="138"/>
      <c r="G46" s="138"/>
      <c r="H46" s="138"/>
      <c r="I46" s="143"/>
      <c r="J46" s="146"/>
      <c r="K46" s="146"/>
      <c r="L46" s="146"/>
      <c r="M46" s="146"/>
      <c r="N46" s="146"/>
      <c r="O46" s="146"/>
      <c r="P46" s="146"/>
      <c r="Q46" s="146"/>
      <c r="R46" s="146"/>
    </row>
    <row r="47" spans="1:263" hidden="1">
      <c r="I47" s="141"/>
      <c r="J47" s="147"/>
      <c r="K47" s="147"/>
      <c r="L47" s="147"/>
      <c r="M47" s="147"/>
      <c r="N47" s="147"/>
      <c r="O47" s="147"/>
      <c r="P47" s="147"/>
      <c r="Q47" s="147"/>
      <c r="R47" s="147"/>
    </row>
  </sheetData>
  <sheetProtection algorithmName="SHA-512" hashValue="Q6gc4xpxC1J8JMK1qHV8iqXQOQI2v3HSPkVYKyEkYJesYTG4Oi4MMY6HEaOwKBE1QWwojAvrJWJ9FxTvo1MPYQ==" saltValue="XXlC+o9dOcfUcjzQc3EJcQ==" spinCount="100000" sheet="1" objects="1" scenarios="1"/>
  <mergeCells count="7">
    <mergeCell ref="B26:C26"/>
    <mergeCell ref="D26:U26"/>
    <mergeCell ref="B2:V2"/>
    <mergeCell ref="B4:C4"/>
    <mergeCell ref="D4:U4"/>
    <mergeCell ref="B15:C15"/>
    <mergeCell ref="D15:U1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7AA90-50EC-4AF6-BE7B-5EA14B2CEBEF}">
  <sheetPr codeName="Sheet6"/>
  <dimension ref="A1:H324"/>
  <sheetViews>
    <sheetView workbookViewId="0">
      <selection sqref="A1:XFD1048576"/>
    </sheetView>
  </sheetViews>
  <sheetFormatPr defaultRowHeight="14.4"/>
  <cols>
    <col min="1" max="1" width="14" customWidth="1"/>
    <col min="2" max="2" width="41.44140625" customWidth="1"/>
    <col min="4" max="4" width="62.6640625" customWidth="1"/>
    <col min="5" max="5" width="9.109375" style="80"/>
    <col min="6" max="6" width="43.109375" bestFit="1" customWidth="1"/>
    <col min="7" max="8" width="9.33203125" style="99" customWidth="1"/>
  </cols>
  <sheetData>
    <row r="1" spans="1:8">
      <c r="A1" s="97" t="s">
        <v>3361</v>
      </c>
      <c r="B1" s="98" t="s">
        <v>3362</v>
      </c>
    </row>
    <row r="2" spans="1:8">
      <c r="A2" s="100" t="s">
        <v>3363</v>
      </c>
      <c r="B2" s="101" t="s">
        <v>3364</v>
      </c>
    </row>
    <row r="3" spans="1:8">
      <c r="A3" s="102" t="s">
        <v>3365</v>
      </c>
      <c r="B3" s="102" t="s">
        <v>3366</v>
      </c>
      <c r="C3" s="102" t="s">
        <v>3367</v>
      </c>
      <c r="D3" s="102" t="s">
        <v>3366</v>
      </c>
      <c r="E3" s="103" t="s">
        <v>3368</v>
      </c>
      <c r="F3" s="102" t="s">
        <v>3366</v>
      </c>
      <c r="G3" s="104" t="s">
        <v>3366</v>
      </c>
      <c r="H3" s="104" t="s">
        <v>3366</v>
      </c>
    </row>
    <row r="4" spans="1:8">
      <c r="A4" s="105" t="s">
        <v>3369</v>
      </c>
      <c r="B4" s="105" t="s">
        <v>3370</v>
      </c>
      <c r="C4" s="105" t="s">
        <v>264</v>
      </c>
      <c r="D4" s="105" t="s">
        <v>265</v>
      </c>
      <c r="E4" s="106" t="s">
        <v>266</v>
      </c>
      <c r="F4" s="105" t="s">
        <v>267</v>
      </c>
      <c r="G4" s="107" t="s">
        <v>268</v>
      </c>
      <c r="H4" s="107" t="s">
        <v>269</v>
      </c>
    </row>
    <row r="5" spans="1:8">
      <c r="A5" s="105" t="s">
        <v>3369</v>
      </c>
      <c r="B5" s="105" t="s">
        <v>3370</v>
      </c>
      <c r="C5" s="105" t="s">
        <v>271</v>
      </c>
      <c r="D5" s="105" t="s">
        <v>272</v>
      </c>
      <c r="E5" s="106" t="s">
        <v>273</v>
      </c>
      <c r="F5" s="105" t="s">
        <v>274</v>
      </c>
      <c r="G5" s="107" t="s">
        <v>275</v>
      </c>
      <c r="H5" s="107" t="s">
        <v>276</v>
      </c>
    </row>
    <row r="6" spans="1:8">
      <c r="A6" s="105" t="s">
        <v>3369</v>
      </c>
      <c r="B6" s="105" t="s">
        <v>3370</v>
      </c>
      <c r="C6" s="105" t="s">
        <v>278</v>
      </c>
      <c r="D6" s="105" t="s">
        <v>279</v>
      </c>
      <c r="E6" s="106" t="s">
        <v>280</v>
      </c>
      <c r="F6" s="105" t="s">
        <v>281</v>
      </c>
      <c r="G6" s="107" t="s">
        <v>268</v>
      </c>
      <c r="H6" s="107" t="s">
        <v>282</v>
      </c>
    </row>
    <row r="7" spans="1:8">
      <c r="A7" s="105" t="s">
        <v>3369</v>
      </c>
      <c r="B7" s="105" t="s">
        <v>3370</v>
      </c>
      <c r="C7" s="105" t="s">
        <v>284</v>
      </c>
      <c r="D7" s="105" t="s">
        <v>285</v>
      </c>
      <c r="E7" s="106" t="s">
        <v>280</v>
      </c>
      <c r="F7" s="105" t="s">
        <v>281</v>
      </c>
      <c r="G7" s="107" t="s">
        <v>268</v>
      </c>
      <c r="H7" s="107" t="s">
        <v>282</v>
      </c>
    </row>
    <row r="8" spans="1:8">
      <c r="A8" s="105" t="s">
        <v>3369</v>
      </c>
      <c r="B8" s="105" t="s">
        <v>3370</v>
      </c>
      <c r="C8" s="105" t="s">
        <v>284</v>
      </c>
      <c r="D8" s="105" t="s">
        <v>285</v>
      </c>
      <c r="E8" s="106" t="s">
        <v>288</v>
      </c>
      <c r="F8" s="105" t="s">
        <v>289</v>
      </c>
      <c r="G8" s="107" t="s">
        <v>268</v>
      </c>
      <c r="H8" s="107" t="s">
        <v>290</v>
      </c>
    </row>
    <row r="9" spans="1:8">
      <c r="A9" s="105" t="s">
        <v>3369</v>
      </c>
      <c r="B9" s="105" t="s">
        <v>3370</v>
      </c>
      <c r="C9" s="105" t="s">
        <v>292</v>
      </c>
      <c r="D9" s="105" t="s">
        <v>293</v>
      </c>
      <c r="E9" s="106" t="s">
        <v>280</v>
      </c>
      <c r="F9" s="105" t="s">
        <v>281</v>
      </c>
      <c r="G9" s="107" t="s">
        <v>268</v>
      </c>
      <c r="H9" s="107" t="s">
        <v>282</v>
      </c>
    </row>
    <row r="10" spans="1:8">
      <c r="A10" s="105" t="s">
        <v>3369</v>
      </c>
      <c r="B10" s="105" t="s">
        <v>3370</v>
      </c>
      <c r="C10" s="105" t="s">
        <v>295</v>
      </c>
      <c r="D10" s="105" t="s">
        <v>296</v>
      </c>
      <c r="E10" s="106" t="s">
        <v>280</v>
      </c>
      <c r="F10" s="105" t="s">
        <v>281</v>
      </c>
      <c r="G10" s="107" t="s">
        <v>268</v>
      </c>
      <c r="H10" s="107" t="s">
        <v>282</v>
      </c>
    </row>
    <row r="11" spans="1:8">
      <c r="A11" s="105" t="s">
        <v>3369</v>
      </c>
      <c r="B11" s="105" t="s">
        <v>3370</v>
      </c>
      <c r="C11" s="105" t="s">
        <v>298</v>
      </c>
      <c r="D11" s="105" t="s">
        <v>299</v>
      </c>
      <c r="E11" s="106" t="s">
        <v>300</v>
      </c>
      <c r="F11" s="105" t="s">
        <v>301</v>
      </c>
      <c r="G11" s="107" t="s">
        <v>268</v>
      </c>
      <c r="H11" s="107" t="s">
        <v>302</v>
      </c>
    </row>
    <row r="12" spans="1:8">
      <c r="A12" s="105" t="s">
        <v>3369</v>
      </c>
      <c r="B12" s="105" t="s">
        <v>3370</v>
      </c>
      <c r="C12" s="105" t="s">
        <v>304</v>
      </c>
      <c r="D12" s="105" t="s">
        <v>305</v>
      </c>
      <c r="E12" s="106" t="s">
        <v>266</v>
      </c>
      <c r="F12" s="105" t="s">
        <v>267</v>
      </c>
      <c r="G12" s="107" t="s">
        <v>268</v>
      </c>
      <c r="H12" s="107" t="s">
        <v>269</v>
      </c>
    </row>
    <row r="13" spans="1:8">
      <c r="A13" s="105" t="s">
        <v>3369</v>
      </c>
      <c r="B13" s="105" t="s">
        <v>3370</v>
      </c>
      <c r="C13" s="105" t="s">
        <v>307</v>
      </c>
      <c r="D13" s="105" t="s">
        <v>308</v>
      </c>
      <c r="E13" s="106" t="s">
        <v>309</v>
      </c>
      <c r="F13" s="105" t="s">
        <v>310</v>
      </c>
      <c r="G13" s="107" t="s">
        <v>311</v>
      </c>
      <c r="H13" s="107" t="s">
        <v>312</v>
      </c>
    </row>
    <row r="14" spans="1:8">
      <c r="A14" s="105" t="s">
        <v>3369</v>
      </c>
      <c r="B14" s="105" t="s">
        <v>3370</v>
      </c>
      <c r="C14" s="105" t="s">
        <v>314</v>
      </c>
      <c r="D14" s="105" t="s">
        <v>315</v>
      </c>
      <c r="E14" s="106" t="s">
        <v>280</v>
      </c>
      <c r="F14" s="105" t="s">
        <v>281</v>
      </c>
      <c r="G14" s="107" t="s">
        <v>268</v>
      </c>
      <c r="H14" s="107" t="s">
        <v>282</v>
      </c>
    </row>
    <row r="15" spans="1:8">
      <c r="A15" s="105" t="s">
        <v>3369</v>
      </c>
      <c r="B15" s="105" t="s">
        <v>3370</v>
      </c>
      <c r="C15" s="105" t="s">
        <v>317</v>
      </c>
      <c r="D15" s="105" t="s">
        <v>318</v>
      </c>
      <c r="E15" s="106" t="s">
        <v>280</v>
      </c>
      <c r="F15" s="105" t="s">
        <v>281</v>
      </c>
      <c r="G15" s="107" t="s">
        <v>268</v>
      </c>
      <c r="H15" s="107" t="s">
        <v>282</v>
      </c>
    </row>
    <row r="16" spans="1:8">
      <c r="A16" s="105" t="s">
        <v>3369</v>
      </c>
      <c r="B16" s="105" t="s">
        <v>3370</v>
      </c>
      <c r="C16" s="105" t="s">
        <v>320</v>
      </c>
      <c r="D16" s="105" t="s">
        <v>321</v>
      </c>
      <c r="E16" s="106" t="s">
        <v>280</v>
      </c>
      <c r="F16" s="105" t="s">
        <v>281</v>
      </c>
      <c r="G16" s="107" t="s">
        <v>268</v>
      </c>
      <c r="H16" s="107" t="s">
        <v>282</v>
      </c>
    </row>
    <row r="17" spans="1:8">
      <c r="A17" s="105" t="s">
        <v>3369</v>
      </c>
      <c r="B17" s="105" t="s">
        <v>3370</v>
      </c>
      <c r="C17" s="105" t="s">
        <v>323</v>
      </c>
      <c r="D17" s="105" t="s">
        <v>324</v>
      </c>
      <c r="E17" s="106" t="s">
        <v>280</v>
      </c>
      <c r="F17" s="105" t="s">
        <v>281</v>
      </c>
      <c r="G17" s="107" t="s">
        <v>268</v>
      </c>
      <c r="H17" s="107" t="s">
        <v>282</v>
      </c>
    </row>
    <row r="18" spans="1:8">
      <c r="A18" s="105" t="s">
        <v>3369</v>
      </c>
      <c r="B18" s="105" t="s">
        <v>3370</v>
      </c>
      <c r="C18" s="105" t="s">
        <v>326</v>
      </c>
      <c r="D18" s="105" t="s">
        <v>327</v>
      </c>
      <c r="E18" s="106" t="s">
        <v>266</v>
      </c>
      <c r="F18" s="105" t="s">
        <v>267</v>
      </c>
      <c r="G18" s="107" t="s">
        <v>268</v>
      </c>
      <c r="H18" s="107" t="s">
        <v>269</v>
      </c>
    </row>
    <row r="19" spans="1:8">
      <c r="A19" s="105" t="s">
        <v>3369</v>
      </c>
      <c r="B19" s="105" t="s">
        <v>3370</v>
      </c>
      <c r="C19" s="105" t="s">
        <v>329</v>
      </c>
      <c r="D19" s="105" t="s">
        <v>330</v>
      </c>
      <c r="E19" s="106" t="s">
        <v>280</v>
      </c>
      <c r="F19" s="105" t="s">
        <v>281</v>
      </c>
      <c r="G19" s="107" t="s">
        <v>268</v>
      </c>
      <c r="H19" s="107" t="s">
        <v>282</v>
      </c>
    </row>
    <row r="20" spans="1:8">
      <c r="A20" s="105" t="s">
        <v>3369</v>
      </c>
      <c r="B20" s="105" t="s">
        <v>3370</v>
      </c>
      <c r="C20" s="105" t="s">
        <v>332</v>
      </c>
      <c r="D20" s="105" t="s">
        <v>333</v>
      </c>
      <c r="E20" s="106" t="s">
        <v>288</v>
      </c>
      <c r="F20" s="105" t="s">
        <v>289</v>
      </c>
      <c r="G20" s="107" t="s">
        <v>268</v>
      </c>
      <c r="H20" s="107" t="s">
        <v>290</v>
      </c>
    </row>
    <row r="21" spans="1:8">
      <c r="A21" s="105" t="s">
        <v>3369</v>
      </c>
      <c r="B21" s="105" t="s">
        <v>3370</v>
      </c>
      <c r="C21" s="105" t="s">
        <v>335</v>
      </c>
      <c r="D21" s="105" t="s">
        <v>336</v>
      </c>
      <c r="E21" s="106" t="s">
        <v>337</v>
      </c>
      <c r="F21" s="105" t="s">
        <v>338</v>
      </c>
      <c r="G21" s="107" t="s">
        <v>268</v>
      </c>
      <c r="H21" s="107" t="s">
        <v>269</v>
      </c>
    </row>
    <row r="22" spans="1:8">
      <c r="A22" s="105" t="s">
        <v>3369</v>
      </c>
      <c r="B22" s="105" t="s">
        <v>3370</v>
      </c>
      <c r="C22" s="105" t="s">
        <v>340</v>
      </c>
      <c r="D22" s="105" t="s">
        <v>341</v>
      </c>
      <c r="E22" s="106" t="s">
        <v>337</v>
      </c>
      <c r="F22" s="105" t="s">
        <v>338</v>
      </c>
      <c r="G22" s="107" t="s">
        <v>268</v>
      </c>
      <c r="H22" s="107" t="s">
        <v>269</v>
      </c>
    </row>
    <row r="23" spans="1:8">
      <c r="A23" s="105" t="s">
        <v>3369</v>
      </c>
      <c r="B23" s="105" t="s">
        <v>3370</v>
      </c>
      <c r="C23" s="105" t="s">
        <v>343</v>
      </c>
      <c r="D23" s="105" t="s">
        <v>344</v>
      </c>
      <c r="E23" s="106" t="s">
        <v>337</v>
      </c>
      <c r="F23" s="105" t="s">
        <v>338</v>
      </c>
      <c r="G23" s="107" t="s">
        <v>268</v>
      </c>
      <c r="H23" s="107" t="s">
        <v>269</v>
      </c>
    </row>
    <row r="24" spans="1:8">
      <c r="A24" s="105" t="s">
        <v>3369</v>
      </c>
      <c r="B24" s="105" t="s">
        <v>3370</v>
      </c>
      <c r="C24" s="105" t="s">
        <v>346</v>
      </c>
      <c r="D24" s="105" t="s">
        <v>347</v>
      </c>
      <c r="E24" s="106" t="s">
        <v>337</v>
      </c>
      <c r="F24" s="105" t="s">
        <v>338</v>
      </c>
      <c r="G24" s="107" t="s">
        <v>268</v>
      </c>
      <c r="H24" s="107" t="s">
        <v>269</v>
      </c>
    </row>
    <row r="25" spans="1:8">
      <c r="A25" s="105" t="s">
        <v>3369</v>
      </c>
      <c r="B25" s="105" t="s">
        <v>3370</v>
      </c>
      <c r="C25" s="105" t="s">
        <v>349</v>
      </c>
      <c r="D25" s="105" t="s">
        <v>350</v>
      </c>
      <c r="E25" s="106" t="s">
        <v>280</v>
      </c>
      <c r="F25" s="105" t="s">
        <v>281</v>
      </c>
      <c r="G25" s="107" t="s">
        <v>268</v>
      </c>
      <c r="H25" s="107" t="s">
        <v>282</v>
      </c>
    </row>
    <row r="26" spans="1:8">
      <c r="A26" s="105" t="s">
        <v>3369</v>
      </c>
      <c r="B26" s="105" t="s">
        <v>3370</v>
      </c>
      <c r="C26" s="105" t="s">
        <v>352</v>
      </c>
      <c r="D26" s="105" t="s">
        <v>353</v>
      </c>
      <c r="E26" s="106" t="s">
        <v>288</v>
      </c>
      <c r="F26" s="105" t="s">
        <v>289</v>
      </c>
      <c r="G26" s="107" t="s">
        <v>268</v>
      </c>
      <c r="H26" s="107" t="s">
        <v>290</v>
      </c>
    </row>
    <row r="27" spans="1:8">
      <c r="A27" s="105" t="s">
        <v>3369</v>
      </c>
      <c r="B27" s="105" t="s">
        <v>3370</v>
      </c>
      <c r="C27" s="105" t="s">
        <v>355</v>
      </c>
      <c r="D27" s="105" t="s">
        <v>356</v>
      </c>
      <c r="E27" s="106" t="s">
        <v>280</v>
      </c>
      <c r="F27" s="105" t="s">
        <v>281</v>
      </c>
      <c r="G27" s="107" t="s">
        <v>268</v>
      </c>
      <c r="H27" s="107" t="s">
        <v>282</v>
      </c>
    </row>
    <row r="28" spans="1:8">
      <c r="A28" s="105" t="s">
        <v>3369</v>
      </c>
      <c r="B28" s="105" t="s">
        <v>3370</v>
      </c>
      <c r="C28" s="105" t="s">
        <v>358</v>
      </c>
      <c r="D28" s="105" t="s">
        <v>359</v>
      </c>
      <c r="E28" s="106" t="s">
        <v>273</v>
      </c>
      <c r="F28" s="105" t="s">
        <v>274</v>
      </c>
      <c r="G28" s="107" t="s">
        <v>275</v>
      </c>
      <c r="H28" s="107" t="s">
        <v>276</v>
      </c>
    </row>
    <row r="29" spans="1:8">
      <c r="A29" s="105" t="s">
        <v>3369</v>
      </c>
      <c r="B29" s="105" t="s">
        <v>3370</v>
      </c>
      <c r="C29" s="105" t="s">
        <v>361</v>
      </c>
      <c r="D29" s="105" t="s">
        <v>362</v>
      </c>
      <c r="E29" s="106" t="s">
        <v>273</v>
      </c>
      <c r="F29" s="105" t="s">
        <v>274</v>
      </c>
      <c r="G29" s="107" t="s">
        <v>275</v>
      </c>
      <c r="H29" s="107" t="s">
        <v>276</v>
      </c>
    </row>
    <row r="30" spans="1:8">
      <c r="A30" s="105" t="s">
        <v>3369</v>
      </c>
      <c r="B30" s="105" t="s">
        <v>3370</v>
      </c>
      <c r="C30" s="105" t="s">
        <v>364</v>
      </c>
      <c r="D30" s="105" t="s">
        <v>365</v>
      </c>
      <c r="E30" s="106" t="s">
        <v>280</v>
      </c>
      <c r="F30" s="105" t="s">
        <v>281</v>
      </c>
      <c r="G30" s="107" t="s">
        <v>268</v>
      </c>
      <c r="H30" s="107" t="s">
        <v>282</v>
      </c>
    </row>
    <row r="31" spans="1:8">
      <c r="A31" s="105" t="s">
        <v>3369</v>
      </c>
      <c r="B31" s="105" t="s">
        <v>3370</v>
      </c>
      <c r="C31" s="105" t="s">
        <v>367</v>
      </c>
      <c r="D31" s="105" t="s">
        <v>368</v>
      </c>
      <c r="E31" s="106" t="s">
        <v>273</v>
      </c>
      <c r="F31" s="105" t="s">
        <v>274</v>
      </c>
      <c r="G31" s="107" t="s">
        <v>275</v>
      </c>
      <c r="H31" s="107" t="s">
        <v>276</v>
      </c>
    </row>
    <row r="32" spans="1:8">
      <c r="A32" s="105" t="s">
        <v>3369</v>
      </c>
      <c r="B32" s="105" t="s">
        <v>3370</v>
      </c>
      <c r="C32" s="105" t="s">
        <v>370</v>
      </c>
      <c r="D32" s="105" t="s">
        <v>371</v>
      </c>
      <c r="E32" s="106" t="s">
        <v>280</v>
      </c>
      <c r="F32" s="105" t="s">
        <v>281</v>
      </c>
      <c r="G32" s="107" t="s">
        <v>268</v>
      </c>
      <c r="H32" s="107" t="s">
        <v>282</v>
      </c>
    </row>
    <row r="33" spans="1:8">
      <c r="A33" s="105" t="s">
        <v>3369</v>
      </c>
      <c r="B33" s="105" t="s">
        <v>3370</v>
      </c>
      <c r="C33" s="105" t="s">
        <v>373</v>
      </c>
      <c r="D33" s="105" t="s">
        <v>374</v>
      </c>
      <c r="E33" s="106" t="s">
        <v>280</v>
      </c>
      <c r="F33" s="105" t="s">
        <v>281</v>
      </c>
      <c r="G33" s="107" t="s">
        <v>268</v>
      </c>
      <c r="H33" s="107" t="s">
        <v>282</v>
      </c>
    </row>
    <row r="34" spans="1:8">
      <c r="A34" s="105" t="s">
        <v>3369</v>
      </c>
      <c r="B34" s="105" t="s">
        <v>3370</v>
      </c>
      <c r="C34" s="105" t="s">
        <v>376</v>
      </c>
      <c r="D34" s="105" t="s">
        <v>377</v>
      </c>
      <c r="E34" s="106" t="s">
        <v>280</v>
      </c>
      <c r="F34" s="105" t="s">
        <v>281</v>
      </c>
      <c r="G34" s="107" t="s">
        <v>268</v>
      </c>
      <c r="H34" s="107" t="s">
        <v>282</v>
      </c>
    </row>
    <row r="35" spans="1:8">
      <c r="A35" s="105" t="s">
        <v>3369</v>
      </c>
      <c r="B35" s="105" t="s">
        <v>3370</v>
      </c>
      <c r="C35" s="105" t="s">
        <v>380</v>
      </c>
      <c r="D35" s="105" t="s">
        <v>381</v>
      </c>
      <c r="E35" s="106" t="s">
        <v>382</v>
      </c>
      <c r="F35" s="105" t="s">
        <v>383</v>
      </c>
      <c r="G35" s="107" t="s">
        <v>275</v>
      </c>
      <c r="H35" s="107" t="s">
        <v>384</v>
      </c>
    </row>
    <row r="36" spans="1:8">
      <c r="A36" s="105" t="s">
        <v>3369</v>
      </c>
      <c r="B36" s="105" t="s">
        <v>3370</v>
      </c>
      <c r="C36" s="105" t="s">
        <v>380</v>
      </c>
      <c r="D36" s="105" t="s">
        <v>381</v>
      </c>
      <c r="E36" s="106" t="s">
        <v>266</v>
      </c>
      <c r="F36" s="105" t="s">
        <v>267</v>
      </c>
      <c r="G36" s="107" t="s">
        <v>268</v>
      </c>
      <c r="H36" s="107" t="s">
        <v>269</v>
      </c>
    </row>
    <row r="37" spans="1:8">
      <c r="A37" s="105" t="s">
        <v>3369</v>
      </c>
      <c r="B37" s="105" t="s">
        <v>3370</v>
      </c>
      <c r="C37" s="105" t="s">
        <v>387</v>
      </c>
      <c r="D37" s="105" t="s">
        <v>388</v>
      </c>
      <c r="E37" s="106" t="s">
        <v>266</v>
      </c>
      <c r="F37" s="105" t="s">
        <v>267</v>
      </c>
      <c r="G37" s="107" t="s">
        <v>268</v>
      </c>
      <c r="H37" s="107" t="s">
        <v>269</v>
      </c>
    </row>
    <row r="38" spans="1:8">
      <c r="A38" s="105" t="s">
        <v>3369</v>
      </c>
      <c r="B38" s="105" t="s">
        <v>3370</v>
      </c>
      <c r="C38" s="105" t="s">
        <v>390</v>
      </c>
      <c r="D38" s="105" t="s">
        <v>391</v>
      </c>
      <c r="E38" s="106" t="s">
        <v>280</v>
      </c>
      <c r="F38" s="105" t="s">
        <v>281</v>
      </c>
      <c r="G38" s="107" t="s">
        <v>268</v>
      </c>
      <c r="H38" s="107" t="s">
        <v>282</v>
      </c>
    </row>
    <row r="39" spans="1:8">
      <c r="A39" s="105" t="s">
        <v>3369</v>
      </c>
      <c r="B39" s="105" t="s">
        <v>3370</v>
      </c>
      <c r="C39" s="105" t="s">
        <v>392</v>
      </c>
      <c r="D39" s="105" t="s">
        <v>393</v>
      </c>
      <c r="E39" s="106" t="s">
        <v>382</v>
      </c>
      <c r="F39" s="105" t="s">
        <v>383</v>
      </c>
      <c r="G39" s="107" t="s">
        <v>275</v>
      </c>
      <c r="H39" s="107" t="s">
        <v>384</v>
      </c>
    </row>
    <row r="40" spans="1:8">
      <c r="A40" s="105" t="s">
        <v>3369</v>
      </c>
      <c r="B40" s="105" t="s">
        <v>3370</v>
      </c>
      <c r="C40" s="105" t="s">
        <v>392</v>
      </c>
      <c r="D40" s="105" t="s">
        <v>393</v>
      </c>
      <c r="E40" s="106" t="s">
        <v>266</v>
      </c>
      <c r="F40" s="105" t="s">
        <v>267</v>
      </c>
      <c r="G40" s="107" t="s">
        <v>268</v>
      </c>
      <c r="H40" s="107" t="s">
        <v>269</v>
      </c>
    </row>
    <row r="41" spans="1:8">
      <c r="A41" s="105" t="s">
        <v>3369</v>
      </c>
      <c r="B41" s="105" t="s">
        <v>3370</v>
      </c>
      <c r="C41" s="105" t="s">
        <v>397</v>
      </c>
      <c r="D41" s="105" t="s">
        <v>398</v>
      </c>
      <c r="E41" s="106" t="s">
        <v>266</v>
      </c>
      <c r="F41" s="105" t="s">
        <v>267</v>
      </c>
      <c r="G41" s="107" t="s">
        <v>268</v>
      </c>
      <c r="H41" s="107" t="s">
        <v>269</v>
      </c>
    </row>
    <row r="42" spans="1:8">
      <c r="A42" s="105" t="s">
        <v>3369</v>
      </c>
      <c r="B42" s="105" t="s">
        <v>3370</v>
      </c>
      <c r="C42" s="105" t="s">
        <v>400</v>
      </c>
      <c r="D42" s="105" t="s">
        <v>401</v>
      </c>
      <c r="E42" s="106" t="s">
        <v>382</v>
      </c>
      <c r="F42" s="105" t="s">
        <v>383</v>
      </c>
      <c r="G42" s="107" t="s">
        <v>275</v>
      </c>
      <c r="H42" s="107" t="s">
        <v>384</v>
      </c>
    </row>
    <row r="43" spans="1:8">
      <c r="A43" s="105" t="s">
        <v>3369</v>
      </c>
      <c r="B43" s="105" t="s">
        <v>3370</v>
      </c>
      <c r="C43" s="105" t="s">
        <v>400</v>
      </c>
      <c r="D43" s="105" t="s">
        <v>401</v>
      </c>
      <c r="E43" s="106" t="s">
        <v>403</v>
      </c>
      <c r="F43" s="105" t="s">
        <v>404</v>
      </c>
      <c r="G43" s="107" t="s">
        <v>268</v>
      </c>
      <c r="H43" s="107" t="s">
        <v>405</v>
      </c>
    </row>
    <row r="44" spans="1:8">
      <c r="A44" s="105" t="s">
        <v>3369</v>
      </c>
      <c r="B44" s="105" t="s">
        <v>3370</v>
      </c>
      <c r="C44" s="105" t="s">
        <v>407</v>
      </c>
      <c r="D44" s="105" t="s">
        <v>408</v>
      </c>
      <c r="E44" s="106" t="s">
        <v>403</v>
      </c>
      <c r="F44" s="105" t="s">
        <v>404</v>
      </c>
      <c r="G44" s="107" t="s">
        <v>268</v>
      </c>
      <c r="H44" s="107" t="s">
        <v>405</v>
      </c>
    </row>
    <row r="45" spans="1:8">
      <c r="A45" s="105" t="s">
        <v>3369</v>
      </c>
      <c r="B45" s="105" t="s">
        <v>3370</v>
      </c>
      <c r="C45" s="105" t="s">
        <v>410</v>
      </c>
      <c r="D45" s="105" t="s">
        <v>411</v>
      </c>
      <c r="E45" s="106" t="s">
        <v>403</v>
      </c>
      <c r="F45" s="105" t="s">
        <v>404</v>
      </c>
      <c r="G45" s="107" t="s">
        <v>268</v>
      </c>
      <c r="H45" s="107" t="s">
        <v>405</v>
      </c>
    </row>
    <row r="46" spans="1:8">
      <c r="A46" s="105" t="s">
        <v>3369</v>
      </c>
      <c r="B46" s="105" t="s">
        <v>3370</v>
      </c>
      <c r="C46" s="105" t="s">
        <v>413</v>
      </c>
      <c r="D46" s="105" t="s">
        <v>393</v>
      </c>
      <c r="E46" s="106" t="s">
        <v>382</v>
      </c>
      <c r="F46" s="105" t="s">
        <v>383</v>
      </c>
      <c r="G46" s="107" t="s">
        <v>275</v>
      </c>
      <c r="H46" s="107" t="s">
        <v>384</v>
      </c>
    </row>
    <row r="47" spans="1:8">
      <c r="A47" s="105" t="s">
        <v>3369</v>
      </c>
      <c r="B47" s="105" t="s">
        <v>3370</v>
      </c>
      <c r="C47" s="105" t="s">
        <v>415</v>
      </c>
      <c r="D47" s="105" t="s">
        <v>416</v>
      </c>
      <c r="E47" s="106" t="s">
        <v>403</v>
      </c>
      <c r="F47" s="105" t="s">
        <v>404</v>
      </c>
      <c r="G47" s="107" t="s">
        <v>268</v>
      </c>
      <c r="H47" s="107" t="s">
        <v>405</v>
      </c>
    </row>
    <row r="48" spans="1:8">
      <c r="A48" s="105" t="s">
        <v>3369</v>
      </c>
      <c r="B48" s="105" t="s">
        <v>3370</v>
      </c>
      <c r="C48" s="105" t="s">
        <v>418</v>
      </c>
      <c r="D48" s="105" t="s">
        <v>419</v>
      </c>
      <c r="E48" s="106" t="s">
        <v>403</v>
      </c>
      <c r="F48" s="105" t="s">
        <v>404</v>
      </c>
      <c r="G48" s="107" t="s">
        <v>268</v>
      </c>
      <c r="H48" s="107" t="s">
        <v>405</v>
      </c>
    </row>
    <row r="49" spans="1:8">
      <c r="A49" s="105" t="s">
        <v>3369</v>
      </c>
      <c r="B49" s="105" t="s">
        <v>3370</v>
      </c>
      <c r="C49" s="105" t="s">
        <v>421</v>
      </c>
      <c r="D49" s="105" t="s">
        <v>422</v>
      </c>
      <c r="E49" s="106" t="s">
        <v>403</v>
      </c>
      <c r="F49" s="105" t="s">
        <v>404</v>
      </c>
      <c r="G49" s="107" t="s">
        <v>268</v>
      </c>
      <c r="H49" s="107" t="s">
        <v>405</v>
      </c>
    </row>
    <row r="50" spans="1:8">
      <c r="A50" s="105" t="s">
        <v>3369</v>
      </c>
      <c r="B50" s="105" t="s">
        <v>3370</v>
      </c>
      <c r="C50" s="105" t="s">
        <v>424</v>
      </c>
      <c r="D50" s="105" t="s">
        <v>425</v>
      </c>
      <c r="E50" s="106" t="s">
        <v>426</v>
      </c>
      <c r="F50" s="105" t="s">
        <v>427</v>
      </c>
      <c r="G50" s="107" t="s">
        <v>268</v>
      </c>
      <c r="H50" s="107" t="s">
        <v>428</v>
      </c>
    </row>
    <row r="51" spans="1:8">
      <c r="A51" s="105" t="s">
        <v>3369</v>
      </c>
      <c r="B51" s="105" t="s">
        <v>3370</v>
      </c>
      <c r="C51" s="105" t="s">
        <v>430</v>
      </c>
      <c r="D51" s="105" t="s">
        <v>431</v>
      </c>
      <c r="E51" s="106" t="s">
        <v>426</v>
      </c>
      <c r="F51" s="105" t="s">
        <v>427</v>
      </c>
      <c r="G51" s="107" t="s">
        <v>268</v>
      </c>
      <c r="H51" s="107" t="s">
        <v>428</v>
      </c>
    </row>
    <row r="52" spans="1:8">
      <c r="A52" s="105" t="s">
        <v>3369</v>
      </c>
      <c r="B52" s="105" t="s">
        <v>3370</v>
      </c>
      <c r="C52" s="105" t="s">
        <v>433</v>
      </c>
      <c r="D52" s="105" t="s">
        <v>434</v>
      </c>
      <c r="E52" s="106" t="s">
        <v>426</v>
      </c>
      <c r="F52" s="105" t="s">
        <v>427</v>
      </c>
      <c r="G52" s="107" t="s">
        <v>268</v>
      </c>
      <c r="H52" s="107" t="s">
        <v>428</v>
      </c>
    </row>
    <row r="53" spans="1:8">
      <c r="A53" s="105" t="s">
        <v>3369</v>
      </c>
      <c r="B53" s="105" t="s">
        <v>3370</v>
      </c>
      <c r="C53" s="105" t="s">
        <v>436</v>
      </c>
      <c r="D53" s="105" t="s">
        <v>437</v>
      </c>
      <c r="E53" s="106" t="s">
        <v>426</v>
      </c>
      <c r="F53" s="105" t="s">
        <v>427</v>
      </c>
      <c r="G53" s="107" t="s">
        <v>268</v>
      </c>
      <c r="H53" s="107" t="s">
        <v>428</v>
      </c>
    </row>
    <row r="54" spans="1:8">
      <c r="A54" s="105" t="s">
        <v>3369</v>
      </c>
      <c r="B54" s="105" t="s">
        <v>3370</v>
      </c>
      <c r="C54" s="105" t="s">
        <v>439</v>
      </c>
      <c r="D54" s="105" t="s">
        <v>440</v>
      </c>
      <c r="E54" s="106" t="s">
        <v>426</v>
      </c>
      <c r="F54" s="105" t="s">
        <v>427</v>
      </c>
      <c r="G54" s="107" t="s">
        <v>268</v>
      </c>
      <c r="H54" s="107" t="s">
        <v>428</v>
      </c>
    </row>
    <row r="55" spans="1:8">
      <c r="A55" s="105" t="s">
        <v>3369</v>
      </c>
      <c r="B55" s="105" t="s">
        <v>3370</v>
      </c>
      <c r="C55" s="105" t="s">
        <v>442</v>
      </c>
      <c r="D55" s="105" t="s">
        <v>443</v>
      </c>
      <c r="E55" s="106" t="s">
        <v>426</v>
      </c>
      <c r="F55" s="105" t="s">
        <v>427</v>
      </c>
      <c r="G55" s="107" t="s">
        <v>268</v>
      </c>
      <c r="H55" s="107" t="s">
        <v>428</v>
      </c>
    </row>
    <row r="56" spans="1:8">
      <c r="A56" s="105" t="s">
        <v>3369</v>
      </c>
      <c r="B56" s="105" t="s">
        <v>3370</v>
      </c>
      <c r="C56" s="105" t="s">
        <v>445</v>
      </c>
      <c r="D56" s="105" t="s">
        <v>446</v>
      </c>
      <c r="E56" s="106" t="s">
        <v>426</v>
      </c>
      <c r="F56" s="105" t="s">
        <v>427</v>
      </c>
      <c r="G56" s="107" t="s">
        <v>268</v>
      </c>
      <c r="H56" s="107" t="s">
        <v>428</v>
      </c>
    </row>
    <row r="57" spans="1:8">
      <c r="A57" s="105" t="s">
        <v>3369</v>
      </c>
      <c r="B57" s="105" t="s">
        <v>3370</v>
      </c>
      <c r="C57" s="105" t="s">
        <v>448</v>
      </c>
      <c r="D57" s="105" t="s">
        <v>449</v>
      </c>
      <c r="E57" s="106" t="s">
        <v>426</v>
      </c>
      <c r="F57" s="105" t="s">
        <v>427</v>
      </c>
      <c r="G57" s="107" t="s">
        <v>268</v>
      </c>
      <c r="H57" s="107" t="s">
        <v>428</v>
      </c>
    </row>
    <row r="58" spans="1:8">
      <c r="A58" s="105" t="s">
        <v>3369</v>
      </c>
      <c r="B58" s="105" t="s">
        <v>3370</v>
      </c>
      <c r="C58" s="105" t="s">
        <v>451</v>
      </c>
      <c r="D58" s="105" t="s">
        <v>452</v>
      </c>
      <c r="E58" s="106" t="s">
        <v>426</v>
      </c>
      <c r="F58" s="105" t="s">
        <v>427</v>
      </c>
      <c r="G58" s="107" t="s">
        <v>268</v>
      </c>
      <c r="H58" s="107" t="s">
        <v>428</v>
      </c>
    </row>
    <row r="59" spans="1:8">
      <c r="A59" s="105" t="s">
        <v>3369</v>
      </c>
      <c r="B59" s="105" t="s">
        <v>3370</v>
      </c>
      <c r="C59" s="105" t="s">
        <v>453</v>
      </c>
      <c r="D59" s="105" t="s">
        <v>454</v>
      </c>
      <c r="E59" s="106" t="s">
        <v>300</v>
      </c>
      <c r="F59" s="105" t="s">
        <v>301</v>
      </c>
      <c r="G59" s="107" t="s">
        <v>268</v>
      </c>
      <c r="H59" s="107" t="s">
        <v>302</v>
      </c>
    </row>
    <row r="60" spans="1:8">
      <c r="A60" s="105" t="s">
        <v>3369</v>
      </c>
      <c r="B60" s="105" t="s">
        <v>3370</v>
      </c>
      <c r="C60" s="105" t="s">
        <v>455</v>
      </c>
      <c r="D60" s="105" t="s">
        <v>456</v>
      </c>
      <c r="E60" s="106" t="s">
        <v>300</v>
      </c>
      <c r="F60" s="105" t="s">
        <v>301</v>
      </c>
      <c r="G60" s="107" t="s">
        <v>268</v>
      </c>
      <c r="H60" s="107" t="s">
        <v>302</v>
      </c>
    </row>
    <row r="61" spans="1:8">
      <c r="A61" s="105" t="s">
        <v>3369</v>
      </c>
      <c r="B61" s="105" t="s">
        <v>3370</v>
      </c>
      <c r="C61" s="105" t="s">
        <v>458</v>
      </c>
      <c r="D61" s="105" t="s">
        <v>459</v>
      </c>
      <c r="E61" s="106" t="s">
        <v>300</v>
      </c>
      <c r="F61" s="105" t="s">
        <v>301</v>
      </c>
      <c r="G61" s="107" t="s">
        <v>268</v>
      </c>
      <c r="H61" s="107" t="s">
        <v>302</v>
      </c>
    </row>
    <row r="62" spans="1:8">
      <c r="A62" s="105" t="s">
        <v>3369</v>
      </c>
      <c r="B62" s="105" t="s">
        <v>3370</v>
      </c>
      <c r="C62" s="105" t="s">
        <v>461</v>
      </c>
      <c r="D62" s="105" t="s">
        <v>462</v>
      </c>
      <c r="E62" s="106" t="s">
        <v>426</v>
      </c>
      <c r="F62" s="105" t="s">
        <v>427</v>
      </c>
      <c r="G62" s="107" t="s">
        <v>268</v>
      </c>
      <c r="H62" s="107" t="s">
        <v>428</v>
      </c>
    </row>
    <row r="63" spans="1:8">
      <c r="A63" s="105" t="s">
        <v>3369</v>
      </c>
      <c r="B63" s="105" t="s">
        <v>3370</v>
      </c>
      <c r="C63" s="105" t="s">
        <v>464</v>
      </c>
      <c r="D63" s="105" t="s">
        <v>465</v>
      </c>
      <c r="E63" s="106" t="s">
        <v>300</v>
      </c>
      <c r="F63" s="105" t="s">
        <v>301</v>
      </c>
      <c r="G63" s="107" t="s">
        <v>268</v>
      </c>
      <c r="H63" s="107" t="s">
        <v>302</v>
      </c>
    </row>
    <row r="64" spans="1:8">
      <c r="A64" s="105" t="s">
        <v>3369</v>
      </c>
      <c r="B64" s="105" t="s">
        <v>3370</v>
      </c>
      <c r="C64" s="105" t="s">
        <v>467</v>
      </c>
      <c r="D64" s="105" t="s">
        <v>468</v>
      </c>
      <c r="E64" s="106" t="s">
        <v>273</v>
      </c>
      <c r="F64" s="105" t="s">
        <v>274</v>
      </c>
      <c r="G64" s="107" t="s">
        <v>275</v>
      </c>
      <c r="H64" s="107" t="s">
        <v>276</v>
      </c>
    </row>
    <row r="65" spans="1:8">
      <c r="A65" s="105" t="s">
        <v>3369</v>
      </c>
      <c r="B65" s="105" t="s">
        <v>3370</v>
      </c>
      <c r="C65" s="105" t="s">
        <v>470</v>
      </c>
      <c r="D65" s="105" t="s">
        <v>471</v>
      </c>
      <c r="E65" s="106" t="s">
        <v>273</v>
      </c>
      <c r="F65" s="105" t="s">
        <v>274</v>
      </c>
      <c r="G65" s="107" t="s">
        <v>275</v>
      </c>
      <c r="H65" s="107" t="s">
        <v>276</v>
      </c>
    </row>
    <row r="66" spans="1:8">
      <c r="A66" s="105" t="s">
        <v>3369</v>
      </c>
      <c r="B66" s="105" t="s">
        <v>3370</v>
      </c>
      <c r="C66" s="105" t="s">
        <v>473</v>
      </c>
      <c r="D66" s="105" t="s">
        <v>474</v>
      </c>
      <c r="E66" s="106" t="s">
        <v>273</v>
      </c>
      <c r="F66" s="105" t="s">
        <v>274</v>
      </c>
      <c r="G66" s="107" t="s">
        <v>275</v>
      </c>
      <c r="H66" s="107" t="s">
        <v>276</v>
      </c>
    </row>
    <row r="67" spans="1:8">
      <c r="A67" s="105" t="s">
        <v>3369</v>
      </c>
      <c r="B67" s="105" t="s">
        <v>3370</v>
      </c>
      <c r="C67" s="105" t="s">
        <v>476</v>
      </c>
      <c r="D67" s="105" t="s">
        <v>477</v>
      </c>
      <c r="E67" s="106" t="s">
        <v>273</v>
      </c>
      <c r="F67" s="105" t="s">
        <v>274</v>
      </c>
      <c r="G67" s="107" t="s">
        <v>275</v>
      </c>
      <c r="H67" s="107" t="s">
        <v>276</v>
      </c>
    </row>
    <row r="68" spans="1:8">
      <c r="A68" s="105" t="s">
        <v>3369</v>
      </c>
      <c r="B68" s="105" t="s">
        <v>3370</v>
      </c>
      <c r="C68" s="105" t="s">
        <v>479</v>
      </c>
      <c r="D68" s="105" t="s">
        <v>480</v>
      </c>
      <c r="E68" s="106" t="s">
        <v>273</v>
      </c>
      <c r="F68" s="105" t="s">
        <v>274</v>
      </c>
      <c r="G68" s="107" t="s">
        <v>275</v>
      </c>
      <c r="H68" s="107" t="s">
        <v>276</v>
      </c>
    </row>
    <row r="69" spans="1:8">
      <c r="A69" s="105" t="s">
        <v>3369</v>
      </c>
      <c r="B69" s="105" t="s">
        <v>3370</v>
      </c>
      <c r="C69" s="105" t="s">
        <v>482</v>
      </c>
      <c r="D69" s="105" t="s">
        <v>483</v>
      </c>
      <c r="E69" s="106" t="s">
        <v>273</v>
      </c>
      <c r="F69" s="105" t="s">
        <v>274</v>
      </c>
      <c r="G69" s="107" t="s">
        <v>275</v>
      </c>
      <c r="H69" s="107" t="s">
        <v>276</v>
      </c>
    </row>
    <row r="70" spans="1:8">
      <c r="A70" s="105" t="s">
        <v>3369</v>
      </c>
      <c r="B70" s="105" t="s">
        <v>3370</v>
      </c>
      <c r="C70" s="105" t="s">
        <v>485</v>
      </c>
      <c r="D70" s="105" t="s">
        <v>486</v>
      </c>
      <c r="E70" s="106" t="s">
        <v>273</v>
      </c>
      <c r="F70" s="105" t="s">
        <v>274</v>
      </c>
      <c r="G70" s="107" t="s">
        <v>275</v>
      </c>
      <c r="H70" s="107" t="s">
        <v>276</v>
      </c>
    </row>
    <row r="71" spans="1:8">
      <c r="A71" s="105" t="s">
        <v>3369</v>
      </c>
      <c r="B71" s="105" t="s">
        <v>3370</v>
      </c>
      <c r="C71" s="105" t="s">
        <v>488</v>
      </c>
      <c r="D71" s="105" t="s">
        <v>489</v>
      </c>
      <c r="E71" s="106" t="s">
        <v>280</v>
      </c>
      <c r="F71" s="105" t="s">
        <v>281</v>
      </c>
      <c r="G71" s="107" t="s">
        <v>268</v>
      </c>
      <c r="H71" s="107" t="s">
        <v>282</v>
      </c>
    </row>
    <row r="72" spans="1:8">
      <c r="A72" s="105" t="s">
        <v>3369</v>
      </c>
      <c r="B72" s="105" t="s">
        <v>3370</v>
      </c>
      <c r="C72" s="105" t="s">
        <v>491</v>
      </c>
      <c r="D72" s="105" t="s">
        <v>492</v>
      </c>
      <c r="E72" s="106" t="s">
        <v>280</v>
      </c>
      <c r="F72" s="105" t="s">
        <v>281</v>
      </c>
      <c r="G72" s="107" t="s">
        <v>268</v>
      </c>
      <c r="H72" s="107" t="s">
        <v>282</v>
      </c>
    </row>
    <row r="73" spans="1:8">
      <c r="A73" s="105" t="s">
        <v>3369</v>
      </c>
      <c r="B73" s="105" t="s">
        <v>3370</v>
      </c>
      <c r="C73" s="105" t="s">
        <v>494</v>
      </c>
      <c r="D73" s="105" t="s">
        <v>495</v>
      </c>
      <c r="E73" s="106" t="s">
        <v>273</v>
      </c>
      <c r="F73" s="105" t="s">
        <v>274</v>
      </c>
      <c r="G73" s="107" t="s">
        <v>275</v>
      </c>
      <c r="H73" s="107" t="s">
        <v>276</v>
      </c>
    </row>
    <row r="74" spans="1:8">
      <c r="A74" s="105" t="s">
        <v>3369</v>
      </c>
      <c r="B74" s="105" t="s">
        <v>3370</v>
      </c>
      <c r="C74" s="105" t="s">
        <v>497</v>
      </c>
      <c r="D74" s="105" t="s">
        <v>498</v>
      </c>
      <c r="E74" s="106" t="s">
        <v>280</v>
      </c>
      <c r="F74" s="105" t="s">
        <v>281</v>
      </c>
      <c r="G74" s="107" t="s">
        <v>268</v>
      </c>
      <c r="H74" s="107" t="s">
        <v>282</v>
      </c>
    </row>
    <row r="75" spans="1:8">
      <c r="A75" s="105" t="s">
        <v>3369</v>
      </c>
      <c r="B75" s="105" t="s">
        <v>3370</v>
      </c>
      <c r="C75" s="105" t="s">
        <v>500</v>
      </c>
      <c r="D75" s="105" t="s">
        <v>501</v>
      </c>
      <c r="E75" s="106" t="s">
        <v>280</v>
      </c>
      <c r="F75" s="105" t="s">
        <v>281</v>
      </c>
      <c r="G75" s="107" t="s">
        <v>268</v>
      </c>
      <c r="H75" s="107" t="s">
        <v>282</v>
      </c>
    </row>
    <row r="76" spans="1:8">
      <c r="A76" s="105" t="s">
        <v>3369</v>
      </c>
      <c r="B76" s="105" t="s">
        <v>3370</v>
      </c>
      <c r="C76" s="105" t="s">
        <v>503</v>
      </c>
      <c r="D76" s="105" t="s">
        <v>504</v>
      </c>
      <c r="E76" s="106" t="s">
        <v>273</v>
      </c>
      <c r="F76" s="105" t="s">
        <v>274</v>
      </c>
      <c r="G76" s="107" t="s">
        <v>275</v>
      </c>
      <c r="H76" s="107" t="s">
        <v>276</v>
      </c>
    </row>
    <row r="77" spans="1:8">
      <c r="A77" s="105" t="s">
        <v>3369</v>
      </c>
      <c r="B77" s="105" t="s">
        <v>3370</v>
      </c>
      <c r="C77" s="105" t="s">
        <v>506</v>
      </c>
      <c r="D77" s="105" t="s">
        <v>507</v>
      </c>
      <c r="E77" s="106" t="s">
        <v>280</v>
      </c>
      <c r="F77" s="105" t="s">
        <v>281</v>
      </c>
      <c r="G77" s="107" t="s">
        <v>268</v>
      </c>
      <c r="H77" s="107" t="s">
        <v>282</v>
      </c>
    </row>
    <row r="78" spans="1:8">
      <c r="A78" s="105" t="s">
        <v>3369</v>
      </c>
      <c r="B78" s="105" t="s">
        <v>3370</v>
      </c>
      <c r="C78" s="105" t="s">
        <v>509</v>
      </c>
      <c r="D78" s="105" t="s">
        <v>510</v>
      </c>
      <c r="E78" s="106" t="s">
        <v>300</v>
      </c>
      <c r="F78" s="105" t="s">
        <v>301</v>
      </c>
      <c r="G78" s="107" t="s">
        <v>268</v>
      </c>
      <c r="H78" s="107" t="s">
        <v>302</v>
      </c>
    </row>
    <row r="79" spans="1:8">
      <c r="A79" s="105" t="s">
        <v>3369</v>
      </c>
      <c r="B79" s="105" t="s">
        <v>3370</v>
      </c>
      <c r="C79" s="105" t="s">
        <v>512</v>
      </c>
      <c r="D79" s="105" t="s">
        <v>513</v>
      </c>
      <c r="E79" s="106" t="s">
        <v>300</v>
      </c>
      <c r="F79" s="105" t="s">
        <v>301</v>
      </c>
      <c r="G79" s="107" t="s">
        <v>268</v>
      </c>
      <c r="H79" s="107" t="s">
        <v>302</v>
      </c>
    </row>
    <row r="80" spans="1:8">
      <c r="A80" s="105" t="s">
        <v>3369</v>
      </c>
      <c r="B80" s="105" t="s">
        <v>3370</v>
      </c>
      <c r="C80" s="105" t="s">
        <v>515</v>
      </c>
      <c r="D80" s="105" t="s">
        <v>516</v>
      </c>
      <c r="E80" s="106" t="s">
        <v>300</v>
      </c>
      <c r="F80" s="105" t="s">
        <v>301</v>
      </c>
      <c r="G80" s="107" t="s">
        <v>268</v>
      </c>
      <c r="H80" s="107" t="s">
        <v>302</v>
      </c>
    </row>
    <row r="81" spans="1:8">
      <c r="A81" s="105" t="s">
        <v>3369</v>
      </c>
      <c r="B81" s="105" t="s">
        <v>3370</v>
      </c>
      <c r="C81" s="105" t="s">
        <v>518</v>
      </c>
      <c r="D81" s="105" t="s">
        <v>519</v>
      </c>
      <c r="E81" s="106" t="s">
        <v>300</v>
      </c>
      <c r="F81" s="105" t="s">
        <v>301</v>
      </c>
      <c r="G81" s="107" t="s">
        <v>268</v>
      </c>
      <c r="H81" s="107" t="s">
        <v>302</v>
      </c>
    </row>
    <row r="82" spans="1:8">
      <c r="A82" s="105" t="s">
        <v>3369</v>
      </c>
      <c r="B82" s="105" t="s">
        <v>3370</v>
      </c>
      <c r="C82" s="105" t="s">
        <v>521</v>
      </c>
      <c r="D82" s="105" t="s">
        <v>522</v>
      </c>
      <c r="E82" s="106" t="s">
        <v>300</v>
      </c>
      <c r="F82" s="105" t="s">
        <v>301</v>
      </c>
      <c r="G82" s="107" t="s">
        <v>268</v>
      </c>
      <c r="H82" s="107" t="s">
        <v>302</v>
      </c>
    </row>
    <row r="83" spans="1:8">
      <c r="A83" s="105" t="s">
        <v>3369</v>
      </c>
      <c r="B83" s="105" t="s">
        <v>3370</v>
      </c>
      <c r="C83" s="105" t="s">
        <v>524</v>
      </c>
      <c r="D83" s="105" t="s">
        <v>525</v>
      </c>
      <c r="E83" s="106" t="s">
        <v>280</v>
      </c>
      <c r="F83" s="105" t="s">
        <v>281</v>
      </c>
      <c r="G83" s="107" t="s">
        <v>268</v>
      </c>
      <c r="H83" s="107" t="s">
        <v>282</v>
      </c>
    </row>
    <row r="84" spans="1:8">
      <c r="A84" s="105" t="s">
        <v>3369</v>
      </c>
      <c r="B84" s="105" t="s">
        <v>3370</v>
      </c>
      <c r="C84" s="105" t="s">
        <v>527</v>
      </c>
      <c r="D84" s="105" t="s">
        <v>528</v>
      </c>
      <c r="E84" s="106" t="s">
        <v>273</v>
      </c>
      <c r="F84" s="105" t="s">
        <v>274</v>
      </c>
      <c r="G84" s="107" t="s">
        <v>275</v>
      </c>
      <c r="H84" s="107" t="s">
        <v>276</v>
      </c>
    </row>
    <row r="85" spans="1:8">
      <c r="A85" s="105" t="s">
        <v>3369</v>
      </c>
      <c r="B85" s="105" t="s">
        <v>3370</v>
      </c>
      <c r="C85" s="105" t="s">
        <v>527</v>
      </c>
      <c r="D85" s="105" t="s">
        <v>528</v>
      </c>
      <c r="E85" s="106" t="s">
        <v>280</v>
      </c>
      <c r="F85" s="105" t="s">
        <v>281</v>
      </c>
      <c r="G85" s="107" t="s">
        <v>268</v>
      </c>
      <c r="H85" s="107" t="s">
        <v>282</v>
      </c>
    </row>
    <row r="86" spans="1:8">
      <c r="A86" s="105" t="s">
        <v>3369</v>
      </c>
      <c r="B86" s="105" t="s">
        <v>3370</v>
      </c>
      <c r="C86" s="105" t="s">
        <v>531</v>
      </c>
      <c r="D86" s="105" t="s">
        <v>532</v>
      </c>
      <c r="E86" s="106" t="s">
        <v>280</v>
      </c>
      <c r="F86" s="105" t="s">
        <v>281</v>
      </c>
      <c r="G86" s="107" t="s">
        <v>268</v>
      </c>
      <c r="H86" s="107" t="s">
        <v>282</v>
      </c>
    </row>
    <row r="87" spans="1:8">
      <c r="A87" s="105" t="s">
        <v>3369</v>
      </c>
      <c r="B87" s="105" t="s">
        <v>3370</v>
      </c>
      <c r="C87" s="105" t="s">
        <v>534</v>
      </c>
      <c r="D87" s="105" t="s">
        <v>535</v>
      </c>
      <c r="E87" s="106" t="s">
        <v>280</v>
      </c>
      <c r="F87" s="105" t="s">
        <v>281</v>
      </c>
      <c r="G87" s="107" t="s">
        <v>268</v>
      </c>
      <c r="H87" s="107" t="s">
        <v>282</v>
      </c>
    </row>
    <row r="88" spans="1:8">
      <c r="A88" s="105" t="s">
        <v>3369</v>
      </c>
      <c r="B88" s="105" t="s">
        <v>3370</v>
      </c>
      <c r="C88" s="105" t="s">
        <v>537</v>
      </c>
      <c r="D88" s="105" t="s">
        <v>538</v>
      </c>
      <c r="E88" s="106" t="s">
        <v>273</v>
      </c>
      <c r="F88" s="105" t="s">
        <v>274</v>
      </c>
      <c r="G88" s="107" t="s">
        <v>275</v>
      </c>
      <c r="H88" s="107" t="s">
        <v>276</v>
      </c>
    </row>
    <row r="89" spans="1:8">
      <c r="A89" s="105" t="s">
        <v>3369</v>
      </c>
      <c r="B89" s="105" t="s">
        <v>3370</v>
      </c>
      <c r="C89" s="105" t="s">
        <v>540</v>
      </c>
      <c r="D89" s="105" t="s">
        <v>541</v>
      </c>
      <c r="E89" s="106" t="s">
        <v>273</v>
      </c>
      <c r="F89" s="105" t="s">
        <v>274</v>
      </c>
      <c r="G89" s="107" t="s">
        <v>275</v>
      </c>
      <c r="H89" s="107" t="s">
        <v>276</v>
      </c>
    </row>
    <row r="90" spans="1:8">
      <c r="A90" s="105" t="s">
        <v>3369</v>
      </c>
      <c r="B90" s="105" t="s">
        <v>3370</v>
      </c>
      <c r="C90" s="105" t="s">
        <v>543</v>
      </c>
      <c r="D90" s="105" t="s">
        <v>544</v>
      </c>
      <c r="E90" s="106" t="s">
        <v>273</v>
      </c>
      <c r="F90" s="105" t="s">
        <v>274</v>
      </c>
      <c r="G90" s="107" t="s">
        <v>275</v>
      </c>
      <c r="H90" s="107" t="s">
        <v>276</v>
      </c>
    </row>
    <row r="91" spans="1:8">
      <c r="A91" s="105" t="s">
        <v>3369</v>
      </c>
      <c r="B91" s="105" t="s">
        <v>3370</v>
      </c>
      <c r="C91" s="105" t="s">
        <v>546</v>
      </c>
      <c r="D91" s="105" t="s">
        <v>547</v>
      </c>
      <c r="E91" s="106" t="s">
        <v>280</v>
      </c>
      <c r="F91" s="105" t="s">
        <v>281</v>
      </c>
      <c r="G91" s="107" t="s">
        <v>268</v>
      </c>
      <c r="H91" s="107" t="s">
        <v>282</v>
      </c>
    </row>
    <row r="92" spans="1:8">
      <c r="A92" s="105" t="s">
        <v>3369</v>
      </c>
      <c r="B92" s="105" t="s">
        <v>3370</v>
      </c>
      <c r="C92" s="105" t="s">
        <v>549</v>
      </c>
      <c r="D92" s="105" t="s">
        <v>550</v>
      </c>
      <c r="E92" s="106" t="s">
        <v>280</v>
      </c>
      <c r="F92" s="105" t="s">
        <v>281</v>
      </c>
      <c r="G92" s="107" t="s">
        <v>268</v>
      </c>
      <c r="H92" s="107" t="s">
        <v>282</v>
      </c>
    </row>
    <row r="93" spans="1:8">
      <c r="A93" s="105" t="s">
        <v>3369</v>
      </c>
      <c r="B93" s="105" t="s">
        <v>3370</v>
      </c>
      <c r="C93" s="105" t="s">
        <v>552</v>
      </c>
      <c r="D93" s="105" t="s">
        <v>553</v>
      </c>
      <c r="E93" s="106" t="s">
        <v>280</v>
      </c>
      <c r="F93" s="105" t="s">
        <v>281</v>
      </c>
      <c r="G93" s="107" t="s">
        <v>268</v>
      </c>
      <c r="H93" s="107" t="s">
        <v>282</v>
      </c>
    </row>
    <row r="94" spans="1:8">
      <c r="A94" s="105" t="s">
        <v>3369</v>
      </c>
      <c r="B94" s="105" t="s">
        <v>3370</v>
      </c>
      <c r="C94" s="105" t="s">
        <v>555</v>
      </c>
      <c r="D94" s="105" t="s">
        <v>556</v>
      </c>
      <c r="E94" s="106" t="s">
        <v>280</v>
      </c>
      <c r="F94" s="105" t="s">
        <v>281</v>
      </c>
      <c r="G94" s="107" t="s">
        <v>268</v>
      </c>
      <c r="H94" s="107" t="s">
        <v>282</v>
      </c>
    </row>
    <row r="95" spans="1:8">
      <c r="A95" s="105" t="s">
        <v>3369</v>
      </c>
      <c r="B95" s="105" t="s">
        <v>3370</v>
      </c>
      <c r="C95" s="105" t="s">
        <v>558</v>
      </c>
      <c r="D95" s="105" t="s">
        <v>559</v>
      </c>
      <c r="E95" s="106" t="s">
        <v>280</v>
      </c>
      <c r="F95" s="105" t="s">
        <v>281</v>
      </c>
      <c r="G95" s="107" t="s">
        <v>268</v>
      </c>
      <c r="H95" s="107" t="s">
        <v>282</v>
      </c>
    </row>
    <row r="96" spans="1:8">
      <c r="A96" s="105" t="s">
        <v>3369</v>
      </c>
      <c r="B96" s="105" t="s">
        <v>3370</v>
      </c>
      <c r="C96" s="105" t="s">
        <v>561</v>
      </c>
      <c r="D96" s="105" t="s">
        <v>562</v>
      </c>
      <c r="E96" s="106" t="s">
        <v>280</v>
      </c>
      <c r="F96" s="105" t="s">
        <v>281</v>
      </c>
      <c r="G96" s="107" t="s">
        <v>268</v>
      </c>
      <c r="H96" s="107" t="s">
        <v>282</v>
      </c>
    </row>
    <row r="97" spans="1:8">
      <c r="A97" s="105" t="s">
        <v>3369</v>
      </c>
      <c r="B97" s="105" t="s">
        <v>3370</v>
      </c>
      <c r="C97" s="105" t="s">
        <v>564</v>
      </c>
      <c r="D97" s="105" t="s">
        <v>565</v>
      </c>
      <c r="E97" s="106" t="s">
        <v>280</v>
      </c>
      <c r="F97" s="105" t="s">
        <v>281</v>
      </c>
      <c r="G97" s="107" t="s">
        <v>268</v>
      </c>
      <c r="H97" s="107" t="s">
        <v>282</v>
      </c>
    </row>
    <row r="98" spans="1:8">
      <c r="A98" s="105" t="s">
        <v>3369</v>
      </c>
      <c r="B98" s="105" t="s">
        <v>3370</v>
      </c>
      <c r="C98" s="105" t="s">
        <v>567</v>
      </c>
      <c r="D98" s="105" t="s">
        <v>568</v>
      </c>
      <c r="E98" s="106" t="s">
        <v>280</v>
      </c>
      <c r="F98" s="105" t="s">
        <v>281</v>
      </c>
      <c r="G98" s="107" t="s">
        <v>268</v>
      </c>
      <c r="H98" s="107" t="s">
        <v>282</v>
      </c>
    </row>
    <row r="99" spans="1:8">
      <c r="A99" s="105" t="s">
        <v>3369</v>
      </c>
      <c r="B99" s="105" t="s">
        <v>3370</v>
      </c>
      <c r="C99" s="105" t="s">
        <v>570</v>
      </c>
      <c r="D99" s="105" t="s">
        <v>571</v>
      </c>
      <c r="E99" s="106" t="s">
        <v>273</v>
      </c>
      <c r="F99" s="105" t="s">
        <v>274</v>
      </c>
      <c r="G99" s="107" t="s">
        <v>275</v>
      </c>
      <c r="H99" s="107" t="s">
        <v>276</v>
      </c>
    </row>
    <row r="100" spans="1:8">
      <c r="A100" s="105" t="s">
        <v>3369</v>
      </c>
      <c r="B100" s="105" t="s">
        <v>3370</v>
      </c>
      <c r="C100" s="105" t="s">
        <v>573</v>
      </c>
      <c r="D100" s="105" t="s">
        <v>574</v>
      </c>
      <c r="E100" s="106" t="s">
        <v>403</v>
      </c>
      <c r="F100" s="105" t="s">
        <v>404</v>
      </c>
      <c r="G100" s="107" t="s">
        <v>268</v>
      </c>
      <c r="H100" s="107" t="s">
        <v>405</v>
      </c>
    </row>
    <row r="101" spans="1:8">
      <c r="A101" s="105" t="s">
        <v>3369</v>
      </c>
      <c r="B101" s="105" t="s">
        <v>3370</v>
      </c>
      <c r="C101" s="105" t="s">
        <v>576</v>
      </c>
      <c r="D101" s="105" t="s">
        <v>577</v>
      </c>
      <c r="E101" s="106" t="s">
        <v>280</v>
      </c>
      <c r="F101" s="105" t="s">
        <v>281</v>
      </c>
      <c r="G101" s="107" t="s">
        <v>268</v>
      </c>
      <c r="H101" s="107" t="s">
        <v>282</v>
      </c>
    </row>
    <row r="102" spans="1:8">
      <c r="A102" s="105" t="s">
        <v>3369</v>
      </c>
      <c r="B102" s="105" t="s">
        <v>3370</v>
      </c>
      <c r="C102" s="105" t="s">
        <v>579</v>
      </c>
      <c r="D102" s="105" t="s">
        <v>580</v>
      </c>
      <c r="E102" s="106" t="s">
        <v>273</v>
      </c>
      <c r="F102" s="105" t="s">
        <v>274</v>
      </c>
      <c r="G102" s="107" t="s">
        <v>275</v>
      </c>
      <c r="H102" s="107" t="s">
        <v>276</v>
      </c>
    </row>
    <row r="103" spans="1:8">
      <c r="A103" s="105" t="s">
        <v>3369</v>
      </c>
      <c r="B103" s="105" t="s">
        <v>3370</v>
      </c>
      <c r="C103" s="105" t="s">
        <v>582</v>
      </c>
      <c r="D103" s="105" t="s">
        <v>583</v>
      </c>
      <c r="E103" s="106" t="s">
        <v>273</v>
      </c>
      <c r="F103" s="105" t="s">
        <v>274</v>
      </c>
      <c r="G103" s="107" t="s">
        <v>275</v>
      </c>
      <c r="H103" s="107" t="s">
        <v>276</v>
      </c>
    </row>
    <row r="104" spans="1:8">
      <c r="A104" s="105" t="s">
        <v>3369</v>
      </c>
      <c r="B104" s="105" t="s">
        <v>3370</v>
      </c>
      <c r="C104" s="105" t="s">
        <v>585</v>
      </c>
      <c r="D104" s="105" t="s">
        <v>586</v>
      </c>
      <c r="E104" s="106" t="s">
        <v>280</v>
      </c>
      <c r="F104" s="105" t="s">
        <v>281</v>
      </c>
      <c r="G104" s="107" t="s">
        <v>268</v>
      </c>
      <c r="H104" s="107" t="s">
        <v>282</v>
      </c>
    </row>
    <row r="105" spans="1:8">
      <c r="A105" s="105" t="s">
        <v>3369</v>
      </c>
      <c r="B105" s="105" t="s">
        <v>3370</v>
      </c>
      <c r="C105" s="105" t="s">
        <v>588</v>
      </c>
      <c r="D105" s="105" t="s">
        <v>589</v>
      </c>
      <c r="E105" s="106" t="s">
        <v>300</v>
      </c>
      <c r="F105" s="105" t="s">
        <v>301</v>
      </c>
      <c r="G105" s="107" t="s">
        <v>268</v>
      </c>
      <c r="H105" s="107" t="s">
        <v>302</v>
      </c>
    </row>
    <row r="106" spans="1:8">
      <c r="A106" s="105" t="s">
        <v>3369</v>
      </c>
      <c r="B106" s="105" t="s">
        <v>3370</v>
      </c>
      <c r="C106" s="105" t="s">
        <v>591</v>
      </c>
      <c r="D106" s="105" t="s">
        <v>592</v>
      </c>
      <c r="E106" s="106" t="s">
        <v>273</v>
      </c>
      <c r="F106" s="105" t="s">
        <v>274</v>
      </c>
      <c r="G106" s="107" t="s">
        <v>275</v>
      </c>
      <c r="H106" s="107" t="s">
        <v>276</v>
      </c>
    </row>
    <row r="107" spans="1:8">
      <c r="A107" s="105" t="s">
        <v>3369</v>
      </c>
      <c r="B107" s="105" t="s">
        <v>3370</v>
      </c>
      <c r="C107" s="105" t="s">
        <v>594</v>
      </c>
      <c r="D107" s="105" t="s">
        <v>595</v>
      </c>
      <c r="E107" s="106" t="s">
        <v>280</v>
      </c>
      <c r="F107" s="105" t="s">
        <v>281</v>
      </c>
      <c r="G107" s="107" t="s">
        <v>268</v>
      </c>
      <c r="H107" s="107" t="s">
        <v>282</v>
      </c>
    </row>
    <row r="108" spans="1:8">
      <c r="A108" s="105" t="s">
        <v>3369</v>
      </c>
      <c r="B108" s="105" t="s">
        <v>3370</v>
      </c>
      <c r="C108" s="105" t="s">
        <v>597</v>
      </c>
      <c r="D108" s="105" t="s">
        <v>598</v>
      </c>
      <c r="E108" s="106" t="s">
        <v>280</v>
      </c>
      <c r="F108" s="105" t="s">
        <v>281</v>
      </c>
      <c r="G108" s="107" t="s">
        <v>268</v>
      </c>
      <c r="H108" s="107" t="s">
        <v>282</v>
      </c>
    </row>
    <row r="109" spans="1:8">
      <c r="A109" s="105" t="s">
        <v>3369</v>
      </c>
      <c r="B109" s="105" t="s">
        <v>3370</v>
      </c>
      <c r="C109" s="105" t="s">
        <v>600</v>
      </c>
      <c r="D109" s="105" t="s">
        <v>601</v>
      </c>
      <c r="E109" s="106" t="s">
        <v>280</v>
      </c>
      <c r="F109" s="105" t="s">
        <v>281</v>
      </c>
      <c r="G109" s="107" t="s">
        <v>268</v>
      </c>
      <c r="H109" s="107" t="s">
        <v>282</v>
      </c>
    </row>
    <row r="110" spans="1:8">
      <c r="A110" s="105" t="s">
        <v>3369</v>
      </c>
      <c r="B110" s="105" t="s">
        <v>3370</v>
      </c>
      <c r="C110" s="105" t="s">
        <v>603</v>
      </c>
      <c r="D110" s="105" t="s">
        <v>604</v>
      </c>
      <c r="E110" s="106" t="s">
        <v>280</v>
      </c>
      <c r="F110" s="105" t="s">
        <v>281</v>
      </c>
      <c r="G110" s="107" t="s">
        <v>268</v>
      </c>
      <c r="H110" s="107" t="s">
        <v>282</v>
      </c>
    </row>
    <row r="111" spans="1:8">
      <c r="A111" s="105" t="s">
        <v>3369</v>
      </c>
      <c r="B111" s="105" t="s">
        <v>3370</v>
      </c>
      <c r="C111" s="105" t="s">
        <v>606</v>
      </c>
      <c r="D111" s="105" t="s">
        <v>607</v>
      </c>
      <c r="E111" s="106" t="s">
        <v>280</v>
      </c>
      <c r="F111" s="105" t="s">
        <v>281</v>
      </c>
      <c r="G111" s="107" t="s">
        <v>268</v>
      </c>
      <c r="H111" s="107" t="s">
        <v>282</v>
      </c>
    </row>
    <row r="112" spans="1:8">
      <c r="A112" s="105" t="s">
        <v>3369</v>
      </c>
      <c r="B112" s="105" t="s">
        <v>3370</v>
      </c>
      <c r="C112" s="105" t="s">
        <v>609</v>
      </c>
      <c r="D112" s="105" t="s">
        <v>610</v>
      </c>
      <c r="E112" s="106" t="s">
        <v>280</v>
      </c>
      <c r="F112" s="105" t="s">
        <v>281</v>
      </c>
      <c r="G112" s="107" t="s">
        <v>268</v>
      </c>
      <c r="H112" s="107" t="s">
        <v>282</v>
      </c>
    </row>
    <row r="113" spans="1:8">
      <c r="A113" s="105" t="s">
        <v>3369</v>
      </c>
      <c r="B113" s="105" t="s">
        <v>3370</v>
      </c>
      <c r="C113" s="105" t="s">
        <v>612</v>
      </c>
      <c r="D113" s="105" t="s">
        <v>613</v>
      </c>
      <c r="E113" s="106" t="s">
        <v>273</v>
      </c>
      <c r="F113" s="105" t="s">
        <v>274</v>
      </c>
      <c r="G113" s="107" t="s">
        <v>275</v>
      </c>
      <c r="H113" s="107" t="s">
        <v>276</v>
      </c>
    </row>
    <row r="114" spans="1:8">
      <c r="A114" s="105" t="s">
        <v>3369</v>
      </c>
      <c r="B114" s="105" t="s">
        <v>3370</v>
      </c>
      <c r="C114" s="105" t="s">
        <v>615</v>
      </c>
      <c r="D114" s="105" t="s">
        <v>616</v>
      </c>
      <c r="E114" s="106" t="s">
        <v>266</v>
      </c>
      <c r="F114" s="105" t="s">
        <v>267</v>
      </c>
      <c r="G114" s="107" t="s">
        <v>268</v>
      </c>
      <c r="H114" s="107" t="s">
        <v>269</v>
      </c>
    </row>
    <row r="115" spans="1:8">
      <c r="A115" s="105" t="s">
        <v>3369</v>
      </c>
      <c r="B115" s="105" t="s">
        <v>3370</v>
      </c>
      <c r="C115" s="105" t="s">
        <v>618</v>
      </c>
      <c r="D115" s="105" t="s">
        <v>619</v>
      </c>
      <c r="E115" s="106" t="s">
        <v>280</v>
      </c>
      <c r="F115" s="105" t="s">
        <v>281</v>
      </c>
      <c r="G115" s="107" t="s">
        <v>268</v>
      </c>
      <c r="H115" s="107" t="s">
        <v>282</v>
      </c>
    </row>
    <row r="116" spans="1:8">
      <c r="A116" s="105" t="s">
        <v>3369</v>
      </c>
      <c r="B116" s="105" t="s">
        <v>3370</v>
      </c>
      <c r="C116" s="105" t="s">
        <v>621</v>
      </c>
      <c r="D116" s="105" t="s">
        <v>622</v>
      </c>
      <c r="E116" s="106" t="s">
        <v>280</v>
      </c>
      <c r="F116" s="105" t="s">
        <v>281</v>
      </c>
      <c r="G116" s="107" t="s">
        <v>268</v>
      </c>
      <c r="H116" s="107" t="s">
        <v>282</v>
      </c>
    </row>
    <row r="117" spans="1:8">
      <c r="A117" s="105" t="s">
        <v>3369</v>
      </c>
      <c r="B117" s="105" t="s">
        <v>3370</v>
      </c>
      <c r="C117" s="105" t="s">
        <v>624</v>
      </c>
      <c r="D117" s="105" t="s">
        <v>625</v>
      </c>
      <c r="E117" s="106" t="s">
        <v>273</v>
      </c>
      <c r="F117" s="105" t="s">
        <v>274</v>
      </c>
      <c r="G117" s="107" t="s">
        <v>275</v>
      </c>
      <c r="H117" s="107" t="s">
        <v>276</v>
      </c>
    </row>
    <row r="118" spans="1:8">
      <c r="A118" s="105" t="s">
        <v>3369</v>
      </c>
      <c r="B118" s="105" t="s">
        <v>3370</v>
      </c>
      <c r="C118" s="105" t="s">
        <v>627</v>
      </c>
      <c r="D118" s="105" t="s">
        <v>628</v>
      </c>
      <c r="E118" s="106" t="s">
        <v>266</v>
      </c>
      <c r="F118" s="105" t="s">
        <v>267</v>
      </c>
      <c r="G118" s="107" t="s">
        <v>268</v>
      </c>
      <c r="H118" s="107" t="s">
        <v>269</v>
      </c>
    </row>
    <row r="119" spans="1:8">
      <c r="A119" s="105" t="s">
        <v>3369</v>
      </c>
      <c r="B119" s="105" t="s">
        <v>3370</v>
      </c>
      <c r="C119" s="105" t="s">
        <v>630</v>
      </c>
      <c r="D119" s="105" t="s">
        <v>631</v>
      </c>
      <c r="E119" s="106" t="s">
        <v>403</v>
      </c>
      <c r="F119" s="105" t="s">
        <v>404</v>
      </c>
      <c r="G119" s="107" t="s">
        <v>268</v>
      </c>
      <c r="H119" s="107" t="s">
        <v>405</v>
      </c>
    </row>
    <row r="120" spans="1:8">
      <c r="A120" s="105" t="s">
        <v>3369</v>
      </c>
      <c r="B120" s="105" t="s">
        <v>3370</v>
      </c>
      <c r="C120" s="105" t="s">
        <v>633</v>
      </c>
      <c r="D120" s="105" t="s">
        <v>634</v>
      </c>
      <c r="E120" s="106" t="s">
        <v>288</v>
      </c>
      <c r="F120" s="105" t="s">
        <v>289</v>
      </c>
      <c r="G120" s="107" t="s">
        <v>268</v>
      </c>
      <c r="H120" s="107" t="s">
        <v>290</v>
      </c>
    </row>
    <row r="121" spans="1:8">
      <c r="A121" s="105" t="s">
        <v>3369</v>
      </c>
      <c r="B121" s="105" t="s">
        <v>3370</v>
      </c>
      <c r="C121" s="105" t="s">
        <v>636</v>
      </c>
      <c r="D121" s="105" t="s">
        <v>637</v>
      </c>
      <c r="E121" s="106" t="s">
        <v>337</v>
      </c>
      <c r="F121" s="105" t="s">
        <v>338</v>
      </c>
      <c r="G121" s="107" t="s">
        <v>268</v>
      </c>
      <c r="H121" s="107" t="s">
        <v>269</v>
      </c>
    </row>
    <row r="122" spans="1:8">
      <c r="A122" s="105" t="s">
        <v>3369</v>
      </c>
      <c r="B122" s="105" t="s">
        <v>3370</v>
      </c>
      <c r="C122" s="105" t="s">
        <v>639</v>
      </c>
      <c r="D122" s="105" t="s">
        <v>640</v>
      </c>
      <c r="E122" s="106" t="s">
        <v>273</v>
      </c>
      <c r="F122" s="105" t="s">
        <v>274</v>
      </c>
      <c r="G122" s="107" t="s">
        <v>275</v>
      </c>
      <c r="H122" s="107" t="s">
        <v>276</v>
      </c>
    </row>
    <row r="123" spans="1:8">
      <c r="A123" s="105" t="s">
        <v>3369</v>
      </c>
      <c r="B123" s="105" t="s">
        <v>3370</v>
      </c>
      <c r="C123" s="105" t="s">
        <v>642</v>
      </c>
      <c r="D123" s="105" t="s">
        <v>643</v>
      </c>
      <c r="E123" s="106" t="s">
        <v>280</v>
      </c>
      <c r="F123" s="105" t="s">
        <v>281</v>
      </c>
      <c r="G123" s="107" t="s">
        <v>268</v>
      </c>
      <c r="H123" s="107" t="s">
        <v>282</v>
      </c>
    </row>
    <row r="124" spans="1:8">
      <c r="A124" s="105" t="s">
        <v>3369</v>
      </c>
      <c r="B124" s="105" t="s">
        <v>3370</v>
      </c>
      <c r="C124" s="105" t="s">
        <v>645</v>
      </c>
      <c r="D124" s="105" t="s">
        <v>646</v>
      </c>
      <c r="E124" s="106" t="s">
        <v>266</v>
      </c>
      <c r="F124" s="105" t="s">
        <v>267</v>
      </c>
      <c r="G124" s="107" t="s">
        <v>268</v>
      </c>
      <c r="H124" s="107" t="s">
        <v>269</v>
      </c>
    </row>
    <row r="125" spans="1:8">
      <c r="A125" s="105" t="s">
        <v>3369</v>
      </c>
      <c r="B125" s="105" t="s">
        <v>3370</v>
      </c>
      <c r="C125" s="105" t="s">
        <v>648</v>
      </c>
      <c r="D125" s="105" t="s">
        <v>649</v>
      </c>
      <c r="E125" s="106" t="s">
        <v>403</v>
      </c>
      <c r="F125" s="105" t="s">
        <v>404</v>
      </c>
      <c r="G125" s="107" t="s">
        <v>268</v>
      </c>
      <c r="H125" s="107" t="s">
        <v>405</v>
      </c>
    </row>
    <row r="126" spans="1:8">
      <c r="A126" s="105" t="s">
        <v>3369</v>
      </c>
      <c r="B126" s="105" t="s">
        <v>3370</v>
      </c>
      <c r="C126" s="105" t="s">
        <v>651</v>
      </c>
      <c r="D126" s="105" t="s">
        <v>652</v>
      </c>
      <c r="E126" s="106" t="s">
        <v>273</v>
      </c>
      <c r="F126" s="105" t="s">
        <v>274</v>
      </c>
      <c r="G126" s="107" t="s">
        <v>275</v>
      </c>
      <c r="H126" s="107" t="s">
        <v>276</v>
      </c>
    </row>
    <row r="127" spans="1:8">
      <c r="A127" s="105" t="s">
        <v>3369</v>
      </c>
      <c r="B127" s="105" t="s">
        <v>3370</v>
      </c>
      <c r="C127" s="105" t="s">
        <v>653</v>
      </c>
      <c r="D127" s="105" t="s">
        <v>654</v>
      </c>
      <c r="E127" s="106" t="s">
        <v>280</v>
      </c>
      <c r="F127" s="105" t="s">
        <v>281</v>
      </c>
      <c r="G127" s="107" t="s">
        <v>268</v>
      </c>
      <c r="H127" s="107" t="s">
        <v>282</v>
      </c>
    </row>
    <row r="128" spans="1:8">
      <c r="A128" s="105" t="s">
        <v>3369</v>
      </c>
      <c r="B128" s="105" t="s">
        <v>3370</v>
      </c>
      <c r="C128" s="105" t="s">
        <v>655</v>
      </c>
      <c r="D128" s="105" t="s">
        <v>656</v>
      </c>
      <c r="E128" s="106" t="s">
        <v>300</v>
      </c>
      <c r="F128" s="105" t="s">
        <v>301</v>
      </c>
      <c r="G128" s="107" t="s">
        <v>268</v>
      </c>
      <c r="H128" s="107" t="s">
        <v>302</v>
      </c>
    </row>
    <row r="129" spans="1:8">
      <c r="A129" s="105" t="s">
        <v>3369</v>
      </c>
      <c r="B129" s="105" t="s">
        <v>3370</v>
      </c>
      <c r="C129" s="105" t="s">
        <v>657</v>
      </c>
      <c r="D129" s="105" t="s">
        <v>658</v>
      </c>
      <c r="E129" s="106" t="s">
        <v>273</v>
      </c>
      <c r="F129" s="105" t="s">
        <v>274</v>
      </c>
      <c r="G129" s="107" t="s">
        <v>275</v>
      </c>
      <c r="H129" s="107" t="s">
        <v>276</v>
      </c>
    </row>
    <row r="130" spans="1:8">
      <c r="A130" s="105" t="s">
        <v>3369</v>
      </c>
      <c r="B130" s="105" t="s">
        <v>3370</v>
      </c>
      <c r="C130" s="105" t="s">
        <v>659</v>
      </c>
      <c r="D130" s="105" t="s">
        <v>660</v>
      </c>
      <c r="E130" s="106" t="s">
        <v>403</v>
      </c>
      <c r="F130" s="105" t="s">
        <v>404</v>
      </c>
      <c r="G130" s="107" t="s">
        <v>268</v>
      </c>
      <c r="H130" s="107" t="s">
        <v>405</v>
      </c>
    </row>
    <row r="131" spans="1:8">
      <c r="A131" s="105" t="s">
        <v>3369</v>
      </c>
      <c r="B131" s="105" t="s">
        <v>3370</v>
      </c>
      <c r="C131" s="105" t="s">
        <v>661</v>
      </c>
      <c r="D131" s="105" t="s">
        <v>662</v>
      </c>
      <c r="E131" s="106" t="s">
        <v>403</v>
      </c>
      <c r="F131" s="105" t="s">
        <v>404</v>
      </c>
      <c r="G131" s="107" t="s">
        <v>268</v>
      </c>
      <c r="H131" s="107" t="s">
        <v>405</v>
      </c>
    </row>
    <row r="132" spans="1:8">
      <c r="A132" s="105" t="s">
        <v>3369</v>
      </c>
      <c r="B132" s="105" t="s">
        <v>3370</v>
      </c>
      <c r="C132" s="105" t="s">
        <v>661</v>
      </c>
      <c r="D132" s="105" t="s">
        <v>662</v>
      </c>
      <c r="E132" s="106" t="s">
        <v>280</v>
      </c>
      <c r="F132" s="105" t="s">
        <v>281</v>
      </c>
      <c r="G132" s="107" t="s">
        <v>268</v>
      </c>
      <c r="H132" s="107" t="s">
        <v>282</v>
      </c>
    </row>
    <row r="133" spans="1:8">
      <c r="A133" s="105" t="s">
        <v>3369</v>
      </c>
      <c r="B133" s="105" t="s">
        <v>3370</v>
      </c>
      <c r="C133" s="105" t="s">
        <v>663</v>
      </c>
      <c r="D133" s="105" t="s">
        <v>664</v>
      </c>
      <c r="E133" s="106" t="s">
        <v>280</v>
      </c>
      <c r="F133" s="105" t="s">
        <v>281</v>
      </c>
      <c r="G133" s="107" t="s">
        <v>268</v>
      </c>
      <c r="H133" s="107" t="s">
        <v>282</v>
      </c>
    </row>
    <row r="134" spans="1:8">
      <c r="A134" s="105" t="s">
        <v>3369</v>
      </c>
      <c r="B134" s="105" t="s">
        <v>3370</v>
      </c>
      <c r="C134" s="105" t="s">
        <v>665</v>
      </c>
      <c r="D134" s="105" t="s">
        <v>666</v>
      </c>
      <c r="E134" s="106" t="s">
        <v>337</v>
      </c>
      <c r="F134" s="105" t="s">
        <v>338</v>
      </c>
      <c r="G134" s="107" t="s">
        <v>268</v>
      </c>
      <c r="H134" s="107" t="s">
        <v>269</v>
      </c>
    </row>
    <row r="135" spans="1:8">
      <c r="A135" s="105" t="s">
        <v>3369</v>
      </c>
      <c r="B135" s="105" t="s">
        <v>3370</v>
      </c>
      <c r="C135" s="105" t="s">
        <v>667</v>
      </c>
      <c r="D135" s="105" t="s">
        <v>668</v>
      </c>
      <c r="E135" s="106" t="s">
        <v>273</v>
      </c>
      <c r="F135" s="105" t="s">
        <v>274</v>
      </c>
      <c r="G135" s="107" t="s">
        <v>275</v>
      </c>
      <c r="H135" s="107" t="s">
        <v>276</v>
      </c>
    </row>
    <row r="136" spans="1:8">
      <c r="A136" s="105" t="s">
        <v>3369</v>
      </c>
      <c r="B136" s="105" t="s">
        <v>3370</v>
      </c>
      <c r="C136" s="105" t="s">
        <v>669</v>
      </c>
      <c r="D136" s="105" t="s">
        <v>670</v>
      </c>
      <c r="E136" s="106" t="s">
        <v>266</v>
      </c>
      <c r="F136" s="105" t="s">
        <v>267</v>
      </c>
      <c r="G136" s="107" t="s">
        <v>268</v>
      </c>
      <c r="H136" s="107" t="s">
        <v>269</v>
      </c>
    </row>
    <row r="137" spans="1:8">
      <c r="A137" s="105" t="s">
        <v>3369</v>
      </c>
      <c r="B137" s="105" t="s">
        <v>3370</v>
      </c>
      <c r="C137" s="105" t="s">
        <v>671</v>
      </c>
      <c r="D137" s="105" t="s">
        <v>672</v>
      </c>
      <c r="E137" s="106" t="s">
        <v>673</v>
      </c>
      <c r="F137" s="105" t="s">
        <v>674</v>
      </c>
      <c r="G137" s="107" t="s">
        <v>268</v>
      </c>
      <c r="H137" s="107" t="s">
        <v>675</v>
      </c>
    </row>
    <row r="138" spans="1:8">
      <c r="A138" s="105" t="s">
        <v>3369</v>
      </c>
      <c r="B138" s="105" t="s">
        <v>3370</v>
      </c>
      <c r="C138" s="105" t="s">
        <v>676</v>
      </c>
      <c r="D138" s="105" t="s">
        <v>677</v>
      </c>
      <c r="E138" s="106" t="s">
        <v>266</v>
      </c>
      <c r="F138" s="105" t="s">
        <v>267</v>
      </c>
      <c r="G138" s="107" t="s">
        <v>268</v>
      </c>
      <c r="H138" s="107" t="s">
        <v>269</v>
      </c>
    </row>
    <row r="139" spans="1:8">
      <c r="A139" s="105" t="s">
        <v>3369</v>
      </c>
      <c r="B139" s="105" t="s">
        <v>3370</v>
      </c>
      <c r="C139" s="105" t="s">
        <v>678</v>
      </c>
      <c r="D139" s="105" t="s">
        <v>679</v>
      </c>
      <c r="E139" s="106" t="s">
        <v>403</v>
      </c>
      <c r="F139" s="105" t="s">
        <v>404</v>
      </c>
      <c r="G139" s="107" t="s">
        <v>268</v>
      </c>
      <c r="H139" s="107" t="s">
        <v>405</v>
      </c>
    </row>
    <row r="140" spans="1:8">
      <c r="A140" s="105" t="s">
        <v>3369</v>
      </c>
      <c r="B140" s="105" t="s">
        <v>3370</v>
      </c>
      <c r="C140" s="105" t="s">
        <v>680</v>
      </c>
      <c r="D140" s="105" t="s">
        <v>681</v>
      </c>
      <c r="E140" s="106" t="s">
        <v>280</v>
      </c>
      <c r="F140" s="105" t="s">
        <v>281</v>
      </c>
      <c r="G140" s="107" t="s">
        <v>268</v>
      </c>
      <c r="H140" s="107" t="s">
        <v>282</v>
      </c>
    </row>
    <row r="141" spans="1:8">
      <c r="A141" s="105" t="s">
        <v>3369</v>
      </c>
      <c r="B141" s="105" t="s">
        <v>3370</v>
      </c>
      <c r="C141" s="105" t="s">
        <v>682</v>
      </c>
      <c r="D141" s="105" t="s">
        <v>683</v>
      </c>
      <c r="E141" s="106" t="s">
        <v>266</v>
      </c>
      <c r="F141" s="105" t="s">
        <v>267</v>
      </c>
      <c r="G141" s="107" t="s">
        <v>268</v>
      </c>
      <c r="H141" s="107" t="s">
        <v>269</v>
      </c>
    </row>
    <row r="142" spans="1:8">
      <c r="A142" s="105" t="s">
        <v>3369</v>
      </c>
      <c r="B142" s="105" t="s">
        <v>3370</v>
      </c>
      <c r="C142" s="105" t="s">
        <v>684</v>
      </c>
      <c r="D142" s="105" t="s">
        <v>685</v>
      </c>
      <c r="E142" s="106" t="s">
        <v>273</v>
      </c>
      <c r="F142" s="105" t="s">
        <v>274</v>
      </c>
      <c r="G142" s="107" t="s">
        <v>275</v>
      </c>
      <c r="H142" s="107" t="s">
        <v>276</v>
      </c>
    </row>
    <row r="143" spans="1:8">
      <c r="A143" s="105" t="s">
        <v>3369</v>
      </c>
      <c r="B143" s="105" t="s">
        <v>3370</v>
      </c>
      <c r="C143" s="105" t="s">
        <v>686</v>
      </c>
      <c r="D143" s="105" t="s">
        <v>687</v>
      </c>
      <c r="E143" s="106" t="s">
        <v>280</v>
      </c>
      <c r="F143" s="105" t="s">
        <v>281</v>
      </c>
      <c r="G143" s="107" t="s">
        <v>268</v>
      </c>
      <c r="H143" s="107" t="s">
        <v>282</v>
      </c>
    </row>
    <row r="144" spans="1:8">
      <c r="A144" s="105" t="s">
        <v>3369</v>
      </c>
      <c r="B144" s="105" t="s">
        <v>3370</v>
      </c>
      <c r="C144" s="105" t="s">
        <v>688</v>
      </c>
      <c r="D144" s="105" t="s">
        <v>689</v>
      </c>
      <c r="E144" s="106" t="s">
        <v>673</v>
      </c>
      <c r="F144" s="105" t="s">
        <v>674</v>
      </c>
      <c r="G144" s="107" t="s">
        <v>268</v>
      </c>
      <c r="H144" s="107" t="s">
        <v>675</v>
      </c>
    </row>
    <row r="145" spans="1:8">
      <c r="A145" s="105" t="s">
        <v>3369</v>
      </c>
      <c r="B145" s="105" t="s">
        <v>3370</v>
      </c>
      <c r="C145" s="105" t="s">
        <v>690</v>
      </c>
      <c r="D145" s="105" t="s">
        <v>691</v>
      </c>
      <c r="E145" s="106" t="s">
        <v>280</v>
      </c>
      <c r="F145" s="105" t="s">
        <v>281</v>
      </c>
      <c r="G145" s="107" t="s">
        <v>268</v>
      </c>
      <c r="H145" s="107" t="s">
        <v>282</v>
      </c>
    </row>
    <row r="146" spans="1:8">
      <c r="A146" s="105" t="s">
        <v>25</v>
      </c>
      <c r="B146" s="105" t="s">
        <v>24</v>
      </c>
      <c r="C146" s="105" t="s">
        <v>692</v>
      </c>
      <c r="D146" s="105" t="s">
        <v>693</v>
      </c>
      <c r="E146" s="106" t="s">
        <v>300</v>
      </c>
      <c r="F146" s="105" t="s">
        <v>301</v>
      </c>
      <c r="G146" s="107" t="s">
        <v>268</v>
      </c>
      <c r="H146" s="107" t="s">
        <v>302</v>
      </c>
    </row>
    <row r="147" spans="1:8">
      <c r="A147" s="105" t="s">
        <v>25</v>
      </c>
      <c r="B147" s="105" t="s">
        <v>24</v>
      </c>
      <c r="C147" s="105" t="s">
        <v>258</v>
      </c>
      <c r="D147" s="105" t="s">
        <v>694</v>
      </c>
      <c r="E147" s="106" t="s">
        <v>300</v>
      </c>
      <c r="F147" s="105" t="s">
        <v>301</v>
      </c>
      <c r="G147" s="107" t="s">
        <v>268</v>
      </c>
      <c r="H147" s="107" t="s">
        <v>302</v>
      </c>
    </row>
    <row r="148" spans="1:8">
      <c r="A148" s="105" t="s">
        <v>25</v>
      </c>
      <c r="B148" s="105" t="s">
        <v>24</v>
      </c>
      <c r="C148" s="105" t="s">
        <v>695</v>
      </c>
      <c r="D148" s="105" t="s">
        <v>696</v>
      </c>
      <c r="E148" s="106" t="s">
        <v>300</v>
      </c>
      <c r="F148" s="105" t="s">
        <v>301</v>
      </c>
      <c r="G148" s="107" t="s">
        <v>268</v>
      </c>
      <c r="H148" s="107" t="s">
        <v>302</v>
      </c>
    </row>
    <row r="149" spans="1:8">
      <c r="A149" s="105" t="s">
        <v>25</v>
      </c>
      <c r="B149" s="105" t="s">
        <v>24</v>
      </c>
      <c r="C149" s="105" t="s">
        <v>697</v>
      </c>
      <c r="D149" s="105" t="s">
        <v>698</v>
      </c>
      <c r="E149" s="106" t="s">
        <v>300</v>
      </c>
      <c r="F149" s="105" t="s">
        <v>301</v>
      </c>
      <c r="G149" s="107" t="s">
        <v>268</v>
      </c>
      <c r="H149" s="107" t="s">
        <v>302</v>
      </c>
    </row>
    <row r="150" spans="1:8">
      <c r="A150" s="105" t="s">
        <v>25</v>
      </c>
      <c r="B150" s="105" t="s">
        <v>24</v>
      </c>
      <c r="C150" s="105" t="s">
        <v>699</v>
      </c>
      <c r="D150" s="105" t="s">
        <v>700</v>
      </c>
      <c r="E150" s="106" t="s">
        <v>300</v>
      </c>
      <c r="F150" s="105" t="s">
        <v>301</v>
      </c>
      <c r="G150" s="107" t="s">
        <v>268</v>
      </c>
      <c r="H150" s="107" t="s">
        <v>302</v>
      </c>
    </row>
    <row r="151" spans="1:8">
      <c r="A151" s="105" t="s">
        <v>25</v>
      </c>
      <c r="B151" s="105" t="s">
        <v>24</v>
      </c>
      <c r="C151" s="105" t="s">
        <v>701</v>
      </c>
      <c r="D151" s="105" t="s">
        <v>702</v>
      </c>
      <c r="E151" s="106" t="s">
        <v>300</v>
      </c>
      <c r="F151" s="105" t="s">
        <v>301</v>
      </c>
      <c r="G151" s="107" t="s">
        <v>268</v>
      </c>
      <c r="H151" s="107" t="s">
        <v>302</v>
      </c>
    </row>
    <row r="152" spans="1:8">
      <c r="A152" s="105" t="s">
        <v>25</v>
      </c>
      <c r="B152" s="105" t="s">
        <v>24</v>
      </c>
      <c r="C152" s="105" t="s">
        <v>703</v>
      </c>
      <c r="D152" s="105" t="s">
        <v>704</v>
      </c>
      <c r="E152" s="106" t="s">
        <v>300</v>
      </c>
      <c r="F152" s="105" t="s">
        <v>301</v>
      </c>
      <c r="G152" s="107" t="s">
        <v>268</v>
      </c>
      <c r="H152" s="107" t="s">
        <v>302</v>
      </c>
    </row>
    <row r="153" spans="1:8">
      <c r="A153" s="105" t="s">
        <v>25</v>
      </c>
      <c r="B153" s="105" t="s">
        <v>24</v>
      </c>
      <c r="C153" s="105" t="s">
        <v>705</v>
      </c>
      <c r="D153" s="105" t="s">
        <v>706</v>
      </c>
      <c r="E153" s="106" t="s">
        <v>300</v>
      </c>
      <c r="F153" s="105" t="s">
        <v>301</v>
      </c>
      <c r="G153" s="107" t="s">
        <v>268</v>
      </c>
      <c r="H153" s="107" t="s">
        <v>302</v>
      </c>
    </row>
    <row r="154" spans="1:8">
      <c r="A154" s="105" t="s">
        <v>25</v>
      </c>
      <c r="B154" s="105" t="s">
        <v>24</v>
      </c>
      <c r="C154" s="105" t="s">
        <v>707</v>
      </c>
      <c r="D154" s="105" t="s">
        <v>708</v>
      </c>
      <c r="E154" s="106" t="s">
        <v>300</v>
      </c>
      <c r="F154" s="105" t="s">
        <v>301</v>
      </c>
      <c r="G154" s="107" t="s">
        <v>268</v>
      </c>
      <c r="H154" s="107" t="s">
        <v>302</v>
      </c>
    </row>
    <row r="155" spans="1:8">
      <c r="A155" s="105" t="s">
        <v>25</v>
      </c>
      <c r="B155" s="105" t="s">
        <v>24</v>
      </c>
      <c r="C155" s="105" t="s">
        <v>709</v>
      </c>
      <c r="D155" s="105" t="s">
        <v>710</v>
      </c>
      <c r="E155" s="106" t="s">
        <v>300</v>
      </c>
      <c r="F155" s="105" t="s">
        <v>301</v>
      </c>
      <c r="G155" s="107" t="s">
        <v>268</v>
      </c>
      <c r="H155" s="107" t="s">
        <v>302</v>
      </c>
    </row>
    <row r="156" spans="1:8">
      <c r="A156" s="105" t="s">
        <v>25</v>
      </c>
      <c r="B156" s="105" t="s">
        <v>24</v>
      </c>
      <c r="C156" s="105" t="s">
        <v>378</v>
      </c>
      <c r="D156" s="105" t="s">
        <v>393</v>
      </c>
      <c r="E156" s="106" t="s">
        <v>300</v>
      </c>
      <c r="F156" s="105" t="s">
        <v>301</v>
      </c>
      <c r="G156" s="107" t="s">
        <v>268</v>
      </c>
      <c r="H156" s="107" t="s">
        <v>302</v>
      </c>
    </row>
    <row r="157" spans="1:8">
      <c r="A157" s="105" t="s">
        <v>25</v>
      </c>
      <c r="B157" s="105" t="s">
        <v>24</v>
      </c>
      <c r="C157" s="105" t="s">
        <v>711</v>
      </c>
      <c r="D157" s="105" t="s">
        <v>712</v>
      </c>
      <c r="E157" s="106" t="s">
        <v>300</v>
      </c>
      <c r="F157" s="105" t="s">
        <v>301</v>
      </c>
      <c r="G157" s="107" t="s">
        <v>268</v>
      </c>
      <c r="H157" s="107" t="s">
        <v>302</v>
      </c>
    </row>
    <row r="158" spans="1:8">
      <c r="A158" s="105" t="s">
        <v>25</v>
      </c>
      <c r="B158" s="105" t="s">
        <v>24</v>
      </c>
      <c r="C158" s="105" t="s">
        <v>713</v>
      </c>
      <c r="D158" s="105" t="s">
        <v>714</v>
      </c>
      <c r="E158" s="106" t="s">
        <v>300</v>
      </c>
      <c r="F158" s="105" t="s">
        <v>301</v>
      </c>
      <c r="G158" s="107" t="s">
        <v>268</v>
      </c>
      <c r="H158" s="107" t="s">
        <v>302</v>
      </c>
    </row>
    <row r="159" spans="1:8">
      <c r="A159" s="105" t="s">
        <v>25</v>
      </c>
      <c r="B159" s="105" t="s">
        <v>24</v>
      </c>
      <c r="C159" s="105" t="s">
        <v>286</v>
      </c>
      <c r="D159" s="105" t="s">
        <v>715</v>
      </c>
      <c r="E159" s="106" t="s">
        <v>300</v>
      </c>
      <c r="F159" s="105" t="s">
        <v>301</v>
      </c>
      <c r="G159" s="107" t="s">
        <v>268</v>
      </c>
      <c r="H159" s="107" t="s">
        <v>302</v>
      </c>
    </row>
    <row r="160" spans="1:8">
      <c r="A160" s="105" t="s">
        <v>25</v>
      </c>
      <c r="B160" s="105" t="s">
        <v>24</v>
      </c>
      <c r="C160" s="105" t="s">
        <v>716</v>
      </c>
      <c r="D160" s="105" t="s">
        <v>717</v>
      </c>
      <c r="E160" s="106" t="s">
        <v>300</v>
      </c>
      <c r="F160" s="105" t="s">
        <v>301</v>
      </c>
      <c r="G160" s="107" t="s">
        <v>268</v>
      </c>
      <c r="H160" s="107" t="s">
        <v>302</v>
      </c>
    </row>
    <row r="161" spans="1:8">
      <c r="A161" s="105" t="s">
        <v>25</v>
      </c>
      <c r="B161" s="105" t="s">
        <v>24</v>
      </c>
      <c r="C161" s="105" t="s">
        <v>718</v>
      </c>
      <c r="D161" s="105" t="s">
        <v>719</v>
      </c>
      <c r="E161" s="106" t="s">
        <v>300</v>
      </c>
      <c r="F161" s="105" t="s">
        <v>301</v>
      </c>
      <c r="G161" s="107" t="s">
        <v>268</v>
      </c>
      <c r="H161" s="107" t="s">
        <v>302</v>
      </c>
    </row>
    <row r="162" spans="1:8">
      <c r="A162" s="105" t="s">
        <v>25</v>
      </c>
      <c r="B162" s="105" t="s">
        <v>24</v>
      </c>
      <c r="C162" s="105" t="s">
        <v>720</v>
      </c>
      <c r="D162" s="105" t="s">
        <v>721</v>
      </c>
      <c r="E162" s="106" t="s">
        <v>300</v>
      </c>
      <c r="F162" s="105" t="s">
        <v>301</v>
      </c>
      <c r="G162" s="107" t="s">
        <v>268</v>
      </c>
      <c r="H162" s="107" t="s">
        <v>302</v>
      </c>
    </row>
    <row r="163" spans="1:8">
      <c r="A163" s="105" t="s">
        <v>25</v>
      </c>
      <c r="B163" s="105" t="s">
        <v>24</v>
      </c>
      <c r="C163" s="105" t="s">
        <v>722</v>
      </c>
      <c r="D163" s="105" t="s">
        <v>723</v>
      </c>
      <c r="E163" s="106" t="s">
        <v>300</v>
      </c>
      <c r="F163" s="105" t="s">
        <v>301</v>
      </c>
      <c r="G163" s="107" t="s">
        <v>268</v>
      </c>
      <c r="H163" s="107" t="s">
        <v>302</v>
      </c>
    </row>
    <row r="164" spans="1:8">
      <c r="A164" s="105" t="s">
        <v>25</v>
      </c>
      <c r="B164" s="105" t="s">
        <v>24</v>
      </c>
      <c r="C164" s="105" t="s">
        <v>724</v>
      </c>
      <c r="D164" s="105" t="s">
        <v>725</v>
      </c>
      <c r="E164" s="106" t="s">
        <v>300</v>
      </c>
      <c r="F164" s="105" t="s">
        <v>301</v>
      </c>
      <c r="G164" s="107" t="s">
        <v>268</v>
      </c>
      <c r="H164" s="107" t="s">
        <v>302</v>
      </c>
    </row>
    <row r="165" spans="1:8">
      <c r="A165" s="105" t="s">
        <v>25</v>
      </c>
      <c r="B165" s="105" t="s">
        <v>24</v>
      </c>
      <c r="C165" s="105" t="s">
        <v>726</v>
      </c>
      <c r="D165" s="105" t="s">
        <v>727</v>
      </c>
      <c r="E165" s="106" t="s">
        <v>300</v>
      </c>
      <c r="F165" s="105" t="s">
        <v>301</v>
      </c>
      <c r="G165" s="107" t="s">
        <v>268</v>
      </c>
      <c r="H165" s="107" t="s">
        <v>302</v>
      </c>
    </row>
    <row r="166" spans="1:8">
      <c r="A166" s="105" t="s">
        <v>25</v>
      </c>
      <c r="B166" s="105" t="s">
        <v>24</v>
      </c>
      <c r="C166" s="105" t="s">
        <v>728</v>
      </c>
      <c r="D166" s="105" t="s">
        <v>729</v>
      </c>
      <c r="E166" s="106" t="s">
        <v>300</v>
      </c>
      <c r="F166" s="105" t="s">
        <v>301</v>
      </c>
      <c r="G166" s="107" t="s">
        <v>268</v>
      </c>
      <c r="H166" s="107" t="s">
        <v>302</v>
      </c>
    </row>
    <row r="167" spans="1:8">
      <c r="A167" s="105" t="s">
        <v>25</v>
      </c>
      <c r="B167" s="105" t="s">
        <v>24</v>
      </c>
      <c r="C167" s="105" t="s">
        <v>730</v>
      </c>
      <c r="D167" s="105" t="s">
        <v>731</v>
      </c>
      <c r="E167" s="106" t="s">
        <v>300</v>
      </c>
      <c r="F167" s="105" t="s">
        <v>301</v>
      </c>
      <c r="G167" s="107" t="s">
        <v>268</v>
      </c>
      <c r="H167" s="107" t="s">
        <v>302</v>
      </c>
    </row>
    <row r="168" spans="1:8">
      <c r="A168" s="105" t="s">
        <v>25</v>
      </c>
      <c r="B168" s="105" t="s">
        <v>24</v>
      </c>
      <c r="C168" s="105" t="s">
        <v>732</v>
      </c>
      <c r="D168" s="105" t="s">
        <v>733</v>
      </c>
      <c r="E168" s="106" t="s">
        <v>300</v>
      </c>
      <c r="F168" s="105" t="s">
        <v>301</v>
      </c>
      <c r="G168" s="107" t="s">
        <v>268</v>
      </c>
      <c r="H168" s="107" t="s">
        <v>302</v>
      </c>
    </row>
    <row r="169" spans="1:8">
      <c r="A169" s="105" t="s">
        <v>25</v>
      </c>
      <c r="B169" s="105" t="s">
        <v>24</v>
      </c>
      <c r="C169" s="105" t="s">
        <v>734</v>
      </c>
      <c r="D169" s="105" t="s">
        <v>735</v>
      </c>
      <c r="E169" s="106" t="s">
        <v>300</v>
      </c>
      <c r="F169" s="105" t="s">
        <v>301</v>
      </c>
      <c r="G169" s="107" t="s">
        <v>268</v>
      </c>
      <c r="H169" s="107" t="s">
        <v>302</v>
      </c>
    </row>
    <row r="170" spans="1:8">
      <c r="A170" s="105" t="s">
        <v>25</v>
      </c>
      <c r="B170" s="105" t="s">
        <v>24</v>
      </c>
      <c r="C170" s="105" t="s">
        <v>734</v>
      </c>
      <c r="D170" s="105" t="s">
        <v>735</v>
      </c>
      <c r="E170" s="106" t="s">
        <v>426</v>
      </c>
      <c r="F170" s="105" t="s">
        <v>427</v>
      </c>
      <c r="G170" s="107" t="s">
        <v>268</v>
      </c>
      <c r="H170" s="107" t="s">
        <v>428</v>
      </c>
    </row>
    <row r="171" spans="1:8">
      <c r="A171" s="105" t="s">
        <v>25</v>
      </c>
      <c r="B171" s="105" t="s">
        <v>24</v>
      </c>
      <c r="C171" s="105" t="s">
        <v>736</v>
      </c>
      <c r="D171" s="105" t="s">
        <v>737</v>
      </c>
      <c r="E171" s="106" t="s">
        <v>300</v>
      </c>
      <c r="F171" s="105" t="s">
        <v>301</v>
      </c>
      <c r="G171" s="107" t="s">
        <v>268</v>
      </c>
      <c r="H171" s="107" t="s">
        <v>302</v>
      </c>
    </row>
    <row r="172" spans="1:8">
      <c r="A172" s="105" t="s">
        <v>25</v>
      </c>
      <c r="B172" s="105" t="s">
        <v>24</v>
      </c>
      <c r="C172" s="105" t="s">
        <v>738</v>
      </c>
      <c r="D172" s="105" t="s">
        <v>739</v>
      </c>
      <c r="E172" s="106" t="s">
        <v>300</v>
      </c>
      <c r="F172" s="105" t="s">
        <v>301</v>
      </c>
      <c r="G172" s="107" t="s">
        <v>268</v>
      </c>
      <c r="H172" s="107" t="s">
        <v>302</v>
      </c>
    </row>
    <row r="173" spans="1:8">
      <c r="A173" s="105" t="s">
        <v>25</v>
      </c>
      <c r="B173" s="105" t="s">
        <v>24</v>
      </c>
      <c r="C173" s="105" t="s">
        <v>395</v>
      </c>
      <c r="D173" s="105" t="s">
        <v>740</v>
      </c>
      <c r="E173" s="106" t="s">
        <v>300</v>
      </c>
      <c r="F173" s="105" t="s">
        <v>301</v>
      </c>
      <c r="G173" s="107" t="s">
        <v>268</v>
      </c>
      <c r="H173" s="107" t="s">
        <v>302</v>
      </c>
    </row>
    <row r="174" spans="1:8">
      <c r="A174" s="105" t="s">
        <v>25</v>
      </c>
      <c r="B174" s="105" t="s">
        <v>24</v>
      </c>
      <c r="C174" s="105" t="s">
        <v>741</v>
      </c>
      <c r="D174" s="105" t="s">
        <v>742</v>
      </c>
      <c r="E174" s="106" t="s">
        <v>300</v>
      </c>
      <c r="F174" s="105" t="s">
        <v>301</v>
      </c>
      <c r="G174" s="107" t="s">
        <v>268</v>
      </c>
      <c r="H174" s="107" t="s">
        <v>302</v>
      </c>
    </row>
    <row r="175" spans="1:8">
      <c r="A175" s="105" t="s">
        <v>25</v>
      </c>
      <c r="B175" s="105" t="s">
        <v>24</v>
      </c>
      <c r="C175" s="105" t="s">
        <v>743</v>
      </c>
      <c r="D175" s="105" t="s">
        <v>744</v>
      </c>
      <c r="E175" s="106" t="s">
        <v>300</v>
      </c>
      <c r="F175" s="105" t="s">
        <v>301</v>
      </c>
      <c r="G175" s="107" t="s">
        <v>268</v>
      </c>
      <c r="H175" s="107" t="s">
        <v>302</v>
      </c>
    </row>
    <row r="176" spans="1:8">
      <c r="A176" s="105" t="s">
        <v>25</v>
      </c>
      <c r="B176" s="105" t="s">
        <v>24</v>
      </c>
      <c r="C176" s="105" t="s">
        <v>745</v>
      </c>
      <c r="D176" s="105" t="s">
        <v>746</v>
      </c>
      <c r="E176" s="106" t="s">
        <v>300</v>
      </c>
      <c r="F176" s="105" t="s">
        <v>301</v>
      </c>
      <c r="G176" s="107" t="s">
        <v>268</v>
      </c>
      <c r="H176" s="107" t="s">
        <v>302</v>
      </c>
    </row>
    <row r="177" spans="1:8">
      <c r="A177" s="105" t="s">
        <v>25</v>
      </c>
      <c r="B177" s="105" t="s">
        <v>24</v>
      </c>
      <c r="C177" s="105" t="s">
        <v>747</v>
      </c>
      <c r="D177" s="105" t="s">
        <v>748</v>
      </c>
      <c r="E177" s="106" t="s">
        <v>300</v>
      </c>
      <c r="F177" s="105" t="s">
        <v>301</v>
      </c>
      <c r="G177" s="107" t="s">
        <v>268</v>
      </c>
      <c r="H177" s="107" t="s">
        <v>302</v>
      </c>
    </row>
    <row r="178" spans="1:8">
      <c r="A178" s="105" t="s">
        <v>25</v>
      </c>
      <c r="B178" s="105" t="s">
        <v>24</v>
      </c>
      <c r="C178" s="105" t="s">
        <v>749</v>
      </c>
      <c r="D178" s="105" t="s">
        <v>750</v>
      </c>
      <c r="E178" s="106" t="s">
        <v>300</v>
      </c>
      <c r="F178" s="105" t="s">
        <v>301</v>
      </c>
      <c r="G178" s="107" t="s">
        <v>268</v>
      </c>
      <c r="H178" s="107" t="s">
        <v>302</v>
      </c>
    </row>
    <row r="179" spans="1:8">
      <c r="A179" s="105" t="s">
        <v>25</v>
      </c>
      <c r="B179" s="105" t="s">
        <v>24</v>
      </c>
      <c r="C179" s="105" t="s">
        <v>751</v>
      </c>
      <c r="D179" s="105" t="s">
        <v>752</v>
      </c>
      <c r="E179" s="106" t="s">
        <v>300</v>
      </c>
      <c r="F179" s="105" t="s">
        <v>301</v>
      </c>
      <c r="G179" s="107" t="s">
        <v>268</v>
      </c>
      <c r="H179" s="107" t="s">
        <v>302</v>
      </c>
    </row>
    <row r="180" spans="1:8">
      <c r="A180" s="105" t="s">
        <v>25</v>
      </c>
      <c r="B180" s="105" t="s">
        <v>24</v>
      </c>
      <c r="C180" s="105" t="s">
        <v>753</v>
      </c>
      <c r="D180" s="105" t="s">
        <v>754</v>
      </c>
      <c r="E180" s="106" t="s">
        <v>300</v>
      </c>
      <c r="F180" s="105" t="s">
        <v>301</v>
      </c>
      <c r="G180" s="107" t="s">
        <v>268</v>
      </c>
      <c r="H180" s="107" t="s">
        <v>302</v>
      </c>
    </row>
    <row r="181" spans="1:8">
      <c r="A181" s="105" t="s">
        <v>25</v>
      </c>
      <c r="B181" s="105" t="s">
        <v>24</v>
      </c>
      <c r="C181" s="105" t="s">
        <v>755</v>
      </c>
      <c r="D181" s="105" t="s">
        <v>756</v>
      </c>
      <c r="E181" s="106" t="s">
        <v>300</v>
      </c>
      <c r="F181" s="105" t="s">
        <v>301</v>
      </c>
      <c r="G181" s="107" t="s">
        <v>268</v>
      </c>
      <c r="H181" s="107" t="s">
        <v>302</v>
      </c>
    </row>
    <row r="182" spans="1:8">
      <c r="A182" s="105" t="s">
        <v>25</v>
      </c>
      <c r="B182" s="105" t="s">
        <v>24</v>
      </c>
      <c r="C182" s="105" t="s">
        <v>757</v>
      </c>
      <c r="D182" s="105" t="s">
        <v>758</v>
      </c>
      <c r="E182" s="106" t="s">
        <v>300</v>
      </c>
      <c r="F182" s="105" t="s">
        <v>301</v>
      </c>
      <c r="G182" s="107" t="s">
        <v>268</v>
      </c>
      <c r="H182" s="107" t="s">
        <v>302</v>
      </c>
    </row>
    <row r="183" spans="1:8">
      <c r="A183" s="105" t="s">
        <v>25</v>
      </c>
      <c r="B183" s="105" t="s">
        <v>24</v>
      </c>
      <c r="C183" s="105" t="s">
        <v>759</v>
      </c>
      <c r="D183" s="105" t="s">
        <v>760</v>
      </c>
      <c r="E183" s="106" t="s">
        <v>300</v>
      </c>
      <c r="F183" s="105" t="s">
        <v>301</v>
      </c>
      <c r="G183" s="107" t="s">
        <v>268</v>
      </c>
      <c r="H183" s="107" t="s">
        <v>302</v>
      </c>
    </row>
    <row r="184" spans="1:8">
      <c r="A184" s="105" t="s">
        <v>25</v>
      </c>
      <c r="B184" s="105" t="s">
        <v>24</v>
      </c>
      <c r="C184" s="105" t="s">
        <v>761</v>
      </c>
      <c r="D184" s="105" t="s">
        <v>762</v>
      </c>
      <c r="E184" s="106" t="s">
        <v>300</v>
      </c>
      <c r="F184" s="105" t="s">
        <v>301</v>
      </c>
      <c r="G184" s="107" t="s">
        <v>268</v>
      </c>
      <c r="H184" s="107" t="s">
        <v>302</v>
      </c>
    </row>
    <row r="185" spans="1:8">
      <c r="A185" s="105" t="s">
        <v>25</v>
      </c>
      <c r="B185" s="105" t="s">
        <v>24</v>
      </c>
      <c r="C185" s="105" t="s">
        <v>763</v>
      </c>
      <c r="D185" s="105" t="s">
        <v>764</v>
      </c>
      <c r="E185" s="106" t="s">
        <v>300</v>
      </c>
      <c r="F185" s="105" t="s">
        <v>301</v>
      </c>
      <c r="G185" s="107" t="s">
        <v>268</v>
      </c>
      <c r="H185" s="107" t="s">
        <v>302</v>
      </c>
    </row>
    <row r="186" spans="1:8">
      <c r="A186" s="105" t="s">
        <v>25</v>
      </c>
      <c r="B186" s="105" t="s">
        <v>24</v>
      </c>
      <c r="C186" s="105" t="s">
        <v>765</v>
      </c>
      <c r="D186" s="105" t="s">
        <v>766</v>
      </c>
      <c r="E186" s="106" t="s">
        <v>300</v>
      </c>
      <c r="F186" s="105" t="s">
        <v>301</v>
      </c>
      <c r="G186" s="107" t="s">
        <v>268</v>
      </c>
      <c r="H186" s="107" t="s">
        <v>302</v>
      </c>
    </row>
    <row r="187" spans="1:8">
      <c r="A187" s="105" t="s">
        <v>25</v>
      </c>
      <c r="B187" s="105" t="s">
        <v>24</v>
      </c>
      <c r="C187" s="105" t="s">
        <v>767</v>
      </c>
      <c r="D187" s="105" t="s">
        <v>768</v>
      </c>
      <c r="E187" s="106" t="s">
        <v>300</v>
      </c>
      <c r="F187" s="105" t="s">
        <v>301</v>
      </c>
      <c r="G187" s="107" t="s">
        <v>268</v>
      </c>
      <c r="H187" s="107" t="s">
        <v>302</v>
      </c>
    </row>
    <row r="188" spans="1:8">
      <c r="A188" s="105" t="s">
        <v>25</v>
      </c>
      <c r="B188" s="105" t="s">
        <v>24</v>
      </c>
      <c r="C188" s="105" t="s">
        <v>769</v>
      </c>
      <c r="D188" s="105" t="s">
        <v>770</v>
      </c>
      <c r="E188" s="106" t="s">
        <v>300</v>
      </c>
      <c r="F188" s="105" t="s">
        <v>301</v>
      </c>
      <c r="G188" s="107" t="s">
        <v>268</v>
      </c>
      <c r="H188" s="107" t="s">
        <v>302</v>
      </c>
    </row>
    <row r="189" spans="1:8">
      <c r="A189" s="105" t="s">
        <v>25</v>
      </c>
      <c r="B189" s="105" t="s">
        <v>24</v>
      </c>
      <c r="C189" s="105" t="s">
        <v>771</v>
      </c>
      <c r="D189" s="105" t="s">
        <v>640</v>
      </c>
      <c r="E189" s="106" t="s">
        <v>300</v>
      </c>
      <c r="F189" s="105" t="s">
        <v>301</v>
      </c>
      <c r="G189" s="107" t="s">
        <v>268</v>
      </c>
      <c r="H189" s="107" t="s">
        <v>302</v>
      </c>
    </row>
    <row r="190" spans="1:8">
      <c r="A190" s="105" t="s">
        <v>25</v>
      </c>
      <c r="B190" s="105" t="s">
        <v>24</v>
      </c>
      <c r="C190" s="105" t="s">
        <v>772</v>
      </c>
      <c r="D190" s="105" t="s">
        <v>773</v>
      </c>
      <c r="E190" s="106" t="s">
        <v>300</v>
      </c>
      <c r="F190" s="105" t="s">
        <v>301</v>
      </c>
      <c r="G190" s="107" t="s">
        <v>268</v>
      </c>
      <c r="H190" s="107" t="s">
        <v>302</v>
      </c>
    </row>
    <row r="191" spans="1:8">
      <c r="A191" s="105" t="s">
        <v>25</v>
      </c>
      <c r="B191" s="105" t="s">
        <v>24</v>
      </c>
      <c r="C191" s="105" t="s">
        <v>774</v>
      </c>
      <c r="D191" s="105" t="s">
        <v>681</v>
      </c>
      <c r="E191" s="106" t="s">
        <v>300</v>
      </c>
      <c r="F191" s="105" t="s">
        <v>301</v>
      </c>
      <c r="G191" s="107" t="s">
        <v>268</v>
      </c>
      <c r="H191" s="107" t="s">
        <v>302</v>
      </c>
    </row>
    <row r="192" spans="1:8">
      <c r="A192" s="105" t="s">
        <v>25</v>
      </c>
      <c r="B192" s="105" t="s">
        <v>24</v>
      </c>
      <c r="C192" s="105" t="s">
        <v>775</v>
      </c>
      <c r="D192" s="105" t="s">
        <v>664</v>
      </c>
      <c r="E192" s="106" t="s">
        <v>300</v>
      </c>
      <c r="F192" s="105" t="s">
        <v>301</v>
      </c>
      <c r="G192" s="107" t="s">
        <v>268</v>
      </c>
      <c r="H192" s="107" t="s">
        <v>302</v>
      </c>
    </row>
    <row r="193" spans="1:8">
      <c r="A193" s="105" t="s">
        <v>25</v>
      </c>
      <c r="B193" s="105" t="s">
        <v>24</v>
      </c>
      <c r="C193" s="105" t="s">
        <v>776</v>
      </c>
      <c r="D193" s="105" t="s">
        <v>777</v>
      </c>
      <c r="E193" s="106" t="s">
        <v>300</v>
      </c>
      <c r="F193" s="105" t="s">
        <v>301</v>
      </c>
      <c r="G193" s="107" t="s">
        <v>268</v>
      </c>
      <c r="H193" s="107" t="s">
        <v>302</v>
      </c>
    </row>
    <row r="194" spans="1:8">
      <c r="A194" s="105" t="s">
        <v>3371</v>
      </c>
      <c r="B194" s="105" t="s">
        <v>3372</v>
      </c>
      <c r="C194" s="105" t="s">
        <v>778</v>
      </c>
      <c r="D194" s="105" t="s">
        <v>779</v>
      </c>
      <c r="E194" s="106" t="s">
        <v>273</v>
      </c>
      <c r="F194" s="105" t="s">
        <v>274</v>
      </c>
      <c r="G194" s="107" t="s">
        <v>275</v>
      </c>
      <c r="H194" s="107" t="s">
        <v>276</v>
      </c>
    </row>
    <row r="195" spans="1:8">
      <c r="A195" s="105" t="s">
        <v>3371</v>
      </c>
      <c r="B195" s="105" t="s">
        <v>3372</v>
      </c>
      <c r="C195" s="105" t="s">
        <v>780</v>
      </c>
      <c r="D195" s="105" t="s">
        <v>781</v>
      </c>
      <c r="E195" s="106" t="s">
        <v>273</v>
      </c>
      <c r="F195" s="105" t="s">
        <v>274</v>
      </c>
      <c r="G195" s="107" t="s">
        <v>275</v>
      </c>
      <c r="H195" s="107" t="s">
        <v>276</v>
      </c>
    </row>
    <row r="196" spans="1:8">
      <c r="A196" s="105" t="s">
        <v>3371</v>
      </c>
      <c r="B196" s="105" t="s">
        <v>3372</v>
      </c>
      <c r="C196" s="105" t="s">
        <v>782</v>
      </c>
      <c r="D196" s="105" t="s">
        <v>783</v>
      </c>
      <c r="E196" s="106" t="s">
        <v>273</v>
      </c>
      <c r="F196" s="105" t="s">
        <v>274</v>
      </c>
      <c r="G196" s="107" t="s">
        <v>275</v>
      </c>
      <c r="H196" s="107" t="s">
        <v>276</v>
      </c>
    </row>
    <row r="197" spans="1:8">
      <c r="A197" s="105" t="s">
        <v>3371</v>
      </c>
      <c r="B197" s="105" t="s">
        <v>3372</v>
      </c>
      <c r="C197" s="105" t="s">
        <v>784</v>
      </c>
      <c r="D197" s="105" t="s">
        <v>785</v>
      </c>
      <c r="E197" s="106" t="s">
        <v>273</v>
      </c>
      <c r="F197" s="105" t="s">
        <v>274</v>
      </c>
      <c r="G197" s="107" t="s">
        <v>275</v>
      </c>
      <c r="H197" s="107" t="s">
        <v>276</v>
      </c>
    </row>
    <row r="198" spans="1:8">
      <c r="A198" s="105" t="s">
        <v>3371</v>
      </c>
      <c r="B198" s="105" t="s">
        <v>3372</v>
      </c>
      <c r="C198" s="105" t="s">
        <v>786</v>
      </c>
      <c r="D198" s="105" t="s">
        <v>393</v>
      </c>
      <c r="E198" s="106" t="s">
        <v>273</v>
      </c>
      <c r="F198" s="105" t="s">
        <v>274</v>
      </c>
      <c r="G198" s="107" t="s">
        <v>275</v>
      </c>
      <c r="H198" s="107" t="s">
        <v>276</v>
      </c>
    </row>
    <row r="199" spans="1:8">
      <c r="A199" s="105" t="s">
        <v>3371</v>
      </c>
      <c r="B199" s="105" t="s">
        <v>3372</v>
      </c>
      <c r="C199" s="105" t="s">
        <v>787</v>
      </c>
      <c r="D199" s="105" t="s">
        <v>788</v>
      </c>
      <c r="E199" s="106" t="s">
        <v>273</v>
      </c>
      <c r="F199" s="105" t="s">
        <v>274</v>
      </c>
      <c r="G199" s="107" t="s">
        <v>275</v>
      </c>
      <c r="H199" s="107" t="s">
        <v>276</v>
      </c>
    </row>
    <row r="200" spans="1:8">
      <c r="A200" s="105" t="s">
        <v>3371</v>
      </c>
      <c r="B200" s="105" t="s">
        <v>3372</v>
      </c>
      <c r="C200" s="105" t="s">
        <v>789</v>
      </c>
      <c r="D200" s="105" t="s">
        <v>790</v>
      </c>
      <c r="E200" s="106" t="s">
        <v>273</v>
      </c>
      <c r="F200" s="105" t="s">
        <v>274</v>
      </c>
      <c r="G200" s="107" t="s">
        <v>275</v>
      </c>
      <c r="H200" s="107" t="s">
        <v>276</v>
      </c>
    </row>
    <row r="201" spans="1:8">
      <c r="A201" s="105" t="s">
        <v>3371</v>
      </c>
      <c r="B201" s="105" t="s">
        <v>3372</v>
      </c>
      <c r="C201" s="105" t="s">
        <v>791</v>
      </c>
      <c r="D201" s="105" t="s">
        <v>792</v>
      </c>
      <c r="E201" s="106" t="s">
        <v>273</v>
      </c>
      <c r="F201" s="105" t="s">
        <v>274</v>
      </c>
      <c r="G201" s="107" t="s">
        <v>275</v>
      </c>
      <c r="H201" s="107" t="s">
        <v>276</v>
      </c>
    </row>
    <row r="202" spans="1:8">
      <c r="A202" s="105" t="s">
        <v>3371</v>
      </c>
      <c r="B202" s="105" t="s">
        <v>3372</v>
      </c>
      <c r="C202" s="105" t="s">
        <v>793</v>
      </c>
      <c r="D202" s="105" t="s">
        <v>794</v>
      </c>
      <c r="E202" s="106" t="s">
        <v>273</v>
      </c>
      <c r="F202" s="105" t="s">
        <v>274</v>
      </c>
      <c r="G202" s="107" t="s">
        <v>275</v>
      </c>
      <c r="H202" s="107" t="s">
        <v>276</v>
      </c>
    </row>
    <row r="203" spans="1:8">
      <c r="A203" s="105" t="s">
        <v>3371</v>
      </c>
      <c r="B203" s="105" t="s">
        <v>3372</v>
      </c>
      <c r="C203" s="105" t="s">
        <v>795</v>
      </c>
      <c r="D203" s="105" t="s">
        <v>681</v>
      </c>
      <c r="E203" s="106" t="s">
        <v>273</v>
      </c>
      <c r="F203" s="105" t="s">
        <v>274</v>
      </c>
      <c r="G203" s="107" t="s">
        <v>275</v>
      </c>
      <c r="H203" s="107" t="s">
        <v>276</v>
      </c>
    </row>
    <row r="204" spans="1:8">
      <c r="A204" s="105" t="s">
        <v>3371</v>
      </c>
      <c r="B204" s="105" t="s">
        <v>3372</v>
      </c>
      <c r="C204" s="105" t="s">
        <v>796</v>
      </c>
      <c r="D204" s="105" t="s">
        <v>664</v>
      </c>
      <c r="E204" s="106" t="s">
        <v>273</v>
      </c>
      <c r="F204" s="105" t="s">
        <v>274</v>
      </c>
      <c r="G204" s="107" t="s">
        <v>275</v>
      </c>
      <c r="H204" s="107" t="s">
        <v>276</v>
      </c>
    </row>
    <row r="205" spans="1:8">
      <c r="A205" s="105" t="s">
        <v>3371</v>
      </c>
      <c r="B205" s="105" t="s">
        <v>3372</v>
      </c>
      <c r="C205" s="105" t="s">
        <v>797</v>
      </c>
      <c r="D205" s="105" t="s">
        <v>798</v>
      </c>
      <c r="E205" s="106" t="s">
        <v>273</v>
      </c>
      <c r="F205" s="105" t="s">
        <v>274</v>
      </c>
      <c r="G205" s="107" t="s">
        <v>275</v>
      </c>
      <c r="H205" s="107" t="s">
        <v>276</v>
      </c>
    </row>
    <row r="206" spans="1:8">
      <c r="A206" s="105" t="s">
        <v>3373</v>
      </c>
      <c r="B206" s="105" t="s">
        <v>3374</v>
      </c>
      <c r="C206" s="105" t="s">
        <v>799</v>
      </c>
      <c r="D206" s="105" t="s">
        <v>800</v>
      </c>
      <c r="E206" s="106" t="s">
        <v>273</v>
      </c>
      <c r="F206" s="105" t="s">
        <v>274</v>
      </c>
      <c r="G206" s="107" t="s">
        <v>275</v>
      </c>
      <c r="H206" s="107" t="s">
        <v>276</v>
      </c>
    </row>
    <row r="207" spans="1:8">
      <c r="A207" s="105" t="s">
        <v>3373</v>
      </c>
      <c r="B207" s="105" t="s">
        <v>3374</v>
      </c>
      <c r="C207" s="105" t="s">
        <v>801</v>
      </c>
      <c r="D207" s="105" t="s">
        <v>802</v>
      </c>
      <c r="E207" s="106" t="s">
        <v>273</v>
      </c>
      <c r="F207" s="105" t="s">
        <v>274</v>
      </c>
      <c r="G207" s="107" t="s">
        <v>275</v>
      </c>
      <c r="H207" s="107" t="s">
        <v>276</v>
      </c>
    </row>
    <row r="208" spans="1:8">
      <c r="A208" s="105" t="s">
        <v>3375</v>
      </c>
      <c r="B208" s="105" t="s">
        <v>3376</v>
      </c>
      <c r="C208" s="105" t="s">
        <v>803</v>
      </c>
      <c r="D208" s="105" t="s">
        <v>804</v>
      </c>
      <c r="E208" s="106" t="s">
        <v>309</v>
      </c>
      <c r="F208" s="105" t="s">
        <v>310</v>
      </c>
      <c r="G208" s="107" t="s">
        <v>311</v>
      </c>
      <c r="H208" s="107" t="s">
        <v>312</v>
      </c>
    </row>
    <row r="209" spans="1:8">
      <c r="A209" s="105" t="s">
        <v>3375</v>
      </c>
      <c r="B209" s="105" t="s">
        <v>3376</v>
      </c>
      <c r="C209" s="105" t="s">
        <v>805</v>
      </c>
      <c r="D209" s="105" t="s">
        <v>806</v>
      </c>
      <c r="E209" s="106" t="s">
        <v>309</v>
      </c>
      <c r="F209" s="105" t="s">
        <v>310</v>
      </c>
      <c r="G209" s="107" t="s">
        <v>311</v>
      </c>
      <c r="H209" s="107" t="s">
        <v>312</v>
      </c>
    </row>
    <row r="210" spans="1:8">
      <c r="A210" s="105" t="s">
        <v>3375</v>
      </c>
      <c r="B210" s="105" t="s">
        <v>3376</v>
      </c>
      <c r="C210" s="105" t="s">
        <v>807</v>
      </c>
      <c r="D210" s="105" t="s">
        <v>808</v>
      </c>
      <c r="E210" s="106" t="s">
        <v>309</v>
      </c>
      <c r="F210" s="105" t="s">
        <v>310</v>
      </c>
      <c r="G210" s="107" t="s">
        <v>311</v>
      </c>
      <c r="H210" s="107" t="s">
        <v>312</v>
      </c>
    </row>
    <row r="211" spans="1:8">
      <c r="A211" s="105" t="s">
        <v>3375</v>
      </c>
      <c r="B211" s="105" t="s">
        <v>3376</v>
      </c>
      <c r="C211" s="105" t="s">
        <v>809</v>
      </c>
      <c r="D211" s="105" t="s">
        <v>810</v>
      </c>
      <c r="E211" s="106" t="s">
        <v>309</v>
      </c>
      <c r="F211" s="105" t="s">
        <v>310</v>
      </c>
      <c r="G211" s="107" t="s">
        <v>311</v>
      </c>
      <c r="H211" s="107" t="s">
        <v>312</v>
      </c>
    </row>
    <row r="212" spans="1:8">
      <c r="A212" s="105" t="s">
        <v>3377</v>
      </c>
      <c r="B212" s="105" t="s">
        <v>3378</v>
      </c>
      <c r="C212" s="105" t="s">
        <v>811</v>
      </c>
      <c r="D212" s="105" t="s">
        <v>812</v>
      </c>
      <c r="E212" s="106" t="s">
        <v>813</v>
      </c>
      <c r="F212" s="105" t="s">
        <v>814</v>
      </c>
      <c r="G212" s="107" t="s">
        <v>275</v>
      </c>
      <c r="H212" s="107" t="s">
        <v>815</v>
      </c>
    </row>
    <row r="213" spans="1:8">
      <c r="A213" s="105" t="s">
        <v>3377</v>
      </c>
      <c r="B213" s="105" t="s">
        <v>3378</v>
      </c>
      <c r="C213" s="105" t="s">
        <v>816</v>
      </c>
      <c r="D213" s="105" t="s">
        <v>817</v>
      </c>
      <c r="E213" s="106" t="s">
        <v>813</v>
      </c>
      <c r="F213" s="105" t="s">
        <v>814</v>
      </c>
      <c r="G213" s="107" t="s">
        <v>275</v>
      </c>
      <c r="H213" s="107" t="s">
        <v>815</v>
      </c>
    </row>
    <row r="214" spans="1:8">
      <c r="A214" s="105" t="s">
        <v>3377</v>
      </c>
      <c r="B214" s="105" t="s">
        <v>3378</v>
      </c>
      <c r="C214" s="105" t="s">
        <v>818</v>
      </c>
      <c r="D214" s="105" t="s">
        <v>819</v>
      </c>
      <c r="E214" s="106" t="s">
        <v>820</v>
      </c>
      <c r="F214" s="105" t="s">
        <v>821</v>
      </c>
      <c r="G214" s="107" t="s">
        <v>822</v>
      </c>
      <c r="H214" s="107" t="s">
        <v>823</v>
      </c>
    </row>
    <row r="215" spans="1:8">
      <c r="A215" s="105" t="s">
        <v>3377</v>
      </c>
      <c r="B215" s="105" t="s">
        <v>3378</v>
      </c>
      <c r="C215" s="105" t="s">
        <v>824</v>
      </c>
      <c r="D215" s="105" t="s">
        <v>825</v>
      </c>
      <c r="E215" s="106" t="s">
        <v>813</v>
      </c>
      <c r="F215" s="105" t="s">
        <v>814</v>
      </c>
      <c r="G215" s="107" t="s">
        <v>275</v>
      </c>
      <c r="H215" s="107" t="s">
        <v>815</v>
      </c>
    </row>
    <row r="216" spans="1:8">
      <c r="A216" s="105" t="s">
        <v>3377</v>
      </c>
      <c r="B216" s="105" t="s">
        <v>3378</v>
      </c>
      <c r="C216" s="105" t="s">
        <v>826</v>
      </c>
      <c r="D216" s="105" t="s">
        <v>827</v>
      </c>
      <c r="E216" s="106" t="s">
        <v>813</v>
      </c>
      <c r="F216" s="105" t="s">
        <v>814</v>
      </c>
      <c r="G216" s="107" t="s">
        <v>275</v>
      </c>
      <c r="H216" s="107" t="s">
        <v>815</v>
      </c>
    </row>
    <row r="217" spans="1:8">
      <c r="A217" s="105" t="s">
        <v>3377</v>
      </c>
      <c r="B217" s="105" t="s">
        <v>3378</v>
      </c>
      <c r="C217" s="105" t="s">
        <v>828</v>
      </c>
      <c r="D217" s="105" t="s">
        <v>829</v>
      </c>
      <c r="E217" s="106" t="s">
        <v>813</v>
      </c>
      <c r="F217" s="105" t="s">
        <v>814</v>
      </c>
      <c r="G217" s="107" t="s">
        <v>275</v>
      </c>
      <c r="H217" s="107" t="s">
        <v>815</v>
      </c>
    </row>
    <row r="218" spans="1:8">
      <c r="A218" s="105" t="s">
        <v>3377</v>
      </c>
      <c r="B218" s="105" t="s">
        <v>3378</v>
      </c>
      <c r="C218" s="105" t="s">
        <v>830</v>
      </c>
      <c r="D218" s="105" t="s">
        <v>831</v>
      </c>
      <c r="E218" s="106" t="s">
        <v>813</v>
      </c>
      <c r="F218" s="105" t="s">
        <v>814</v>
      </c>
      <c r="G218" s="107" t="s">
        <v>275</v>
      </c>
      <c r="H218" s="107" t="s">
        <v>815</v>
      </c>
    </row>
    <row r="219" spans="1:8">
      <c r="A219" s="105" t="s">
        <v>3377</v>
      </c>
      <c r="B219" s="105" t="s">
        <v>3378</v>
      </c>
      <c r="C219" s="105" t="s">
        <v>830</v>
      </c>
      <c r="D219" s="105" t="s">
        <v>831</v>
      </c>
      <c r="E219" s="106" t="s">
        <v>280</v>
      </c>
      <c r="F219" s="105" t="s">
        <v>281</v>
      </c>
      <c r="G219" s="107" t="s">
        <v>268</v>
      </c>
      <c r="H219" s="107" t="s">
        <v>282</v>
      </c>
    </row>
    <row r="220" spans="1:8">
      <c r="A220" s="105" t="s">
        <v>3377</v>
      </c>
      <c r="B220" s="105" t="s">
        <v>3378</v>
      </c>
      <c r="C220" s="105" t="s">
        <v>832</v>
      </c>
      <c r="D220" s="105" t="s">
        <v>833</v>
      </c>
      <c r="E220" s="106" t="s">
        <v>813</v>
      </c>
      <c r="F220" s="105" t="s">
        <v>814</v>
      </c>
      <c r="G220" s="107" t="s">
        <v>275</v>
      </c>
      <c r="H220" s="107" t="s">
        <v>815</v>
      </c>
    </row>
    <row r="221" spans="1:8">
      <c r="A221" s="105" t="s">
        <v>3377</v>
      </c>
      <c r="B221" s="105" t="s">
        <v>3378</v>
      </c>
      <c r="C221" s="105" t="s">
        <v>834</v>
      </c>
      <c r="D221" s="105" t="s">
        <v>835</v>
      </c>
      <c r="E221" s="106" t="s">
        <v>813</v>
      </c>
      <c r="F221" s="105" t="s">
        <v>814</v>
      </c>
      <c r="G221" s="107" t="s">
        <v>275</v>
      </c>
      <c r="H221" s="107" t="s">
        <v>815</v>
      </c>
    </row>
    <row r="222" spans="1:8">
      <c r="A222" s="105" t="s">
        <v>3377</v>
      </c>
      <c r="B222" s="105" t="s">
        <v>3378</v>
      </c>
      <c r="C222" s="105" t="s">
        <v>836</v>
      </c>
      <c r="D222" s="105" t="s">
        <v>837</v>
      </c>
      <c r="E222" s="106" t="s">
        <v>813</v>
      </c>
      <c r="F222" s="105" t="s">
        <v>814</v>
      </c>
      <c r="G222" s="107" t="s">
        <v>275</v>
      </c>
      <c r="H222" s="107" t="s">
        <v>815</v>
      </c>
    </row>
    <row r="223" spans="1:8">
      <c r="A223" s="105" t="s">
        <v>3377</v>
      </c>
      <c r="B223" s="105" t="s">
        <v>3378</v>
      </c>
      <c r="C223" s="105" t="s">
        <v>838</v>
      </c>
      <c r="D223" s="105" t="s">
        <v>839</v>
      </c>
      <c r="E223" s="106" t="s">
        <v>813</v>
      </c>
      <c r="F223" s="105" t="s">
        <v>814</v>
      </c>
      <c r="G223" s="107" t="s">
        <v>275</v>
      </c>
      <c r="H223" s="107" t="s">
        <v>815</v>
      </c>
    </row>
    <row r="224" spans="1:8">
      <c r="A224" s="105" t="s">
        <v>3377</v>
      </c>
      <c r="B224" s="105" t="s">
        <v>3378</v>
      </c>
      <c r="C224" s="105" t="s">
        <v>840</v>
      </c>
      <c r="D224" s="105" t="s">
        <v>841</v>
      </c>
      <c r="E224" s="106" t="s">
        <v>280</v>
      </c>
      <c r="F224" s="105" t="s">
        <v>281</v>
      </c>
      <c r="G224" s="107" t="s">
        <v>268</v>
      </c>
      <c r="H224" s="107" t="s">
        <v>282</v>
      </c>
    </row>
    <row r="225" spans="1:8">
      <c r="A225" s="105" t="s">
        <v>3377</v>
      </c>
      <c r="B225" s="105" t="s">
        <v>3378</v>
      </c>
      <c r="C225" s="105" t="s">
        <v>842</v>
      </c>
      <c r="D225" s="105" t="s">
        <v>689</v>
      </c>
      <c r="E225" s="106" t="s">
        <v>280</v>
      </c>
      <c r="F225" s="105" t="s">
        <v>281</v>
      </c>
      <c r="G225" s="107" t="s">
        <v>268</v>
      </c>
      <c r="H225" s="107" t="s">
        <v>282</v>
      </c>
    </row>
    <row r="226" spans="1:8">
      <c r="A226" s="105" t="s">
        <v>3377</v>
      </c>
      <c r="B226" s="105" t="s">
        <v>3378</v>
      </c>
      <c r="C226" s="105" t="s">
        <v>843</v>
      </c>
      <c r="D226" s="105" t="s">
        <v>844</v>
      </c>
      <c r="E226" s="106" t="s">
        <v>813</v>
      </c>
      <c r="F226" s="105" t="s">
        <v>814</v>
      </c>
      <c r="G226" s="107" t="s">
        <v>275</v>
      </c>
      <c r="H226" s="107" t="s">
        <v>815</v>
      </c>
    </row>
    <row r="227" spans="1:8">
      <c r="A227" s="105" t="s">
        <v>3379</v>
      </c>
      <c r="B227" s="105" t="s">
        <v>3380</v>
      </c>
      <c r="C227" s="105" t="s">
        <v>845</v>
      </c>
      <c r="D227" s="105" t="s">
        <v>846</v>
      </c>
      <c r="E227" s="106" t="s">
        <v>273</v>
      </c>
      <c r="F227" s="105" t="s">
        <v>274</v>
      </c>
      <c r="G227" s="107" t="s">
        <v>275</v>
      </c>
      <c r="H227" s="107" t="s">
        <v>276</v>
      </c>
    </row>
    <row r="228" spans="1:8">
      <c r="A228" s="105" t="s">
        <v>3379</v>
      </c>
      <c r="B228" s="105" t="s">
        <v>3380</v>
      </c>
      <c r="C228" s="105" t="s">
        <v>847</v>
      </c>
      <c r="D228" s="105" t="s">
        <v>848</v>
      </c>
      <c r="E228" s="106" t="s">
        <v>273</v>
      </c>
      <c r="F228" s="105" t="s">
        <v>274</v>
      </c>
      <c r="G228" s="107" t="s">
        <v>275</v>
      </c>
      <c r="H228" s="107" t="s">
        <v>276</v>
      </c>
    </row>
    <row r="229" spans="1:8">
      <c r="A229" s="105" t="s">
        <v>3381</v>
      </c>
      <c r="B229" s="105" t="s">
        <v>3382</v>
      </c>
      <c r="C229" s="105" t="s">
        <v>849</v>
      </c>
      <c r="D229" s="105" t="s">
        <v>850</v>
      </c>
      <c r="E229" s="106" t="s">
        <v>813</v>
      </c>
      <c r="F229" s="105" t="s">
        <v>814</v>
      </c>
      <c r="G229" s="107" t="s">
        <v>275</v>
      </c>
      <c r="H229" s="107" t="s">
        <v>815</v>
      </c>
    </row>
    <row r="230" spans="1:8">
      <c r="A230" s="105" t="s">
        <v>3381</v>
      </c>
      <c r="B230" s="105" t="s">
        <v>3382</v>
      </c>
      <c r="C230" s="105" t="s">
        <v>851</v>
      </c>
      <c r="D230" s="105" t="s">
        <v>852</v>
      </c>
      <c r="E230" s="106" t="s">
        <v>813</v>
      </c>
      <c r="F230" s="105" t="s">
        <v>814</v>
      </c>
      <c r="G230" s="107" t="s">
        <v>275</v>
      </c>
      <c r="H230" s="107" t="s">
        <v>815</v>
      </c>
    </row>
    <row r="231" spans="1:8">
      <c r="A231" s="105" t="s">
        <v>3381</v>
      </c>
      <c r="B231" s="105" t="s">
        <v>3382</v>
      </c>
      <c r="C231" s="105" t="s">
        <v>853</v>
      </c>
      <c r="D231" s="105" t="s">
        <v>854</v>
      </c>
      <c r="E231" s="106" t="s">
        <v>813</v>
      </c>
      <c r="F231" s="105" t="s">
        <v>814</v>
      </c>
      <c r="G231" s="107" t="s">
        <v>275</v>
      </c>
      <c r="H231" s="107" t="s">
        <v>815</v>
      </c>
    </row>
    <row r="232" spans="1:8">
      <c r="A232" s="105" t="s">
        <v>3381</v>
      </c>
      <c r="B232" s="105" t="s">
        <v>3382</v>
      </c>
      <c r="C232" s="105" t="s">
        <v>855</v>
      </c>
      <c r="D232" s="105" t="s">
        <v>856</v>
      </c>
      <c r="E232" s="106" t="s">
        <v>813</v>
      </c>
      <c r="F232" s="105" t="s">
        <v>814</v>
      </c>
      <c r="G232" s="107" t="s">
        <v>275</v>
      </c>
      <c r="H232" s="107" t="s">
        <v>815</v>
      </c>
    </row>
    <row r="233" spans="1:8">
      <c r="A233" s="105" t="s">
        <v>3381</v>
      </c>
      <c r="B233" s="105" t="s">
        <v>3382</v>
      </c>
      <c r="C233" s="105" t="s">
        <v>857</v>
      </c>
      <c r="D233" s="105" t="s">
        <v>858</v>
      </c>
      <c r="E233" s="106" t="s">
        <v>813</v>
      </c>
      <c r="F233" s="105" t="s">
        <v>814</v>
      </c>
      <c r="G233" s="107" t="s">
        <v>275</v>
      </c>
      <c r="H233" s="107" t="s">
        <v>815</v>
      </c>
    </row>
    <row r="234" spans="1:8">
      <c r="A234" s="105" t="s">
        <v>3381</v>
      </c>
      <c r="B234" s="105" t="s">
        <v>3382</v>
      </c>
      <c r="C234" s="105" t="s">
        <v>859</v>
      </c>
      <c r="D234" s="105" t="s">
        <v>860</v>
      </c>
      <c r="E234" s="106" t="s">
        <v>813</v>
      </c>
      <c r="F234" s="105" t="s">
        <v>814</v>
      </c>
      <c r="G234" s="107" t="s">
        <v>275</v>
      </c>
      <c r="H234" s="107" t="s">
        <v>815</v>
      </c>
    </row>
    <row r="235" spans="1:8">
      <c r="A235" s="105" t="s">
        <v>3383</v>
      </c>
      <c r="B235" s="105" t="s">
        <v>3384</v>
      </c>
      <c r="C235" s="105" t="s">
        <v>861</v>
      </c>
      <c r="D235" s="105" t="s">
        <v>862</v>
      </c>
      <c r="E235" s="106" t="s">
        <v>280</v>
      </c>
      <c r="F235" s="105" t="s">
        <v>281</v>
      </c>
      <c r="G235" s="107" t="s">
        <v>268</v>
      </c>
      <c r="H235" s="107" t="s">
        <v>282</v>
      </c>
    </row>
    <row r="236" spans="1:8">
      <c r="A236" s="105" t="s">
        <v>3383</v>
      </c>
      <c r="B236" s="105" t="s">
        <v>3384</v>
      </c>
      <c r="C236" s="105" t="s">
        <v>863</v>
      </c>
      <c r="D236" s="105" t="s">
        <v>864</v>
      </c>
      <c r="E236" s="106" t="s">
        <v>280</v>
      </c>
      <c r="F236" s="105" t="s">
        <v>281</v>
      </c>
      <c r="G236" s="107" t="s">
        <v>268</v>
      </c>
      <c r="H236" s="107" t="s">
        <v>282</v>
      </c>
    </row>
    <row r="237" spans="1:8">
      <c r="A237" s="105" t="s">
        <v>3383</v>
      </c>
      <c r="B237" s="105" t="s">
        <v>3384</v>
      </c>
      <c r="C237" s="105" t="s">
        <v>865</v>
      </c>
      <c r="D237" s="105" t="s">
        <v>866</v>
      </c>
      <c r="E237" s="106" t="s">
        <v>280</v>
      </c>
      <c r="F237" s="105" t="s">
        <v>281</v>
      </c>
      <c r="G237" s="107" t="s">
        <v>268</v>
      </c>
      <c r="H237" s="107" t="s">
        <v>282</v>
      </c>
    </row>
    <row r="238" spans="1:8">
      <c r="A238" s="105" t="s">
        <v>3383</v>
      </c>
      <c r="B238" s="105" t="s">
        <v>3384</v>
      </c>
      <c r="C238" s="105" t="s">
        <v>867</v>
      </c>
      <c r="D238" s="105" t="s">
        <v>868</v>
      </c>
      <c r="E238" s="106" t="s">
        <v>280</v>
      </c>
      <c r="F238" s="105" t="s">
        <v>281</v>
      </c>
      <c r="G238" s="107" t="s">
        <v>268</v>
      </c>
      <c r="H238" s="107" t="s">
        <v>282</v>
      </c>
    </row>
    <row r="239" spans="1:8">
      <c r="A239" s="105" t="s">
        <v>3383</v>
      </c>
      <c r="B239" s="105" t="s">
        <v>3384</v>
      </c>
      <c r="C239" s="105" t="s">
        <v>869</v>
      </c>
      <c r="D239" s="105" t="s">
        <v>870</v>
      </c>
      <c r="E239" s="106" t="s">
        <v>280</v>
      </c>
      <c r="F239" s="105" t="s">
        <v>281</v>
      </c>
      <c r="G239" s="107" t="s">
        <v>268</v>
      </c>
      <c r="H239" s="107" t="s">
        <v>282</v>
      </c>
    </row>
    <row r="240" spans="1:8">
      <c r="A240" s="105" t="s">
        <v>3383</v>
      </c>
      <c r="B240" s="105" t="s">
        <v>3384</v>
      </c>
      <c r="C240" s="105" t="s">
        <v>871</v>
      </c>
      <c r="D240" s="105" t="s">
        <v>872</v>
      </c>
      <c r="E240" s="106" t="s">
        <v>280</v>
      </c>
      <c r="F240" s="105" t="s">
        <v>281</v>
      </c>
      <c r="G240" s="107" t="s">
        <v>268</v>
      </c>
      <c r="H240" s="107" t="s">
        <v>282</v>
      </c>
    </row>
    <row r="241" spans="1:8">
      <c r="A241" s="105" t="s">
        <v>3383</v>
      </c>
      <c r="B241" s="105" t="s">
        <v>3384</v>
      </c>
      <c r="C241" s="105" t="s">
        <v>873</v>
      </c>
      <c r="D241" s="105" t="s">
        <v>874</v>
      </c>
      <c r="E241" s="106" t="s">
        <v>280</v>
      </c>
      <c r="F241" s="105" t="s">
        <v>281</v>
      </c>
      <c r="G241" s="107" t="s">
        <v>268</v>
      </c>
      <c r="H241" s="107" t="s">
        <v>282</v>
      </c>
    </row>
    <row r="242" spans="1:8">
      <c r="A242" s="105" t="s">
        <v>3383</v>
      </c>
      <c r="B242" s="105" t="s">
        <v>3384</v>
      </c>
      <c r="C242" s="105" t="s">
        <v>875</v>
      </c>
      <c r="D242" s="105" t="s">
        <v>773</v>
      </c>
      <c r="E242" s="106" t="s">
        <v>280</v>
      </c>
      <c r="F242" s="105" t="s">
        <v>281</v>
      </c>
      <c r="G242" s="107" t="s">
        <v>268</v>
      </c>
      <c r="H242" s="107" t="s">
        <v>282</v>
      </c>
    </row>
    <row r="243" spans="1:8">
      <c r="A243" s="105" t="s">
        <v>3385</v>
      </c>
      <c r="B243" s="105" t="s">
        <v>3386</v>
      </c>
      <c r="C243" s="105" t="s">
        <v>876</v>
      </c>
      <c r="D243" s="105" t="s">
        <v>877</v>
      </c>
      <c r="E243" s="106" t="s">
        <v>300</v>
      </c>
      <c r="F243" s="105" t="s">
        <v>301</v>
      </c>
      <c r="G243" s="107" t="s">
        <v>268</v>
      </c>
      <c r="H243" s="107" t="s">
        <v>302</v>
      </c>
    </row>
    <row r="244" spans="1:8">
      <c r="A244" s="105" t="s">
        <v>3385</v>
      </c>
      <c r="B244" s="105" t="s">
        <v>3386</v>
      </c>
      <c r="C244" s="105" t="s">
        <v>878</v>
      </c>
      <c r="D244" s="105" t="s">
        <v>879</v>
      </c>
      <c r="E244" s="106" t="s">
        <v>273</v>
      </c>
      <c r="F244" s="105" t="s">
        <v>274</v>
      </c>
      <c r="G244" s="107" t="s">
        <v>275</v>
      </c>
      <c r="H244" s="107" t="s">
        <v>276</v>
      </c>
    </row>
    <row r="245" spans="1:8">
      <c r="A245" s="105" t="s">
        <v>3385</v>
      </c>
      <c r="B245" s="105" t="s">
        <v>3386</v>
      </c>
      <c r="C245" s="105" t="s">
        <v>878</v>
      </c>
      <c r="D245" s="105" t="s">
        <v>879</v>
      </c>
      <c r="E245" s="106" t="s">
        <v>300</v>
      </c>
      <c r="F245" s="105" t="s">
        <v>301</v>
      </c>
      <c r="G245" s="107" t="s">
        <v>268</v>
      </c>
      <c r="H245" s="107" t="s">
        <v>302</v>
      </c>
    </row>
    <row r="246" spans="1:8">
      <c r="A246" s="105" t="s">
        <v>3385</v>
      </c>
      <c r="B246" s="105" t="s">
        <v>3386</v>
      </c>
      <c r="C246" s="105" t="s">
        <v>880</v>
      </c>
      <c r="D246" s="105" t="s">
        <v>881</v>
      </c>
      <c r="E246" s="106" t="s">
        <v>300</v>
      </c>
      <c r="F246" s="105" t="s">
        <v>301</v>
      </c>
      <c r="G246" s="107" t="s">
        <v>268</v>
      </c>
      <c r="H246" s="107" t="s">
        <v>302</v>
      </c>
    </row>
    <row r="247" spans="1:8">
      <c r="A247" s="105" t="s">
        <v>3385</v>
      </c>
      <c r="B247" s="105" t="s">
        <v>3386</v>
      </c>
      <c r="C247" s="105" t="s">
        <v>882</v>
      </c>
      <c r="D247" s="105" t="s">
        <v>883</v>
      </c>
      <c r="E247" s="106" t="s">
        <v>300</v>
      </c>
      <c r="F247" s="105" t="s">
        <v>301</v>
      </c>
      <c r="G247" s="107" t="s">
        <v>268</v>
      </c>
      <c r="H247" s="107" t="s">
        <v>302</v>
      </c>
    </row>
    <row r="248" spans="1:8">
      <c r="A248" s="105" t="s">
        <v>3385</v>
      </c>
      <c r="B248" s="105" t="s">
        <v>3386</v>
      </c>
      <c r="C248" s="105" t="s">
        <v>884</v>
      </c>
      <c r="D248" s="105" t="s">
        <v>885</v>
      </c>
      <c r="E248" s="106" t="s">
        <v>300</v>
      </c>
      <c r="F248" s="105" t="s">
        <v>301</v>
      </c>
      <c r="G248" s="107" t="s">
        <v>268</v>
      </c>
      <c r="H248" s="107" t="s">
        <v>302</v>
      </c>
    </row>
    <row r="249" spans="1:8">
      <c r="A249" s="105" t="s">
        <v>3385</v>
      </c>
      <c r="B249" s="105" t="s">
        <v>3386</v>
      </c>
      <c r="C249" s="105" t="s">
        <v>886</v>
      </c>
      <c r="D249" s="105" t="s">
        <v>887</v>
      </c>
      <c r="E249" s="106" t="s">
        <v>300</v>
      </c>
      <c r="F249" s="105" t="s">
        <v>301</v>
      </c>
      <c r="G249" s="107" t="s">
        <v>268</v>
      </c>
      <c r="H249" s="107" t="s">
        <v>302</v>
      </c>
    </row>
    <row r="250" spans="1:8">
      <c r="A250" s="105" t="s">
        <v>3385</v>
      </c>
      <c r="B250" s="105" t="s">
        <v>3386</v>
      </c>
      <c r="C250" s="105" t="s">
        <v>888</v>
      </c>
      <c r="D250" s="105" t="s">
        <v>889</v>
      </c>
      <c r="E250" s="106" t="s">
        <v>300</v>
      </c>
      <c r="F250" s="105" t="s">
        <v>301</v>
      </c>
      <c r="G250" s="107" t="s">
        <v>268</v>
      </c>
      <c r="H250" s="107" t="s">
        <v>302</v>
      </c>
    </row>
    <row r="251" spans="1:8">
      <c r="A251" s="105" t="s">
        <v>3385</v>
      </c>
      <c r="B251" s="105" t="s">
        <v>3386</v>
      </c>
      <c r="C251" s="105" t="s">
        <v>890</v>
      </c>
      <c r="D251" s="105" t="s">
        <v>891</v>
      </c>
      <c r="E251" s="106" t="s">
        <v>300</v>
      </c>
      <c r="F251" s="105" t="s">
        <v>301</v>
      </c>
      <c r="G251" s="107" t="s">
        <v>268</v>
      </c>
      <c r="H251" s="107" t="s">
        <v>302</v>
      </c>
    </row>
    <row r="252" spans="1:8">
      <c r="A252" s="105" t="s">
        <v>3385</v>
      </c>
      <c r="B252" s="105" t="s">
        <v>3386</v>
      </c>
      <c r="C252" s="105" t="s">
        <v>892</v>
      </c>
      <c r="D252" s="105" t="s">
        <v>893</v>
      </c>
      <c r="E252" s="106" t="s">
        <v>300</v>
      </c>
      <c r="F252" s="105" t="s">
        <v>301</v>
      </c>
      <c r="G252" s="107" t="s">
        <v>268</v>
      </c>
      <c r="H252" s="107" t="s">
        <v>302</v>
      </c>
    </row>
    <row r="253" spans="1:8">
      <c r="A253" s="105" t="s">
        <v>3385</v>
      </c>
      <c r="B253" s="105" t="s">
        <v>3386</v>
      </c>
      <c r="C253" s="105" t="s">
        <v>894</v>
      </c>
      <c r="D253" s="105" t="s">
        <v>895</v>
      </c>
      <c r="E253" s="106" t="s">
        <v>300</v>
      </c>
      <c r="F253" s="105" t="s">
        <v>301</v>
      </c>
      <c r="G253" s="107" t="s">
        <v>268</v>
      </c>
      <c r="H253" s="107" t="s">
        <v>302</v>
      </c>
    </row>
    <row r="254" spans="1:8">
      <c r="A254" s="105" t="s">
        <v>3385</v>
      </c>
      <c r="B254" s="105" t="s">
        <v>3386</v>
      </c>
      <c r="C254" s="105" t="s">
        <v>896</v>
      </c>
      <c r="D254" s="105" t="s">
        <v>897</v>
      </c>
      <c r="E254" s="106" t="s">
        <v>300</v>
      </c>
      <c r="F254" s="105" t="s">
        <v>301</v>
      </c>
      <c r="G254" s="107" t="s">
        <v>268</v>
      </c>
      <c r="H254" s="107" t="s">
        <v>302</v>
      </c>
    </row>
    <row r="255" spans="1:8">
      <c r="A255" s="105" t="s">
        <v>3385</v>
      </c>
      <c r="B255" s="105" t="s">
        <v>3386</v>
      </c>
      <c r="C255" s="105" t="s">
        <v>898</v>
      </c>
      <c r="D255" s="105" t="s">
        <v>899</v>
      </c>
      <c r="E255" s="106" t="s">
        <v>300</v>
      </c>
      <c r="F255" s="105" t="s">
        <v>301</v>
      </c>
      <c r="G255" s="107" t="s">
        <v>268</v>
      </c>
      <c r="H255" s="107" t="s">
        <v>302</v>
      </c>
    </row>
    <row r="256" spans="1:8">
      <c r="A256" s="105" t="s">
        <v>3385</v>
      </c>
      <c r="B256" s="105" t="s">
        <v>3386</v>
      </c>
      <c r="C256" s="105" t="s">
        <v>900</v>
      </c>
      <c r="D256" s="105" t="s">
        <v>901</v>
      </c>
      <c r="E256" s="106" t="s">
        <v>300</v>
      </c>
      <c r="F256" s="105" t="s">
        <v>301</v>
      </c>
      <c r="G256" s="107" t="s">
        <v>268</v>
      </c>
      <c r="H256" s="107" t="s">
        <v>302</v>
      </c>
    </row>
    <row r="257" spans="1:8">
      <c r="A257" s="105" t="s">
        <v>3385</v>
      </c>
      <c r="B257" s="105" t="s">
        <v>3386</v>
      </c>
      <c r="C257" s="105" t="s">
        <v>902</v>
      </c>
      <c r="D257" s="105" t="s">
        <v>903</v>
      </c>
      <c r="E257" s="106" t="s">
        <v>300</v>
      </c>
      <c r="F257" s="105" t="s">
        <v>301</v>
      </c>
      <c r="G257" s="107" t="s">
        <v>268</v>
      </c>
      <c r="H257" s="107" t="s">
        <v>302</v>
      </c>
    </row>
    <row r="258" spans="1:8">
      <c r="A258" s="105" t="s">
        <v>3385</v>
      </c>
      <c r="B258" s="105" t="s">
        <v>3386</v>
      </c>
      <c r="C258" s="105" t="s">
        <v>904</v>
      </c>
      <c r="D258" s="105" t="s">
        <v>905</v>
      </c>
      <c r="E258" s="106" t="s">
        <v>300</v>
      </c>
      <c r="F258" s="105" t="s">
        <v>301</v>
      </c>
      <c r="G258" s="107" t="s">
        <v>268</v>
      </c>
      <c r="H258" s="107" t="s">
        <v>302</v>
      </c>
    </row>
    <row r="259" spans="1:8">
      <c r="A259" s="105" t="s">
        <v>3385</v>
      </c>
      <c r="B259" s="105" t="s">
        <v>3386</v>
      </c>
      <c r="C259" s="105" t="s">
        <v>906</v>
      </c>
      <c r="D259" s="105" t="s">
        <v>907</v>
      </c>
      <c r="E259" s="106" t="s">
        <v>300</v>
      </c>
      <c r="F259" s="105" t="s">
        <v>301</v>
      </c>
      <c r="G259" s="107" t="s">
        <v>268</v>
      </c>
      <c r="H259" s="107" t="s">
        <v>302</v>
      </c>
    </row>
    <row r="260" spans="1:8">
      <c r="A260" s="105" t="s">
        <v>3385</v>
      </c>
      <c r="B260" s="105" t="s">
        <v>3386</v>
      </c>
      <c r="C260" s="105" t="s">
        <v>908</v>
      </c>
      <c r="D260" s="105" t="s">
        <v>909</v>
      </c>
      <c r="E260" s="106" t="s">
        <v>300</v>
      </c>
      <c r="F260" s="105" t="s">
        <v>301</v>
      </c>
      <c r="G260" s="107" t="s">
        <v>268</v>
      </c>
      <c r="H260" s="107" t="s">
        <v>302</v>
      </c>
    </row>
    <row r="261" spans="1:8">
      <c r="A261" s="105" t="s">
        <v>3385</v>
      </c>
      <c r="B261" s="105" t="s">
        <v>3386</v>
      </c>
      <c r="C261" s="105" t="s">
        <v>910</v>
      </c>
      <c r="D261" s="105" t="s">
        <v>911</v>
      </c>
      <c r="E261" s="106" t="s">
        <v>300</v>
      </c>
      <c r="F261" s="105" t="s">
        <v>301</v>
      </c>
      <c r="G261" s="107" t="s">
        <v>268</v>
      </c>
      <c r="H261" s="107" t="s">
        <v>302</v>
      </c>
    </row>
    <row r="262" spans="1:8">
      <c r="A262" s="105" t="s">
        <v>3385</v>
      </c>
      <c r="B262" s="105" t="s">
        <v>3386</v>
      </c>
      <c r="C262" s="105" t="s">
        <v>912</v>
      </c>
      <c r="D262" s="105" t="s">
        <v>913</v>
      </c>
      <c r="E262" s="106" t="s">
        <v>300</v>
      </c>
      <c r="F262" s="105" t="s">
        <v>301</v>
      </c>
      <c r="G262" s="107" t="s">
        <v>268</v>
      </c>
      <c r="H262" s="107" t="s">
        <v>302</v>
      </c>
    </row>
    <row r="263" spans="1:8">
      <c r="A263" s="105" t="s">
        <v>3385</v>
      </c>
      <c r="B263" s="105" t="s">
        <v>3386</v>
      </c>
      <c r="C263" s="105" t="s">
        <v>914</v>
      </c>
      <c r="D263" s="105" t="s">
        <v>915</v>
      </c>
      <c r="E263" s="106" t="s">
        <v>300</v>
      </c>
      <c r="F263" s="105" t="s">
        <v>301</v>
      </c>
      <c r="G263" s="107" t="s">
        <v>268</v>
      </c>
      <c r="H263" s="107" t="s">
        <v>302</v>
      </c>
    </row>
    <row r="264" spans="1:8">
      <c r="A264" s="105" t="s">
        <v>3385</v>
      </c>
      <c r="B264" s="105" t="s">
        <v>3386</v>
      </c>
      <c r="C264" s="105" t="s">
        <v>916</v>
      </c>
      <c r="D264" s="105" t="s">
        <v>773</v>
      </c>
      <c r="E264" s="106" t="s">
        <v>300</v>
      </c>
      <c r="F264" s="105" t="s">
        <v>301</v>
      </c>
      <c r="G264" s="107" t="s">
        <v>268</v>
      </c>
      <c r="H264" s="107" t="s">
        <v>302</v>
      </c>
    </row>
    <row r="265" spans="1:8">
      <c r="A265" s="105" t="s">
        <v>3387</v>
      </c>
      <c r="B265" s="105" t="s">
        <v>3388</v>
      </c>
      <c r="C265" s="105" t="s">
        <v>917</v>
      </c>
      <c r="D265" s="105" t="s">
        <v>918</v>
      </c>
      <c r="E265" s="106" t="s">
        <v>280</v>
      </c>
      <c r="F265" s="105" t="s">
        <v>281</v>
      </c>
      <c r="G265" s="107" t="s">
        <v>268</v>
      </c>
      <c r="H265" s="107" t="s">
        <v>282</v>
      </c>
    </row>
    <row r="266" spans="1:8">
      <c r="A266" s="105" t="s">
        <v>3387</v>
      </c>
      <c r="B266" s="105" t="s">
        <v>3388</v>
      </c>
      <c r="C266" s="105" t="s">
        <v>919</v>
      </c>
      <c r="D266" s="105" t="s">
        <v>920</v>
      </c>
      <c r="E266" s="106" t="s">
        <v>280</v>
      </c>
      <c r="F266" s="105" t="s">
        <v>281</v>
      </c>
      <c r="G266" s="107" t="s">
        <v>268</v>
      </c>
      <c r="H266" s="107" t="s">
        <v>282</v>
      </c>
    </row>
    <row r="267" spans="1:8">
      <c r="A267" s="105" t="s">
        <v>3387</v>
      </c>
      <c r="B267" s="105" t="s">
        <v>3388</v>
      </c>
      <c r="C267" s="105" t="s">
        <v>921</v>
      </c>
      <c r="D267" s="105" t="s">
        <v>922</v>
      </c>
      <c r="E267" s="106" t="s">
        <v>280</v>
      </c>
      <c r="F267" s="105" t="s">
        <v>281</v>
      </c>
      <c r="G267" s="107" t="s">
        <v>268</v>
      </c>
      <c r="H267" s="107" t="s">
        <v>282</v>
      </c>
    </row>
    <row r="268" spans="1:8">
      <c r="A268" s="105" t="s">
        <v>3387</v>
      </c>
      <c r="B268" s="105" t="s">
        <v>3388</v>
      </c>
      <c r="C268" s="105" t="s">
        <v>923</v>
      </c>
      <c r="D268" s="105" t="s">
        <v>924</v>
      </c>
      <c r="E268" s="106" t="s">
        <v>280</v>
      </c>
      <c r="F268" s="105" t="s">
        <v>281</v>
      </c>
      <c r="G268" s="107" t="s">
        <v>268</v>
      </c>
      <c r="H268" s="107" t="s">
        <v>282</v>
      </c>
    </row>
    <row r="269" spans="1:8">
      <c r="A269" s="105" t="s">
        <v>3387</v>
      </c>
      <c r="B269" s="105" t="s">
        <v>3388</v>
      </c>
      <c r="C269" s="105" t="s">
        <v>925</v>
      </c>
      <c r="D269" s="105" t="s">
        <v>926</v>
      </c>
      <c r="E269" s="106" t="s">
        <v>280</v>
      </c>
      <c r="F269" s="105" t="s">
        <v>281</v>
      </c>
      <c r="G269" s="107" t="s">
        <v>268</v>
      </c>
      <c r="H269" s="107" t="s">
        <v>282</v>
      </c>
    </row>
    <row r="270" spans="1:8">
      <c r="A270" s="105" t="s">
        <v>3387</v>
      </c>
      <c r="B270" s="105" t="s">
        <v>3388</v>
      </c>
      <c r="C270" s="105" t="s">
        <v>927</v>
      </c>
      <c r="D270" s="105" t="s">
        <v>928</v>
      </c>
      <c r="E270" s="106" t="s">
        <v>280</v>
      </c>
      <c r="F270" s="105" t="s">
        <v>281</v>
      </c>
      <c r="G270" s="107" t="s">
        <v>268</v>
      </c>
      <c r="H270" s="107" t="s">
        <v>282</v>
      </c>
    </row>
    <row r="271" spans="1:8">
      <c r="A271" s="105" t="s">
        <v>3387</v>
      </c>
      <c r="B271" s="105" t="s">
        <v>3388</v>
      </c>
      <c r="C271" s="105" t="s">
        <v>929</v>
      </c>
      <c r="D271" s="105" t="s">
        <v>930</v>
      </c>
      <c r="E271" s="106" t="s">
        <v>280</v>
      </c>
      <c r="F271" s="105" t="s">
        <v>281</v>
      </c>
      <c r="G271" s="107" t="s">
        <v>268</v>
      </c>
      <c r="H271" s="107" t="s">
        <v>282</v>
      </c>
    </row>
    <row r="272" spans="1:8">
      <c r="A272" s="105" t="s">
        <v>3389</v>
      </c>
      <c r="B272" s="105" t="s">
        <v>3390</v>
      </c>
      <c r="C272" s="105" t="s">
        <v>931</v>
      </c>
      <c r="D272" s="105" t="s">
        <v>932</v>
      </c>
      <c r="E272" s="106" t="s">
        <v>280</v>
      </c>
      <c r="F272" s="105" t="s">
        <v>281</v>
      </c>
      <c r="G272" s="107" t="s">
        <v>268</v>
      </c>
      <c r="H272" s="107" t="s">
        <v>282</v>
      </c>
    </row>
    <row r="273" spans="1:8">
      <c r="A273" s="105" t="s">
        <v>3389</v>
      </c>
      <c r="B273" s="105" t="s">
        <v>3390</v>
      </c>
      <c r="C273" s="105" t="s">
        <v>933</v>
      </c>
      <c r="D273" s="105" t="s">
        <v>934</v>
      </c>
      <c r="E273" s="106" t="s">
        <v>280</v>
      </c>
      <c r="F273" s="105" t="s">
        <v>281</v>
      </c>
      <c r="G273" s="107" t="s">
        <v>268</v>
      </c>
      <c r="H273" s="107" t="s">
        <v>282</v>
      </c>
    </row>
    <row r="274" spans="1:8">
      <c r="A274" s="105" t="s">
        <v>3389</v>
      </c>
      <c r="B274" s="105" t="s">
        <v>3390</v>
      </c>
      <c r="C274" s="105" t="s">
        <v>935</v>
      </c>
      <c r="D274" s="105" t="s">
        <v>936</v>
      </c>
      <c r="E274" s="106" t="s">
        <v>280</v>
      </c>
      <c r="F274" s="105" t="s">
        <v>281</v>
      </c>
      <c r="G274" s="107" t="s">
        <v>268</v>
      </c>
      <c r="H274" s="107" t="s">
        <v>282</v>
      </c>
    </row>
    <row r="275" spans="1:8">
      <c r="A275" s="105" t="s">
        <v>3389</v>
      </c>
      <c r="B275" s="105" t="s">
        <v>3390</v>
      </c>
      <c r="C275" s="105" t="s">
        <v>937</v>
      </c>
      <c r="D275" s="105" t="s">
        <v>938</v>
      </c>
      <c r="E275" s="106" t="s">
        <v>280</v>
      </c>
      <c r="F275" s="105" t="s">
        <v>281</v>
      </c>
      <c r="G275" s="107" t="s">
        <v>268</v>
      </c>
      <c r="H275" s="107" t="s">
        <v>282</v>
      </c>
    </row>
    <row r="276" spans="1:8">
      <c r="A276" s="105" t="s">
        <v>3389</v>
      </c>
      <c r="B276" s="105" t="s">
        <v>3390</v>
      </c>
      <c r="C276" s="105" t="s">
        <v>939</v>
      </c>
      <c r="D276" s="105" t="s">
        <v>940</v>
      </c>
      <c r="E276" s="106" t="s">
        <v>280</v>
      </c>
      <c r="F276" s="105" t="s">
        <v>281</v>
      </c>
      <c r="G276" s="107" t="s">
        <v>268</v>
      </c>
      <c r="H276" s="107" t="s">
        <v>282</v>
      </c>
    </row>
    <row r="277" spans="1:8">
      <c r="A277" s="105" t="s">
        <v>3389</v>
      </c>
      <c r="B277" s="105" t="s">
        <v>3390</v>
      </c>
      <c r="C277" s="105" t="s">
        <v>941</v>
      </c>
      <c r="D277" s="105" t="s">
        <v>942</v>
      </c>
      <c r="E277" s="106" t="s">
        <v>280</v>
      </c>
      <c r="F277" s="105" t="s">
        <v>281</v>
      </c>
      <c r="G277" s="107" t="s">
        <v>268</v>
      </c>
      <c r="H277" s="107" t="s">
        <v>282</v>
      </c>
    </row>
    <row r="278" spans="1:8">
      <c r="A278" s="105" t="s">
        <v>3389</v>
      </c>
      <c r="B278" s="105" t="s">
        <v>3390</v>
      </c>
      <c r="C278" s="105" t="s">
        <v>943</v>
      </c>
      <c r="D278" s="105" t="s">
        <v>944</v>
      </c>
      <c r="E278" s="106" t="s">
        <v>280</v>
      </c>
      <c r="F278" s="105" t="s">
        <v>281</v>
      </c>
      <c r="G278" s="107" t="s">
        <v>268</v>
      </c>
      <c r="H278" s="107" t="s">
        <v>282</v>
      </c>
    </row>
    <row r="279" spans="1:8">
      <c r="A279" s="105" t="s">
        <v>3389</v>
      </c>
      <c r="B279" s="105" t="s">
        <v>3390</v>
      </c>
      <c r="C279" s="105" t="s">
        <v>945</v>
      </c>
      <c r="D279" s="105" t="s">
        <v>946</v>
      </c>
      <c r="E279" s="106" t="s">
        <v>280</v>
      </c>
      <c r="F279" s="105" t="s">
        <v>281</v>
      </c>
      <c r="G279" s="107" t="s">
        <v>268</v>
      </c>
      <c r="H279" s="107" t="s">
        <v>282</v>
      </c>
    </row>
    <row r="280" spans="1:8">
      <c r="A280" s="105" t="s">
        <v>3389</v>
      </c>
      <c r="B280" s="105" t="s">
        <v>3390</v>
      </c>
      <c r="C280" s="105" t="s">
        <v>947</v>
      </c>
      <c r="D280" s="105" t="s">
        <v>948</v>
      </c>
      <c r="E280" s="106" t="s">
        <v>280</v>
      </c>
      <c r="F280" s="105" t="s">
        <v>281</v>
      </c>
      <c r="G280" s="107" t="s">
        <v>268</v>
      </c>
      <c r="H280" s="107" t="s">
        <v>282</v>
      </c>
    </row>
    <row r="281" spans="1:8">
      <c r="A281" s="105" t="s">
        <v>3389</v>
      </c>
      <c r="B281" s="105" t="s">
        <v>3390</v>
      </c>
      <c r="C281" s="105" t="s">
        <v>949</v>
      </c>
      <c r="D281" s="105" t="s">
        <v>950</v>
      </c>
      <c r="E281" s="106" t="s">
        <v>280</v>
      </c>
      <c r="F281" s="105" t="s">
        <v>281</v>
      </c>
      <c r="G281" s="107" t="s">
        <v>268</v>
      </c>
      <c r="H281" s="107" t="s">
        <v>282</v>
      </c>
    </row>
    <row r="282" spans="1:8">
      <c r="A282" s="105" t="s">
        <v>3389</v>
      </c>
      <c r="B282" s="105" t="s">
        <v>3390</v>
      </c>
      <c r="C282" s="105" t="s">
        <v>951</v>
      </c>
      <c r="D282" s="105" t="s">
        <v>952</v>
      </c>
      <c r="E282" s="106" t="s">
        <v>280</v>
      </c>
      <c r="F282" s="105" t="s">
        <v>281</v>
      </c>
      <c r="G282" s="107" t="s">
        <v>268</v>
      </c>
      <c r="H282" s="107" t="s">
        <v>282</v>
      </c>
    </row>
    <row r="283" spans="1:8">
      <c r="A283" s="105" t="s">
        <v>3389</v>
      </c>
      <c r="B283" s="105" t="s">
        <v>3390</v>
      </c>
      <c r="C283" s="105" t="s">
        <v>953</v>
      </c>
      <c r="D283" s="105" t="s">
        <v>954</v>
      </c>
      <c r="E283" s="106" t="s">
        <v>280</v>
      </c>
      <c r="F283" s="105" t="s">
        <v>281</v>
      </c>
      <c r="G283" s="107" t="s">
        <v>268</v>
      </c>
      <c r="H283" s="107" t="s">
        <v>282</v>
      </c>
    </row>
    <row r="284" spans="1:8">
      <c r="A284" s="105" t="s">
        <v>3389</v>
      </c>
      <c r="B284" s="105" t="s">
        <v>3390</v>
      </c>
      <c r="C284" s="105" t="s">
        <v>955</v>
      </c>
      <c r="D284" s="105" t="s">
        <v>956</v>
      </c>
      <c r="E284" s="106" t="s">
        <v>280</v>
      </c>
      <c r="F284" s="105" t="s">
        <v>281</v>
      </c>
      <c r="G284" s="107" t="s">
        <v>268</v>
      </c>
      <c r="H284" s="107" t="s">
        <v>282</v>
      </c>
    </row>
    <row r="285" spans="1:8">
      <c r="A285" s="105" t="s">
        <v>3389</v>
      </c>
      <c r="B285" s="105" t="s">
        <v>3390</v>
      </c>
      <c r="C285" s="105" t="s">
        <v>957</v>
      </c>
      <c r="D285" s="105" t="s">
        <v>958</v>
      </c>
      <c r="E285" s="106" t="s">
        <v>280</v>
      </c>
      <c r="F285" s="105" t="s">
        <v>281</v>
      </c>
      <c r="G285" s="107" t="s">
        <v>268</v>
      </c>
      <c r="H285" s="107" t="s">
        <v>282</v>
      </c>
    </row>
    <row r="286" spans="1:8">
      <c r="A286" s="105" t="s">
        <v>3389</v>
      </c>
      <c r="B286" s="105" t="s">
        <v>3390</v>
      </c>
      <c r="C286" s="105" t="s">
        <v>959</v>
      </c>
      <c r="D286" s="105" t="s">
        <v>960</v>
      </c>
      <c r="E286" s="106" t="s">
        <v>280</v>
      </c>
      <c r="F286" s="105" t="s">
        <v>281</v>
      </c>
      <c r="G286" s="107" t="s">
        <v>268</v>
      </c>
      <c r="H286" s="107" t="s">
        <v>282</v>
      </c>
    </row>
    <row r="287" spans="1:8">
      <c r="A287" s="105" t="s">
        <v>3389</v>
      </c>
      <c r="B287" s="105" t="s">
        <v>3390</v>
      </c>
      <c r="C287" s="105" t="s">
        <v>961</v>
      </c>
      <c r="D287" s="105" t="s">
        <v>962</v>
      </c>
      <c r="E287" s="106" t="s">
        <v>280</v>
      </c>
      <c r="F287" s="105" t="s">
        <v>281</v>
      </c>
      <c r="G287" s="107" t="s">
        <v>268</v>
      </c>
      <c r="H287" s="107" t="s">
        <v>282</v>
      </c>
    </row>
    <row r="288" spans="1:8">
      <c r="A288" s="105" t="s">
        <v>3389</v>
      </c>
      <c r="B288" s="105" t="s">
        <v>3390</v>
      </c>
      <c r="C288" s="105" t="s">
        <v>963</v>
      </c>
      <c r="D288" s="105" t="s">
        <v>964</v>
      </c>
      <c r="E288" s="106" t="s">
        <v>280</v>
      </c>
      <c r="F288" s="105" t="s">
        <v>281</v>
      </c>
      <c r="G288" s="107" t="s">
        <v>268</v>
      </c>
      <c r="H288" s="107" t="s">
        <v>282</v>
      </c>
    </row>
    <row r="289" spans="1:8">
      <c r="A289" s="105" t="s">
        <v>3389</v>
      </c>
      <c r="B289" s="105" t="s">
        <v>3390</v>
      </c>
      <c r="C289" s="105" t="s">
        <v>965</v>
      </c>
      <c r="D289" s="105" t="s">
        <v>966</v>
      </c>
      <c r="E289" s="106" t="s">
        <v>280</v>
      </c>
      <c r="F289" s="105" t="s">
        <v>281</v>
      </c>
      <c r="G289" s="107" t="s">
        <v>268</v>
      </c>
      <c r="H289" s="107" t="s">
        <v>282</v>
      </c>
    </row>
    <row r="290" spans="1:8">
      <c r="A290" s="105" t="s">
        <v>3389</v>
      </c>
      <c r="B290" s="105" t="s">
        <v>3390</v>
      </c>
      <c r="C290" s="105" t="s">
        <v>967</v>
      </c>
      <c r="D290" s="105" t="s">
        <v>968</v>
      </c>
      <c r="E290" s="106" t="s">
        <v>280</v>
      </c>
      <c r="F290" s="105" t="s">
        <v>281</v>
      </c>
      <c r="G290" s="107" t="s">
        <v>268</v>
      </c>
      <c r="H290" s="107" t="s">
        <v>282</v>
      </c>
    </row>
    <row r="291" spans="1:8">
      <c r="A291" s="105" t="s">
        <v>3389</v>
      </c>
      <c r="B291" s="105" t="s">
        <v>3390</v>
      </c>
      <c r="C291" s="105" t="s">
        <v>969</v>
      </c>
      <c r="D291" s="105" t="s">
        <v>970</v>
      </c>
      <c r="E291" s="106" t="s">
        <v>280</v>
      </c>
      <c r="F291" s="105" t="s">
        <v>281</v>
      </c>
      <c r="G291" s="107" t="s">
        <v>268</v>
      </c>
      <c r="H291" s="107" t="s">
        <v>282</v>
      </c>
    </row>
    <row r="292" spans="1:8">
      <c r="A292" s="105" t="s">
        <v>3389</v>
      </c>
      <c r="B292" s="105" t="s">
        <v>3390</v>
      </c>
      <c r="C292" s="105" t="s">
        <v>971</v>
      </c>
      <c r="D292" s="105" t="s">
        <v>972</v>
      </c>
      <c r="E292" s="106" t="s">
        <v>280</v>
      </c>
      <c r="F292" s="105" t="s">
        <v>281</v>
      </c>
      <c r="G292" s="107" t="s">
        <v>268</v>
      </c>
      <c r="H292" s="107" t="s">
        <v>282</v>
      </c>
    </row>
    <row r="293" spans="1:8">
      <c r="A293" s="105" t="s">
        <v>3389</v>
      </c>
      <c r="B293" s="105" t="s">
        <v>3390</v>
      </c>
      <c r="C293" s="105" t="s">
        <v>973</v>
      </c>
      <c r="D293" s="105" t="s">
        <v>974</v>
      </c>
      <c r="E293" s="106" t="s">
        <v>280</v>
      </c>
      <c r="F293" s="105" t="s">
        <v>281</v>
      </c>
      <c r="G293" s="107" t="s">
        <v>268</v>
      </c>
      <c r="H293" s="107" t="s">
        <v>282</v>
      </c>
    </row>
    <row r="294" spans="1:8">
      <c r="A294" s="105" t="s">
        <v>3389</v>
      </c>
      <c r="B294" s="105" t="s">
        <v>3390</v>
      </c>
      <c r="C294" s="105" t="s">
        <v>975</v>
      </c>
      <c r="D294" s="105" t="s">
        <v>976</v>
      </c>
      <c r="E294" s="106" t="s">
        <v>280</v>
      </c>
      <c r="F294" s="105" t="s">
        <v>281</v>
      </c>
      <c r="G294" s="107" t="s">
        <v>268</v>
      </c>
      <c r="H294" s="107" t="s">
        <v>282</v>
      </c>
    </row>
    <row r="295" spans="1:8">
      <c r="A295" s="105" t="s">
        <v>3391</v>
      </c>
      <c r="B295" s="105" t="s">
        <v>3392</v>
      </c>
      <c r="C295" s="105" t="s">
        <v>977</v>
      </c>
      <c r="D295" s="105" t="s">
        <v>978</v>
      </c>
      <c r="E295" s="106" t="s">
        <v>673</v>
      </c>
      <c r="F295" s="105" t="s">
        <v>674</v>
      </c>
      <c r="G295" s="107" t="s">
        <v>268</v>
      </c>
      <c r="H295" s="107" t="s">
        <v>675</v>
      </c>
    </row>
    <row r="296" spans="1:8">
      <c r="A296" s="105" t="s">
        <v>3391</v>
      </c>
      <c r="B296" s="105" t="s">
        <v>3392</v>
      </c>
      <c r="C296" s="105" t="s">
        <v>977</v>
      </c>
      <c r="D296" s="105" t="s">
        <v>978</v>
      </c>
      <c r="E296" s="106" t="s">
        <v>280</v>
      </c>
      <c r="F296" s="105" t="s">
        <v>281</v>
      </c>
      <c r="G296" s="107" t="s">
        <v>268</v>
      </c>
      <c r="H296" s="107" t="s">
        <v>282</v>
      </c>
    </row>
    <row r="297" spans="1:8">
      <c r="A297" s="105" t="s">
        <v>3391</v>
      </c>
      <c r="B297" s="105" t="s">
        <v>3392</v>
      </c>
      <c r="C297" s="105" t="s">
        <v>979</v>
      </c>
      <c r="D297" s="105" t="s">
        <v>980</v>
      </c>
      <c r="E297" s="106" t="s">
        <v>280</v>
      </c>
      <c r="F297" s="105" t="s">
        <v>281</v>
      </c>
      <c r="G297" s="107" t="s">
        <v>268</v>
      </c>
      <c r="H297" s="107" t="s">
        <v>282</v>
      </c>
    </row>
    <row r="298" spans="1:8">
      <c r="A298" s="105" t="s">
        <v>3391</v>
      </c>
      <c r="B298" s="105" t="s">
        <v>3392</v>
      </c>
      <c r="C298" s="105" t="s">
        <v>981</v>
      </c>
      <c r="D298" s="105" t="s">
        <v>982</v>
      </c>
      <c r="E298" s="106" t="s">
        <v>280</v>
      </c>
      <c r="F298" s="105" t="s">
        <v>281</v>
      </c>
      <c r="G298" s="107" t="s">
        <v>268</v>
      </c>
      <c r="H298" s="107" t="s">
        <v>282</v>
      </c>
    </row>
    <row r="299" spans="1:8">
      <c r="A299" s="105" t="s">
        <v>3391</v>
      </c>
      <c r="B299" s="105" t="s">
        <v>3392</v>
      </c>
      <c r="C299" s="105" t="s">
        <v>983</v>
      </c>
      <c r="D299" s="105" t="s">
        <v>984</v>
      </c>
      <c r="E299" s="106" t="s">
        <v>280</v>
      </c>
      <c r="F299" s="105" t="s">
        <v>281</v>
      </c>
      <c r="G299" s="107" t="s">
        <v>268</v>
      </c>
      <c r="H299" s="107" t="s">
        <v>282</v>
      </c>
    </row>
    <row r="300" spans="1:8">
      <c r="A300" s="105" t="s">
        <v>3391</v>
      </c>
      <c r="B300" s="105" t="s">
        <v>3392</v>
      </c>
      <c r="C300" s="105" t="s">
        <v>985</v>
      </c>
      <c r="D300" s="105" t="s">
        <v>986</v>
      </c>
      <c r="E300" s="106" t="s">
        <v>280</v>
      </c>
      <c r="F300" s="105" t="s">
        <v>281</v>
      </c>
      <c r="G300" s="107" t="s">
        <v>268</v>
      </c>
      <c r="H300" s="107" t="s">
        <v>282</v>
      </c>
    </row>
    <row r="301" spans="1:8">
      <c r="A301" s="105" t="s">
        <v>3391</v>
      </c>
      <c r="B301" s="105" t="s">
        <v>3392</v>
      </c>
      <c r="C301" s="105" t="s">
        <v>987</v>
      </c>
      <c r="D301" s="105" t="s">
        <v>416</v>
      </c>
      <c r="E301" s="106" t="s">
        <v>280</v>
      </c>
      <c r="F301" s="105" t="s">
        <v>281</v>
      </c>
      <c r="G301" s="107" t="s">
        <v>268</v>
      </c>
      <c r="H301" s="107" t="s">
        <v>282</v>
      </c>
    </row>
    <row r="302" spans="1:8">
      <c r="A302" s="105" t="s">
        <v>3391</v>
      </c>
      <c r="B302" s="105" t="s">
        <v>3392</v>
      </c>
      <c r="C302" s="105" t="s">
        <v>988</v>
      </c>
      <c r="D302" s="105" t="s">
        <v>989</v>
      </c>
      <c r="E302" s="106" t="s">
        <v>280</v>
      </c>
      <c r="F302" s="105" t="s">
        <v>281</v>
      </c>
      <c r="G302" s="107" t="s">
        <v>268</v>
      </c>
      <c r="H302" s="107" t="s">
        <v>282</v>
      </c>
    </row>
    <row r="303" spans="1:8">
      <c r="A303" s="105" t="s">
        <v>3391</v>
      </c>
      <c r="B303" s="105" t="s">
        <v>3392</v>
      </c>
      <c r="C303" s="105" t="s">
        <v>990</v>
      </c>
      <c r="D303" s="105" t="s">
        <v>991</v>
      </c>
      <c r="E303" s="106" t="s">
        <v>280</v>
      </c>
      <c r="F303" s="105" t="s">
        <v>281</v>
      </c>
      <c r="G303" s="107" t="s">
        <v>268</v>
      </c>
      <c r="H303" s="107" t="s">
        <v>282</v>
      </c>
    </row>
    <row r="304" spans="1:8">
      <c r="A304" s="105" t="s">
        <v>3391</v>
      </c>
      <c r="B304" s="105" t="s">
        <v>3392</v>
      </c>
      <c r="C304" s="105" t="s">
        <v>992</v>
      </c>
      <c r="D304" s="105" t="s">
        <v>993</v>
      </c>
      <c r="E304" s="106" t="s">
        <v>673</v>
      </c>
      <c r="F304" s="105" t="s">
        <v>674</v>
      </c>
      <c r="G304" s="107" t="s">
        <v>268</v>
      </c>
      <c r="H304" s="107" t="s">
        <v>675</v>
      </c>
    </row>
    <row r="305" spans="1:8">
      <c r="A305" s="105" t="s">
        <v>3391</v>
      </c>
      <c r="B305" s="105" t="s">
        <v>3392</v>
      </c>
      <c r="C305" s="105" t="s">
        <v>992</v>
      </c>
      <c r="D305" s="105" t="s">
        <v>993</v>
      </c>
      <c r="E305" s="106" t="s">
        <v>280</v>
      </c>
      <c r="F305" s="105" t="s">
        <v>281</v>
      </c>
      <c r="G305" s="107" t="s">
        <v>268</v>
      </c>
      <c r="H305" s="107" t="s">
        <v>282</v>
      </c>
    </row>
    <row r="306" spans="1:8">
      <c r="A306" s="105" t="s">
        <v>3391</v>
      </c>
      <c r="B306" s="105" t="s">
        <v>3392</v>
      </c>
      <c r="C306" s="105" t="s">
        <v>994</v>
      </c>
      <c r="D306" s="105" t="s">
        <v>995</v>
      </c>
      <c r="E306" s="106" t="s">
        <v>280</v>
      </c>
      <c r="F306" s="105" t="s">
        <v>281</v>
      </c>
      <c r="G306" s="107" t="s">
        <v>268</v>
      </c>
      <c r="H306" s="107" t="s">
        <v>282</v>
      </c>
    </row>
    <row r="307" spans="1:8">
      <c r="A307" s="105" t="s">
        <v>3391</v>
      </c>
      <c r="B307" s="105" t="s">
        <v>3392</v>
      </c>
      <c r="C307" s="105" t="s">
        <v>996</v>
      </c>
      <c r="D307" s="105" t="s">
        <v>997</v>
      </c>
      <c r="E307" s="106" t="s">
        <v>280</v>
      </c>
      <c r="F307" s="105" t="s">
        <v>281</v>
      </c>
      <c r="G307" s="107" t="s">
        <v>268</v>
      </c>
      <c r="H307" s="107" t="s">
        <v>282</v>
      </c>
    </row>
    <row r="308" spans="1:8">
      <c r="A308" s="105" t="s">
        <v>3391</v>
      </c>
      <c r="B308" s="105" t="s">
        <v>3392</v>
      </c>
      <c r="C308" s="105" t="s">
        <v>998</v>
      </c>
      <c r="D308" s="105" t="s">
        <v>999</v>
      </c>
      <c r="E308" s="106" t="s">
        <v>280</v>
      </c>
      <c r="F308" s="105" t="s">
        <v>281</v>
      </c>
      <c r="G308" s="107" t="s">
        <v>268</v>
      </c>
      <c r="H308" s="107" t="s">
        <v>282</v>
      </c>
    </row>
    <row r="309" spans="1:8">
      <c r="A309" s="105" t="s">
        <v>3391</v>
      </c>
      <c r="B309" s="105" t="s">
        <v>3392</v>
      </c>
      <c r="C309" s="105" t="s">
        <v>1000</v>
      </c>
      <c r="D309" s="105" t="s">
        <v>1001</v>
      </c>
      <c r="E309" s="106" t="s">
        <v>280</v>
      </c>
      <c r="F309" s="105" t="s">
        <v>281</v>
      </c>
      <c r="G309" s="107" t="s">
        <v>268</v>
      </c>
      <c r="H309" s="107" t="s">
        <v>282</v>
      </c>
    </row>
    <row r="310" spans="1:8">
      <c r="A310" s="105" t="s">
        <v>3391</v>
      </c>
      <c r="B310" s="105" t="s">
        <v>3392</v>
      </c>
      <c r="C310" s="105" t="s">
        <v>1002</v>
      </c>
      <c r="D310" s="105" t="s">
        <v>1003</v>
      </c>
      <c r="E310" s="106" t="s">
        <v>280</v>
      </c>
      <c r="F310" s="105" t="s">
        <v>281</v>
      </c>
      <c r="G310" s="107" t="s">
        <v>268</v>
      </c>
      <c r="H310" s="107" t="s">
        <v>282</v>
      </c>
    </row>
    <row r="311" spans="1:8">
      <c r="A311" s="105" t="s">
        <v>3391</v>
      </c>
      <c r="B311" s="105" t="s">
        <v>3392</v>
      </c>
      <c r="C311" s="105" t="s">
        <v>1004</v>
      </c>
      <c r="D311" s="105" t="s">
        <v>1005</v>
      </c>
      <c r="E311" s="106" t="s">
        <v>280</v>
      </c>
      <c r="F311" s="105" t="s">
        <v>281</v>
      </c>
      <c r="G311" s="107" t="s">
        <v>268</v>
      </c>
      <c r="H311" s="107" t="s">
        <v>282</v>
      </c>
    </row>
    <row r="312" spans="1:8">
      <c r="A312" s="105" t="s">
        <v>3391</v>
      </c>
      <c r="B312" s="105" t="s">
        <v>3392</v>
      </c>
      <c r="C312" s="105" t="s">
        <v>1006</v>
      </c>
      <c r="D312" s="105" t="s">
        <v>773</v>
      </c>
      <c r="E312" s="106" t="s">
        <v>673</v>
      </c>
      <c r="F312" s="105" t="s">
        <v>674</v>
      </c>
      <c r="G312" s="107" t="s">
        <v>268</v>
      </c>
      <c r="H312" s="107" t="s">
        <v>675</v>
      </c>
    </row>
    <row r="313" spans="1:8">
      <c r="A313" s="105" t="s">
        <v>3391</v>
      </c>
      <c r="B313" s="105" t="s">
        <v>3392</v>
      </c>
      <c r="C313" s="105" t="s">
        <v>1007</v>
      </c>
      <c r="D313" s="105" t="s">
        <v>1008</v>
      </c>
      <c r="E313" s="106" t="s">
        <v>673</v>
      </c>
      <c r="F313" s="105" t="s">
        <v>674</v>
      </c>
      <c r="G313" s="107" t="s">
        <v>268</v>
      </c>
      <c r="H313" s="107" t="s">
        <v>675</v>
      </c>
    </row>
    <row r="314" spans="1:8">
      <c r="A314" s="105" t="s">
        <v>3393</v>
      </c>
      <c r="B314" s="105" t="s">
        <v>3394</v>
      </c>
      <c r="C314" s="105" t="s">
        <v>271</v>
      </c>
      <c r="D314" s="105" t="s">
        <v>272</v>
      </c>
      <c r="E314" s="106" t="s">
        <v>273</v>
      </c>
      <c r="F314" s="105" t="s">
        <v>274</v>
      </c>
      <c r="G314" s="107" t="s">
        <v>275</v>
      </c>
      <c r="H314" s="107" t="s">
        <v>276</v>
      </c>
    </row>
    <row r="315" spans="1:8">
      <c r="A315" s="105" t="s">
        <v>3393</v>
      </c>
      <c r="B315" s="105" t="s">
        <v>3394</v>
      </c>
      <c r="C315" s="105" t="s">
        <v>361</v>
      </c>
      <c r="D315" s="105" t="s">
        <v>362</v>
      </c>
      <c r="E315" s="106" t="s">
        <v>273</v>
      </c>
      <c r="F315" s="105" t="s">
        <v>274</v>
      </c>
      <c r="G315" s="107" t="s">
        <v>275</v>
      </c>
      <c r="H315" s="107" t="s">
        <v>276</v>
      </c>
    </row>
    <row r="316" spans="1:8">
      <c r="A316" s="105" t="s">
        <v>3393</v>
      </c>
      <c r="B316" s="105" t="s">
        <v>3394</v>
      </c>
      <c r="C316" s="105" t="s">
        <v>1009</v>
      </c>
      <c r="D316" s="105" t="s">
        <v>1010</v>
      </c>
      <c r="E316" s="106" t="s">
        <v>273</v>
      </c>
      <c r="F316" s="105" t="s">
        <v>274</v>
      </c>
      <c r="G316" s="107" t="s">
        <v>275</v>
      </c>
      <c r="H316" s="107" t="s">
        <v>276</v>
      </c>
    </row>
    <row r="317" spans="1:8">
      <c r="A317" s="105" t="s">
        <v>3393</v>
      </c>
      <c r="B317" s="105" t="s">
        <v>3394</v>
      </c>
      <c r="C317" s="105" t="s">
        <v>1011</v>
      </c>
      <c r="D317" s="105" t="s">
        <v>1012</v>
      </c>
      <c r="E317" s="106" t="s">
        <v>273</v>
      </c>
      <c r="F317" s="105" t="s">
        <v>274</v>
      </c>
      <c r="G317" s="107" t="s">
        <v>275</v>
      </c>
      <c r="H317" s="107" t="s">
        <v>276</v>
      </c>
    </row>
    <row r="318" spans="1:8">
      <c r="A318" s="105" t="s">
        <v>3393</v>
      </c>
      <c r="B318" s="105" t="s">
        <v>3394</v>
      </c>
      <c r="C318" s="105" t="s">
        <v>1013</v>
      </c>
      <c r="D318" s="105" t="s">
        <v>1014</v>
      </c>
      <c r="E318" s="106" t="s">
        <v>273</v>
      </c>
      <c r="F318" s="105" t="s">
        <v>274</v>
      </c>
      <c r="G318" s="107" t="s">
        <v>275</v>
      </c>
      <c r="H318" s="107" t="s">
        <v>276</v>
      </c>
    </row>
    <row r="319" spans="1:8">
      <c r="A319" s="105" t="s">
        <v>3393</v>
      </c>
      <c r="B319" s="105" t="s">
        <v>3394</v>
      </c>
      <c r="C319" s="105" t="s">
        <v>455</v>
      </c>
      <c r="D319" s="105" t="s">
        <v>456</v>
      </c>
      <c r="E319" s="106" t="s">
        <v>273</v>
      </c>
      <c r="F319" s="105" t="s">
        <v>274</v>
      </c>
      <c r="G319" s="107" t="s">
        <v>275</v>
      </c>
      <c r="H319" s="107" t="s">
        <v>276</v>
      </c>
    </row>
    <row r="320" spans="1:8">
      <c r="A320" s="105" t="s">
        <v>3393</v>
      </c>
      <c r="B320" s="105" t="s">
        <v>3394</v>
      </c>
      <c r="C320" s="105" t="s">
        <v>537</v>
      </c>
      <c r="D320" s="105" t="s">
        <v>538</v>
      </c>
      <c r="E320" s="106" t="s">
        <v>273</v>
      </c>
      <c r="F320" s="105" t="s">
        <v>274</v>
      </c>
      <c r="G320" s="107" t="s">
        <v>275</v>
      </c>
      <c r="H320" s="107" t="s">
        <v>276</v>
      </c>
    </row>
    <row r="321" spans="1:8">
      <c r="A321" s="105" t="s">
        <v>3393</v>
      </c>
      <c r="B321" s="105" t="s">
        <v>3394</v>
      </c>
      <c r="C321" s="105" t="s">
        <v>1015</v>
      </c>
      <c r="D321" s="105" t="s">
        <v>1016</v>
      </c>
      <c r="E321" s="106" t="s">
        <v>273</v>
      </c>
      <c r="F321" s="105" t="s">
        <v>274</v>
      </c>
      <c r="G321" s="107" t="s">
        <v>275</v>
      </c>
      <c r="H321" s="107" t="s">
        <v>276</v>
      </c>
    </row>
    <row r="322" spans="1:8">
      <c r="A322" s="105" t="s">
        <v>3393</v>
      </c>
      <c r="B322" s="105" t="s">
        <v>3394</v>
      </c>
      <c r="C322" s="105" t="s">
        <v>1017</v>
      </c>
      <c r="D322" s="105" t="s">
        <v>1018</v>
      </c>
      <c r="E322" s="106" t="s">
        <v>273</v>
      </c>
      <c r="F322" s="105" t="s">
        <v>274</v>
      </c>
      <c r="G322" s="107" t="s">
        <v>275</v>
      </c>
      <c r="H322" s="107" t="s">
        <v>276</v>
      </c>
    </row>
    <row r="323" spans="1:8">
      <c r="A323" s="105" t="s">
        <v>3393</v>
      </c>
      <c r="B323" s="105" t="s">
        <v>3394</v>
      </c>
      <c r="C323" s="105" t="s">
        <v>1019</v>
      </c>
      <c r="D323" s="105" t="s">
        <v>1020</v>
      </c>
      <c r="E323" s="106" t="s">
        <v>273</v>
      </c>
      <c r="F323" s="105" t="s">
        <v>274</v>
      </c>
      <c r="G323" s="107" t="s">
        <v>275</v>
      </c>
      <c r="H323" s="107" t="s">
        <v>276</v>
      </c>
    </row>
    <row r="324" spans="1:8">
      <c r="A324" s="105" t="s">
        <v>3393</v>
      </c>
      <c r="B324" s="105" t="s">
        <v>3394</v>
      </c>
      <c r="C324" s="105" t="s">
        <v>1021</v>
      </c>
      <c r="D324" s="105" t="s">
        <v>773</v>
      </c>
      <c r="E324" s="106" t="s">
        <v>273</v>
      </c>
      <c r="F324" s="105" t="s">
        <v>274</v>
      </c>
      <c r="G324" s="107" t="s">
        <v>275</v>
      </c>
      <c r="H324" s="107" t="s">
        <v>276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AFC9D-7F31-4F7E-81DB-A5A29821E6C6}">
  <sheetPr codeName="Sheet12"/>
  <dimension ref="A1:B1116"/>
  <sheetViews>
    <sheetView workbookViewId="0">
      <selection sqref="A1:XFD1048576"/>
    </sheetView>
  </sheetViews>
  <sheetFormatPr defaultRowHeight="14.4"/>
  <cols>
    <col min="1" max="1" width="22.5546875" customWidth="1"/>
    <col min="2" max="2" width="131" customWidth="1"/>
  </cols>
  <sheetData>
    <row r="1" spans="1:2">
      <c r="A1" s="210" t="s">
        <v>3395</v>
      </c>
      <c r="B1" s="211"/>
    </row>
    <row r="2" spans="1:2">
      <c r="A2" s="212" t="s">
        <v>1029</v>
      </c>
      <c r="B2" s="213"/>
    </row>
    <row r="3" spans="1:2">
      <c r="A3" s="214" t="s">
        <v>3361</v>
      </c>
      <c r="B3" s="215" t="s">
        <v>3362</v>
      </c>
    </row>
    <row r="4" spans="1:2">
      <c r="A4" s="216" t="s">
        <v>3369</v>
      </c>
      <c r="B4" s="217" t="s">
        <v>3370</v>
      </c>
    </row>
    <row r="5" spans="1:2">
      <c r="A5" s="218" t="s">
        <v>639</v>
      </c>
      <c r="B5" s="219" t="s">
        <v>640</v>
      </c>
    </row>
    <row r="6" spans="1:2">
      <c r="A6" s="220" t="s">
        <v>1035</v>
      </c>
      <c r="B6" s="221" t="s">
        <v>1036</v>
      </c>
    </row>
    <row r="7" spans="1:2">
      <c r="A7" s="220" t="s">
        <v>1037</v>
      </c>
      <c r="B7" s="221" t="s">
        <v>1038</v>
      </c>
    </row>
    <row r="8" spans="1:2">
      <c r="A8" s="220" t="s">
        <v>1039</v>
      </c>
      <c r="B8" s="221" t="s">
        <v>1040</v>
      </c>
    </row>
    <row r="9" spans="1:2">
      <c r="A9" s="220" t="s">
        <v>1043</v>
      </c>
      <c r="B9" s="221" t="s">
        <v>1044</v>
      </c>
    </row>
    <row r="10" spans="1:2">
      <c r="A10" s="220" t="s">
        <v>1045</v>
      </c>
      <c r="B10" s="221" t="s">
        <v>1046</v>
      </c>
    </row>
    <row r="11" spans="1:2">
      <c r="A11" s="220" t="s">
        <v>1047</v>
      </c>
      <c r="B11" s="221" t="s">
        <v>1048</v>
      </c>
    </row>
    <row r="12" spans="1:2">
      <c r="A12" s="220" t="s">
        <v>1049</v>
      </c>
      <c r="B12" s="221" t="s">
        <v>1050</v>
      </c>
    </row>
    <row r="13" spans="1:2" ht="15.75" customHeight="1">
      <c r="A13" s="220" t="s">
        <v>1053</v>
      </c>
      <c r="B13" s="221" t="s">
        <v>1054</v>
      </c>
    </row>
    <row r="14" spans="1:2">
      <c r="A14" s="218" t="s">
        <v>688</v>
      </c>
      <c r="B14" s="219" t="s">
        <v>689</v>
      </c>
    </row>
    <row r="15" spans="1:2">
      <c r="A15" s="220" t="s">
        <v>1055</v>
      </c>
      <c r="B15" s="221" t="s">
        <v>1056</v>
      </c>
    </row>
    <row r="16" spans="1:2">
      <c r="A16" s="220" t="s">
        <v>1057</v>
      </c>
      <c r="B16" s="221" t="s">
        <v>1058</v>
      </c>
    </row>
    <row r="17" spans="1:2">
      <c r="A17" s="220" t="s">
        <v>1062</v>
      </c>
      <c r="B17" s="221" t="s">
        <v>1063</v>
      </c>
    </row>
    <row r="18" spans="1:2">
      <c r="A18" s="220" t="s">
        <v>1064</v>
      </c>
      <c r="B18" s="221" t="s">
        <v>1065</v>
      </c>
    </row>
    <row r="19" spans="1:2">
      <c r="A19" s="220" t="s">
        <v>1067</v>
      </c>
      <c r="B19" s="221" t="s">
        <v>1068</v>
      </c>
    </row>
    <row r="20" spans="1:2">
      <c r="A20" s="220" t="s">
        <v>1069</v>
      </c>
      <c r="B20" s="221" t="s">
        <v>1070</v>
      </c>
    </row>
    <row r="21" spans="1:2">
      <c r="A21" s="220" t="s">
        <v>1071</v>
      </c>
      <c r="B21" s="221" t="s">
        <v>1072</v>
      </c>
    </row>
    <row r="22" spans="1:2">
      <c r="A22" s="220" t="s">
        <v>1076</v>
      </c>
      <c r="B22" s="221" t="s">
        <v>1077</v>
      </c>
    </row>
    <row r="23" spans="1:2">
      <c r="A23" s="220" t="s">
        <v>1078</v>
      </c>
      <c r="B23" s="221" t="s">
        <v>1079</v>
      </c>
    </row>
    <row r="24" spans="1:2">
      <c r="A24" s="220" t="s">
        <v>1081</v>
      </c>
      <c r="B24" s="221" t="s">
        <v>1082</v>
      </c>
    </row>
    <row r="25" spans="1:2">
      <c r="A25" s="220" t="s">
        <v>1083</v>
      </c>
      <c r="B25" s="221" t="s">
        <v>1084</v>
      </c>
    </row>
    <row r="26" spans="1:2">
      <c r="A26" s="220" t="s">
        <v>1088</v>
      </c>
      <c r="B26" s="221" t="s">
        <v>1089</v>
      </c>
    </row>
    <row r="27" spans="1:2">
      <c r="A27" s="220" t="s">
        <v>1090</v>
      </c>
      <c r="B27" s="221" t="s">
        <v>1091</v>
      </c>
    </row>
    <row r="28" spans="1:2">
      <c r="A28" s="220" t="s">
        <v>1092</v>
      </c>
      <c r="B28" s="221" t="s">
        <v>1093</v>
      </c>
    </row>
    <row r="29" spans="1:2">
      <c r="A29" s="220" t="s">
        <v>1098</v>
      </c>
      <c r="B29" s="221" t="s">
        <v>1099</v>
      </c>
    </row>
    <row r="30" spans="1:2">
      <c r="A30" s="220" t="s">
        <v>1100</v>
      </c>
      <c r="B30" s="221" t="s">
        <v>1101</v>
      </c>
    </row>
    <row r="31" spans="1:2">
      <c r="A31" s="220" t="s">
        <v>1102</v>
      </c>
      <c r="B31" s="221" t="s">
        <v>1103</v>
      </c>
    </row>
    <row r="32" spans="1:2">
      <c r="A32" s="220" t="s">
        <v>1104</v>
      </c>
      <c r="B32" s="221" t="s">
        <v>1105</v>
      </c>
    </row>
    <row r="33" spans="1:2">
      <c r="A33" s="220" t="s">
        <v>1106</v>
      </c>
      <c r="B33" s="221" t="s">
        <v>1107</v>
      </c>
    </row>
    <row r="34" spans="1:2">
      <c r="A34" s="220" t="s">
        <v>1108</v>
      </c>
      <c r="B34" s="221" t="s">
        <v>1109</v>
      </c>
    </row>
    <row r="35" spans="1:2">
      <c r="A35" s="220" t="s">
        <v>1112</v>
      </c>
      <c r="B35" s="221" t="s">
        <v>1113</v>
      </c>
    </row>
    <row r="36" spans="1:2">
      <c r="A36" s="220" t="s">
        <v>1114</v>
      </c>
      <c r="B36" s="221" t="s">
        <v>1115</v>
      </c>
    </row>
    <row r="37" spans="1:2">
      <c r="A37" s="216" t="s">
        <v>25</v>
      </c>
      <c r="B37" s="217" t="s">
        <v>24</v>
      </c>
    </row>
    <row r="38" spans="1:2">
      <c r="A38" s="218" t="s">
        <v>716</v>
      </c>
      <c r="B38" s="219" t="s">
        <v>717</v>
      </c>
    </row>
    <row r="39" spans="1:2">
      <c r="A39" s="220" t="s">
        <v>1116</v>
      </c>
      <c r="B39" s="221" t="s">
        <v>1117</v>
      </c>
    </row>
    <row r="40" spans="1:2">
      <c r="A40" s="220" t="s">
        <v>1120</v>
      </c>
      <c r="B40" s="221" t="s">
        <v>1121</v>
      </c>
    </row>
    <row r="41" spans="1:2">
      <c r="A41" s="220" t="s">
        <v>1122</v>
      </c>
      <c r="B41" s="221" t="s">
        <v>1123</v>
      </c>
    </row>
    <row r="42" spans="1:2">
      <c r="A42" s="220" t="s">
        <v>1124</v>
      </c>
      <c r="B42" s="221" t="s">
        <v>1125</v>
      </c>
    </row>
    <row r="43" spans="1:2">
      <c r="A43" s="220" t="s">
        <v>1126</v>
      </c>
      <c r="B43" s="221" t="s">
        <v>1127</v>
      </c>
    </row>
    <row r="44" spans="1:2">
      <c r="A44" s="220" t="s">
        <v>1128</v>
      </c>
      <c r="B44" s="221" t="s">
        <v>1129</v>
      </c>
    </row>
    <row r="45" spans="1:2">
      <c r="A45" s="220" t="s">
        <v>1132</v>
      </c>
      <c r="B45" s="221" t="s">
        <v>1133</v>
      </c>
    </row>
    <row r="46" spans="1:2">
      <c r="A46" s="220" t="s">
        <v>1134</v>
      </c>
      <c r="B46" s="221" t="s">
        <v>1135</v>
      </c>
    </row>
    <row r="47" spans="1:2">
      <c r="A47" s="220" t="s">
        <v>1136</v>
      </c>
      <c r="B47" s="221" t="s">
        <v>1137</v>
      </c>
    </row>
    <row r="48" spans="1:2">
      <c r="A48" s="220" t="s">
        <v>1138</v>
      </c>
      <c r="B48" s="221" t="s">
        <v>1139</v>
      </c>
    </row>
    <row r="49" spans="1:2">
      <c r="A49" s="220" t="s">
        <v>1140</v>
      </c>
      <c r="B49" s="221" t="s">
        <v>1141</v>
      </c>
    </row>
    <row r="50" spans="1:2">
      <c r="A50" s="220" t="s">
        <v>1142</v>
      </c>
      <c r="B50" s="221" t="s">
        <v>1143</v>
      </c>
    </row>
    <row r="51" spans="1:2">
      <c r="A51" s="220" t="s">
        <v>1144</v>
      </c>
      <c r="B51" s="221" t="s">
        <v>1145</v>
      </c>
    </row>
    <row r="52" spans="1:2">
      <c r="A52" s="220" t="s">
        <v>1146</v>
      </c>
      <c r="B52" s="221" t="s">
        <v>1147</v>
      </c>
    </row>
    <row r="53" spans="1:2">
      <c r="A53" s="220" t="s">
        <v>1148</v>
      </c>
      <c r="B53" s="221" t="s">
        <v>1149</v>
      </c>
    </row>
    <row r="54" spans="1:2">
      <c r="A54" s="220" t="s">
        <v>1150</v>
      </c>
      <c r="B54" s="221" t="s">
        <v>1151</v>
      </c>
    </row>
    <row r="55" spans="1:2">
      <c r="A55" s="220" t="s">
        <v>1152</v>
      </c>
      <c r="B55" s="221" t="s">
        <v>1153</v>
      </c>
    </row>
    <row r="56" spans="1:2">
      <c r="A56" s="220" t="s">
        <v>1154</v>
      </c>
      <c r="B56" s="221" t="s">
        <v>1155</v>
      </c>
    </row>
    <row r="57" spans="1:2">
      <c r="A57" s="220" t="s">
        <v>1156</v>
      </c>
      <c r="B57" s="221" t="s">
        <v>1157</v>
      </c>
    </row>
    <row r="58" spans="1:2">
      <c r="A58" s="220" t="s">
        <v>1158</v>
      </c>
      <c r="B58" s="221" t="s">
        <v>1159</v>
      </c>
    </row>
    <row r="59" spans="1:2">
      <c r="A59" s="220" t="s">
        <v>1160</v>
      </c>
      <c r="B59" s="221" t="s">
        <v>1161</v>
      </c>
    </row>
    <row r="60" spans="1:2">
      <c r="A60" s="220" t="s">
        <v>1162</v>
      </c>
      <c r="B60" s="221" t="s">
        <v>1163</v>
      </c>
    </row>
    <row r="61" spans="1:2">
      <c r="A61" s="220" t="s">
        <v>1164</v>
      </c>
      <c r="B61" s="221" t="s">
        <v>1165</v>
      </c>
    </row>
    <row r="62" spans="1:2">
      <c r="A62" s="220" t="s">
        <v>1166</v>
      </c>
      <c r="B62" s="221" t="s">
        <v>1167</v>
      </c>
    </row>
    <row r="63" spans="1:2">
      <c r="A63" s="220" t="s">
        <v>1168</v>
      </c>
      <c r="B63" s="221" t="s">
        <v>1169</v>
      </c>
    </row>
    <row r="64" spans="1:2">
      <c r="A64" s="220" t="s">
        <v>1170</v>
      </c>
      <c r="B64" s="221" t="s">
        <v>1171</v>
      </c>
    </row>
    <row r="65" spans="1:2">
      <c r="A65" s="220" t="s">
        <v>1172</v>
      </c>
      <c r="B65" s="221" t="s">
        <v>1173</v>
      </c>
    </row>
    <row r="66" spans="1:2">
      <c r="A66" s="220" t="s">
        <v>1174</v>
      </c>
      <c r="B66" s="221" t="s">
        <v>1175</v>
      </c>
    </row>
    <row r="67" spans="1:2">
      <c r="A67" s="220" t="s">
        <v>1176</v>
      </c>
      <c r="B67" s="221" t="s">
        <v>1177</v>
      </c>
    </row>
    <row r="68" spans="1:2">
      <c r="A68" s="220" t="s">
        <v>1178</v>
      </c>
      <c r="B68" s="221" t="s">
        <v>1179</v>
      </c>
    </row>
    <row r="69" spans="1:2">
      <c r="A69" s="220" t="s">
        <v>1180</v>
      </c>
      <c r="B69" s="221" t="s">
        <v>1181</v>
      </c>
    </row>
    <row r="70" spans="1:2">
      <c r="A70" s="220" t="s">
        <v>1182</v>
      </c>
      <c r="B70" s="221" t="s">
        <v>1183</v>
      </c>
    </row>
    <row r="71" spans="1:2">
      <c r="A71" s="220" t="s">
        <v>1184</v>
      </c>
      <c r="B71" s="221" t="s">
        <v>1185</v>
      </c>
    </row>
    <row r="72" spans="1:2">
      <c r="A72" s="220" t="s">
        <v>1186</v>
      </c>
      <c r="B72" s="221" t="s">
        <v>1187</v>
      </c>
    </row>
    <row r="73" spans="1:2">
      <c r="A73" s="220" t="s">
        <v>1188</v>
      </c>
      <c r="B73" s="221" t="s">
        <v>1189</v>
      </c>
    </row>
    <row r="74" spans="1:2">
      <c r="A74" s="220" t="s">
        <v>1190</v>
      </c>
      <c r="B74" s="221" t="s">
        <v>1191</v>
      </c>
    </row>
    <row r="75" spans="1:2">
      <c r="A75" s="220" t="s">
        <v>1192</v>
      </c>
      <c r="B75" s="221" t="s">
        <v>1193</v>
      </c>
    </row>
    <row r="76" spans="1:2">
      <c r="A76" s="220" t="s">
        <v>1194</v>
      </c>
      <c r="B76" s="221" t="s">
        <v>1195</v>
      </c>
    </row>
    <row r="77" spans="1:2">
      <c r="A77" s="220" t="s">
        <v>1196</v>
      </c>
      <c r="B77" s="221" t="s">
        <v>1197</v>
      </c>
    </row>
    <row r="78" spans="1:2">
      <c r="A78" s="220" t="s">
        <v>1198</v>
      </c>
      <c r="B78" s="221" t="s">
        <v>1199</v>
      </c>
    </row>
    <row r="79" spans="1:2">
      <c r="A79" s="220" t="s">
        <v>1200</v>
      </c>
      <c r="B79" s="221" t="s">
        <v>1201</v>
      </c>
    </row>
    <row r="80" spans="1:2">
      <c r="A80" s="220" t="s">
        <v>1202</v>
      </c>
      <c r="B80" s="221" t="s">
        <v>1203</v>
      </c>
    </row>
    <row r="81" spans="1:2">
      <c r="A81" s="220" t="s">
        <v>1204</v>
      </c>
      <c r="B81" s="221" t="s">
        <v>1205</v>
      </c>
    </row>
    <row r="82" spans="1:2">
      <c r="A82" s="220" t="s">
        <v>1206</v>
      </c>
      <c r="B82" s="221" t="s">
        <v>1207</v>
      </c>
    </row>
    <row r="83" spans="1:2">
      <c r="A83" s="220" t="s">
        <v>1208</v>
      </c>
      <c r="B83" s="221" t="s">
        <v>1209</v>
      </c>
    </row>
    <row r="84" spans="1:2">
      <c r="A84" s="220" t="s">
        <v>1210</v>
      </c>
      <c r="B84" s="221" t="s">
        <v>1211</v>
      </c>
    </row>
    <row r="85" spans="1:2">
      <c r="A85" s="220" t="s">
        <v>1212</v>
      </c>
      <c r="B85" s="221" t="s">
        <v>1213</v>
      </c>
    </row>
    <row r="86" spans="1:2">
      <c r="A86" s="220" t="s">
        <v>1214</v>
      </c>
      <c r="B86" s="221" t="s">
        <v>1215</v>
      </c>
    </row>
    <row r="87" spans="1:2">
      <c r="A87" s="220" t="s">
        <v>1216</v>
      </c>
      <c r="B87" s="221" t="s">
        <v>1217</v>
      </c>
    </row>
    <row r="88" spans="1:2">
      <c r="A88" s="220" t="s">
        <v>1218</v>
      </c>
      <c r="B88" s="221" t="s">
        <v>1219</v>
      </c>
    </row>
    <row r="89" spans="1:2">
      <c r="A89" s="220" t="s">
        <v>1220</v>
      </c>
      <c r="B89" s="221" t="s">
        <v>1221</v>
      </c>
    </row>
    <row r="90" spans="1:2">
      <c r="A90" s="220" t="s">
        <v>1222</v>
      </c>
      <c r="B90" s="221" t="s">
        <v>1223</v>
      </c>
    </row>
    <row r="91" spans="1:2">
      <c r="A91" s="220" t="s">
        <v>1224</v>
      </c>
      <c r="B91" s="221" t="s">
        <v>1225</v>
      </c>
    </row>
    <row r="92" spans="1:2">
      <c r="A92" s="220" t="s">
        <v>1226</v>
      </c>
      <c r="B92" s="221" t="s">
        <v>1227</v>
      </c>
    </row>
    <row r="93" spans="1:2">
      <c r="A93" s="220" t="s">
        <v>1228</v>
      </c>
      <c r="B93" s="221" t="s">
        <v>1229</v>
      </c>
    </row>
    <row r="94" spans="1:2">
      <c r="A94" s="220" t="s">
        <v>1230</v>
      </c>
      <c r="B94" s="221" t="s">
        <v>1038</v>
      </c>
    </row>
    <row r="95" spans="1:2">
      <c r="A95" s="218" t="s">
        <v>718</v>
      </c>
      <c r="B95" s="219" t="s">
        <v>719</v>
      </c>
    </row>
    <row r="96" spans="1:2">
      <c r="A96" s="220" t="s">
        <v>1231</v>
      </c>
      <c r="B96" s="221" t="s">
        <v>1232</v>
      </c>
    </row>
    <row r="97" spans="1:2">
      <c r="A97" s="220" t="s">
        <v>1233</v>
      </c>
      <c r="B97" s="221" t="s">
        <v>1234</v>
      </c>
    </row>
    <row r="98" spans="1:2">
      <c r="A98" s="220" t="s">
        <v>1235</v>
      </c>
      <c r="B98" s="221" t="s">
        <v>1236</v>
      </c>
    </row>
    <row r="99" spans="1:2">
      <c r="A99" s="220" t="s">
        <v>1237</v>
      </c>
      <c r="B99" s="221" t="s">
        <v>1238</v>
      </c>
    </row>
    <row r="100" spans="1:2">
      <c r="A100" s="220" t="s">
        <v>1239</v>
      </c>
      <c r="B100" s="221" t="s">
        <v>1240</v>
      </c>
    </row>
    <row r="101" spans="1:2">
      <c r="A101" s="220" t="s">
        <v>1241</v>
      </c>
      <c r="B101" s="221" t="s">
        <v>1242</v>
      </c>
    </row>
    <row r="102" spans="1:2">
      <c r="A102" s="220" t="s">
        <v>1243</v>
      </c>
      <c r="B102" s="221" t="s">
        <v>1244</v>
      </c>
    </row>
    <row r="103" spans="1:2">
      <c r="A103" s="220" t="s">
        <v>1245</v>
      </c>
      <c r="B103" s="221" t="s">
        <v>1246</v>
      </c>
    </row>
    <row r="104" spans="1:2">
      <c r="A104" s="220" t="s">
        <v>1247</v>
      </c>
      <c r="B104" s="221" t="s">
        <v>1248</v>
      </c>
    </row>
    <row r="105" spans="1:2">
      <c r="A105" s="220" t="s">
        <v>1249</v>
      </c>
      <c r="B105" s="221" t="s">
        <v>1250</v>
      </c>
    </row>
    <row r="106" spans="1:2">
      <c r="A106" s="220" t="s">
        <v>1251</v>
      </c>
      <c r="B106" s="221" t="s">
        <v>1252</v>
      </c>
    </row>
    <row r="107" spans="1:2">
      <c r="A107" s="220" t="s">
        <v>1253</v>
      </c>
      <c r="B107" s="221" t="s">
        <v>1254</v>
      </c>
    </row>
    <row r="108" spans="1:2">
      <c r="A108" s="220" t="s">
        <v>1255</v>
      </c>
      <c r="B108" s="221" t="s">
        <v>1256</v>
      </c>
    </row>
    <row r="109" spans="1:2">
      <c r="A109" s="220" t="s">
        <v>1257</v>
      </c>
      <c r="B109" s="221" t="s">
        <v>1258</v>
      </c>
    </row>
    <row r="110" spans="1:2">
      <c r="A110" s="220" t="s">
        <v>1259</v>
      </c>
      <c r="B110" s="221" t="s">
        <v>1260</v>
      </c>
    </row>
    <row r="111" spans="1:2">
      <c r="A111" s="220" t="s">
        <v>1261</v>
      </c>
      <c r="B111" s="221" t="s">
        <v>1262</v>
      </c>
    </row>
    <row r="112" spans="1:2">
      <c r="A112" s="220" t="s">
        <v>1263</v>
      </c>
      <c r="B112" s="221" t="s">
        <v>1264</v>
      </c>
    </row>
    <row r="113" spans="1:2">
      <c r="A113" s="220" t="s">
        <v>1265</v>
      </c>
      <c r="B113" s="221" t="s">
        <v>1266</v>
      </c>
    </row>
    <row r="114" spans="1:2">
      <c r="A114" s="220" t="s">
        <v>1267</v>
      </c>
      <c r="B114" s="221" t="s">
        <v>1268</v>
      </c>
    </row>
    <row r="115" spans="1:2">
      <c r="A115" s="220" t="s">
        <v>1269</v>
      </c>
      <c r="B115" s="221" t="s">
        <v>1270</v>
      </c>
    </row>
    <row r="116" spans="1:2">
      <c r="A116" s="220" t="s">
        <v>1271</v>
      </c>
      <c r="B116" s="221" t="s">
        <v>1272</v>
      </c>
    </row>
    <row r="117" spans="1:2">
      <c r="A117" s="220" t="s">
        <v>1273</v>
      </c>
      <c r="B117" s="221" t="s">
        <v>1274</v>
      </c>
    </row>
    <row r="118" spans="1:2">
      <c r="A118" s="220" t="s">
        <v>1275</v>
      </c>
      <c r="B118" s="221" t="s">
        <v>1276</v>
      </c>
    </row>
    <row r="119" spans="1:2">
      <c r="A119" s="220" t="s">
        <v>1277</v>
      </c>
      <c r="B119" s="221" t="s">
        <v>1278</v>
      </c>
    </row>
    <row r="120" spans="1:2">
      <c r="A120" s="220" t="s">
        <v>1279</v>
      </c>
      <c r="B120" s="221" t="s">
        <v>1280</v>
      </c>
    </row>
    <row r="121" spans="1:2">
      <c r="A121" s="220" t="s">
        <v>1281</v>
      </c>
      <c r="B121" s="221" t="s">
        <v>1282</v>
      </c>
    </row>
    <row r="122" spans="1:2">
      <c r="A122" s="220" t="s">
        <v>1283</v>
      </c>
      <c r="B122" s="221" t="s">
        <v>1284</v>
      </c>
    </row>
    <row r="123" spans="1:2">
      <c r="A123" s="220" t="s">
        <v>1285</v>
      </c>
      <c r="B123" s="221" t="s">
        <v>1286</v>
      </c>
    </row>
    <row r="124" spans="1:2">
      <c r="A124" s="220" t="s">
        <v>1287</v>
      </c>
      <c r="B124" s="221" t="s">
        <v>1288</v>
      </c>
    </row>
    <row r="125" spans="1:2">
      <c r="A125" s="220" t="s">
        <v>1032</v>
      </c>
      <c r="B125" s="221" t="s">
        <v>1289</v>
      </c>
    </row>
    <row r="126" spans="1:2">
      <c r="A126" s="220" t="s">
        <v>1290</v>
      </c>
      <c r="B126" s="221" t="s">
        <v>1291</v>
      </c>
    </row>
    <row r="127" spans="1:2">
      <c r="A127" s="220" t="s">
        <v>1292</v>
      </c>
      <c r="B127" s="221" t="s">
        <v>1293</v>
      </c>
    </row>
    <row r="128" spans="1:2">
      <c r="A128" s="220" t="s">
        <v>1294</v>
      </c>
      <c r="B128" s="221" t="s">
        <v>1295</v>
      </c>
    </row>
    <row r="129" spans="1:2">
      <c r="A129" s="220" t="s">
        <v>1296</v>
      </c>
      <c r="B129" s="221" t="s">
        <v>1297</v>
      </c>
    </row>
    <row r="130" spans="1:2">
      <c r="A130" s="220" t="s">
        <v>1298</v>
      </c>
      <c r="B130" s="221" t="s">
        <v>1299</v>
      </c>
    </row>
    <row r="131" spans="1:2">
      <c r="A131" s="220" t="s">
        <v>1300</v>
      </c>
      <c r="B131" s="221" t="s">
        <v>1301</v>
      </c>
    </row>
    <row r="132" spans="1:2">
      <c r="A132" s="220" t="s">
        <v>1302</v>
      </c>
      <c r="B132" s="221" t="s">
        <v>1303</v>
      </c>
    </row>
    <row r="133" spans="1:2">
      <c r="A133" s="220" t="s">
        <v>1304</v>
      </c>
      <c r="B133" s="221" t="s">
        <v>1305</v>
      </c>
    </row>
    <row r="134" spans="1:2">
      <c r="A134" s="220" t="s">
        <v>1306</v>
      </c>
      <c r="B134" s="221" t="s">
        <v>1307</v>
      </c>
    </row>
    <row r="135" spans="1:2">
      <c r="A135" s="220" t="s">
        <v>1308</v>
      </c>
      <c r="B135" s="221" t="s">
        <v>1309</v>
      </c>
    </row>
    <row r="136" spans="1:2">
      <c r="A136" s="220" t="s">
        <v>1310</v>
      </c>
      <c r="B136" s="221" t="s">
        <v>1311</v>
      </c>
    </row>
    <row r="137" spans="1:2">
      <c r="A137" s="220" t="s">
        <v>1312</v>
      </c>
      <c r="B137" s="221" t="s">
        <v>1313</v>
      </c>
    </row>
    <row r="138" spans="1:2">
      <c r="A138" s="220" t="s">
        <v>1314</v>
      </c>
      <c r="B138" s="221" t="s">
        <v>1315</v>
      </c>
    </row>
    <row r="139" spans="1:2">
      <c r="A139" s="220" t="s">
        <v>1316</v>
      </c>
      <c r="B139" s="221" t="s">
        <v>1317</v>
      </c>
    </row>
    <row r="140" spans="1:2">
      <c r="A140" s="220" t="s">
        <v>1318</v>
      </c>
      <c r="B140" s="221" t="s">
        <v>1319</v>
      </c>
    </row>
    <row r="141" spans="1:2">
      <c r="A141" s="220" t="s">
        <v>1320</v>
      </c>
      <c r="B141" s="221" t="s">
        <v>1321</v>
      </c>
    </row>
    <row r="142" spans="1:2">
      <c r="A142" s="220" t="s">
        <v>1322</v>
      </c>
      <c r="B142" s="221" t="s">
        <v>1323</v>
      </c>
    </row>
    <row r="143" spans="1:2">
      <c r="A143" s="220" t="s">
        <v>1324</v>
      </c>
      <c r="B143" s="221" t="s">
        <v>1325</v>
      </c>
    </row>
    <row r="144" spans="1:2">
      <c r="A144" s="220" t="s">
        <v>1326</v>
      </c>
      <c r="B144" s="221" t="s">
        <v>1327</v>
      </c>
    </row>
    <row r="145" spans="1:2">
      <c r="A145" s="220" t="s">
        <v>1328</v>
      </c>
      <c r="B145" s="221" t="s">
        <v>1329</v>
      </c>
    </row>
    <row r="146" spans="1:2">
      <c r="A146" s="220" t="s">
        <v>1330</v>
      </c>
      <c r="B146" s="221" t="s">
        <v>1331</v>
      </c>
    </row>
    <row r="147" spans="1:2">
      <c r="A147" s="220" t="s">
        <v>1332</v>
      </c>
      <c r="B147" s="221" t="s">
        <v>1333</v>
      </c>
    </row>
    <row r="148" spans="1:2">
      <c r="A148" s="220" t="s">
        <v>1334</v>
      </c>
      <c r="B148" s="221" t="s">
        <v>1335</v>
      </c>
    </row>
    <row r="149" spans="1:2">
      <c r="A149" s="220" t="s">
        <v>1336</v>
      </c>
      <c r="B149" s="221" t="s">
        <v>1337</v>
      </c>
    </row>
    <row r="150" spans="1:2">
      <c r="A150" s="220" t="s">
        <v>1338</v>
      </c>
      <c r="B150" s="221" t="s">
        <v>1339</v>
      </c>
    </row>
    <row r="151" spans="1:2">
      <c r="A151" s="220" t="s">
        <v>1340</v>
      </c>
      <c r="B151" s="221" t="s">
        <v>1341</v>
      </c>
    </row>
    <row r="152" spans="1:2">
      <c r="A152" s="220" t="s">
        <v>1342</v>
      </c>
      <c r="B152" s="221" t="s">
        <v>1343</v>
      </c>
    </row>
    <row r="153" spans="1:2">
      <c r="A153" s="220" t="s">
        <v>1344</v>
      </c>
      <c r="B153" s="221" t="s">
        <v>1345</v>
      </c>
    </row>
    <row r="154" spans="1:2">
      <c r="A154" s="220" t="s">
        <v>1346</v>
      </c>
      <c r="B154" s="221" t="s">
        <v>1347</v>
      </c>
    </row>
    <row r="155" spans="1:2">
      <c r="A155" s="220" t="s">
        <v>1348</v>
      </c>
      <c r="B155" s="221" t="s">
        <v>1349</v>
      </c>
    </row>
    <row r="156" spans="1:2">
      <c r="A156" s="220" t="s">
        <v>1350</v>
      </c>
      <c r="B156" s="221" t="s">
        <v>1351</v>
      </c>
    </row>
    <row r="157" spans="1:2">
      <c r="A157" s="220" t="s">
        <v>1352</v>
      </c>
      <c r="B157" s="221" t="s">
        <v>1177</v>
      </c>
    </row>
    <row r="158" spans="1:2">
      <c r="A158" s="220" t="s">
        <v>1353</v>
      </c>
      <c r="B158" s="221" t="s">
        <v>1354</v>
      </c>
    </row>
    <row r="159" spans="1:2">
      <c r="A159" s="220" t="s">
        <v>1355</v>
      </c>
      <c r="B159" s="221" t="s">
        <v>1356</v>
      </c>
    </row>
    <row r="160" spans="1:2">
      <c r="A160" s="220" t="s">
        <v>1357</v>
      </c>
      <c r="B160" s="221" t="s">
        <v>1358</v>
      </c>
    </row>
    <row r="161" spans="1:2">
      <c r="A161" s="220" t="s">
        <v>1359</v>
      </c>
      <c r="B161" s="221" t="s">
        <v>1360</v>
      </c>
    </row>
    <row r="162" spans="1:2">
      <c r="A162" s="220" t="s">
        <v>1361</v>
      </c>
      <c r="B162" s="221" t="s">
        <v>1362</v>
      </c>
    </row>
    <row r="163" spans="1:2">
      <c r="A163" s="220" t="s">
        <v>1051</v>
      </c>
      <c r="B163" s="221" t="s">
        <v>1363</v>
      </c>
    </row>
    <row r="164" spans="1:2">
      <c r="A164" s="220" t="s">
        <v>1041</v>
      </c>
      <c r="B164" s="221" t="s">
        <v>1364</v>
      </c>
    </row>
    <row r="165" spans="1:2">
      <c r="A165" s="220" t="s">
        <v>1365</v>
      </c>
      <c r="B165" s="221" t="s">
        <v>1366</v>
      </c>
    </row>
    <row r="166" spans="1:2">
      <c r="A166" s="220" t="s">
        <v>1367</v>
      </c>
      <c r="B166" s="221" t="s">
        <v>1368</v>
      </c>
    </row>
    <row r="167" spans="1:2">
      <c r="A167" s="220" t="s">
        <v>1369</v>
      </c>
      <c r="B167" s="221" t="s">
        <v>1370</v>
      </c>
    </row>
    <row r="168" spans="1:2">
      <c r="A168" s="220" t="s">
        <v>1371</v>
      </c>
      <c r="B168" s="221" t="s">
        <v>1372</v>
      </c>
    </row>
    <row r="169" spans="1:2">
      <c r="A169" s="220" t="s">
        <v>1373</v>
      </c>
      <c r="B169" s="221" t="s">
        <v>1374</v>
      </c>
    </row>
    <row r="170" spans="1:2">
      <c r="A170" s="220" t="s">
        <v>1375</v>
      </c>
      <c r="B170" s="221" t="s">
        <v>1376</v>
      </c>
    </row>
    <row r="171" spans="1:2">
      <c r="A171" s="220" t="s">
        <v>1377</v>
      </c>
      <c r="B171" s="221" t="s">
        <v>1378</v>
      </c>
    </row>
    <row r="172" spans="1:2">
      <c r="A172" s="220" t="s">
        <v>1073</v>
      </c>
      <c r="B172" s="221" t="s">
        <v>1379</v>
      </c>
    </row>
    <row r="173" spans="1:2">
      <c r="A173" s="220" t="s">
        <v>1380</v>
      </c>
      <c r="B173" s="221" t="s">
        <v>1381</v>
      </c>
    </row>
    <row r="174" spans="1:2">
      <c r="A174" s="220" t="s">
        <v>1382</v>
      </c>
      <c r="B174" s="221" t="s">
        <v>1383</v>
      </c>
    </row>
    <row r="175" spans="1:2">
      <c r="A175" s="220" t="s">
        <v>1384</v>
      </c>
      <c r="B175" s="221" t="s">
        <v>1385</v>
      </c>
    </row>
    <row r="176" spans="1:2">
      <c r="A176" s="220" t="s">
        <v>1386</v>
      </c>
      <c r="B176" s="221" t="s">
        <v>1387</v>
      </c>
    </row>
    <row r="177" spans="1:2">
      <c r="A177" s="220" t="s">
        <v>1388</v>
      </c>
      <c r="B177" s="221" t="s">
        <v>1389</v>
      </c>
    </row>
    <row r="178" spans="1:2">
      <c r="A178" s="220" t="s">
        <v>1390</v>
      </c>
      <c r="B178" s="221" t="s">
        <v>1391</v>
      </c>
    </row>
    <row r="179" spans="1:2">
      <c r="A179" s="220" t="s">
        <v>1392</v>
      </c>
      <c r="B179" s="221" t="s">
        <v>1393</v>
      </c>
    </row>
    <row r="180" spans="1:2">
      <c r="A180" s="220" t="s">
        <v>1394</v>
      </c>
      <c r="B180" s="221" t="s">
        <v>1395</v>
      </c>
    </row>
    <row r="181" spans="1:2">
      <c r="A181" s="220" t="s">
        <v>1396</v>
      </c>
      <c r="B181" s="221" t="s">
        <v>1397</v>
      </c>
    </row>
    <row r="182" spans="1:2">
      <c r="A182" s="220" t="s">
        <v>1398</v>
      </c>
      <c r="B182" s="221" t="s">
        <v>1399</v>
      </c>
    </row>
    <row r="183" spans="1:2">
      <c r="A183" s="220" t="s">
        <v>1400</v>
      </c>
      <c r="B183" s="221" t="s">
        <v>1401</v>
      </c>
    </row>
    <row r="184" spans="1:2">
      <c r="A184" s="220" t="s">
        <v>1085</v>
      </c>
      <c r="B184" s="221" t="s">
        <v>1402</v>
      </c>
    </row>
    <row r="185" spans="1:2">
      <c r="A185" s="220" t="s">
        <v>1403</v>
      </c>
      <c r="B185" s="221" t="s">
        <v>1404</v>
      </c>
    </row>
    <row r="186" spans="1:2">
      <c r="A186" s="220" t="s">
        <v>1405</v>
      </c>
      <c r="B186" s="221" t="s">
        <v>1406</v>
      </c>
    </row>
    <row r="187" spans="1:2">
      <c r="A187" s="220" t="s">
        <v>1407</v>
      </c>
      <c r="B187" s="221" t="s">
        <v>1408</v>
      </c>
    </row>
    <row r="188" spans="1:2">
      <c r="A188" s="220" t="s">
        <v>1409</v>
      </c>
      <c r="B188" s="221" t="s">
        <v>1410</v>
      </c>
    </row>
    <row r="189" spans="1:2">
      <c r="A189" s="220" t="s">
        <v>1411</v>
      </c>
      <c r="B189" s="221" t="s">
        <v>1412</v>
      </c>
    </row>
    <row r="190" spans="1:2">
      <c r="A190" s="220" t="s">
        <v>1413</v>
      </c>
      <c r="B190" s="221" t="s">
        <v>1414</v>
      </c>
    </row>
    <row r="191" spans="1:2">
      <c r="A191" s="220" t="s">
        <v>1415</v>
      </c>
      <c r="B191" s="221" t="s">
        <v>1416</v>
      </c>
    </row>
    <row r="192" spans="1:2">
      <c r="A192" s="220" t="s">
        <v>1417</v>
      </c>
      <c r="B192" s="221" t="s">
        <v>1418</v>
      </c>
    </row>
    <row r="193" spans="1:2">
      <c r="A193" s="220" t="s">
        <v>1419</v>
      </c>
      <c r="B193" s="221" t="s">
        <v>1420</v>
      </c>
    </row>
    <row r="194" spans="1:2">
      <c r="A194" s="220" t="s">
        <v>1421</v>
      </c>
      <c r="B194" s="221" t="s">
        <v>1422</v>
      </c>
    </row>
    <row r="195" spans="1:2">
      <c r="A195" s="220" t="s">
        <v>1059</v>
      </c>
      <c r="B195" s="221" t="s">
        <v>1423</v>
      </c>
    </row>
    <row r="196" spans="1:2">
      <c r="A196" s="220" t="s">
        <v>1424</v>
      </c>
      <c r="B196" s="221" t="s">
        <v>1425</v>
      </c>
    </row>
    <row r="197" spans="1:2">
      <c r="A197" s="220" t="s">
        <v>1426</v>
      </c>
      <c r="B197" s="221" t="s">
        <v>1427</v>
      </c>
    </row>
    <row r="198" spans="1:2">
      <c r="A198" s="220" t="s">
        <v>1428</v>
      </c>
      <c r="B198" s="221" t="s">
        <v>1429</v>
      </c>
    </row>
    <row r="199" spans="1:2">
      <c r="A199" s="220" t="s">
        <v>1430</v>
      </c>
      <c r="B199" s="221" t="s">
        <v>1431</v>
      </c>
    </row>
    <row r="200" spans="1:2">
      <c r="A200" s="220" t="s">
        <v>1432</v>
      </c>
      <c r="B200" s="221" t="s">
        <v>1433</v>
      </c>
    </row>
    <row r="201" spans="1:2">
      <c r="A201" s="220" t="s">
        <v>1434</v>
      </c>
      <c r="B201" s="221" t="s">
        <v>1435</v>
      </c>
    </row>
    <row r="202" spans="1:2">
      <c r="A202" s="220" t="s">
        <v>1436</v>
      </c>
      <c r="B202" s="221" t="s">
        <v>1437</v>
      </c>
    </row>
    <row r="203" spans="1:2">
      <c r="A203" s="220" t="s">
        <v>1438</v>
      </c>
      <c r="B203" s="221" t="s">
        <v>1439</v>
      </c>
    </row>
    <row r="204" spans="1:2">
      <c r="A204" s="220" t="s">
        <v>1440</v>
      </c>
      <c r="B204" s="221" t="s">
        <v>1441</v>
      </c>
    </row>
    <row r="205" spans="1:2">
      <c r="A205" s="220" t="s">
        <v>1442</v>
      </c>
      <c r="B205" s="221" t="s">
        <v>1443</v>
      </c>
    </row>
    <row r="206" spans="1:2">
      <c r="A206" s="220" t="s">
        <v>1444</v>
      </c>
      <c r="B206" s="221" t="s">
        <v>1445</v>
      </c>
    </row>
    <row r="207" spans="1:2">
      <c r="A207" s="220" t="s">
        <v>1446</v>
      </c>
      <c r="B207" s="221" t="s">
        <v>1447</v>
      </c>
    </row>
    <row r="208" spans="1:2">
      <c r="A208" s="220" t="s">
        <v>1448</v>
      </c>
      <c r="B208" s="221" t="s">
        <v>1449</v>
      </c>
    </row>
    <row r="209" spans="1:2">
      <c r="A209" s="220" t="s">
        <v>1450</v>
      </c>
      <c r="B209" s="221" t="s">
        <v>1451</v>
      </c>
    </row>
    <row r="210" spans="1:2">
      <c r="A210" s="220" t="s">
        <v>1452</v>
      </c>
      <c r="B210" s="221" t="s">
        <v>1453</v>
      </c>
    </row>
    <row r="211" spans="1:2">
      <c r="A211" s="220" t="s">
        <v>1454</v>
      </c>
      <c r="B211" s="221" t="s">
        <v>1455</v>
      </c>
    </row>
    <row r="212" spans="1:2">
      <c r="A212" s="220" t="s">
        <v>1456</v>
      </c>
      <c r="B212" s="221" t="s">
        <v>1457</v>
      </c>
    </row>
    <row r="213" spans="1:2">
      <c r="A213" s="220" t="s">
        <v>1458</v>
      </c>
      <c r="B213" s="221" t="s">
        <v>1459</v>
      </c>
    </row>
    <row r="214" spans="1:2">
      <c r="A214" s="220" t="s">
        <v>1460</v>
      </c>
      <c r="B214" s="221" t="s">
        <v>1461</v>
      </c>
    </row>
    <row r="215" spans="1:2">
      <c r="A215" s="220" t="s">
        <v>1462</v>
      </c>
      <c r="B215" s="221" t="s">
        <v>1463</v>
      </c>
    </row>
    <row r="216" spans="1:2">
      <c r="A216" s="220" t="s">
        <v>1464</v>
      </c>
      <c r="B216" s="221" t="s">
        <v>1465</v>
      </c>
    </row>
    <row r="217" spans="1:2">
      <c r="A217" s="220" t="s">
        <v>1466</v>
      </c>
      <c r="B217" s="221" t="s">
        <v>1467</v>
      </c>
    </row>
    <row r="218" spans="1:2">
      <c r="A218" s="220" t="s">
        <v>1468</v>
      </c>
      <c r="B218" s="221" t="s">
        <v>1469</v>
      </c>
    </row>
    <row r="219" spans="1:2">
      <c r="A219" s="220" t="s">
        <v>1470</v>
      </c>
      <c r="B219" s="221" t="s">
        <v>1471</v>
      </c>
    </row>
    <row r="220" spans="1:2">
      <c r="A220" s="220" t="s">
        <v>1472</v>
      </c>
      <c r="B220" s="221" t="s">
        <v>1473</v>
      </c>
    </row>
    <row r="221" spans="1:2">
      <c r="A221" s="218" t="s">
        <v>720</v>
      </c>
      <c r="B221" s="219" t="s">
        <v>721</v>
      </c>
    </row>
    <row r="222" spans="1:2">
      <c r="A222" s="220" t="s">
        <v>1474</v>
      </c>
      <c r="B222" s="221" t="s">
        <v>1475</v>
      </c>
    </row>
    <row r="223" spans="1:2">
      <c r="A223" s="220" t="s">
        <v>1476</v>
      </c>
      <c r="B223" s="221" t="s">
        <v>1477</v>
      </c>
    </row>
    <row r="224" spans="1:2">
      <c r="A224" s="220" t="s">
        <v>1478</v>
      </c>
      <c r="B224" s="221" t="s">
        <v>1479</v>
      </c>
    </row>
    <row r="225" spans="1:2">
      <c r="A225" s="220" t="s">
        <v>1480</v>
      </c>
      <c r="B225" s="221" t="s">
        <v>1481</v>
      </c>
    </row>
    <row r="226" spans="1:2">
      <c r="A226" s="220" t="s">
        <v>1482</v>
      </c>
      <c r="B226" s="221" t="s">
        <v>1483</v>
      </c>
    </row>
    <row r="227" spans="1:2">
      <c r="A227" s="220" t="s">
        <v>1484</v>
      </c>
      <c r="B227" s="221" t="s">
        <v>1485</v>
      </c>
    </row>
    <row r="228" spans="1:2">
      <c r="A228" s="220" t="s">
        <v>1486</v>
      </c>
      <c r="B228" s="221" t="s">
        <v>1487</v>
      </c>
    </row>
    <row r="229" spans="1:2">
      <c r="A229" s="220" t="s">
        <v>1488</v>
      </c>
      <c r="B229" s="221" t="s">
        <v>1489</v>
      </c>
    </row>
    <row r="230" spans="1:2">
      <c r="A230" s="220" t="s">
        <v>1490</v>
      </c>
      <c r="B230" s="221" t="s">
        <v>1491</v>
      </c>
    </row>
    <row r="231" spans="1:2">
      <c r="A231" s="220" t="s">
        <v>1492</v>
      </c>
      <c r="B231" s="221" t="s">
        <v>1493</v>
      </c>
    </row>
    <row r="232" spans="1:2">
      <c r="A232" s="220" t="s">
        <v>1494</v>
      </c>
      <c r="B232" s="221" t="s">
        <v>1495</v>
      </c>
    </row>
    <row r="233" spans="1:2">
      <c r="A233" s="220" t="s">
        <v>1496</v>
      </c>
      <c r="B233" s="221" t="s">
        <v>1497</v>
      </c>
    </row>
    <row r="234" spans="1:2">
      <c r="A234" s="220" t="s">
        <v>1498</v>
      </c>
      <c r="B234" s="221" t="s">
        <v>1499</v>
      </c>
    </row>
    <row r="235" spans="1:2">
      <c r="A235" s="220" t="s">
        <v>1500</v>
      </c>
      <c r="B235" s="221" t="s">
        <v>1501</v>
      </c>
    </row>
    <row r="236" spans="1:2">
      <c r="A236" s="220" t="s">
        <v>1502</v>
      </c>
      <c r="B236" s="221" t="s">
        <v>1503</v>
      </c>
    </row>
    <row r="237" spans="1:2">
      <c r="A237" s="220" t="s">
        <v>1504</v>
      </c>
      <c r="B237" s="221" t="s">
        <v>1505</v>
      </c>
    </row>
    <row r="238" spans="1:2">
      <c r="A238" s="220" t="s">
        <v>1506</v>
      </c>
      <c r="B238" s="221" t="s">
        <v>1507</v>
      </c>
    </row>
    <row r="239" spans="1:2">
      <c r="A239" s="220" t="s">
        <v>1508</v>
      </c>
      <c r="B239" s="221" t="s">
        <v>1509</v>
      </c>
    </row>
    <row r="240" spans="1:2">
      <c r="A240" s="218" t="s">
        <v>722</v>
      </c>
      <c r="B240" s="219" t="s">
        <v>723</v>
      </c>
    </row>
    <row r="241" spans="1:2">
      <c r="A241" s="220" t="s">
        <v>1510</v>
      </c>
      <c r="B241" s="221" t="s">
        <v>1511</v>
      </c>
    </row>
    <row r="242" spans="1:2">
      <c r="A242" s="220" t="s">
        <v>1512</v>
      </c>
      <c r="B242" s="221" t="s">
        <v>1513</v>
      </c>
    </row>
    <row r="243" spans="1:2">
      <c r="A243" s="220" t="s">
        <v>1514</v>
      </c>
      <c r="B243" s="221" t="s">
        <v>1515</v>
      </c>
    </row>
    <row r="244" spans="1:2">
      <c r="A244" s="220" t="s">
        <v>1516</v>
      </c>
      <c r="B244" s="221" t="s">
        <v>1517</v>
      </c>
    </row>
    <row r="245" spans="1:2">
      <c r="A245" s="220" t="s">
        <v>1518</v>
      </c>
      <c r="B245" s="221" t="s">
        <v>1519</v>
      </c>
    </row>
    <row r="246" spans="1:2">
      <c r="A246" s="220" t="s">
        <v>1520</v>
      </c>
      <c r="B246" s="221" t="s">
        <v>1521</v>
      </c>
    </row>
    <row r="247" spans="1:2">
      <c r="A247" s="220" t="s">
        <v>1522</v>
      </c>
      <c r="B247" s="221" t="s">
        <v>1523</v>
      </c>
    </row>
    <row r="248" spans="1:2">
      <c r="A248" s="220" t="s">
        <v>1524</v>
      </c>
      <c r="B248" s="221" t="s">
        <v>1525</v>
      </c>
    </row>
    <row r="249" spans="1:2">
      <c r="A249" s="220" t="s">
        <v>1526</v>
      </c>
      <c r="B249" s="221" t="s">
        <v>1527</v>
      </c>
    </row>
    <row r="250" spans="1:2">
      <c r="A250" s="220" t="s">
        <v>1528</v>
      </c>
      <c r="B250" s="221" t="s">
        <v>1529</v>
      </c>
    </row>
    <row r="251" spans="1:2">
      <c r="A251" s="220" t="s">
        <v>1530</v>
      </c>
      <c r="B251" s="221" t="s">
        <v>1531</v>
      </c>
    </row>
    <row r="252" spans="1:2">
      <c r="A252" s="220" t="s">
        <v>1532</v>
      </c>
      <c r="B252" s="221" t="s">
        <v>1533</v>
      </c>
    </row>
    <row r="253" spans="1:2">
      <c r="A253" s="220" t="s">
        <v>1534</v>
      </c>
      <c r="B253" s="221" t="s">
        <v>1535</v>
      </c>
    </row>
    <row r="254" spans="1:2">
      <c r="A254" s="220" t="s">
        <v>1536</v>
      </c>
      <c r="B254" s="221" t="s">
        <v>1537</v>
      </c>
    </row>
    <row r="255" spans="1:2">
      <c r="A255" s="220" t="s">
        <v>1538</v>
      </c>
      <c r="B255" s="221" t="s">
        <v>1539</v>
      </c>
    </row>
    <row r="256" spans="1:2">
      <c r="A256" s="220" t="s">
        <v>1540</v>
      </c>
      <c r="B256" s="221" t="s">
        <v>1541</v>
      </c>
    </row>
    <row r="257" spans="1:2">
      <c r="A257" s="220" t="s">
        <v>1542</v>
      </c>
      <c r="B257" s="221" t="s">
        <v>1543</v>
      </c>
    </row>
    <row r="258" spans="1:2">
      <c r="A258" s="220" t="s">
        <v>1544</v>
      </c>
      <c r="B258" s="221" t="s">
        <v>1545</v>
      </c>
    </row>
    <row r="259" spans="1:2">
      <c r="A259" s="220" t="s">
        <v>1546</v>
      </c>
      <c r="B259" s="221" t="s">
        <v>1547</v>
      </c>
    </row>
    <row r="260" spans="1:2">
      <c r="A260" s="220" t="s">
        <v>1548</v>
      </c>
      <c r="B260" s="221" t="s">
        <v>1549</v>
      </c>
    </row>
    <row r="261" spans="1:2">
      <c r="A261" s="220" t="s">
        <v>1550</v>
      </c>
      <c r="B261" s="221" t="s">
        <v>1551</v>
      </c>
    </row>
    <row r="262" spans="1:2">
      <c r="A262" s="218" t="s">
        <v>724</v>
      </c>
      <c r="B262" s="219" t="s">
        <v>725</v>
      </c>
    </row>
    <row r="263" spans="1:2">
      <c r="A263" s="220" t="s">
        <v>1552</v>
      </c>
      <c r="B263" s="221" t="s">
        <v>1553</v>
      </c>
    </row>
    <row r="264" spans="1:2">
      <c r="A264" s="220" t="s">
        <v>1554</v>
      </c>
      <c r="B264" s="221" t="s">
        <v>1555</v>
      </c>
    </row>
    <row r="265" spans="1:2">
      <c r="A265" s="220" t="s">
        <v>1556</v>
      </c>
      <c r="B265" s="221" t="s">
        <v>1557</v>
      </c>
    </row>
    <row r="266" spans="1:2">
      <c r="A266" s="220" t="s">
        <v>1558</v>
      </c>
      <c r="B266" s="221" t="s">
        <v>1559</v>
      </c>
    </row>
    <row r="267" spans="1:2">
      <c r="A267" s="220" t="s">
        <v>1560</v>
      </c>
      <c r="B267" s="221" t="s">
        <v>1561</v>
      </c>
    </row>
    <row r="268" spans="1:2">
      <c r="A268" s="220" t="s">
        <v>1562</v>
      </c>
      <c r="B268" s="221" t="s">
        <v>1563</v>
      </c>
    </row>
    <row r="269" spans="1:2">
      <c r="A269" s="220" t="s">
        <v>1564</v>
      </c>
      <c r="B269" s="221" t="s">
        <v>1565</v>
      </c>
    </row>
    <row r="270" spans="1:2">
      <c r="A270" s="220" t="s">
        <v>1566</v>
      </c>
      <c r="B270" s="221" t="s">
        <v>1567</v>
      </c>
    </row>
    <row r="271" spans="1:2">
      <c r="A271" s="220" t="s">
        <v>1568</v>
      </c>
      <c r="B271" s="221" t="s">
        <v>1569</v>
      </c>
    </row>
    <row r="272" spans="1:2">
      <c r="A272" s="220" t="s">
        <v>1570</v>
      </c>
      <c r="B272" s="221" t="s">
        <v>1571</v>
      </c>
    </row>
    <row r="273" spans="1:2">
      <c r="A273" s="220" t="s">
        <v>1572</v>
      </c>
      <c r="B273" s="221" t="s">
        <v>1573</v>
      </c>
    </row>
    <row r="274" spans="1:2">
      <c r="A274" s="220" t="s">
        <v>1574</v>
      </c>
      <c r="B274" s="221" t="s">
        <v>1575</v>
      </c>
    </row>
    <row r="275" spans="1:2">
      <c r="A275" s="220" t="s">
        <v>1576</v>
      </c>
      <c r="B275" s="221" t="s">
        <v>1577</v>
      </c>
    </row>
    <row r="276" spans="1:2">
      <c r="A276" s="220" t="s">
        <v>1578</v>
      </c>
      <c r="B276" s="221" t="s">
        <v>1579</v>
      </c>
    </row>
    <row r="277" spans="1:2">
      <c r="A277" s="220" t="s">
        <v>1580</v>
      </c>
      <c r="B277" s="221" t="s">
        <v>1581</v>
      </c>
    </row>
    <row r="278" spans="1:2">
      <c r="A278" s="220" t="s">
        <v>1582</v>
      </c>
      <c r="B278" s="221" t="s">
        <v>1583</v>
      </c>
    </row>
    <row r="279" spans="1:2">
      <c r="A279" s="220" t="s">
        <v>1584</v>
      </c>
      <c r="B279" s="221" t="s">
        <v>1585</v>
      </c>
    </row>
    <row r="280" spans="1:2">
      <c r="A280" s="220" t="s">
        <v>1586</v>
      </c>
      <c r="B280" s="221" t="s">
        <v>1587</v>
      </c>
    </row>
    <row r="281" spans="1:2">
      <c r="A281" s="220" t="s">
        <v>1588</v>
      </c>
      <c r="B281" s="221" t="s">
        <v>1581</v>
      </c>
    </row>
    <row r="282" spans="1:2">
      <c r="A282" s="220" t="s">
        <v>1589</v>
      </c>
      <c r="B282" s="221" t="s">
        <v>1590</v>
      </c>
    </row>
    <row r="283" spans="1:2">
      <c r="A283" s="220" t="s">
        <v>1591</v>
      </c>
      <c r="B283" s="221" t="s">
        <v>1592</v>
      </c>
    </row>
    <row r="284" spans="1:2">
      <c r="A284" s="220" t="s">
        <v>1593</v>
      </c>
      <c r="B284" s="221" t="s">
        <v>1594</v>
      </c>
    </row>
    <row r="285" spans="1:2">
      <c r="A285" s="220" t="s">
        <v>1595</v>
      </c>
      <c r="B285" s="221" t="s">
        <v>1596</v>
      </c>
    </row>
    <row r="286" spans="1:2">
      <c r="A286" s="218" t="s">
        <v>726</v>
      </c>
      <c r="B286" s="219" t="s">
        <v>727</v>
      </c>
    </row>
    <row r="287" spans="1:2">
      <c r="A287" s="220" t="s">
        <v>1597</v>
      </c>
      <c r="B287" s="221" t="s">
        <v>1598</v>
      </c>
    </row>
    <row r="288" spans="1:2">
      <c r="A288" s="220" t="s">
        <v>1599</v>
      </c>
      <c r="B288" s="221" t="s">
        <v>1600</v>
      </c>
    </row>
    <row r="289" spans="1:2">
      <c r="A289" s="220" t="s">
        <v>1601</v>
      </c>
      <c r="B289" s="221" t="s">
        <v>1602</v>
      </c>
    </row>
    <row r="290" spans="1:2">
      <c r="A290" s="220" t="s">
        <v>1603</v>
      </c>
      <c r="B290" s="221" t="s">
        <v>1604</v>
      </c>
    </row>
    <row r="291" spans="1:2">
      <c r="A291" s="220" t="s">
        <v>1605</v>
      </c>
      <c r="B291" s="221" t="s">
        <v>1606</v>
      </c>
    </row>
    <row r="292" spans="1:2">
      <c r="A292" s="220" t="s">
        <v>1607</v>
      </c>
      <c r="B292" s="221" t="s">
        <v>1608</v>
      </c>
    </row>
    <row r="293" spans="1:2">
      <c r="A293" s="220" t="s">
        <v>1609</v>
      </c>
      <c r="B293" s="221" t="s">
        <v>1610</v>
      </c>
    </row>
    <row r="294" spans="1:2">
      <c r="A294" s="220" t="s">
        <v>1611</v>
      </c>
      <c r="B294" s="221" t="s">
        <v>1612</v>
      </c>
    </row>
    <row r="295" spans="1:2">
      <c r="A295" s="220" t="s">
        <v>1613</v>
      </c>
      <c r="B295" s="221" t="s">
        <v>1614</v>
      </c>
    </row>
    <row r="296" spans="1:2">
      <c r="A296" s="220" t="s">
        <v>1615</v>
      </c>
      <c r="B296" s="221" t="s">
        <v>1616</v>
      </c>
    </row>
    <row r="297" spans="1:2">
      <c r="A297" s="220" t="s">
        <v>1617</v>
      </c>
      <c r="B297" s="221" t="s">
        <v>1618</v>
      </c>
    </row>
    <row r="298" spans="1:2">
      <c r="A298" s="220" t="s">
        <v>1619</v>
      </c>
      <c r="B298" s="221" t="s">
        <v>1620</v>
      </c>
    </row>
    <row r="299" spans="1:2">
      <c r="A299" s="220" t="s">
        <v>1621</v>
      </c>
      <c r="B299" s="221" t="s">
        <v>1622</v>
      </c>
    </row>
    <row r="300" spans="1:2">
      <c r="A300" s="220" t="s">
        <v>1623</v>
      </c>
      <c r="B300" s="221" t="s">
        <v>1624</v>
      </c>
    </row>
    <row r="301" spans="1:2">
      <c r="A301" s="220" t="s">
        <v>1625</v>
      </c>
      <c r="B301" s="221" t="s">
        <v>1072</v>
      </c>
    </row>
    <row r="302" spans="1:2">
      <c r="A302" s="218" t="s">
        <v>728</v>
      </c>
      <c r="B302" s="219" t="s">
        <v>729</v>
      </c>
    </row>
    <row r="303" spans="1:2">
      <c r="A303" s="220" t="s">
        <v>1626</v>
      </c>
      <c r="B303" s="221" t="s">
        <v>1627</v>
      </c>
    </row>
    <row r="304" spans="1:2">
      <c r="A304" s="220" t="s">
        <v>1628</v>
      </c>
      <c r="B304" s="221" t="s">
        <v>1629</v>
      </c>
    </row>
    <row r="305" spans="1:2">
      <c r="A305" s="220" t="s">
        <v>1630</v>
      </c>
      <c r="B305" s="221" t="s">
        <v>1631</v>
      </c>
    </row>
    <row r="306" spans="1:2">
      <c r="A306" s="220" t="s">
        <v>1632</v>
      </c>
      <c r="B306" s="221" t="s">
        <v>1633</v>
      </c>
    </row>
    <row r="307" spans="1:2">
      <c r="A307" s="220" t="s">
        <v>1634</v>
      </c>
      <c r="B307" s="221" t="s">
        <v>1635</v>
      </c>
    </row>
    <row r="308" spans="1:2">
      <c r="A308" s="220" t="s">
        <v>1636</v>
      </c>
      <c r="B308" s="221" t="s">
        <v>1637</v>
      </c>
    </row>
    <row r="309" spans="1:2">
      <c r="A309" s="220" t="s">
        <v>1638</v>
      </c>
      <c r="B309" s="221" t="s">
        <v>1639</v>
      </c>
    </row>
    <row r="310" spans="1:2">
      <c r="A310" s="220" t="s">
        <v>1640</v>
      </c>
      <c r="B310" s="221" t="s">
        <v>1641</v>
      </c>
    </row>
    <row r="311" spans="1:2">
      <c r="A311" s="220" t="s">
        <v>1642</v>
      </c>
      <c r="B311" s="221" t="s">
        <v>1643</v>
      </c>
    </row>
    <row r="312" spans="1:2">
      <c r="A312" s="220" t="s">
        <v>1644</v>
      </c>
      <c r="B312" s="221" t="s">
        <v>1645</v>
      </c>
    </row>
    <row r="313" spans="1:2">
      <c r="A313" s="220" t="s">
        <v>1646</v>
      </c>
      <c r="B313" s="221" t="s">
        <v>1647</v>
      </c>
    </row>
    <row r="314" spans="1:2">
      <c r="A314" s="220" t="s">
        <v>1648</v>
      </c>
      <c r="B314" s="221" t="s">
        <v>1649</v>
      </c>
    </row>
    <row r="315" spans="1:2">
      <c r="A315" s="220" t="s">
        <v>1650</v>
      </c>
      <c r="B315" s="221" t="s">
        <v>1651</v>
      </c>
    </row>
    <row r="316" spans="1:2">
      <c r="A316" s="220" t="s">
        <v>1652</v>
      </c>
      <c r="B316" s="221" t="s">
        <v>1653</v>
      </c>
    </row>
    <row r="317" spans="1:2">
      <c r="A317" s="220" t="s">
        <v>1654</v>
      </c>
      <c r="B317" s="221" t="s">
        <v>1655</v>
      </c>
    </row>
    <row r="318" spans="1:2">
      <c r="A318" s="220" t="s">
        <v>1656</v>
      </c>
      <c r="B318" s="221" t="s">
        <v>1657</v>
      </c>
    </row>
    <row r="319" spans="1:2">
      <c r="A319" s="220" t="s">
        <v>1658</v>
      </c>
      <c r="B319" s="221" t="s">
        <v>1659</v>
      </c>
    </row>
    <row r="320" spans="1:2">
      <c r="A320" s="220" t="s">
        <v>1660</v>
      </c>
      <c r="B320" s="221" t="s">
        <v>1661</v>
      </c>
    </row>
    <row r="321" spans="1:2">
      <c r="A321" s="220" t="s">
        <v>1662</v>
      </c>
      <c r="B321" s="221" t="s">
        <v>1663</v>
      </c>
    </row>
    <row r="322" spans="1:2">
      <c r="A322" s="220" t="s">
        <v>1664</v>
      </c>
      <c r="B322" s="221" t="s">
        <v>1665</v>
      </c>
    </row>
    <row r="323" spans="1:2">
      <c r="A323" s="220" t="s">
        <v>1666</v>
      </c>
      <c r="B323" s="221" t="s">
        <v>1667</v>
      </c>
    </row>
    <row r="324" spans="1:2">
      <c r="A324" s="220" t="s">
        <v>1668</v>
      </c>
      <c r="B324" s="221" t="s">
        <v>1667</v>
      </c>
    </row>
    <row r="325" spans="1:2">
      <c r="A325" s="220" t="s">
        <v>1669</v>
      </c>
      <c r="B325" s="221" t="s">
        <v>1670</v>
      </c>
    </row>
    <row r="326" spans="1:2">
      <c r="A326" s="220" t="s">
        <v>1671</v>
      </c>
      <c r="B326" s="221" t="s">
        <v>1670</v>
      </c>
    </row>
    <row r="327" spans="1:2">
      <c r="A327" s="220" t="s">
        <v>1672</v>
      </c>
      <c r="B327" s="221" t="s">
        <v>1673</v>
      </c>
    </row>
    <row r="328" spans="1:2">
      <c r="A328" s="220" t="s">
        <v>1674</v>
      </c>
      <c r="B328" s="221" t="s">
        <v>1675</v>
      </c>
    </row>
    <row r="329" spans="1:2">
      <c r="A329" s="220" t="s">
        <v>1676</v>
      </c>
      <c r="B329" s="221" t="s">
        <v>1677</v>
      </c>
    </row>
    <row r="330" spans="1:2">
      <c r="A330" s="220" t="s">
        <v>1678</v>
      </c>
      <c r="B330" s="221" t="s">
        <v>1679</v>
      </c>
    </row>
    <row r="331" spans="1:2">
      <c r="A331" s="220" t="s">
        <v>1680</v>
      </c>
      <c r="B331" s="221" t="s">
        <v>1681</v>
      </c>
    </row>
    <row r="332" spans="1:2">
      <c r="A332" s="220" t="s">
        <v>1682</v>
      </c>
      <c r="B332" s="221" t="s">
        <v>1683</v>
      </c>
    </row>
    <row r="333" spans="1:2">
      <c r="A333" s="220" t="s">
        <v>1684</v>
      </c>
      <c r="B333" s="221" t="s">
        <v>1685</v>
      </c>
    </row>
    <row r="334" spans="1:2">
      <c r="A334" s="220" t="s">
        <v>1686</v>
      </c>
      <c r="B334" s="221" t="s">
        <v>1687</v>
      </c>
    </row>
    <row r="335" spans="1:2">
      <c r="A335" s="220" t="s">
        <v>1688</v>
      </c>
      <c r="B335" s="221" t="s">
        <v>1689</v>
      </c>
    </row>
    <row r="336" spans="1:2">
      <c r="A336" s="220" t="s">
        <v>1690</v>
      </c>
      <c r="B336" s="221" t="s">
        <v>1691</v>
      </c>
    </row>
    <row r="337" spans="1:2">
      <c r="A337" s="220" t="s">
        <v>1692</v>
      </c>
      <c r="B337" s="221" t="s">
        <v>1693</v>
      </c>
    </row>
    <row r="338" spans="1:2">
      <c r="A338" s="220" t="s">
        <v>1694</v>
      </c>
      <c r="B338" s="221" t="s">
        <v>1695</v>
      </c>
    </row>
    <row r="339" spans="1:2">
      <c r="A339" s="220" t="s">
        <v>1696</v>
      </c>
      <c r="B339" s="221" t="s">
        <v>1697</v>
      </c>
    </row>
    <row r="340" spans="1:2">
      <c r="A340" s="220" t="s">
        <v>1698</v>
      </c>
      <c r="B340" s="221" t="s">
        <v>1699</v>
      </c>
    </row>
    <row r="341" spans="1:2">
      <c r="A341" s="220" t="s">
        <v>1700</v>
      </c>
      <c r="B341" s="221" t="s">
        <v>1701</v>
      </c>
    </row>
    <row r="342" spans="1:2">
      <c r="A342" s="220" t="s">
        <v>1702</v>
      </c>
      <c r="B342" s="221" t="s">
        <v>1703</v>
      </c>
    </row>
    <row r="343" spans="1:2">
      <c r="A343" s="220" t="s">
        <v>1704</v>
      </c>
      <c r="B343" s="221" t="s">
        <v>1705</v>
      </c>
    </row>
    <row r="344" spans="1:2">
      <c r="A344" s="220" t="s">
        <v>1706</v>
      </c>
      <c r="B344" s="221" t="s">
        <v>1707</v>
      </c>
    </row>
    <row r="345" spans="1:2">
      <c r="A345" s="220" t="s">
        <v>1708</v>
      </c>
      <c r="B345" s="221" t="s">
        <v>1709</v>
      </c>
    </row>
    <row r="346" spans="1:2">
      <c r="A346" s="220" t="s">
        <v>1710</v>
      </c>
      <c r="B346" s="221" t="s">
        <v>1711</v>
      </c>
    </row>
    <row r="347" spans="1:2">
      <c r="A347" s="220" t="s">
        <v>1712</v>
      </c>
      <c r="B347" s="221" t="s">
        <v>1713</v>
      </c>
    </row>
    <row r="348" spans="1:2">
      <c r="A348" s="220" t="s">
        <v>1714</v>
      </c>
      <c r="B348" s="221" t="s">
        <v>1715</v>
      </c>
    </row>
    <row r="349" spans="1:2">
      <c r="A349" s="220" t="s">
        <v>1716</v>
      </c>
      <c r="B349" s="221" t="s">
        <v>1717</v>
      </c>
    </row>
    <row r="350" spans="1:2">
      <c r="A350" s="220" t="s">
        <v>1718</v>
      </c>
      <c r="B350" s="221" t="s">
        <v>1719</v>
      </c>
    </row>
    <row r="351" spans="1:2">
      <c r="A351" s="220" t="s">
        <v>1720</v>
      </c>
      <c r="B351" s="221" t="s">
        <v>1721</v>
      </c>
    </row>
    <row r="352" spans="1:2">
      <c r="A352" s="220" t="s">
        <v>1722</v>
      </c>
      <c r="B352" s="221" t="s">
        <v>1723</v>
      </c>
    </row>
    <row r="353" spans="1:2">
      <c r="A353" s="220" t="s">
        <v>1724</v>
      </c>
      <c r="B353" s="221" t="s">
        <v>1725</v>
      </c>
    </row>
    <row r="354" spans="1:2">
      <c r="A354" s="220" t="s">
        <v>1726</v>
      </c>
      <c r="B354" s="221" t="s">
        <v>1727</v>
      </c>
    </row>
    <row r="355" spans="1:2">
      <c r="A355" s="220" t="s">
        <v>1728</v>
      </c>
      <c r="B355" s="221" t="s">
        <v>1729</v>
      </c>
    </row>
    <row r="356" spans="1:2">
      <c r="A356" s="220" t="s">
        <v>1730</v>
      </c>
      <c r="B356" s="221" t="s">
        <v>1731</v>
      </c>
    </row>
    <row r="357" spans="1:2">
      <c r="A357" s="220" t="s">
        <v>1732</v>
      </c>
      <c r="B357" s="221" t="s">
        <v>1733</v>
      </c>
    </row>
    <row r="358" spans="1:2">
      <c r="A358" s="220" t="s">
        <v>1734</v>
      </c>
      <c r="B358" s="221" t="s">
        <v>1735</v>
      </c>
    </row>
    <row r="359" spans="1:2">
      <c r="A359" s="220" t="s">
        <v>1736</v>
      </c>
      <c r="B359" s="221" t="s">
        <v>1737</v>
      </c>
    </row>
    <row r="360" spans="1:2">
      <c r="A360" s="220" t="s">
        <v>1738</v>
      </c>
      <c r="B360" s="221" t="s">
        <v>1739</v>
      </c>
    </row>
    <row r="361" spans="1:2">
      <c r="A361" s="220" t="s">
        <v>1740</v>
      </c>
      <c r="B361" s="221" t="s">
        <v>1741</v>
      </c>
    </row>
    <row r="362" spans="1:2">
      <c r="A362" s="220" t="s">
        <v>1742</v>
      </c>
      <c r="B362" s="221" t="s">
        <v>1743</v>
      </c>
    </row>
    <row r="363" spans="1:2">
      <c r="A363" s="220" t="s">
        <v>1744</v>
      </c>
      <c r="B363" s="221" t="s">
        <v>1745</v>
      </c>
    </row>
    <row r="364" spans="1:2">
      <c r="A364" s="220" t="s">
        <v>1746</v>
      </c>
      <c r="B364" s="221" t="s">
        <v>1747</v>
      </c>
    </row>
    <row r="365" spans="1:2">
      <c r="A365" s="220" t="s">
        <v>1748</v>
      </c>
      <c r="B365" s="221" t="s">
        <v>1749</v>
      </c>
    </row>
    <row r="366" spans="1:2">
      <c r="A366" s="220" t="s">
        <v>1750</v>
      </c>
      <c r="B366" s="221" t="s">
        <v>1751</v>
      </c>
    </row>
    <row r="367" spans="1:2">
      <c r="A367" s="220" t="s">
        <v>1752</v>
      </c>
      <c r="B367" s="221" t="s">
        <v>1753</v>
      </c>
    </row>
    <row r="368" spans="1:2">
      <c r="A368" s="220" t="s">
        <v>1754</v>
      </c>
      <c r="B368" s="221" t="s">
        <v>1755</v>
      </c>
    </row>
    <row r="369" spans="1:2">
      <c r="A369" s="220" t="s">
        <v>1756</v>
      </c>
      <c r="B369" s="221" t="s">
        <v>1757</v>
      </c>
    </row>
    <row r="370" spans="1:2">
      <c r="A370" s="220" t="s">
        <v>1758</v>
      </c>
      <c r="B370" s="221" t="s">
        <v>1759</v>
      </c>
    </row>
    <row r="371" spans="1:2">
      <c r="A371" s="220" t="s">
        <v>1760</v>
      </c>
      <c r="B371" s="221" t="s">
        <v>1761</v>
      </c>
    </row>
    <row r="372" spans="1:2">
      <c r="A372" s="220" t="s">
        <v>1762</v>
      </c>
      <c r="B372" s="221" t="s">
        <v>1763</v>
      </c>
    </row>
    <row r="373" spans="1:2">
      <c r="A373" s="220" t="s">
        <v>1764</v>
      </c>
      <c r="B373" s="221" t="s">
        <v>1765</v>
      </c>
    </row>
    <row r="374" spans="1:2">
      <c r="A374" s="220" t="s">
        <v>1766</v>
      </c>
      <c r="B374" s="221" t="s">
        <v>1767</v>
      </c>
    </row>
    <row r="375" spans="1:2">
      <c r="A375" s="220" t="s">
        <v>1768</v>
      </c>
      <c r="B375" s="221" t="s">
        <v>1769</v>
      </c>
    </row>
    <row r="376" spans="1:2">
      <c r="A376" s="220" t="s">
        <v>1770</v>
      </c>
      <c r="B376" s="221" t="s">
        <v>1771</v>
      </c>
    </row>
    <row r="377" spans="1:2">
      <c r="A377" s="220" t="s">
        <v>1772</v>
      </c>
      <c r="B377" s="221" t="s">
        <v>1773</v>
      </c>
    </row>
    <row r="378" spans="1:2">
      <c r="A378" s="220" t="s">
        <v>1774</v>
      </c>
      <c r="B378" s="221" t="s">
        <v>1775</v>
      </c>
    </row>
    <row r="379" spans="1:2">
      <c r="A379" s="220" t="s">
        <v>1776</v>
      </c>
      <c r="B379" s="221" t="s">
        <v>1777</v>
      </c>
    </row>
    <row r="380" spans="1:2">
      <c r="A380" s="220" t="s">
        <v>1778</v>
      </c>
      <c r="B380" s="221" t="s">
        <v>1779</v>
      </c>
    </row>
    <row r="381" spans="1:2">
      <c r="A381" s="220" t="s">
        <v>1780</v>
      </c>
      <c r="B381" s="221" t="s">
        <v>1781</v>
      </c>
    </row>
    <row r="382" spans="1:2">
      <c r="A382" s="220" t="s">
        <v>1782</v>
      </c>
      <c r="B382" s="221" t="s">
        <v>1783</v>
      </c>
    </row>
    <row r="383" spans="1:2">
      <c r="A383" s="220" t="s">
        <v>1784</v>
      </c>
      <c r="B383" s="221" t="s">
        <v>1785</v>
      </c>
    </row>
    <row r="384" spans="1:2">
      <c r="A384" s="220" t="s">
        <v>1786</v>
      </c>
      <c r="B384" s="221" t="s">
        <v>1787</v>
      </c>
    </row>
    <row r="385" spans="1:2">
      <c r="A385" s="220" t="s">
        <v>1788</v>
      </c>
      <c r="B385" s="221" t="s">
        <v>1789</v>
      </c>
    </row>
    <row r="386" spans="1:2">
      <c r="A386" s="220" t="s">
        <v>1790</v>
      </c>
      <c r="B386" s="221" t="s">
        <v>1791</v>
      </c>
    </row>
    <row r="387" spans="1:2">
      <c r="A387" s="220" t="s">
        <v>1792</v>
      </c>
      <c r="B387" s="221" t="s">
        <v>1070</v>
      </c>
    </row>
    <row r="388" spans="1:2">
      <c r="A388" s="220" t="s">
        <v>1793</v>
      </c>
      <c r="B388" s="221" t="s">
        <v>1082</v>
      </c>
    </row>
    <row r="389" spans="1:2">
      <c r="A389" s="220" t="s">
        <v>1794</v>
      </c>
      <c r="B389" s="221" t="s">
        <v>1795</v>
      </c>
    </row>
    <row r="390" spans="1:2">
      <c r="A390" s="220" t="s">
        <v>1796</v>
      </c>
      <c r="B390" s="221" t="s">
        <v>1797</v>
      </c>
    </row>
    <row r="391" spans="1:2">
      <c r="A391" s="220" t="s">
        <v>1798</v>
      </c>
      <c r="B391" s="221" t="s">
        <v>1799</v>
      </c>
    </row>
    <row r="392" spans="1:2">
      <c r="A392" s="220" t="s">
        <v>1800</v>
      </c>
      <c r="B392" s="221" t="s">
        <v>1801</v>
      </c>
    </row>
    <row r="393" spans="1:2">
      <c r="A393" s="220" t="s">
        <v>1802</v>
      </c>
      <c r="B393" s="221" t="s">
        <v>1803</v>
      </c>
    </row>
    <row r="394" spans="1:2">
      <c r="A394" s="220" t="s">
        <v>1804</v>
      </c>
      <c r="B394" s="221" t="s">
        <v>1805</v>
      </c>
    </row>
    <row r="395" spans="1:2">
      <c r="A395" s="220" t="s">
        <v>1806</v>
      </c>
      <c r="B395" s="221" t="s">
        <v>1807</v>
      </c>
    </row>
    <row r="396" spans="1:2">
      <c r="A396" s="220" t="s">
        <v>1808</v>
      </c>
      <c r="B396" s="221" t="s">
        <v>1809</v>
      </c>
    </row>
    <row r="397" spans="1:2">
      <c r="A397" s="220" t="s">
        <v>1810</v>
      </c>
      <c r="B397" s="221" t="s">
        <v>1811</v>
      </c>
    </row>
    <row r="398" spans="1:2">
      <c r="A398" s="220" t="s">
        <v>1812</v>
      </c>
      <c r="B398" s="221" t="s">
        <v>1813</v>
      </c>
    </row>
    <row r="399" spans="1:2">
      <c r="A399" s="220" t="s">
        <v>1814</v>
      </c>
      <c r="B399" s="221" t="s">
        <v>1815</v>
      </c>
    </row>
    <row r="400" spans="1:2">
      <c r="A400" s="220" t="s">
        <v>1816</v>
      </c>
      <c r="B400" s="221" t="s">
        <v>1817</v>
      </c>
    </row>
    <row r="401" spans="1:2">
      <c r="A401" s="220" t="s">
        <v>1818</v>
      </c>
      <c r="B401" s="221" t="s">
        <v>1819</v>
      </c>
    </row>
    <row r="402" spans="1:2">
      <c r="A402" s="220" t="s">
        <v>1820</v>
      </c>
      <c r="B402" s="221" t="s">
        <v>1821</v>
      </c>
    </row>
    <row r="403" spans="1:2">
      <c r="A403" s="220" t="s">
        <v>1822</v>
      </c>
      <c r="B403" s="221" t="s">
        <v>1823</v>
      </c>
    </row>
    <row r="404" spans="1:2">
      <c r="A404" s="220" t="s">
        <v>1824</v>
      </c>
      <c r="B404" s="221" t="s">
        <v>1825</v>
      </c>
    </row>
    <row r="405" spans="1:2">
      <c r="A405" s="220" t="s">
        <v>1826</v>
      </c>
      <c r="B405" s="221" t="s">
        <v>1827</v>
      </c>
    </row>
    <row r="406" spans="1:2">
      <c r="A406" s="220" t="s">
        <v>1828</v>
      </c>
      <c r="B406" s="221" t="s">
        <v>1829</v>
      </c>
    </row>
    <row r="407" spans="1:2">
      <c r="A407" s="220" t="s">
        <v>1830</v>
      </c>
      <c r="B407" s="221" t="s">
        <v>1831</v>
      </c>
    </row>
    <row r="408" spans="1:2">
      <c r="A408" s="220" t="s">
        <v>1832</v>
      </c>
      <c r="B408" s="221" t="s">
        <v>1833</v>
      </c>
    </row>
    <row r="409" spans="1:2">
      <c r="A409" s="220" t="s">
        <v>1834</v>
      </c>
      <c r="B409" s="221" t="s">
        <v>1835</v>
      </c>
    </row>
    <row r="410" spans="1:2">
      <c r="A410" s="220" t="s">
        <v>1836</v>
      </c>
      <c r="B410" s="221" t="s">
        <v>1837</v>
      </c>
    </row>
    <row r="411" spans="1:2">
      <c r="A411" s="220" t="s">
        <v>1838</v>
      </c>
      <c r="B411" s="221" t="s">
        <v>1839</v>
      </c>
    </row>
    <row r="412" spans="1:2">
      <c r="A412" s="220" t="s">
        <v>1840</v>
      </c>
      <c r="B412" s="221" t="s">
        <v>1841</v>
      </c>
    </row>
    <row r="413" spans="1:2">
      <c r="A413" s="220" t="s">
        <v>1842</v>
      </c>
      <c r="B413" s="221" t="s">
        <v>1843</v>
      </c>
    </row>
    <row r="414" spans="1:2">
      <c r="A414" s="220" t="s">
        <v>1844</v>
      </c>
      <c r="B414" s="221" t="s">
        <v>1845</v>
      </c>
    </row>
    <row r="415" spans="1:2">
      <c r="A415" s="220" t="s">
        <v>1846</v>
      </c>
      <c r="B415" s="221" t="s">
        <v>1847</v>
      </c>
    </row>
    <row r="416" spans="1:2">
      <c r="A416" s="220" t="s">
        <v>1848</v>
      </c>
      <c r="B416" s="221" t="s">
        <v>1849</v>
      </c>
    </row>
    <row r="417" spans="1:2">
      <c r="A417" s="220" t="s">
        <v>1850</v>
      </c>
      <c r="B417" s="221" t="s">
        <v>1851</v>
      </c>
    </row>
    <row r="418" spans="1:2">
      <c r="A418" s="220" t="s">
        <v>1852</v>
      </c>
      <c r="B418" s="221" t="s">
        <v>1853</v>
      </c>
    </row>
    <row r="419" spans="1:2">
      <c r="A419" s="220" t="s">
        <v>1854</v>
      </c>
      <c r="B419" s="221" t="s">
        <v>1855</v>
      </c>
    </row>
    <row r="420" spans="1:2">
      <c r="A420" s="220" t="s">
        <v>1856</v>
      </c>
      <c r="B420" s="221" t="s">
        <v>1857</v>
      </c>
    </row>
    <row r="421" spans="1:2">
      <c r="A421" s="220" t="s">
        <v>1858</v>
      </c>
      <c r="B421" s="221" t="s">
        <v>1859</v>
      </c>
    </row>
    <row r="422" spans="1:2">
      <c r="A422" s="220" t="s">
        <v>1860</v>
      </c>
      <c r="B422" s="221" t="s">
        <v>1861</v>
      </c>
    </row>
    <row r="423" spans="1:2">
      <c r="A423" s="218" t="s">
        <v>730</v>
      </c>
      <c r="B423" s="219" t="s">
        <v>731</v>
      </c>
    </row>
    <row r="424" spans="1:2">
      <c r="A424" s="220" t="s">
        <v>1862</v>
      </c>
      <c r="B424" s="221" t="s">
        <v>1863</v>
      </c>
    </row>
    <row r="425" spans="1:2">
      <c r="A425" s="220" t="s">
        <v>1864</v>
      </c>
      <c r="B425" s="221" t="s">
        <v>1865</v>
      </c>
    </row>
    <row r="426" spans="1:2">
      <c r="A426" s="220" t="s">
        <v>1866</v>
      </c>
      <c r="B426" s="221" t="s">
        <v>1867</v>
      </c>
    </row>
    <row r="427" spans="1:2">
      <c r="A427" s="220" t="s">
        <v>1868</v>
      </c>
      <c r="B427" s="221" t="s">
        <v>1869</v>
      </c>
    </row>
    <row r="428" spans="1:2">
      <c r="A428" s="220" t="s">
        <v>1870</v>
      </c>
      <c r="B428" s="221" t="s">
        <v>1871</v>
      </c>
    </row>
    <row r="429" spans="1:2">
      <c r="A429" s="220" t="s">
        <v>1872</v>
      </c>
      <c r="B429" s="221" t="s">
        <v>1873</v>
      </c>
    </row>
    <row r="430" spans="1:2">
      <c r="A430" s="220" t="s">
        <v>1874</v>
      </c>
      <c r="B430" s="221" t="s">
        <v>1875</v>
      </c>
    </row>
    <row r="431" spans="1:2">
      <c r="A431" s="220" t="s">
        <v>1876</v>
      </c>
      <c r="B431" s="221" t="s">
        <v>1877</v>
      </c>
    </row>
    <row r="432" spans="1:2">
      <c r="A432" s="220" t="s">
        <v>1878</v>
      </c>
      <c r="B432" s="221" t="s">
        <v>1879</v>
      </c>
    </row>
    <row r="433" spans="1:2">
      <c r="A433" s="220" t="s">
        <v>1880</v>
      </c>
      <c r="B433" s="221" t="s">
        <v>1881</v>
      </c>
    </row>
    <row r="434" spans="1:2">
      <c r="A434" s="220" t="s">
        <v>1882</v>
      </c>
      <c r="B434" s="221" t="s">
        <v>1883</v>
      </c>
    </row>
    <row r="435" spans="1:2">
      <c r="A435" s="220" t="s">
        <v>1884</v>
      </c>
      <c r="B435" s="221" t="s">
        <v>1885</v>
      </c>
    </row>
    <row r="436" spans="1:2">
      <c r="A436" s="220" t="s">
        <v>1886</v>
      </c>
      <c r="B436" s="221" t="s">
        <v>1887</v>
      </c>
    </row>
    <row r="437" spans="1:2">
      <c r="A437" s="220" t="s">
        <v>1888</v>
      </c>
      <c r="B437" s="221" t="s">
        <v>1889</v>
      </c>
    </row>
    <row r="438" spans="1:2">
      <c r="A438" s="220" t="s">
        <v>1890</v>
      </c>
      <c r="B438" s="221" t="s">
        <v>1891</v>
      </c>
    </row>
    <row r="439" spans="1:2">
      <c r="A439" s="220" t="s">
        <v>1892</v>
      </c>
      <c r="B439" s="221" t="s">
        <v>1893</v>
      </c>
    </row>
    <row r="440" spans="1:2">
      <c r="A440" s="220" t="s">
        <v>1894</v>
      </c>
      <c r="B440" s="221" t="s">
        <v>1895</v>
      </c>
    </row>
    <row r="441" spans="1:2">
      <c r="A441" s="220" t="s">
        <v>1896</v>
      </c>
      <c r="B441" s="221" t="s">
        <v>1897</v>
      </c>
    </row>
    <row r="442" spans="1:2">
      <c r="A442" s="220" t="s">
        <v>1898</v>
      </c>
      <c r="B442" s="221" t="s">
        <v>1899</v>
      </c>
    </row>
    <row r="443" spans="1:2">
      <c r="A443" s="220" t="s">
        <v>1900</v>
      </c>
      <c r="B443" s="221" t="s">
        <v>1901</v>
      </c>
    </row>
    <row r="444" spans="1:2">
      <c r="A444" s="220" t="s">
        <v>1902</v>
      </c>
      <c r="B444" s="221" t="s">
        <v>1903</v>
      </c>
    </row>
    <row r="445" spans="1:2">
      <c r="A445" s="220" t="s">
        <v>1904</v>
      </c>
      <c r="B445" s="221" t="s">
        <v>1905</v>
      </c>
    </row>
    <row r="446" spans="1:2">
      <c r="A446" s="220" t="s">
        <v>1906</v>
      </c>
      <c r="B446" s="221" t="s">
        <v>1907</v>
      </c>
    </row>
    <row r="447" spans="1:2">
      <c r="A447" s="220" t="s">
        <v>1908</v>
      </c>
      <c r="B447" s="221" t="s">
        <v>1909</v>
      </c>
    </row>
    <row r="448" spans="1:2">
      <c r="A448" s="220" t="s">
        <v>1910</v>
      </c>
      <c r="B448" s="221" t="s">
        <v>1911</v>
      </c>
    </row>
    <row r="449" spans="1:2">
      <c r="A449" s="220" t="s">
        <v>1912</v>
      </c>
      <c r="B449" s="221" t="s">
        <v>1913</v>
      </c>
    </row>
    <row r="450" spans="1:2">
      <c r="A450" s="220" t="s">
        <v>1914</v>
      </c>
      <c r="B450" s="221" t="s">
        <v>1915</v>
      </c>
    </row>
    <row r="451" spans="1:2">
      <c r="A451" s="220" t="s">
        <v>1916</v>
      </c>
      <c r="B451" s="221" t="s">
        <v>1917</v>
      </c>
    </row>
    <row r="452" spans="1:2">
      <c r="A452" s="220" t="s">
        <v>1918</v>
      </c>
      <c r="B452" s="221" t="s">
        <v>1919</v>
      </c>
    </row>
    <row r="453" spans="1:2">
      <c r="A453" s="220" t="s">
        <v>1920</v>
      </c>
      <c r="B453" s="221" t="s">
        <v>1921</v>
      </c>
    </row>
    <row r="454" spans="1:2">
      <c r="A454" s="220" t="s">
        <v>1922</v>
      </c>
      <c r="B454" s="221" t="s">
        <v>1923</v>
      </c>
    </row>
    <row r="455" spans="1:2">
      <c r="A455" s="220" t="s">
        <v>1924</v>
      </c>
      <c r="B455" s="221" t="s">
        <v>1925</v>
      </c>
    </row>
    <row r="456" spans="1:2">
      <c r="A456" s="220" t="s">
        <v>1926</v>
      </c>
      <c r="B456" s="221" t="s">
        <v>1927</v>
      </c>
    </row>
    <row r="457" spans="1:2">
      <c r="A457" s="220" t="s">
        <v>1928</v>
      </c>
      <c r="B457" s="221" t="s">
        <v>1929</v>
      </c>
    </row>
    <row r="458" spans="1:2">
      <c r="A458" s="220" t="s">
        <v>1930</v>
      </c>
      <c r="B458" s="221" t="s">
        <v>1931</v>
      </c>
    </row>
    <row r="459" spans="1:2">
      <c r="A459" s="220" t="s">
        <v>1932</v>
      </c>
      <c r="B459" s="221" t="s">
        <v>1933</v>
      </c>
    </row>
    <row r="460" spans="1:2">
      <c r="A460" s="220" t="s">
        <v>1934</v>
      </c>
      <c r="B460" s="221" t="s">
        <v>1935</v>
      </c>
    </row>
    <row r="461" spans="1:2">
      <c r="A461" s="220" t="s">
        <v>1936</v>
      </c>
      <c r="B461" s="221" t="s">
        <v>1937</v>
      </c>
    </row>
    <row r="462" spans="1:2">
      <c r="A462" s="220" t="s">
        <v>1938</v>
      </c>
      <c r="B462" s="221" t="s">
        <v>1939</v>
      </c>
    </row>
    <row r="463" spans="1:2">
      <c r="A463" s="220" t="s">
        <v>1940</v>
      </c>
      <c r="B463" s="221" t="s">
        <v>1941</v>
      </c>
    </row>
    <row r="464" spans="1:2">
      <c r="A464" s="220" t="s">
        <v>1942</v>
      </c>
      <c r="B464" s="221" t="s">
        <v>1943</v>
      </c>
    </row>
    <row r="465" spans="1:2">
      <c r="A465" s="220" t="s">
        <v>1944</v>
      </c>
      <c r="B465" s="221" t="s">
        <v>1945</v>
      </c>
    </row>
    <row r="466" spans="1:2">
      <c r="A466" s="220" t="s">
        <v>1946</v>
      </c>
      <c r="B466" s="221" t="s">
        <v>1947</v>
      </c>
    </row>
    <row r="467" spans="1:2">
      <c r="A467" s="220" t="s">
        <v>1948</v>
      </c>
      <c r="B467" s="221" t="s">
        <v>1949</v>
      </c>
    </row>
    <row r="468" spans="1:2">
      <c r="A468" s="220" t="s">
        <v>1950</v>
      </c>
      <c r="B468" s="221" t="s">
        <v>1951</v>
      </c>
    </row>
    <row r="469" spans="1:2">
      <c r="A469" s="220" t="s">
        <v>1952</v>
      </c>
      <c r="B469" s="221" t="s">
        <v>1953</v>
      </c>
    </row>
    <row r="470" spans="1:2">
      <c r="A470" s="220" t="s">
        <v>1954</v>
      </c>
      <c r="B470" s="221" t="s">
        <v>1955</v>
      </c>
    </row>
    <row r="471" spans="1:2">
      <c r="A471" s="220" t="s">
        <v>1956</v>
      </c>
      <c r="B471" s="221" t="s">
        <v>1957</v>
      </c>
    </row>
    <row r="472" spans="1:2">
      <c r="A472" s="220" t="s">
        <v>1958</v>
      </c>
      <c r="B472" s="221" t="s">
        <v>1959</v>
      </c>
    </row>
    <row r="473" spans="1:2">
      <c r="A473" s="220" t="s">
        <v>1960</v>
      </c>
      <c r="B473" s="221" t="s">
        <v>1961</v>
      </c>
    </row>
    <row r="474" spans="1:2">
      <c r="A474" s="220" t="s">
        <v>1962</v>
      </c>
      <c r="B474" s="221" t="s">
        <v>1963</v>
      </c>
    </row>
    <row r="475" spans="1:2">
      <c r="A475" s="220" t="s">
        <v>1964</v>
      </c>
      <c r="B475" s="221" t="s">
        <v>1965</v>
      </c>
    </row>
    <row r="476" spans="1:2">
      <c r="A476" s="220" t="s">
        <v>1966</v>
      </c>
      <c r="B476" s="221" t="s">
        <v>1967</v>
      </c>
    </row>
    <row r="477" spans="1:2">
      <c r="A477" s="220" t="s">
        <v>1968</v>
      </c>
      <c r="B477" s="221" t="s">
        <v>1969</v>
      </c>
    </row>
    <row r="478" spans="1:2">
      <c r="A478" s="220" t="s">
        <v>1970</v>
      </c>
      <c r="B478" s="221" t="s">
        <v>1971</v>
      </c>
    </row>
    <row r="479" spans="1:2">
      <c r="A479" s="220" t="s">
        <v>1972</v>
      </c>
      <c r="B479" s="221" t="s">
        <v>1973</v>
      </c>
    </row>
    <row r="480" spans="1:2">
      <c r="A480" s="220" t="s">
        <v>1974</v>
      </c>
      <c r="B480" s="221" t="s">
        <v>1975</v>
      </c>
    </row>
    <row r="481" spans="1:2">
      <c r="A481" s="220" t="s">
        <v>1976</v>
      </c>
      <c r="B481" s="221" t="s">
        <v>1977</v>
      </c>
    </row>
    <row r="482" spans="1:2">
      <c r="A482" s="220" t="s">
        <v>1978</v>
      </c>
      <c r="B482" s="221" t="s">
        <v>1979</v>
      </c>
    </row>
    <row r="483" spans="1:2">
      <c r="A483" s="220" t="s">
        <v>1980</v>
      </c>
      <c r="B483" s="221" t="s">
        <v>1981</v>
      </c>
    </row>
    <row r="484" spans="1:2">
      <c r="A484" s="220" t="s">
        <v>1982</v>
      </c>
      <c r="B484" s="221" t="s">
        <v>1983</v>
      </c>
    </row>
    <row r="485" spans="1:2">
      <c r="A485" s="220" t="s">
        <v>1984</v>
      </c>
      <c r="B485" s="221" t="s">
        <v>1985</v>
      </c>
    </row>
    <row r="486" spans="1:2">
      <c r="A486" s="220" t="s">
        <v>1986</v>
      </c>
      <c r="B486" s="221" t="s">
        <v>1987</v>
      </c>
    </row>
    <row r="487" spans="1:2">
      <c r="A487" s="220" t="s">
        <v>1988</v>
      </c>
      <c r="B487" s="221" t="s">
        <v>1989</v>
      </c>
    </row>
    <row r="488" spans="1:2">
      <c r="A488" s="220" t="s">
        <v>1990</v>
      </c>
      <c r="B488" s="221" t="s">
        <v>1991</v>
      </c>
    </row>
    <row r="489" spans="1:2">
      <c r="A489" s="220" t="s">
        <v>1992</v>
      </c>
      <c r="B489" s="221" t="s">
        <v>1993</v>
      </c>
    </row>
    <row r="490" spans="1:2">
      <c r="A490" s="220" t="s">
        <v>1994</v>
      </c>
      <c r="B490" s="221" t="s">
        <v>1995</v>
      </c>
    </row>
    <row r="491" spans="1:2">
      <c r="A491" s="220" t="s">
        <v>1996</v>
      </c>
      <c r="B491" s="221" t="s">
        <v>1997</v>
      </c>
    </row>
    <row r="492" spans="1:2">
      <c r="A492" s="220" t="s">
        <v>1998</v>
      </c>
      <c r="B492" s="221" t="s">
        <v>1999</v>
      </c>
    </row>
    <row r="493" spans="1:2">
      <c r="A493" s="220" t="s">
        <v>2000</v>
      </c>
      <c r="B493" s="221" t="s">
        <v>2001</v>
      </c>
    </row>
    <row r="494" spans="1:2">
      <c r="A494" s="220" t="s">
        <v>2002</v>
      </c>
      <c r="B494" s="221" t="s">
        <v>2003</v>
      </c>
    </row>
    <row r="495" spans="1:2">
      <c r="A495" s="220" t="s">
        <v>2004</v>
      </c>
      <c r="B495" s="221" t="s">
        <v>2005</v>
      </c>
    </row>
    <row r="496" spans="1:2">
      <c r="A496" s="220" t="s">
        <v>2006</v>
      </c>
      <c r="B496" s="221" t="s">
        <v>2007</v>
      </c>
    </row>
    <row r="497" spans="1:2">
      <c r="A497" s="220" t="s">
        <v>2008</v>
      </c>
      <c r="B497" s="221" t="s">
        <v>2009</v>
      </c>
    </row>
    <row r="498" spans="1:2">
      <c r="A498" s="220" t="s">
        <v>2010</v>
      </c>
      <c r="B498" s="221" t="s">
        <v>2011</v>
      </c>
    </row>
    <row r="499" spans="1:2">
      <c r="A499" s="220" t="s">
        <v>2012</v>
      </c>
      <c r="B499" s="221" t="s">
        <v>2013</v>
      </c>
    </row>
    <row r="500" spans="1:2">
      <c r="A500" s="220" t="s">
        <v>2014</v>
      </c>
      <c r="B500" s="221" t="s">
        <v>2015</v>
      </c>
    </row>
    <row r="501" spans="1:2">
      <c r="A501" s="220" t="s">
        <v>2016</v>
      </c>
      <c r="B501" s="221" t="s">
        <v>2017</v>
      </c>
    </row>
    <row r="502" spans="1:2">
      <c r="A502" s="220" t="s">
        <v>2018</v>
      </c>
      <c r="B502" s="221" t="s">
        <v>2019</v>
      </c>
    </row>
    <row r="503" spans="1:2">
      <c r="A503" s="220" t="s">
        <v>2020</v>
      </c>
      <c r="B503" s="221" t="s">
        <v>2021</v>
      </c>
    </row>
    <row r="504" spans="1:2">
      <c r="A504" s="220" t="s">
        <v>2022</v>
      </c>
      <c r="B504" s="221" t="s">
        <v>2023</v>
      </c>
    </row>
    <row r="505" spans="1:2">
      <c r="A505" s="220" t="s">
        <v>2024</v>
      </c>
      <c r="B505" s="221" t="s">
        <v>2025</v>
      </c>
    </row>
    <row r="506" spans="1:2">
      <c r="A506" s="220" t="s">
        <v>2026</v>
      </c>
      <c r="B506" s="221" t="s">
        <v>2027</v>
      </c>
    </row>
    <row r="507" spans="1:2">
      <c r="A507" s="220" t="s">
        <v>2028</v>
      </c>
      <c r="B507" s="221" t="s">
        <v>2029</v>
      </c>
    </row>
    <row r="508" spans="1:2">
      <c r="A508" s="220" t="s">
        <v>2030</v>
      </c>
      <c r="B508" s="221" t="s">
        <v>2031</v>
      </c>
    </row>
    <row r="509" spans="1:2">
      <c r="A509" s="220" t="s">
        <v>2032</v>
      </c>
      <c r="B509" s="221" t="s">
        <v>2033</v>
      </c>
    </row>
    <row r="510" spans="1:2">
      <c r="A510" s="220" t="s">
        <v>2034</v>
      </c>
      <c r="B510" s="221" t="s">
        <v>2035</v>
      </c>
    </row>
    <row r="511" spans="1:2">
      <c r="A511" s="220" t="s">
        <v>2036</v>
      </c>
      <c r="B511" s="221" t="s">
        <v>2037</v>
      </c>
    </row>
    <row r="512" spans="1:2">
      <c r="A512" s="220" t="s">
        <v>2038</v>
      </c>
      <c r="B512" s="221" t="s">
        <v>2039</v>
      </c>
    </row>
    <row r="513" spans="1:2">
      <c r="A513" s="220" t="s">
        <v>2040</v>
      </c>
      <c r="B513" s="221" t="s">
        <v>2041</v>
      </c>
    </row>
    <row r="514" spans="1:2">
      <c r="A514" s="220" t="s">
        <v>2042</v>
      </c>
      <c r="B514" s="221" t="s">
        <v>2043</v>
      </c>
    </row>
    <row r="515" spans="1:2">
      <c r="A515" s="220" t="s">
        <v>2044</v>
      </c>
      <c r="B515" s="221" t="s">
        <v>2045</v>
      </c>
    </row>
    <row r="516" spans="1:2">
      <c r="A516" s="220" t="s">
        <v>2046</v>
      </c>
      <c r="B516" s="221" t="s">
        <v>2047</v>
      </c>
    </row>
    <row r="517" spans="1:2">
      <c r="A517" s="220" t="s">
        <v>2048</v>
      </c>
      <c r="B517" s="221" t="s">
        <v>2049</v>
      </c>
    </row>
    <row r="518" spans="1:2">
      <c r="A518" s="220" t="s">
        <v>2050</v>
      </c>
      <c r="B518" s="221" t="s">
        <v>2051</v>
      </c>
    </row>
    <row r="519" spans="1:2">
      <c r="A519" s="220" t="s">
        <v>2052</v>
      </c>
      <c r="B519" s="221" t="s">
        <v>2053</v>
      </c>
    </row>
    <row r="520" spans="1:2">
      <c r="A520" s="220" t="s">
        <v>2054</v>
      </c>
      <c r="B520" s="221" t="s">
        <v>2055</v>
      </c>
    </row>
    <row r="521" spans="1:2">
      <c r="A521" s="220" t="s">
        <v>2056</v>
      </c>
      <c r="B521" s="221" t="s">
        <v>2057</v>
      </c>
    </row>
    <row r="522" spans="1:2">
      <c r="A522" s="220" t="s">
        <v>2058</v>
      </c>
      <c r="B522" s="221" t="s">
        <v>2059</v>
      </c>
    </row>
    <row r="523" spans="1:2">
      <c r="A523" s="220" t="s">
        <v>2060</v>
      </c>
      <c r="B523" s="221" t="s">
        <v>2061</v>
      </c>
    </row>
    <row r="524" spans="1:2">
      <c r="A524" s="220" t="s">
        <v>2062</v>
      </c>
      <c r="B524" s="221" t="s">
        <v>2063</v>
      </c>
    </row>
    <row r="525" spans="1:2">
      <c r="A525" s="220" t="s">
        <v>2064</v>
      </c>
      <c r="B525" s="221" t="s">
        <v>2065</v>
      </c>
    </row>
    <row r="526" spans="1:2">
      <c r="A526" s="220" t="s">
        <v>2066</v>
      </c>
      <c r="B526" s="221" t="s">
        <v>2067</v>
      </c>
    </row>
    <row r="527" spans="1:2">
      <c r="A527" s="220" t="s">
        <v>2068</v>
      </c>
      <c r="B527" s="221" t="s">
        <v>2069</v>
      </c>
    </row>
    <row r="528" spans="1:2">
      <c r="A528" s="220" t="s">
        <v>2070</v>
      </c>
      <c r="B528" s="221" t="s">
        <v>2071</v>
      </c>
    </row>
    <row r="529" spans="1:2">
      <c r="A529" s="220" t="s">
        <v>2072</v>
      </c>
      <c r="B529" s="221" t="s">
        <v>2073</v>
      </c>
    </row>
    <row r="530" spans="1:2">
      <c r="A530" s="220" t="s">
        <v>2074</v>
      </c>
      <c r="B530" s="221" t="s">
        <v>2075</v>
      </c>
    </row>
    <row r="531" spans="1:2">
      <c r="A531" s="220" t="s">
        <v>2076</v>
      </c>
      <c r="B531" s="221" t="s">
        <v>2077</v>
      </c>
    </row>
    <row r="532" spans="1:2">
      <c r="A532" s="220" t="s">
        <v>2078</v>
      </c>
      <c r="B532" s="221" t="s">
        <v>2079</v>
      </c>
    </row>
    <row r="533" spans="1:2">
      <c r="A533" s="220" t="s">
        <v>2080</v>
      </c>
      <c r="B533" s="221" t="s">
        <v>2081</v>
      </c>
    </row>
    <row r="534" spans="1:2">
      <c r="A534" s="220" t="s">
        <v>2082</v>
      </c>
      <c r="B534" s="221" t="s">
        <v>2083</v>
      </c>
    </row>
    <row r="535" spans="1:2">
      <c r="A535" s="220" t="s">
        <v>2084</v>
      </c>
      <c r="B535" s="221" t="s">
        <v>2085</v>
      </c>
    </row>
    <row r="536" spans="1:2">
      <c r="A536" s="220" t="s">
        <v>2086</v>
      </c>
      <c r="B536" s="221" t="s">
        <v>2087</v>
      </c>
    </row>
    <row r="537" spans="1:2">
      <c r="A537" s="220" t="s">
        <v>2088</v>
      </c>
      <c r="B537" s="221" t="s">
        <v>2089</v>
      </c>
    </row>
    <row r="538" spans="1:2">
      <c r="A538" s="220" t="s">
        <v>2090</v>
      </c>
      <c r="B538" s="221" t="s">
        <v>2091</v>
      </c>
    </row>
    <row r="539" spans="1:2">
      <c r="A539" s="220" t="s">
        <v>2092</v>
      </c>
      <c r="B539" s="221" t="s">
        <v>2093</v>
      </c>
    </row>
    <row r="540" spans="1:2">
      <c r="A540" s="220" t="s">
        <v>2094</v>
      </c>
      <c r="B540" s="221" t="s">
        <v>2095</v>
      </c>
    </row>
    <row r="541" spans="1:2">
      <c r="A541" s="220" t="s">
        <v>2096</v>
      </c>
      <c r="B541" s="221" t="s">
        <v>2097</v>
      </c>
    </row>
    <row r="542" spans="1:2">
      <c r="A542" s="220" t="s">
        <v>2098</v>
      </c>
      <c r="B542" s="221" t="s">
        <v>2099</v>
      </c>
    </row>
    <row r="543" spans="1:2">
      <c r="A543" s="220" t="s">
        <v>2100</v>
      </c>
      <c r="B543" s="221" t="s">
        <v>2101</v>
      </c>
    </row>
    <row r="544" spans="1:2">
      <c r="A544" s="220" t="s">
        <v>2102</v>
      </c>
      <c r="B544" s="221" t="s">
        <v>2103</v>
      </c>
    </row>
    <row r="545" spans="1:2">
      <c r="A545" s="220" t="s">
        <v>2104</v>
      </c>
      <c r="B545" s="221" t="s">
        <v>2105</v>
      </c>
    </row>
    <row r="546" spans="1:2">
      <c r="A546" s="220" t="s">
        <v>2106</v>
      </c>
      <c r="B546" s="221" t="s">
        <v>2107</v>
      </c>
    </row>
    <row r="547" spans="1:2">
      <c r="A547" s="220" t="s">
        <v>2108</v>
      </c>
      <c r="B547" s="221" t="s">
        <v>2109</v>
      </c>
    </row>
    <row r="548" spans="1:2">
      <c r="A548" s="220" t="s">
        <v>2110</v>
      </c>
      <c r="B548" s="221" t="s">
        <v>2111</v>
      </c>
    </row>
    <row r="549" spans="1:2">
      <c r="A549" s="220" t="s">
        <v>2112</v>
      </c>
      <c r="B549" s="221" t="s">
        <v>2113</v>
      </c>
    </row>
    <row r="550" spans="1:2">
      <c r="A550" s="220" t="s">
        <v>2114</v>
      </c>
      <c r="B550" s="221" t="s">
        <v>2115</v>
      </c>
    </row>
    <row r="551" spans="1:2">
      <c r="A551" s="220" t="s">
        <v>2116</v>
      </c>
      <c r="B551" s="221" t="s">
        <v>2117</v>
      </c>
    </row>
    <row r="552" spans="1:2">
      <c r="A552" s="220" t="s">
        <v>2118</v>
      </c>
      <c r="B552" s="221" t="s">
        <v>2119</v>
      </c>
    </row>
    <row r="553" spans="1:2">
      <c r="A553" s="220" t="s">
        <v>2120</v>
      </c>
      <c r="B553" s="221" t="s">
        <v>2121</v>
      </c>
    </row>
    <row r="554" spans="1:2">
      <c r="A554" s="220" t="s">
        <v>2122</v>
      </c>
      <c r="B554" s="221" t="s">
        <v>2123</v>
      </c>
    </row>
    <row r="555" spans="1:2">
      <c r="A555" s="220" t="s">
        <v>2124</v>
      </c>
      <c r="B555" s="221" t="s">
        <v>2125</v>
      </c>
    </row>
    <row r="556" spans="1:2">
      <c r="A556" s="220" t="s">
        <v>2126</v>
      </c>
      <c r="B556" s="221" t="s">
        <v>2127</v>
      </c>
    </row>
    <row r="557" spans="1:2">
      <c r="A557" s="220" t="s">
        <v>2128</v>
      </c>
      <c r="B557" s="221" t="s">
        <v>2129</v>
      </c>
    </row>
    <row r="558" spans="1:2">
      <c r="A558" s="220" t="s">
        <v>2130</v>
      </c>
      <c r="B558" s="221" t="s">
        <v>2131</v>
      </c>
    </row>
    <row r="559" spans="1:2">
      <c r="A559" s="220" t="s">
        <v>2132</v>
      </c>
      <c r="B559" s="221" t="s">
        <v>2133</v>
      </c>
    </row>
    <row r="560" spans="1:2">
      <c r="A560" s="220" t="s">
        <v>2134</v>
      </c>
      <c r="B560" s="221" t="s">
        <v>2135</v>
      </c>
    </row>
    <row r="561" spans="1:2">
      <c r="A561" s="220" t="s">
        <v>2136</v>
      </c>
      <c r="B561" s="221" t="s">
        <v>1929</v>
      </c>
    </row>
    <row r="562" spans="1:2">
      <c r="A562" s="220" t="s">
        <v>2137</v>
      </c>
      <c r="B562" s="221" t="s">
        <v>2138</v>
      </c>
    </row>
    <row r="563" spans="1:2">
      <c r="A563" s="220" t="s">
        <v>2139</v>
      </c>
      <c r="B563" s="221" t="s">
        <v>2140</v>
      </c>
    </row>
    <row r="564" spans="1:2">
      <c r="A564" s="220" t="s">
        <v>2141</v>
      </c>
      <c r="B564" s="221" t="s">
        <v>2142</v>
      </c>
    </row>
    <row r="565" spans="1:2">
      <c r="A565" s="220" t="s">
        <v>2143</v>
      </c>
      <c r="B565" s="221" t="s">
        <v>2144</v>
      </c>
    </row>
    <row r="566" spans="1:2">
      <c r="A566" s="220" t="s">
        <v>2145</v>
      </c>
      <c r="B566" s="221" t="s">
        <v>2146</v>
      </c>
    </row>
    <row r="567" spans="1:2">
      <c r="A567" s="220" t="s">
        <v>2147</v>
      </c>
      <c r="B567" s="221" t="s">
        <v>2148</v>
      </c>
    </row>
    <row r="568" spans="1:2">
      <c r="A568" s="220" t="s">
        <v>2149</v>
      </c>
      <c r="B568" s="221" t="s">
        <v>2150</v>
      </c>
    </row>
    <row r="569" spans="1:2">
      <c r="A569" s="220" t="s">
        <v>2151</v>
      </c>
      <c r="B569" s="221" t="s">
        <v>2152</v>
      </c>
    </row>
    <row r="570" spans="1:2">
      <c r="A570" s="220" t="s">
        <v>2153</v>
      </c>
      <c r="B570" s="221" t="s">
        <v>2154</v>
      </c>
    </row>
    <row r="571" spans="1:2">
      <c r="A571" s="220" t="s">
        <v>2155</v>
      </c>
      <c r="B571" s="221" t="s">
        <v>2156</v>
      </c>
    </row>
    <row r="572" spans="1:2">
      <c r="A572" s="220" t="s">
        <v>2157</v>
      </c>
      <c r="B572" s="221" t="s">
        <v>2158</v>
      </c>
    </row>
    <row r="573" spans="1:2">
      <c r="A573" s="220" t="s">
        <v>2159</v>
      </c>
      <c r="B573" s="221" t="s">
        <v>2160</v>
      </c>
    </row>
    <row r="574" spans="1:2">
      <c r="A574" s="220" t="s">
        <v>2161</v>
      </c>
      <c r="B574" s="221" t="s">
        <v>2162</v>
      </c>
    </row>
    <row r="575" spans="1:2">
      <c r="A575" s="220" t="s">
        <v>2163</v>
      </c>
      <c r="B575" s="221" t="s">
        <v>2164</v>
      </c>
    </row>
    <row r="576" spans="1:2">
      <c r="A576" s="220" t="s">
        <v>2165</v>
      </c>
      <c r="B576" s="221" t="s">
        <v>2166</v>
      </c>
    </row>
    <row r="577" spans="1:2">
      <c r="A577" s="220" t="s">
        <v>2167</v>
      </c>
      <c r="B577" s="221" t="s">
        <v>2168</v>
      </c>
    </row>
    <row r="578" spans="1:2">
      <c r="A578" s="220" t="s">
        <v>2169</v>
      </c>
      <c r="B578" s="221" t="s">
        <v>2170</v>
      </c>
    </row>
    <row r="579" spans="1:2">
      <c r="A579" s="220" t="s">
        <v>2171</v>
      </c>
      <c r="B579" s="221" t="s">
        <v>2172</v>
      </c>
    </row>
    <row r="580" spans="1:2">
      <c r="A580" s="220" t="s">
        <v>2173</v>
      </c>
      <c r="B580" s="221" t="s">
        <v>2174</v>
      </c>
    </row>
    <row r="581" spans="1:2">
      <c r="A581" s="220" t="s">
        <v>2175</v>
      </c>
      <c r="B581" s="221" t="s">
        <v>2176</v>
      </c>
    </row>
    <row r="582" spans="1:2">
      <c r="A582" s="220" t="s">
        <v>2177</v>
      </c>
      <c r="B582" s="221" t="s">
        <v>2178</v>
      </c>
    </row>
    <row r="583" spans="1:2">
      <c r="A583" s="220" t="s">
        <v>2179</v>
      </c>
      <c r="B583" s="221" t="s">
        <v>2180</v>
      </c>
    </row>
    <row r="584" spans="1:2">
      <c r="A584" s="220" t="s">
        <v>2181</v>
      </c>
      <c r="B584" s="221" t="s">
        <v>2182</v>
      </c>
    </row>
    <row r="585" spans="1:2">
      <c r="A585" s="220" t="s">
        <v>2183</v>
      </c>
      <c r="B585" s="221" t="s">
        <v>2184</v>
      </c>
    </row>
    <row r="586" spans="1:2">
      <c r="A586" s="220" t="s">
        <v>2185</v>
      </c>
      <c r="B586" s="221" t="s">
        <v>2186</v>
      </c>
    </row>
    <row r="587" spans="1:2">
      <c r="A587" s="220" t="s">
        <v>2187</v>
      </c>
      <c r="B587" s="221" t="s">
        <v>2188</v>
      </c>
    </row>
    <row r="588" spans="1:2">
      <c r="A588" s="220" t="s">
        <v>2189</v>
      </c>
      <c r="B588" s="221" t="s">
        <v>2190</v>
      </c>
    </row>
    <row r="589" spans="1:2">
      <c r="A589" s="220" t="s">
        <v>2191</v>
      </c>
      <c r="B589" s="221" t="s">
        <v>2192</v>
      </c>
    </row>
    <row r="590" spans="1:2">
      <c r="A590" s="220" t="s">
        <v>2193</v>
      </c>
      <c r="B590" s="221" t="s">
        <v>2194</v>
      </c>
    </row>
    <row r="591" spans="1:2">
      <c r="A591" s="220" t="s">
        <v>2195</v>
      </c>
      <c r="B591" s="221" t="s">
        <v>2196</v>
      </c>
    </row>
    <row r="592" spans="1:2">
      <c r="A592" s="220" t="s">
        <v>2197</v>
      </c>
      <c r="B592" s="221" t="s">
        <v>2198</v>
      </c>
    </row>
    <row r="593" spans="1:2">
      <c r="A593" s="220" t="s">
        <v>2199</v>
      </c>
      <c r="B593" s="221" t="s">
        <v>2200</v>
      </c>
    </row>
    <row r="594" spans="1:2">
      <c r="A594" s="220" t="s">
        <v>2201</v>
      </c>
      <c r="B594" s="221" t="s">
        <v>2202</v>
      </c>
    </row>
    <row r="595" spans="1:2">
      <c r="A595" s="220" t="s">
        <v>2203</v>
      </c>
      <c r="B595" s="221" t="s">
        <v>2204</v>
      </c>
    </row>
    <row r="596" spans="1:2">
      <c r="A596" s="220" t="s">
        <v>2205</v>
      </c>
      <c r="B596" s="221" t="s">
        <v>2206</v>
      </c>
    </row>
    <row r="597" spans="1:2">
      <c r="A597" s="220" t="s">
        <v>2207</v>
      </c>
      <c r="B597" s="221" t="s">
        <v>2208</v>
      </c>
    </row>
    <row r="598" spans="1:2">
      <c r="A598" s="220" t="s">
        <v>2209</v>
      </c>
      <c r="B598" s="221" t="s">
        <v>2210</v>
      </c>
    </row>
    <row r="599" spans="1:2">
      <c r="A599" s="220" t="s">
        <v>2211</v>
      </c>
      <c r="B599" s="221" t="s">
        <v>2212</v>
      </c>
    </row>
    <row r="600" spans="1:2">
      <c r="A600" s="220" t="s">
        <v>2213</v>
      </c>
      <c r="B600" s="221" t="s">
        <v>2214</v>
      </c>
    </row>
    <row r="601" spans="1:2">
      <c r="A601" s="220" t="s">
        <v>2215</v>
      </c>
      <c r="B601" s="221" t="s">
        <v>2216</v>
      </c>
    </row>
    <row r="602" spans="1:2">
      <c r="A602" s="220" t="s">
        <v>2217</v>
      </c>
      <c r="B602" s="221" t="s">
        <v>2218</v>
      </c>
    </row>
    <row r="603" spans="1:2">
      <c r="A603" s="220" t="s">
        <v>2219</v>
      </c>
      <c r="B603" s="221" t="s">
        <v>2220</v>
      </c>
    </row>
    <row r="604" spans="1:2">
      <c r="A604" s="220" t="s">
        <v>2221</v>
      </c>
      <c r="B604" s="221" t="s">
        <v>2222</v>
      </c>
    </row>
    <row r="605" spans="1:2">
      <c r="A605" s="220" t="s">
        <v>2223</v>
      </c>
      <c r="B605" s="221" t="s">
        <v>2224</v>
      </c>
    </row>
    <row r="606" spans="1:2">
      <c r="A606" s="220" t="s">
        <v>2225</v>
      </c>
      <c r="B606" s="221" t="s">
        <v>2226</v>
      </c>
    </row>
    <row r="607" spans="1:2">
      <c r="A607" s="220" t="s">
        <v>2227</v>
      </c>
      <c r="B607" s="221" t="s">
        <v>2228</v>
      </c>
    </row>
    <row r="608" spans="1:2">
      <c r="A608" s="220" t="s">
        <v>2229</v>
      </c>
      <c r="B608" s="221" t="s">
        <v>2230</v>
      </c>
    </row>
    <row r="609" spans="1:2">
      <c r="A609" s="220" t="s">
        <v>2231</v>
      </c>
      <c r="B609" s="221" t="s">
        <v>2232</v>
      </c>
    </row>
    <row r="610" spans="1:2">
      <c r="A610" s="220" t="s">
        <v>2233</v>
      </c>
      <c r="B610" s="221" t="s">
        <v>2234</v>
      </c>
    </row>
    <row r="611" spans="1:2">
      <c r="A611" s="220" t="s">
        <v>2235</v>
      </c>
      <c r="B611" s="221" t="s">
        <v>2236</v>
      </c>
    </row>
    <row r="612" spans="1:2">
      <c r="A612" s="220" t="s">
        <v>2237</v>
      </c>
      <c r="B612" s="221" t="s">
        <v>2238</v>
      </c>
    </row>
    <row r="613" spans="1:2">
      <c r="A613" s="220" t="s">
        <v>2239</v>
      </c>
      <c r="B613" s="221" t="s">
        <v>2240</v>
      </c>
    </row>
    <row r="614" spans="1:2">
      <c r="A614" s="220" t="s">
        <v>2241</v>
      </c>
      <c r="B614" s="221" t="s">
        <v>2242</v>
      </c>
    </row>
    <row r="615" spans="1:2">
      <c r="A615" s="220" t="s">
        <v>2243</v>
      </c>
      <c r="B615" s="221" t="s">
        <v>2244</v>
      </c>
    </row>
    <row r="616" spans="1:2">
      <c r="A616" s="220" t="s">
        <v>2245</v>
      </c>
      <c r="B616" s="221" t="s">
        <v>2246</v>
      </c>
    </row>
    <row r="617" spans="1:2">
      <c r="A617" s="220" t="s">
        <v>2247</v>
      </c>
      <c r="B617" s="221" t="s">
        <v>2248</v>
      </c>
    </row>
    <row r="618" spans="1:2">
      <c r="A618" s="220" t="s">
        <v>2249</v>
      </c>
      <c r="B618" s="221" t="s">
        <v>2250</v>
      </c>
    </row>
    <row r="619" spans="1:2">
      <c r="A619" s="220" t="s">
        <v>2251</v>
      </c>
      <c r="B619" s="221" t="s">
        <v>2252</v>
      </c>
    </row>
    <row r="620" spans="1:2">
      <c r="A620" s="220" t="s">
        <v>2253</v>
      </c>
      <c r="B620" s="221" t="s">
        <v>2254</v>
      </c>
    </row>
    <row r="621" spans="1:2">
      <c r="A621" s="220" t="s">
        <v>2255</v>
      </c>
      <c r="B621" s="221" t="s">
        <v>2256</v>
      </c>
    </row>
    <row r="622" spans="1:2">
      <c r="A622" s="220" t="s">
        <v>2257</v>
      </c>
      <c r="B622" s="221" t="s">
        <v>2258</v>
      </c>
    </row>
    <row r="623" spans="1:2">
      <c r="A623" s="220" t="s">
        <v>2259</v>
      </c>
      <c r="B623" s="221" t="s">
        <v>2260</v>
      </c>
    </row>
    <row r="624" spans="1:2">
      <c r="A624" s="220" t="s">
        <v>2261</v>
      </c>
      <c r="B624" s="221" t="s">
        <v>2262</v>
      </c>
    </row>
    <row r="625" spans="1:2">
      <c r="A625" s="220" t="s">
        <v>2263</v>
      </c>
      <c r="B625" s="221" t="s">
        <v>1447</v>
      </c>
    </row>
    <row r="626" spans="1:2">
      <c r="A626" s="220" t="s">
        <v>2264</v>
      </c>
      <c r="B626" s="221" t="s">
        <v>2265</v>
      </c>
    </row>
    <row r="627" spans="1:2">
      <c r="A627" s="220" t="s">
        <v>2266</v>
      </c>
      <c r="B627" s="221" t="s">
        <v>2267</v>
      </c>
    </row>
    <row r="628" spans="1:2">
      <c r="A628" s="220" t="s">
        <v>2268</v>
      </c>
      <c r="B628" s="221" t="s">
        <v>2269</v>
      </c>
    </row>
    <row r="629" spans="1:2">
      <c r="A629" s="220" t="s">
        <v>2270</v>
      </c>
      <c r="B629" s="221" t="s">
        <v>2271</v>
      </c>
    </row>
    <row r="630" spans="1:2">
      <c r="A630" s="220" t="s">
        <v>2272</v>
      </c>
      <c r="B630" s="221" t="s">
        <v>2273</v>
      </c>
    </row>
    <row r="631" spans="1:2">
      <c r="A631" s="220" t="s">
        <v>2274</v>
      </c>
      <c r="B631" s="221" t="s">
        <v>2275</v>
      </c>
    </row>
    <row r="632" spans="1:2">
      <c r="A632" s="220" t="s">
        <v>2276</v>
      </c>
      <c r="B632" s="221" t="s">
        <v>2277</v>
      </c>
    </row>
    <row r="633" spans="1:2">
      <c r="A633" s="220" t="s">
        <v>2278</v>
      </c>
      <c r="B633" s="221" t="s">
        <v>2279</v>
      </c>
    </row>
    <row r="634" spans="1:2">
      <c r="A634" s="220" t="s">
        <v>2280</v>
      </c>
      <c r="B634" s="221" t="s">
        <v>2281</v>
      </c>
    </row>
    <row r="635" spans="1:2">
      <c r="A635" s="220" t="s">
        <v>2282</v>
      </c>
      <c r="B635" s="221" t="s">
        <v>2283</v>
      </c>
    </row>
    <row r="636" spans="1:2">
      <c r="A636" s="220" t="s">
        <v>2284</v>
      </c>
      <c r="B636" s="221" t="s">
        <v>2285</v>
      </c>
    </row>
    <row r="637" spans="1:2">
      <c r="A637" s="220" t="s">
        <v>2286</v>
      </c>
      <c r="B637" s="221" t="s">
        <v>2287</v>
      </c>
    </row>
    <row r="638" spans="1:2">
      <c r="A638" s="220" t="s">
        <v>2288</v>
      </c>
      <c r="B638" s="221" t="s">
        <v>2289</v>
      </c>
    </row>
    <row r="639" spans="1:2">
      <c r="A639" s="220" t="s">
        <v>2290</v>
      </c>
      <c r="B639" s="221" t="s">
        <v>2291</v>
      </c>
    </row>
    <row r="640" spans="1:2">
      <c r="A640" s="220" t="s">
        <v>2292</v>
      </c>
      <c r="B640" s="221" t="s">
        <v>2293</v>
      </c>
    </row>
    <row r="641" spans="1:2">
      <c r="A641" s="220" t="s">
        <v>2294</v>
      </c>
      <c r="B641" s="221" t="s">
        <v>2295</v>
      </c>
    </row>
    <row r="642" spans="1:2">
      <c r="A642" s="220" t="s">
        <v>2296</v>
      </c>
      <c r="B642" s="221" t="s">
        <v>2297</v>
      </c>
    </row>
    <row r="643" spans="1:2">
      <c r="A643" s="220" t="s">
        <v>2298</v>
      </c>
      <c r="B643" s="221" t="s">
        <v>2299</v>
      </c>
    </row>
    <row r="644" spans="1:2">
      <c r="A644" s="220" t="s">
        <v>2300</v>
      </c>
      <c r="B644" s="221" t="s">
        <v>2301</v>
      </c>
    </row>
    <row r="645" spans="1:2">
      <c r="A645" s="220" t="s">
        <v>2302</v>
      </c>
      <c r="B645" s="221" t="s">
        <v>2303</v>
      </c>
    </row>
    <row r="646" spans="1:2">
      <c r="A646" s="220" t="s">
        <v>2304</v>
      </c>
      <c r="B646" s="221" t="s">
        <v>2305</v>
      </c>
    </row>
    <row r="647" spans="1:2">
      <c r="A647" s="220" t="s">
        <v>2306</v>
      </c>
      <c r="B647" s="221" t="s">
        <v>2307</v>
      </c>
    </row>
    <row r="648" spans="1:2">
      <c r="A648" s="220" t="s">
        <v>2308</v>
      </c>
      <c r="B648" s="221" t="s">
        <v>2309</v>
      </c>
    </row>
    <row r="649" spans="1:2">
      <c r="A649" s="220" t="s">
        <v>2310</v>
      </c>
      <c r="B649" s="221" t="s">
        <v>2311</v>
      </c>
    </row>
    <row r="650" spans="1:2">
      <c r="A650" s="220" t="s">
        <v>2312</v>
      </c>
      <c r="B650" s="221" t="s">
        <v>2313</v>
      </c>
    </row>
    <row r="651" spans="1:2">
      <c r="A651" s="220" t="s">
        <v>2314</v>
      </c>
      <c r="B651" s="221" t="s">
        <v>2315</v>
      </c>
    </row>
    <row r="652" spans="1:2">
      <c r="A652" s="220" t="s">
        <v>2316</v>
      </c>
      <c r="B652" s="221" t="s">
        <v>2317</v>
      </c>
    </row>
    <row r="653" spans="1:2">
      <c r="A653" s="220" t="s">
        <v>2318</v>
      </c>
      <c r="B653" s="221" t="s">
        <v>2319</v>
      </c>
    </row>
    <row r="654" spans="1:2">
      <c r="A654" s="220" t="s">
        <v>2320</v>
      </c>
      <c r="B654" s="221" t="s">
        <v>2321</v>
      </c>
    </row>
    <row r="655" spans="1:2">
      <c r="A655" s="220" t="s">
        <v>2322</v>
      </c>
      <c r="B655" s="221" t="s">
        <v>2323</v>
      </c>
    </row>
    <row r="656" spans="1:2">
      <c r="A656" s="220" t="s">
        <v>2324</v>
      </c>
      <c r="B656" s="221" t="s">
        <v>2325</v>
      </c>
    </row>
    <row r="657" spans="1:2">
      <c r="A657" s="220" t="s">
        <v>2326</v>
      </c>
      <c r="B657" s="221" t="s">
        <v>2327</v>
      </c>
    </row>
    <row r="658" spans="1:2">
      <c r="A658" s="220" t="s">
        <v>2328</v>
      </c>
      <c r="B658" s="221" t="s">
        <v>2329</v>
      </c>
    </row>
    <row r="659" spans="1:2">
      <c r="A659" s="220" t="s">
        <v>2330</v>
      </c>
      <c r="B659" s="221" t="s">
        <v>2331</v>
      </c>
    </row>
    <row r="660" spans="1:2">
      <c r="A660" s="220" t="s">
        <v>2332</v>
      </c>
      <c r="B660" s="221" t="s">
        <v>2333</v>
      </c>
    </row>
    <row r="661" spans="1:2">
      <c r="A661" s="220" t="s">
        <v>2334</v>
      </c>
      <c r="B661" s="221" t="s">
        <v>2335</v>
      </c>
    </row>
    <row r="662" spans="1:2">
      <c r="A662" s="220" t="s">
        <v>2336</v>
      </c>
      <c r="B662" s="221" t="s">
        <v>2337</v>
      </c>
    </row>
    <row r="663" spans="1:2">
      <c r="A663" s="220" t="s">
        <v>2338</v>
      </c>
      <c r="B663" s="221" t="s">
        <v>2339</v>
      </c>
    </row>
    <row r="664" spans="1:2">
      <c r="A664" s="220" t="s">
        <v>2340</v>
      </c>
      <c r="B664" s="221" t="s">
        <v>2341</v>
      </c>
    </row>
    <row r="665" spans="1:2">
      <c r="A665" s="220" t="s">
        <v>2342</v>
      </c>
      <c r="B665" s="221" t="s">
        <v>2343</v>
      </c>
    </row>
    <row r="666" spans="1:2">
      <c r="A666" s="220" t="s">
        <v>2344</v>
      </c>
      <c r="B666" s="221" t="s">
        <v>2345</v>
      </c>
    </row>
    <row r="667" spans="1:2">
      <c r="A667" s="220" t="s">
        <v>2346</v>
      </c>
      <c r="B667" s="221" t="s">
        <v>2347</v>
      </c>
    </row>
    <row r="668" spans="1:2">
      <c r="A668" s="220" t="s">
        <v>2348</v>
      </c>
      <c r="B668" s="221" t="s">
        <v>2349</v>
      </c>
    </row>
    <row r="669" spans="1:2">
      <c r="A669" s="220" t="s">
        <v>2350</v>
      </c>
      <c r="B669" s="221" t="s">
        <v>2351</v>
      </c>
    </row>
    <row r="670" spans="1:2">
      <c r="A670" s="220" t="s">
        <v>2352</v>
      </c>
      <c r="B670" s="221" t="s">
        <v>2353</v>
      </c>
    </row>
    <row r="671" spans="1:2">
      <c r="A671" s="220" t="s">
        <v>2354</v>
      </c>
      <c r="B671" s="221" t="s">
        <v>2355</v>
      </c>
    </row>
    <row r="672" spans="1:2">
      <c r="A672" s="220" t="s">
        <v>2356</v>
      </c>
      <c r="B672" s="221" t="s">
        <v>2357</v>
      </c>
    </row>
    <row r="673" spans="1:2">
      <c r="A673" s="220" t="s">
        <v>2358</v>
      </c>
      <c r="B673" s="221" t="s">
        <v>2359</v>
      </c>
    </row>
    <row r="674" spans="1:2">
      <c r="A674" s="220" t="s">
        <v>2360</v>
      </c>
      <c r="B674" s="221" t="s">
        <v>2361</v>
      </c>
    </row>
    <row r="675" spans="1:2">
      <c r="A675" s="220" t="s">
        <v>2362</v>
      </c>
      <c r="B675" s="221" t="s">
        <v>2363</v>
      </c>
    </row>
    <row r="676" spans="1:2">
      <c r="A676" s="220" t="s">
        <v>2364</v>
      </c>
      <c r="B676" s="221" t="s">
        <v>2365</v>
      </c>
    </row>
    <row r="677" spans="1:2">
      <c r="A677" s="220" t="s">
        <v>2366</v>
      </c>
      <c r="B677" s="221" t="s">
        <v>2367</v>
      </c>
    </row>
    <row r="678" spans="1:2">
      <c r="A678" s="220" t="s">
        <v>2368</v>
      </c>
      <c r="B678" s="221" t="s">
        <v>2369</v>
      </c>
    </row>
    <row r="679" spans="1:2">
      <c r="A679" s="220" t="s">
        <v>2370</v>
      </c>
      <c r="B679" s="221" t="s">
        <v>2371</v>
      </c>
    </row>
    <row r="680" spans="1:2">
      <c r="A680" s="220" t="s">
        <v>2372</v>
      </c>
      <c r="B680" s="221" t="s">
        <v>2373</v>
      </c>
    </row>
    <row r="681" spans="1:2">
      <c r="A681" s="220" t="s">
        <v>2374</v>
      </c>
      <c r="B681" s="221" t="s">
        <v>2375</v>
      </c>
    </row>
    <row r="682" spans="1:2">
      <c r="A682" s="220" t="s">
        <v>2376</v>
      </c>
      <c r="B682" s="221" t="s">
        <v>2377</v>
      </c>
    </row>
    <row r="683" spans="1:2">
      <c r="A683" s="220" t="s">
        <v>2378</v>
      </c>
      <c r="B683" s="221" t="s">
        <v>2379</v>
      </c>
    </row>
    <row r="684" spans="1:2">
      <c r="A684" s="220" t="s">
        <v>2380</v>
      </c>
      <c r="B684" s="221" t="s">
        <v>2381</v>
      </c>
    </row>
    <row r="685" spans="1:2">
      <c r="A685" s="220" t="s">
        <v>2382</v>
      </c>
      <c r="B685" s="221" t="s">
        <v>2383</v>
      </c>
    </row>
    <row r="686" spans="1:2">
      <c r="A686" s="220" t="s">
        <v>2384</v>
      </c>
      <c r="B686" s="221" t="s">
        <v>2385</v>
      </c>
    </row>
    <row r="687" spans="1:2">
      <c r="A687" s="220" t="s">
        <v>2386</v>
      </c>
      <c r="B687" s="221" t="s">
        <v>2387</v>
      </c>
    </row>
    <row r="688" spans="1:2">
      <c r="A688" s="220" t="s">
        <v>2388</v>
      </c>
      <c r="B688" s="221" t="s">
        <v>2389</v>
      </c>
    </row>
    <row r="689" spans="1:2">
      <c r="A689" s="220" t="s">
        <v>2390</v>
      </c>
      <c r="B689" s="221" t="s">
        <v>2391</v>
      </c>
    </row>
    <row r="690" spans="1:2">
      <c r="A690" s="220" t="s">
        <v>2392</v>
      </c>
      <c r="B690" s="221" t="s">
        <v>2393</v>
      </c>
    </row>
    <row r="691" spans="1:2">
      <c r="A691" s="220" t="s">
        <v>2394</v>
      </c>
      <c r="B691" s="221" t="s">
        <v>2395</v>
      </c>
    </row>
    <row r="692" spans="1:2">
      <c r="A692" s="220" t="s">
        <v>2396</v>
      </c>
      <c r="B692" s="221" t="s">
        <v>2397</v>
      </c>
    </row>
    <row r="693" spans="1:2">
      <c r="A693" s="220" t="s">
        <v>2398</v>
      </c>
      <c r="B693" s="221" t="s">
        <v>2399</v>
      </c>
    </row>
    <row r="694" spans="1:2">
      <c r="A694" s="220" t="s">
        <v>2400</v>
      </c>
      <c r="B694" s="221" t="s">
        <v>2401</v>
      </c>
    </row>
    <row r="695" spans="1:2">
      <c r="A695" s="220" t="s">
        <v>2402</v>
      </c>
      <c r="B695" s="221" t="s">
        <v>2403</v>
      </c>
    </row>
    <row r="696" spans="1:2">
      <c r="A696" s="220" t="s">
        <v>2404</v>
      </c>
      <c r="B696" s="221" t="s">
        <v>2405</v>
      </c>
    </row>
    <row r="697" spans="1:2">
      <c r="A697" s="220" t="s">
        <v>2406</v>
      </c>
      <c r="B697" s="221" t="s">
        <v>2407</v>
      </c>
    </row>
    <row r="698" spans="1:2">
      <c r="A698" s="220" t="s">
        <v>2408</v>
      </c>
      <c r="B698" s="221" t="s">
        <v>2409</v>
      </c>
    </row>
    <row r="699" spans="1:2">
      <c r="A699" s="220" t="s">
        <v>2410</v>
      </c>
      <c r="B699" s="221" t="s">
        <v>2411</v>
      </c>
    </row>
    <row r="700" spans="1:2">
      <c r="A700" s="220" t="s">
        <v>2412</v>
      </c>
      <c r="B700" s="221" t="s">
        <v>2413</v>
      </c>
    </row>
    <row r="701" spans="1:2">
      <c r="A701" s="220" t="s">
        <v>2414</v>
      </c>
      <c r="B701" s="221" t="s">
        <v>2415</v>
      </c>
    </row>
    <row r="702" spans="1:2">
      <c r="A702" s="220" t="s">
        <v>2416</v>
      </c>
      <c r="B702" s="221" t="s">
        <v>2417</v>
      </c>
    </row>
    <row r="703" spans="1:2">
      <c r="A703" s="220" t="s">
        <v>2418</v>
      </c>
      <c r="B703" s="221" t="s">
        <v>2419</v>
      </c>
    </row>
    <row r="704" spans="1:2">
      <c r="A704" s="220" t="s">
        <v>2420</v>
      </c>
      <c r="B704" s="221" t="s">
        <v>2421</v>
      </c>
    </row>
    <row r="705" spans="1:2">
      <c r="A705" s="220" t="s">
        <v>2422</v>
      </c>
      <c r="B705" s="221" t="s">
        <v>2423</v>
      </c>
    </row>
    <row r="706" spans="1:2">
      <c r="A706" s="220" t="s">
        <v>2424</v>
      </c>
      <c r="B706" s="221" t="s">
        <v>2425</v>
      </c>
    </row>
    <row r="707" spans="1:2">
      <c r="A707" s="220" t="s">
        <v>2426</v>
      </c>
      <c r="B707" s="221" t="s">
        <v>2427</v>
      </c>
    </row>
    <row r="708" spans="1:2">
      <c r="A708" s="220" t="s">
        <v>2428</v>
      </c>
      <c r="B708" s="221" t="s">
        <v>2429</v>
      </c>
    </row>
    <row r="709" spans="1:2">
      <c r="A709" s="220" t="s">
        <v>2430</v>
      </c>
      <c r="B709" s="221" t="s">
        <v>2431</v>
      </c>
    </row>
    <row r="710" spans="1:2">
      <c r="A710" s="220" t="s">
        <v>2432</v>
      </c>
      <c r="B710" s="221" t="s">
        <v>2433</v>
      </c>
    </row>
    <row r="711" spans="1:2">
      <c r="A711" s="220" t="s">
        <v>2434</v>
      </c>
      <c r="B711" s="221" t="s">
        <v>2435</v>
      </c>
    </row>
    <row r="712" spans="1:2">
      <c r="A712" s="220" t="s">
        <v>2436</v>
      </c>
      <c r="B712" s="221" t="s">
        <v>2437</v>
      </c>
    </row>
    <row r="713" spans="1:2">
      <c r="A713" s="220" t="s">
        <v>2438</v>
      </c>
      <c r="B713" s="221" t="s">
        <v>2439</v>
      </c>
    </row>
    <row r="714" spans="1:2">
      <c r="A714" s="220" t="s">
        <v>2440</v>
      </c>
      <c r="B714" s="221" t="s">
        <v>2441</v>
      </c>
    </row>
    <row r="715" spans="1:2">
      <c r="A715" s="220" t="s">
        <v>2442</v>
      </c>
      <c r="B715" s="221" t="s">
        <v>2443</v>
      </c>
    </row>
    <row r="716" spans="1:2">
      <c r="A716" s="220" t="s">
        <v>2444</v>
      </c>
      <c r="B716" s="221" t="s">
        <v>2445</v>
      </c>
    </row>
    <row r="717" spans="1:2">
      <c r="A717" s="220" t="s">
        <v>2446</v>
      </c>
      <c r="B717" s="221" t="s">
        <v>2447</v>
      </c>
    </row>
    <row r="718" spans="1:2">
      <c r="A718" s="220" t="s">
        <v>2448</v>
      </c>
      <c r="B718" s="221" t="s">
        <v>2449</v>
      </c>
    </row>
    <row r="719" spans="1:2">
      <c r="A719" s="220" t="s">
        <v>2450</v>
      </c>
      <c r="B719" s="221" t="s">
        <v>2451</v>
      </c>
    </row>
    <row r="720" spans="1:2">
      <c r="A720" s="220" t="s">
        <v>2452</v>
      </c>
      <c r="B720" s="221" t="s">
        <v>2453</v>
      </c>
    </row>
    <row r="721" spans="1:2">
      <c r="A721" s="220" t="s">
        <v>2454</v>
      </c>
      <c r="B721" s="221" t="s">
        <v>2455</v>
      </c>
    </row>
    <row r="722" spans="1:2">
      <c r="A722" s="220" t="s">
        <v>2456</v>
      </c>
      <c r="B722" s="221" t="s">
        <v>2457</v>
      </c>
    </row>
    <row r="723" spans="1:2">
      <c r="A723" s="220" t="s">
        <v>2458</v>
      </c>
      <c r="B723" s="221" t="s">
        <v>2459</v>
      </c>
    </row>
    <row r="724" spans="1:2">
      <c r="A724" s="220" t="s">
        <v>2460</v>
      </c>
      <c r="B724" s="221" t="s">
        <v>2461</v>
      </c>
    </row>
    <row r="725" spans="1:2">
      <c r="A725" s="220" t="s">
        <v>2462</v>
      </c>
      <c r="B725" s="221" t="s">
        <v>2463</v>
      </c>
    </row>
    <row r="726" spans="1:2">
      <c r="A726" s="220" t="s">
        <v>2464</v>
      </c>
      <c r="B726" s="221" t="s">
        <v>2465</v>
      </c>
    </row>
    <row r="727" spans="1:2">
      <c r="A727" s="220" t="s">
        <v>2466</v>
      </c>
      <c r="B727" s="221" t="s">
        <v>2467</v>
      </c>
    </row>
    <row r="728" spans="1:2">
      <c r="A728" s="220" t="s">
        <v>2468</v>
      </c>
      <c r="B728" s="221" t="s">
        <v>2469</v>
      </c>
    </row>
    <row r="729" spans="1:2">
      <c r="A729" s="220" t="s">
        <v>2470</v>
      </c>
      <c r="B729" s="221" t="s">
        <v>2471</v>
      </c>
    </row>
    <row r="730" spans="1:2">
      <c r="A730" s="220" t="s">
        <v>2472</v>
      </c>
      <c r="B730" s="221" t="s">
        <v>2473</v>
      </c>
    </row>
    <row r="731" spans="1:2">
      <c r="A731" s="220" t="s">
        <v>2474</v>
      </c>
      <c r="B731" s="221" t="s">
        <v>2475</v>
      </c>
    </row>
    <row r="732" spans="1:2">
      <c r="A732" s="220" t="s">
        <v>2476</v>
      </c>
      <c r="B732" s="221" t="s">
        <v>2477</v>
      </c>
    </row>
    <row r="733" spans="1:2">
      <c r="A733" s="220" t="s">
        <v>2478</v>
      </c>
      <c r="B733" s="221" t="s">
        <v>2479</v>
      </c>
    </row>
    <row r="734" spans="1:2">
      <c r="A734" s="220" t="s">
        <v>2480</v>
      </c>
      <c r="B734" s="221" t="s">
        <v>2481</v>
      </c>
    </row>
    <row r="735" spans="1:2">
      <c r="A735" s="220" t="s">
        <v>2482</v>
      </c>
      <c r="B735" s="221" t="s">
        <v>2483</v>
      </c>
    </row>
    <row r="736" spans="1:2">
      <c r="A736" s="220" t="s">
        <v>2484</v>
      </c>
      <c r="B736" s="221" t="s">
        <v>2485</v>
      </c>
    </row>
    <row r="737" spans="1:2">
      <c r="A737" s="220" t="s">
        <v>2486</v>
      </c>
      <c r="B737" s="221" t="s">
        <v>2487</v>
      </c>
    </row>
    <row r="738" spans="1:2">
      <c r="A738" s="220" t="s">
        <v>2488</v>
      </c>
      <c r="B738" s="221" t="s">
        <v>2489</v>
      </c>
    </row>
    <row r="739" spans="1:2">
      <c r="A739" s="220" t="s">
        <v>2490</v>
      </c>
      <c r="B739" s="221" t="s">
        <v>2491</v>
      </c>
    </row>
    <row r="740" spans="1:2">
      <c r="A740" s="220" t="s">
        <v>2492</v>
      </c>
      <c r="B740" s="221" t="s">
        <v>2493</v>
      </c>
    </row>
    <row r="741" spans="1:2">
      <c r="A741" s="220" t="s">
        <v>2494</v>
      </c>
      <c r="B741" s="221" t="s">
        <v>2495</v>
      </c>
    </row>
    <row r="742" spans="1:2">
      <c r="A742" s="220" t="s">
        <v>2496</v>
      </c>
      <c r="B742" s="221" t="s">
        <v>2497</v>
      </c>
    </row>
    <row r="743" spans="1:2">
      <c r="A743" s="220" t="s">
        <v>2498</v>
      </c>
      <c r="B743" s="221" t="s">
        <v>2499</v>
      </c>
    </row>
    <row r="744" spans="1:2">
      <c r="A744" s="220" t="s">
        <v>2500</v>
      </c>
      <c r="B744" s="221" t="s">
        <v>2501</v>
      </c>
    </row>
    <row r="745" spans="1:2">
      <c r="A745" s="220" t="s">
        <v>2502</v>
      </c>
      <c r="B745" s="221" t="s">
        <v>2503</v>
      </c>
    </row>
    <row r="746" spans="1:2">
      <c r="A746" s="220" t="s">
        <v>2504</v>
      </c>
      <c r="B746" s="221" t="s">
        <v>2505</v>
      </c>
    </row>
    <row r="747" spans="1:2">
      <c r="A747" s="220" t="s">
        <v>2506</v>
      </c>
      <c r="B747" s="221" t="s">
        <v>1765</v>
      </c>
    </row>
    <row r="748" spans="1:2">
      <c r="A748" s="220" t="s">
        <v>2507</v>
      </c>
      <c r="B748" s="221" t="s">
        <v>2508</v>
      </c>
    </row>
    <row r="749" spans="1:2">
      <c r="A749" s="220" t="s">
        <v>2509</v>
      </c>
      <c r="B749" s="221" t="s">
        <v>2510</v>
      </c>
    </row>
    <row r="750" spans="1:2">
      <c r="A750" s="220" t="s">
        <v>2511</v>
      </c>
      <c r="B750" s="221" t="s">
        <v>2512</v>
      </c>
    </row>
    <row r="751" spans="1:2">
      <c r="A751" s="220" t="s">
        <v>2513</v>
      </c>
      <c r="B751" s="221" t="s">
        <v>2514</v>
      </c>
    </row>
    <row r="752" spans="1:2">
      <c r="A752" s="220" t="s">
        <v>2515</v>
      </c>
      <c r="B752" s="221" t="s">
        <v>2516</v>
      </c>
    </row>
    <row r="753" spans="1:2">
      <c r="A753" s="220" t="s">
        <v>2517</v>
      </c>
      <c r="B753" s="221" t="s">
        <v>2518</v>
      </c>
    </row>
    <row r="754" spans="1:2">
      <c r="A754" s="220" t="s">
        <v>2519</v>
      </c>
      <c r="B754" s="221" t="s">
        <v>2520</v>
      </c>
    </row>
    <row r="755" spans="1:2">
      <c r="A755" s="220" t="s">
        <v>2521</v>
      </c>
      <c r="B755" s="221" t="s">
        <v>2522</v>
      </c>
    </row>
    <row r="756" spans="1:2">
      <c r="A756" s="220" t="s">
        <v>2523</v>
      </c>
      <c r="B756" s="221" t="s">
        <v>2524</v>
      </c>
    </row>
    <row r="757" spans="1:2">
      <c r="A757" s="220" t="s">
        <v>2525</v>
      </c>
      <c r="B757" s="221" t="s">
        <v>2526</v>
      </c>
    </row>
    <row r="758" spans="1:2">
      <c r="A758" s="220" t="s">
        <v>2527</v>
      </c>
      <c r="B758" s="221" t="s">
        <v>2528</v>
      </c>
    </row>
    <row r="759" spans="1:2">
      <c r="A759" s="220" t="s">
        <v>2529</v>
      </c>
      <c r="B759" s="221" t="s">
        <v>2530</v>
      </c>
    </row>
    <row r="760" spans="1:2">
      <c r="A760" s="220" t="s">
        <v>2531</v>
      </c>
      <c r="B760" s="221" t="s">
        <v>2532</v>
      </c>
    </row>
    <row r="761" spans="1:2">
      <c r="A761" s="220" t="s">
        <v>2533</v>
      </c>
      <c r="B761" s="221" t="s">
        <v>2534</v>
      </c>
    </row>
    <row r="762" spans="1:2">
      <c r="A762" s="220" t="s">
        <v>2535</v>
      </c>
      <c r="B762" s="221" t="s">
        <v>2536</v>
      </c>
    </row>
    <row r="763" spans="1:2">
      <c r="A763" s="220" t="s">
        <v>2537</v>
      </c>
      <c r="B763" s="221" t="s">
        <v>2538</v>
      </c>
    </row>
    <row r="764" spans="1:2">
      <c r="A764" s="220" t="s">
        <v>2539</v>
      </c>
      <c r="B764" s="221" t="s">
        <v>2540</v>
      </c>
    </row>
    <row r="765" spans="1:2">
      <c r="A765" s="220" t="s">
        <v>2541</v>
      </c>
      <c r="B765" s="221" t="s">
        <v>2542</v>
      </c>
    </row>
    <row r="766" spans="1:2">
      <c r="A766" s="220" t="s">
        <v>2543</v>
      </c>
      <c r="B766" s="221" t="s">
        <v>2544</v>
      </c>
    </row>
    <row r="767" spans="1:2">
      <c r="A767" s="220" t="s">
        <v>2545</v>
      </c>
      <c r="B767" s="221" t="s">
        <v>2546</v>
      </c>
    </row>
    <row r="768" spans="1:2">
      <c r="A768" s="220" t="s">
        <v>2547</v>
      </c>
      <c r="B768" s="221" t="s">
        <v>2548</v>
      </c>
    </row>
    <row r="769" spans="1:2">
      <c r="A769" s="220" t="s">
        <v>2549</v>
      </c>
      <c r="B769" s="221" t="s">
        <v>2550</v>
      </c>
    </row>
    <row r="770" spans="1:2">
      <c r="A770" s="220" t="s">
        <v>2551</v>
      </c>
      <c r="B770" s="221" t="s">
        <v>2552</v>
      </c>
    </row>
    <row r="771" spans="1:2">
      <c r="A771" s="220" t="s">
        <v>2553</v>
      </c>
      <c r="B771" s="221" t="s">
        <v>2554</v>
      </c>
    </row>
    <row r="772" spans="1:2">
      <c r="A772" s="220" t="s">
        <v>2555</v>
      </c>
      <c r="B772" s="221" t="s">
        <v>2556</v>
      </c>
    </row>
    <row r="773" spans="1:2">
      <c r="A773" s="220" t="s">
        <v>2557</v>
      </c>
      <c r="B773" s="221" t="s">
        <v>2558</v>
      </c>
    </row>
    <row r="774" spans="1:2">
      <c r="A774" s="220" t="s">
        <v>2559</v>
      </c>
      <c r="B774" s="221" t="s">
        <v>2560</v>
      </c>
    </row>
    <row r="775" spans="1:2">
      <c r="A775" s="220" t="s">
        <v>2561</v>
      </c>
      <c r="B775" s="221" t="s">
        <v>2562</v>
      </c>
    </row>
    <row r="776" spans="1:2">
      <c r="A776" s="220" t="s">
        <v>2563</v>
      </c>
      <c r="B776" s="221" t="s">
        <v>2564</v>
      </c>
    </row>
    <row r="777" spans="1:2">
      <c r="A777" s="220" t="s">
        <v>2565</v>
      </c>
      <c r="B777" s="221" t="s">
        <v>2566</v>
      </c>
    </row>
    <row r="778" spans="1:2">
      <c r="A778" s="220" t="s">
        <v>2567</v>
      </c>
      <c r="B778" s="221" t="s">
        <v>2568</v>
      </c>
    </row>
    <row r="779" spans="1:2">
      <c r="A779" s="220" t="s">
        <v>2569</v>
      </c>
      <c r="B779" s="221" t="s">
        <v>2570</v>
      </c>
    </row>
    <row r="780" spans="1:2">
      <c r="A780" s="220" t="s">
        <v>2571</v>
      </c>
      <c r="B780" s="221" t="s">
        <v>2572</v>
      </c>
    </row>
    <row r="781" spans="1:2">
      <c r="A781" s="220" t="s">
        <v>2573</v>
      </c>
      <c r="B781" s="221" t="s">
        <v>2516</v>
      </c>
    </row>
    <row r="782" spans="1:2">
      <c r="A782" s="220" t="s">
        <v>2574</v>
      </c>
      <c r="B782" s="221" t="s">
        <v>2522</v>
      </c>
    </row>
    <row r="783" spans="1:2">
      <c r="A783" s="220" t="s">
        <v>2575</v>
      </c>
      <c r="B783" s="221" t="s">
        <v>2576</v>
      </c>
    </row>
    <row r="784" spans="1:2">
      <c r="A784" s="220" t="s">
        <v>2577</v>
      </c>
      <c r="B784" s="221" t="s">
        <v>2578</v>
      </c>
    </row>
    <row r="785" spans="1:2">
      <c r="A785" s="220" t="s">
        <v>2579</v>
      </c>
      <c r="B785" s="221" t="s">
        <v>2580</v>
      </c>
    </row>
    <row r="786" spans="1:2">
      <c r="A786" s="220" t="s">
        <v>2581</v>
      </c>
      <c r="B786" s="221" t="s">
        <v>2582</v>
      </c>
    </row>
    <row r="787" spans="1:2">
      <c r="A787" s="220" t="s">
        <v>2583</v>
      </c>
      <c r="B787" s="221" t="s">
        <v>2584</v>
      </c>
    </row>
    <row r="788" spans="1:2">
      <c r="A788" s="220" t="s">
        <v>2585</v>
      </c>
      <c r="B788" s="221" t="s">
        <v>2586</v>
      </c>
    </row>
    <row r="789" spans="1:2">
      <c r="A789" s="220" t="s">
        <v>2587</v>
      </c>
      <c r="B789" s="221" t="s">
        <v>2588</v>
      </c>
    </row>
    <row r="790" spans="1:2">
      <c r="A790" s="220" t="s">
        <v>2589</v>
      </c>
      <c r="B790" s="221" t="s">
        <v>2590</v>
      </c>
    </row>
    <row r="791" spans="1:2">
      <c r="A791" s="220" t="s">
        <v>2591</v>
      </c>
      <c r="B791" s="221" t="s">
        <v>2592</v>
      </c>
    </row>
    <row r="792" spans="1:2">
      <c r="A792" s="220" t="s">
        <v>2593</v>
      </c>
      <c r="B792" s="221" t="s">
        <v>2594</v>
      </c>
    </row>
    <row r="793" spans="1:2">
      <c r="A793" s="220" t="s">
        <v>2595</v>
      </c>
      <c r="B793" s="221" t="s">
        <v>2596</v>
      </c>
    </row>
    <row r="794" spans="1:2">
      <c r="A794" s="220" t="s">
        <v>2597</v>
      </c>
      <c r="B794" s="221" t="s">
        <v>2598</v>
      </c>
    </row>
    <row r="795" spans="1:2">
      <c r="A795" s="220" t="s">
        <v>2599</v>
      </c>
      <c r="B795" s="221" t="s">
        <v>2600</v>
      </c>
    </row>
    <row r="796" spans="1:2">
      <c r="A796" s="220" t="s">
        <v>2601</v>
      </c>
      <c r="B796" s="221" t="s">
        <v>2602</v>
      </c>
    </row>
    <row r="797" spans="1:2">
      <c r="A797" s="220" t="s">
        <v>2603</v>
      </c>
      <c r="B797" s="221" t="s">
        <v>2604</v>
      </c>
    </row>
    <row r="798" spans="1:2">
      <c r="A798" s="220" t="s">
        <v>2605</v>
      </c>
      <c r="B798" s="221" t="s">
        <v>2606</v>
      </c>
    </row>
    <row r="799" spans="1:2">
      <c r="A799" s="220" t="s">
        <v>2607</v>
      </c>
      <c r="B799" s="221" t="s">
        <v>2608</v>
      </c>
    </row>
    <row r="800" spans="1:2">
      <c r="A800" s="220" t="s">
        <v>2609</v>
      </c>
      <c r="B800" s="221" t="s">
        <v>2610</v>
      </c>
    </row>
    <row r="801" spans="1:2">
      <c r="A801" s="220" t="s">
        <v>2611</v>
      </c>
      <c r="B801" s="221" t="s">
        <v>2612</v>
      </c>
    </row>
    <row r="802" spans="1:2">
      <c r="A802" s="220" t="s">
        <v>2613</v>
      </c>
      <c r="B802" s="221" t="s">
        <v>2614</v>
      </c>
    </row>
    <row r="803" spans="1:2">
      <c r="A803" s="220" t="s">
        <v>2615</v>
      </c>
      <c r="B803" s="221" t="s">
        <v>2616</v>
      </c>
    </row>
    <row r="804" spans="1:2">
      <c r="A804" s="220" t="s">
        <v>2617</v>
      </c>
      <c r="B804" s="221" t="s">
        <v>2618</v>
      </c>
    </row>
    <row r="805" spans="1:2">
      <c r="A805" s="220" t="s">
        <v>2619</v>
      </c>
      <c r="B805" s="221" t="s">
        <v>2620</v>
      </c>
    </row>
    <row r="806" spans="1:2">
      <c r="A806" s="220" t="s">
        <v>2621</v>
      </c>
      <c r="B806" s="221" t="s">
        <v>2622</v>
      </c>
    </row>
    <row r="807" spans="1:2">
      <c r="A807" s="220" t="s">
        <v>2623</v>
      </c>
      <c r="B807" s="221" t="s">
        <v>2624</v>
      </c>
    </row>
    <row r="808" spans="1:2">
      <c r="A808" s="220" t="s">
        <v>2625</v>
      </c>
      <c r="B808" s="221" t="s">
        <v>2626</v>
      </c>
    </row>
    <row r="809" spans="1:2">
      <c r="A809" s="220" t="s">
        <v>2627</v>
      </c>
      <c r="B809" s="221" t="s">
        <v>2628</v>
      </c>
    </row>
    <row r="810" spans="1:2">
      <c r="A810" s="220" t="s">
        <v>2629</v>
      </c>
      <c r="B810" s="221" t="s">
        <v>2630</v>
      </c>
    </row>
    <row r="811" spans="1:2">
      <c r="A811" s="220" t="s">
        <v>2631</v>
      </c>
      <c r="B811" s="221" t="s">
        <v>2632</v>
      </c>
    </row>
    <row r="812" spans="1:2">
      <c r="A812" s="220" t="s">
        <v>2633</v>
      </c>
      <c r="B812" s="221" t="s">
        <v>2634</v>
      </c>
    </row>
    <row r="813" spans="1:2">
      <c r="A813" s="220" t="s">
        <v>2635</v>
      </c>
      <c r="B813" s="221" t="s">
        <v>2636</v>
      </c>
    </row>
    <row r="814" spans="1:2">
      <c r="A814" s="220" t="s">
        <v>2637</v>
      </c>
      <c r="B814" s="221" t="s">
        <v>2638</v>
      </c>
    </row>
    <row r="815" spans="1:2">
      <c r="A815" s="220" t="s">
        <v>2639</v>
      </c>
      <c r="B815" s="221" t="s">
        <v>2640</v>
      </c>
    </row>
    <row r="816" spans="1:2">
      <c r="A816" s="220" t="s">
        <v>2641</v>
      </c>
      <c r="B816" s="221" t="s">
        <v>2397</v>
      </c>
    </row>
    <row r="817" spans="1:2">
      <c r="A817" s="220" t="s">
        <v>2642</v>
      </c>
      <c r="B817" s="221" t="s">
        <v>2643</v>
      </c>
    </row>
    <row r="818" spans="1:2">
      <c r="A818" s="220" t="s">
        <v>2644</v>
      </c>
      <c r="B818" s="221" t="s">
        <v>2645</v>
      </c>
    </row>
    <row r="819" spans="1:2">
      <c r="A819" s="220" t="s">
        <v>2646</v>
      </c>
      <c r="B819" s="221" t="s">
        <v>2647</v>
      </c>
    </row>
    <row r="820" spans="1:2">
      <c r="A820" s="220" t="s">
        <v>2648</v>
      </c>
      <c r="B820" s="221" t="s">
        <v>2649</v>
      </c>
    </row>
    <row r="821" spans="1:2">
      <c r="A821" s="220" t="s">
        <v>2650</v>
      </c>
      <c r="B821" s="221" t="s">
        <v>2651</v>
      </c>
    </row>
    <row r="822" spans="1:2">
      <c r="A822" s="220" t="s">
        <v>2652</v>
      </c>
      <c r="B822" s="221" t="s">
        <v>2653</v>
      </c>
    </row>
    <row r="823" spans="1:2">
      <c r="A823" s="220" t="s">
        <v>2654</v>
      </c>
      <c r="B823" s="221" t="s">
        <v>2655</v>
      </c>
    </row>
    <row r="824" spans="1:2">
      <c r="A824" s="220" t="s">
        <v>2656</v>
      </c>
      <c r="B824" s="221" t="s">
        <v>2657</v>
      </c>
    </row>
    <row r="825" spans="1:2">
      <c r="A825" s="220" t="s">
        <v>2658</v>
      </c>
      <c r="B825" s="221" t="s">
        <v>2659</v>
      </c>
    </row>
    <row r="826" spans="1:2">
      <c r="A826" s="220" t="s">
        <v>2660</v>
      </c>
      <c r="B826" s="221" t="s">
        <v>2661</v>
      </c>
    </row>
    <row r="827" spans="1:2">
      <c r="A827" s="220" t="s">
        <v>2662</v>
      </c>
      <c r="B827" s="221" t="s">
        <v>2663</v>
      </c>
    </row>
    <row r="828" spans="1:2">
      <c r="A828" s="220" t="s">
        <v>2664</v>
      </c>
      <c r="B828" s="221" t="s">
        <v>2665</v>
      </c>
    </row>
    <row r="829" spans="1:2">
      <c r="A829" s="220" t="s">
        <v>2666</v>
      </c>
      <c r="B829" s="221" t="s">
        <v>2667</v>
      </c>
    </row>
    <row r="830" spans="1:2">
      <c r="A830" s="220" t="s">
        <v>2668</v>
      </c>
      <c r="B830" s="221" t="s">
        <v>2669</v>
      </c>
    </row>
    <row r="831" spans="1:2">
      <c r="A831" s="220" t="s">
        <v>2670</v>
      </c>
      <c r="B831" s="221" t="s">
        <v>2671</v>
      </c>
    </row>
    <row r="832" spans="1:2">
      <c r="A832" s="220" t="s">
        <v>2672</v>
      </c>
      <c r="B832" s="221" t="s">
        <v>2673</v>
      </c>
    </row>
    <row r="833" spans="1:2">
      <c r="A833" s="220" t="s">
        <v>2674</v>
      </c>
      <c r="B833" s="221" t="s">
        <v>2675</v>
      </c>
    </row>
    <row r="834" spans="1:2">
      <c r="A834" s="220" t="s">
        <v>2676</v>
      </c>
      <c r="B834" s="221" t="s">
        <v>2677</v>
      </c>
    </row>
    <row r="835" spans="1:2">
      <c r="A835" s="220" t="s">
        <v>2678</v>
      </c>
      <c r="B835" s="221" t="s">
        <v>2679</v>
      </c>
    </row>
    <row r="836" spans="1:2">
      <c r="A836" s="220" t="s">
        <v>2680</v>
      </c>
      <c r="B836" s="221" t="s">
        <v>2681</v>
      </c>
    </row>
    <row r="837" spans="1:2">
      <c r="A837" s="220" t="s">
        <v>2682</v>
      </c>
      <c r="B837" s="221" t="s">
        <v>2683</v>
      </c>
    </row>
    <row r="838" spans="1:2">
      <c r="A838" s="220" t="s">
        <v>2684</v>
      </c>
      <c r="B838" s="221" t="s">
        <v>2685</v>
      </c>
    </row>
    <row r="839" spans="1:2">
      <c r="A839" s="220" t="s">
        <v>2686</v>
      </c>
      <c r="B839" s="221" t="s">
        <v>2687</v>
      </c>
    </row>
    <row r="840" spans="1:2">
      <c r="A840" s="220" t="s">
        <v>2688</v>
      </c>
      <c r="B840" s="221" t="s">
        <v>2689</v>
      </c>
    </row>
    <row r="841" spans="1:2">
      <c r="A841" s="220" t="s">
        <v>2690</v>
      </c>
      <c r="B841" s="221" t="s">
        <v>2691</v>
      </c>
    </row>
    <row r="842" spans="1:2">
      <c r="A842" s="220" t="s">
        <v>2692</v>
      </c>
      <c r="B842" s="221" t="s">
        <v>2693</v>
      </c>
    </row>
    <row r="843" spans="1:2">
      <c r="A843" s="220" t="s">
        <v>2694</v>
      </c>
      <c r="B843" s="221" t="s">
        <v>2695</v>
      </c>
    </row>
    <row r="844" spans="1:2">
      <c r="A844" s="220" t="s">
        <v>2696</v>
      </c>
      <c r="B844" s="221" t="s">
        <v>2697</v>
      </c>
    </row>
    <row r="845" spans="1:2">
      <c r="A845" s="220" t="s">
        <v>2698</v>
      </c>
      <c r="B845" s="221" t="s">
        <v>2699</v>
      </c>
    </row>
    <row r="846" spans="1:2">
      <c r="A846" s="220" t="s">
        <v>2700</v>
      </c>
      <c r="B846" s="221" t="s">
        <v>2558</v>
      </c>
    </row>
    <row r="847" spans="1:2">
      <c r="A847" s="220" t="s">
        <v>2701</v>
      </c>
      <c r="B847" s="221" t="s">
        <v>1594</v>
      </c>
    </row>
    <row r="848" spans="1:2">
      <c r="A848" s="220" t="s">
        <v>2702</v>
      </c>
      <c r="B848" s="221" t="s">
        <v>2703</v>
      </c>
    </row>
    <row r="849" spans="1:2">
      <c r="A849" s="220" t="s">
        <v>2704</v>
      </c>
      <c r="B849" s="221" t="s">
        <v>2705</v>
      </c>
    </row>
    <row r="850" spans="1:2">
      <c r="A850" s="220" t="s">
        <v>2706</v>
      </c>
      <c r="B850" s="221" t="s">
        <v>2707</v>
      </c>
    </row>
    <row r="851" spans="1:2">
      <c r="A851" s="220" t="s">
        <v>2708</v>
      </c>
      <c r="B851" s="221" t="s">
        <v>2709</v>
      </c>
    </row>
    <row r="852" spans="1:2">
      <c r="A852" s="220" t="s">
        <v>2710</v>
      </c>
      <c r="B852" s="221" t="s">
        <v>2711</v>
      </c>
    </row>
    <row r="853" spans="1:2">
      <c r="A853" s="220" t="s">
        <v>2712</v>
      </c>
      <c r="B853" s="221" t="s">
        <v>2713</v>
      </c>
    </row>
    <row r="854" spans="1:2">
      <c r="A854" s="220" t="s">
        <v>2714</v>
      </c>
      <c r="B854" s="221" t="s">
        <v>2230</v>
      </c>
    </row>
    <row r="855" spans="1:2">
      <c r="A855" s="220" t="s">
        <v>2715</v>
      </c>
      <c r="B855" s="221" t="s">
        <v>2716</v>
      </c>
    </row>
    <row r="856" spans="1:2">
      <c r="A856" s="220" t="s">
        <v>2717</v>
      </c>
      <c r="B856" s="221" t="s">
        <v>2718</v>
      </c>
    </row>
    <row r="857" spans="1:2">
      <c r="A857" s="220" t="s">
        <v>2719</v>
      </c>
      <c r="B857" s="221" t="s">
        <v>2720</v>
      </c>
    </row>
    <row r="858" spans="1:2">
      <c r="A858" s="220" t="s">
        <v>2721</v>
      </c>
      <c r="B858" s="221" t="s">
        <v>2722</v>
      </c>
    </row>
    <row r="859" spans="1:2">
      <c r="A859" s="220" t="s">
        <v>2723</v>
      </c>
      <c r="B859" s="221" t="s">
        <v>2724</v>
      </c>
    </row>
    <row r="860" spans="1:2">
      <c r="A860" s="220" t="s">
        <v>2725</v>
      </c>
      <c r="B860" s="221" t="s">
        <v>2726</v>
      </c>
    </row>
    <row r="861" spans="1:2">
      <c r="A861" s="220" t="s">
        <v>2727</v>
      </c>
      <c r="B861" s="221" t="s">
        <v>2728</v>
      </c>
    </row>
    <row r="862" spans="1:2">
      <c r="A862" s="220" t="s">
        <v>2729</v>
      </c>
      <c r="B862" s="221" t="s">
        <v>2730</v>
      </c>
    </row>
    <row r="863" spans="1:2">
      <c r="A863" s="220" t="s">
        <v>2731</v>
      </c>
      <c r="B863" s="221" t="s">
        <v>2732</v>
      </c>
    </row>
    <row r="864" spans="1:2">
      <c r="A864" s="220" t="s">
        <v>2733</v>
      </c>
      <c r="B864" s="221" t="s">
        <v>2734</v>
      </c>
    </row>
    <row r="865" spans="1:2">
      <c r="A865" s="220" t="s">
        <v>2735</v>
      </c>
      <c r="B865" s="221" t="s">
        <v>2736</v>
      </c>
    </row>
    <row r="866" spans="1:2">
      <c r="A866" s="220" t="s">
        <v>2737</v>
      </c>
      <c r="B866" s="221" t="s">
        <v>2738</v>
      </c>
    </row>
    <row r="867" spans="1:2">
      <c r="A867" s="220" t="s">
        <v>2739</v>
      </c>
      <c r="B867" s="221" t="s">
        <v>2740</v>
      </c>
    </row>
    <row r="868" spans="1:2">
      <c r="A868" s="220" t="s">
        <v>2741</v>
      </c>
      <c r="B868" s="221" t="s">
        <v>2742</v>
      </c>
    </row>
    <row r="869" spans="1:2">
      <c r="A869" s="220" t="s">
        <v>2743</v>
      </c>
      <c r="B869" s="221" t="s">
        <v>2744</v>
      </c>
    </row>
    <row r="870" spans="1:2">
      <c r="A870" s="220" t="s">
        <v>2745</v>
      </c>
      <c r="B870" s="221" t="s">
        <v>2746</v>
      </c>
    </row>
    <row r="871" spans="1:2">
      <c r="A871" s="220" t="s">
        <v>2747</v>
      </c>
      <c r="B871" s="221" t="s">
        <v>2748</v>
      </c>
    </row>
    <row r="872" spans="1:2">
      <c r="A872" s="220" t="s">
        <v>2749</v>
      </c>
      <c r="B872" s="221" t="s">
        <v>2750</v>
      </c>
    </row>
    <row r="873" spans="1:2">
      <c r="A873" s="220" t="s">
        <v>2751</v>
      </c>
      <c r="B873" s="221" t="s">
        <v>2752</v>
      </c>
    </row>
    <row r="874" spans="1:2">
      <c r="A874" s="220" t="s">
        <v>2753</v>
      </c>
      <c r="B874" s="221" t="s">
        <v>2754</v>
      </c>
    </row>
    <row r="875" spans="1:2">
      <c r="A875" s="220" t="s">
        <v>2755</v>
      </c>
      <c r="B875" s="221" t="s">
        <v>2756</v>
      </c>
    </row>
    <row r="876" spans="1:2">
      <c r="A876" s="220" t="s">
        <v>2757</v>
      </c>
      <c r="B876" s="221" t="s">
        <v>2758</v>
      </c>
    </row>
    <row r="877" spans="1:2">
      <c r="A877" s="220" t="s">
        <v>2759</v>
      </c>
      <c r="B877" s="221" t="s">
        <v>2760</v>
      </c>
    </row>
    <row r="878" spans="1:2">
      <c r="A878" s="220" t="s">
        <v>2761</v>
      </c>
      <c r="B878" s="221" t="s">
        <v>2762</v>
      </c>
    </row>
    <row r="879" spans="1:2">
      <c r="A879" s="220" t="s">
        <v>2763</v>
      </c>
      <c r="B879" s="221" t="s">
        <v>2764</v>
      </c>
    </row>
    <row r="880" spans="1:2">
      <c r="A880" s="220" t="s">
        <v>2765</v>
      </c>
      <c r="B880" s="221" t="s">
        <v>2766</v>
      </c>
    </row>
    <row r="881" spans="1:2">
      <c r="A881" s="220" t="s">
        <v>2767</v>
      </c>
      <c r="B881" s="221" t="s">
        <v>2768</v>
      </c>
    </row>
    <row r="882" spans="1:2">
      <c r="A882" s="220" t="s">
        <v>2769</v>
      </c>
      <c r="B882" s="221" t="s">
        <v>2770</v>
      </c>
    </row>
    <row r="883" spans="1:2">
      <c r="A883" s="220" t="s">
        <v>2771</v>
      </c>
      <c r="B883" s="221" t="s">
        <v>2772</v>
      </c>
    </row>
    <row r="884" spans="1:2">
      <c r="A884" s="220" t="s">
        <v>2773</v>
      </c>
      <c r="B884" s="221" t="s">
        <v>2774</v>
      </c>
    </row>
    <row r="885" spans="1:2">
      <c r="A885" s="220" t="s">
        <v>2775</v>
      </c>
      <c r="B885" s="221" t="s">
        <v>2776</v>
      </c>
    </row>
    <row r="886" spans="1:2">
      <c r="A886" s="220" t="s">
        <v>2777</v>
      </c>
      <c r="B886" s="221" t="s">
        <v>2778</v>
      </c>
    </row>
    <row r="887" spans="1:2">
      <c r="A887" s="220" t="s">
        <v>2779</v>
      </c>
      <c r="B887" s="221" t="s">
        <v>2780</v>
      </c>
    </row>
    <row r="888" spans="1:2">
      <c r="A888" s="220" t="s">
        <v>2781</v>
      </c>
      <c r="B888" s="221" t="s">
        <v>2782</v>
      </c>
    </row>
    <row r="889" spans="1:2">
      <c r="A889" s="220" t="s">
        <v>2783</v>
      </c>
      <c r="B889" s="221" t="s">
        <v>2784</v>
      </c>
    </row>
    <row r="890" spans="1:2">
      <c r="A890" s="220" t="s">
        <v>2785</v>
      </c>
      <c r="B890" s="221" t="s">
        <v>2786</v>
      </c>
    </row>
    <row r="891" spans="1:2">
      <c r="A891" s="220" t="s">
        <v>2787</v>
      </c>
      <c r="B891" s="221" t="s">
        <v>2788</v>
      </c>
    </row>
    <row r="892" spans="1:2">
      <c r="A892" s="220" t="s">
        <v>2789</v>
      </c>
      <c r="B892" s="221" t="s">
        <v>2790</v>
      </c>
    </row>
    <row r="893" spans="1:2">
      <c r="A893" s="220" t="s">
        <v>2791</v>
      </c>
      <c r="B893" s="221" t="s">
        <v>2792</v>
      </c>
    </row>
    <row r="894" spans="1:2">
      <c r="A894" s="220" t="s">
        <v>2793</v>
      </c>
      <c r="B894" s="221" t="s">
        <v>2794</v>
      </c>
    </row>
    <row r="895" spans="1:2">
      <c r="A895" s="220" t="s">
        <v>2795</v>
      </c>
      <c r="B895" s="221" t="s">
        <v>2796</v>
      </c>
    </row>
    <row r="896" spans="1:2">
      <c r="A896" s="220" t="s">
        <v>2797</v>
      </c>
      <c r="B896" s="221" t="s">
        <v>2798</v>
      </c>
    </row>
    <row r="897" spans="1:2">
      <c r="A897" s="220" t="s">
        <v>2799</v>
      </c>
      <c r="B897" s="221" t="s">
        <v>2800</v>
      </c>
    </row>
    <row r="898" spans="1:2">
      <c r="A898" s="220" t="s">
        <v>2801</v>
      </c>
      <c r="B898" s="221" t="s">
        <v>2802</v>
      </c>
    </row>
    <row r="899" spans="1:2">
      <c r="A899" s="220" t="s">
        <v>2803</v>
      </c>
      <c r="B899" s="221" t="s">
        <v>2804</v>
      </c>
    </row>
    <row r="900" spans="1:2">
      <c r="A900" s="220" t="s">
        <v>2805</v>
      </c>
      <c r="B900" s="221" t="s">
        <v>2806</v>
      </c>
    </row>
    <row r="901" spans="1:2">
      <c r="A901" s="220" t="s">
        <v>2807</v>
      </c>
      <c r="B901" s="221" t="s">
        <v>2808</v>
      </c>
    </row>
    <row r="902" spans="1:2">
      <c r="A902" s="220" t="s">
        <v>2809</v>
      </c>
      <c r="B902" s="221" t="s">
        <v>2810</v>
      </c>
    </row>
    <row r="903" spans="1:2">
      <c r="A903" s="220" t="s">
        <v>2811</v>
      </c>
      <c r="B903" s="221" t="s">
        <v>2812</v>
      </c>
    </row>
    <row r="904" spans="1:2">
      <c r="A904" s="220" t="s">
        <v>2813</v>
      </c>
      <c r="B904" s="221" t="s">
        <v>2814</v>
      </c>
    </row>
    <row r="905" spans="1:2">
      <c r="A905" s="220" t="s">
        <v>2815</v>
      </c>
      <c r="B905" s="221" t="s">
        <v>2816</v>
      </c>
    </row>
    <row r="906" spans="1:2">
      <c r="A906" s="220" t="s">
        <v>2817</v>
      </c>
      <c r="B906" s="221" t="s">
        <v>2818</v>
      </c>
    </row>
    <row r="907" spans="1:2">
      <c r="A907" s="220" t="s">
        <v>2819</v>
      </c>
      <c r="B907" s="221" t="s">
        <v>2820</v>
      </c>
    </row>
    <row r="908" spans="1:2">
      <c r="A908" s="220" t="s">
        <v>2821</v>
      </c>
      <c r="B908" s="221" t="s">
        <v>2822</v>
      </c>
    </row>
    <row r="909" spans="1:2">
      <c r="A909" s="220" t="s">
        <v>2823</v>
      </c>
      <c r="B909" s="221" t="s">
        <v>2824</v>
      </c>
    </row>
    <row r="910" spans="1:2">
      <c r="A910" s="220" t="s">
        <v>2825</v>
      </c>
      <c r="B910" s="221" t="s">
        <v>2826</v>
      </c>
    </row>
    <row r="911" spans="1:2">
      <c r="A911" s="220" t="s">
        <v>2827</v>
      </c>
      <c r="B911" s="221" t="s">
        <v>1268</v>
      </c>
    </row>
    <row r="912" spans="1:2">
      <c r="A912" s="220" t="s">
        <v>2828</v>
      </c>
      <c r="B912" s="221" t="s">
        <v>1189</v>
      </c>
    </row>
    <row r="913" spans="1:2">
      <c r="A913" s="220" t="s">
        <v>2829</v>
      </c>
      <c r="B913" s="221" t="s">
        <v>2830</v>
      </c>
    </row>
    <row r="914" spans="1:2">
      <c r="A914" s="220" t="s">
        <v>2831</v>
      </c>
      <c r="B914" s="221" t="s">
        <v>2832</v>
      </c>
    </row>
    <row r="915" spans="1:2">
      <c r="A915" s="220" t="s">
        <v>2833</v>
      </c>
      <c r="B915" s="221" t="s">
        <v>1036</v>
      </c>
    </row>
    <row r="916" spans="1:2">
      <c r="A916" s="220" t="s">
        <v>2834</v>
      </c>
      <c r="B916" s="221" t="s">
        <v>1153</v>
      </c>
    </row>
    <row r="917" spans="1:2">
      <c r="A917" s="220" t="s">
        <v>2835</v>
      </c>
      <c r="B917" s="221" t="s">
        <v>2836</v>
      </c>
    </row>
    <row r="918" spans="1:2">
      <c r="A918" s="220" t="s">
        <v>2837</v>
      </c>
      <c r="B918" s="221" t="s">
        <v>2838</v>
      </c>
    </row>
    <row r="919" spans="1:2">
      <c r="A919" s="218" t="s">
        <v>736</v>
      </c>
      <c r="B919" s="219" t="s">
        <v>737</v>
      </c>
    </row>
    <row r="920" spans="1:2">
      <c r="A920" s="220" t="s">
        <v>2839</v>
      </c>
      <c r="B920" s="221" t="s">
        <v>2840</v>
      </c>
    </row>
    <row r="921" spans="1:2">
      <c r="A921" s="220" t="s">
        <v>2841</v>
      </c>
      <c r="B921" s="221" t="s">
        <v>2842</v>
      </c>
    </row>
    <row r="922" spans="1:2">
      <c r="A922" s="220" t="s">
        <v>2843</v>
      </c>
      <c r="B922" s="221" t="s">
        <v>2844</v>
      </c>
    </row>
    <row r="923" spans="1:2">
      <c r="A923" s="220" t="s">
        <v>2845</v>
      </c>
      <c r="B923" s="221" t="s">
        <v>2846</v>
      </c>
    </row>
    <row r="924" spans="1:2">
      <c r="A924" s="220" t="s">
        <v>2847</v>
      </c>
      <c r="B924" s="221" t="s">
        <v>2848</v>
      </c>
    </row>
    <row r="925" spans="1:2">
      <c r="A925" s="220" t="s">
        <v>2849</v>
      </c>
      <c r="B925" s="221" t="s">
        <v>2850</v>
      </c>
    </row>
    <row r="926" spans="1:2">
      <c r="A926" s="220" t="s">
        <v>2851</v>
      </c>
      <c r="B926" s="221" t="s">
        <v>2685</v>
      </c>
    </row>
    <row r="927" spans="1:2">
      <c r="A927" s="220" t="s">
        <v>2852</v>
      </c>
      <c r="B927" s="221" t="s">
        <v>2853</v>
      </c>
    </row>
    <row r="928" spans="1:2">
      <c r="A928" s="220" t="s">
        <v>2854</v>
      </c>
      <c r="B928" s="221" t="s">
        <v>2855</v>
      </c>
    </row>
    <row r="929" spans="1:2">
      <c r="A929" s="220" t="s">
        <v>2856</v>
      </c>
      <c r="B929" s="221" t="s">
        <v>2857</v>
      </c>
    </row>
    <row r="930" spans="1:2">
      <c r="A930" s="220" t="s">
        <v>2858</v>
      </c>
      <c r="B930" s="221" t="s">
        <v>2859</v>
      </c>
    </row>
    <row r="931" spans="1:2">
      <c r="A931" s="218" t="s">
        <v>761</v>
      </c>
      <c r="B931" s="219" t="s">
        <v>762</v>
      </c>
    </row>
    <row r="932" spans="1:2">
      <c r="A932" s="220" t="s">
        <v>2860</v>
      </c>
      <c r="B932" s="221" t="s">
        <v>2861</v>
      </c>
    </row>
    <row r="933" spans="1:2">
      <c r="A933" s="220" t="s">
        <v>2862</v>
      </c>
      <c r="B933" s="221" t="s">
        <v>2863</v>
      </c>
    </row>
    <row r="934" spans="1:2">
      <c r="A934" s="220" t="s">
        <v>2864</v>
      </c>
      <c r="B934" s="221" t="s">
        <v>2865</v>
      </c>
    </row>
    <row r="935" spans="1:2">
      <c r="A935" s="220" t="s">
        <v>2866</v>
      </c>
      <c r="B935" s="221" t="s">
        <v>2867</v>
      </c>
    </row>
    <row r="936" spans="1:2">
      <c r="A936" s="220" t="s">
        <v>2868</v>
      </c>
      <c r="B936" s="221" t="s">
        <v>2869</v>
      </c>
    </row>
    <row r="937" spans="1:2">
      <c r="A937" s="220" t="s">
        <v>2870</v>
      </c>
      <c r="B937" s="221" t="s">
        <v>2871</v>
      </c>
    </row>
    <row r="938" spans="1:2">
      <c r="A938" s="220" t="s">
        <v>2872</v>
      </c>
      <c r="B938" s="221" t="s">
        <v>2873</v>
      </c>
    </row>
    <row r="939" spans="1:2">
      <c r="A939" s="220" t="s">
        <v>2874</v>
      </c>
      <c r="B939" s="221" t="s">
        <v>2875</v>
      </c>
    </row>
    <row r="940" spans="1:2">
      <c r="A940" s="218" t="s">
        <v>771</v>
      </c>
      <c r="B940" s="219" t="s">
        <v>640</v>
      </c>
    </row>
    <row r="941" spans="1:2">
      <c r="A941" s="220" t="s">
        <v>2876</v>
      </c>
      <c r="B941" s="221" t="s">
        <v>2877</v>
      </c>
    </row>
    <row r="942" spans="1:2">
      <c r="A942" s="220" t="s">
        <v>2878</v>
      </c>
      <c r="B942" s="221" t="s">
        <v>1044</v>
      </c>
    </row>
    <row r="943" spans="1:2">
      <c r="A943" s="220" t="s">
        <v>2879</v>
      </c>
      <c r="B943" s="221" t="s">
        <v>2880</v>
      </c>
    </row>
    <row r="944" spans="1:2">
      <c r="A944" s="220" t="s">
        <v>2881</v>
      </c>
      <c r="B944" s="221" t="s">
        <v>2882</v>
      </c>
    </row>
    <row r="945" spans="1:2">
      <c r="A945" s="220" t="s">
        <v>2883</v>
      </c>
      <c r="B945" s="221" t="s">
        <v>1038</v>
      </c>
    </row>
    <row r="946" spans="1:2">
      <c r="A946" s="220" t="s">
        <v>2884</v>
      </c>
      <c r="B946" s="221" t="s">
        <v>2832</v>
      </c>
    </row>
    <row r="947" spans="1:2">
      <c r="A947" s="220" t="s">
        <v>2885</v>
      </c>
      <c r="B947" s="221" t="s">
        <v>1048</v>
      </c>
    </row>
    <row r="948" spans="1:2">
      <c r="A948" s="218" t="s">
        <v>772</v>
      </c>
      <c r="B948" s="219" t="s">
        <v>773</v>
      </c>
    </row>
    <row r="949" spans="1:2">
      <c r="A949" s="220" t="s">
        <v>2886</v>
      </c>
      <c r="B949" s="221" t="s">
        <v>1068</v>
      </c>
    </row>
    <row r="950" spans="1:2">
      <c r="A950" s="220" t="s">
        <v>2887</v>
      </c>
      <c r="B950" s="221" t="s">
        <v>1070</v>
      </c>
    </row>
    <row r="951" spans="1:2">
      <c r="A951" s="220" t="s">
        <v>1094</v>
      </c>
      <c r="B951" s="221" t="s">
        <v>1072</v>
      </c>
    </row>
    <row r="952" spans="1:2">
      <c r="A952" s="220" t="s">
        <v>2888</v>
      </c>
      <c r="B952" s="221" t="s">
        <v>2889</v>
      </c>
    </row>
    <row r="953" spans="1:2">
      <c r="A953" s="220" t="s">
        <v>2890</v>
      </c>
      <c r="B953" s="221" t="s">
        <v>2891</v>
      </c>
    </row>
    <row r="954" spans="1:2">
      <c r="A954" s="218" t="s">
        <v>3396</v>
      </c>
      <c r="B954" s="219" t="s">
        <v>3397</v>
      </c>
    </row>
    <row r="955" spans="1:2">
      <c r="A955" s="220" t="s">
        <v>2892</v>
      </c>
      <c r="B955" s="221" t="s">
        <v>2893</v>
      </c>
    </row>
    <row r="956" spans="1:2">
      <c r="A956" s="216" t="s">
        <v>3371</v>
      </c>
      <c r="B956" s="217" t="s">
        <v>3372</v>
      </c>
    </row>
    <row r="957" spans="1:2">
      <c r="A957" s="218" t="s">
        <v>787</v>
      </c>
      <c r="B957" s="219" t="s">
        <v>788</v>
      </c>
    </row>
    <row r="958" spans="1:2">
      <c r="A958" s="220" t="s">
        <v>2894</v>
      </c>
      <c r="B958" s="221" t="s">
        <v>2895</v>
      </c>
    </row>
    <row r="959" spans="1:2">
      <c r="A959" s="220" t="s">
        <v>2896</v>
      </c>
      <c r="B959" s="221" t="s">
        <v>2895</v>
      </c>
    </row>
    <row r="960" spans="1:2">
      <c r="A960" s="220" t="s">
        <v>2897</v>
      </c>
      <c r="B960" s="221" t="s">
        <v>2898</v>
      </c>
    </row>
    <row r="961" spans="1:2">
      <c r="A961" s="220" t="s">
        <v>2899</v>
      </c>
      <c r="B961" s="221" t="s">
        <v>2900</v>
      </c>
    </row>
    <row r="962" spans="1:2">
      <c r="A962" s="220" t="s">
        <v>2901</v>
      </c>
      <c r="B962" s="221" t="s">
        <v>2902</v>
      </c>
    </row>
    <row r="963" spans="1:2">
      <c r="A963" s="220" t="s">
        <v>2903</v>
      </c>
      <c r="B963" s="221" t="s">
        <v>2904</v>
      </c>
    </row>
    <row r="964" spans="1:2">
      <c r="A964" s="220" t="s">
        <v>2905</v>
      </c>
      <c r="B964" s="221" t="s">
        <v>2906</v>
      </c>
    </row>
    <row r="965" spans="1:2">
      <c r="A965" s="220" t="s">
        <v>2907</v>
      </c>
      <c r="B965" s="221" t="s">
        <v>2908</v>
      </c>
    </row>
    <row r="966" spans="1:2">
      <c r="A966" s="220" t="s">
        <v>2909</v>
      </c>
      <c r="B966" s="221" t="s">
        <v>2910</v>
      </c>
    </row>
    <row r="967" spans="1:2">
      <c r="A967" s="220" t="s">
        <v>2911</v>
      </c>
      <c r="B967" s="221" t="s">
        <v>2912</v>
      </c>
    </row>
    <row r="968" spans="1:2">
      <c r="A968" s="220" t="s">
        <v>2913</v>
      </c>
      <c r="B968" s="221" t="s">
        <v>2914</v>
      </c>
    </row>
    <row r="969" spans="1:2">
      <c r="A969" s="220" t="s">
        <v>2915</v>
      </c>
      <c r="B969" s="221" t="s">
        <v>2916</v>
      </c>
    </row>
    <row r="970" spans="1:2">
      <c r="A970" s="220" t="s">
        <v>2917</v>
      </c>
      <c r="B970" s="221" t="s">
        <v>2918</v>
      </c>
    </row>
    <row r="971" spans="1:2">
      <c r="A971" s="220" t="s">
        <v>2919</v>
      </c>
      <c r="B971" s="221" t="s">
        <v>2920</v>
      </c>
    </row>
    <row r="972" spans="1:2">
      <c r="A972" s="220" t="s">
        <v>2921</v>
      </c>
      <c r="B972" s="221" t="s">
        <v>2922</v>
      </c>
    </row>
    <row r="973" spans="1:2">
      <c r="A973" s="220" t="s">
        <v>2923</v>
      </c>
      <c r="B973" s="221" t="s">
        <v>2924</v>
      </c>
    </row>
    <row r="974" spans="1:2">
      <c r="A974" s="220" t="s">
        <v>2925</v>
      </c>
      <c r="B974" s="221" t="s">
        <v>2926</v>
      </c>
    </row>
    <row r="975" spans="1:2">
      <c r="A975" s="220" t="s">
        <v>2927</v>
      </c>
      <c r="B975" s="221" t="s">
        <v>2928</v>
      </c>
    </row>
    <row r="976" spans="1:2">
      <c r="A976" s="220" t="s">
        <v>2929</v>
      </c>
      <c r="B976" s="221" t="s">
        <v>2930</v>
      </c>
    </row>
    <row r="977" spans="1:2">
      <c r="A977" s="220" t="s">
        <v>2931</v>
      </c>
      <c r="B977" s="221" t="s">
        <v>2932</v>
      </c>
    </row>
    <row r="978" spans="1:2">
      <c r="A978" s="220" t="s">
        <v>2933</v>
      </c>
      <c r="B978" s="221" t="s">
        <v>2934</v>
      </c>
    </row>
    <row r="979" spans="1:2">
      <c r="A979" s="220" t="s">
        <v>2935</v>
      </c>
      <c r="B979" s="221" t="s">
        <v>2936</v>
      </c>
    </row>
    <row r="980" spans="1:2">
      <c r="A980" s="220" t="s">
        <v>2937</v>
      </c>
      <c r="B980" s="221" t="s">
        <v>2938</v>
      </c>
    </row>
    <row r="981" spans="1:2">
      <c r="A981" s="220" t="s">
        <v>2939</v>
      </c>
      <c r="B981" s="221" t="s">
        <v>2940</v>
      </c>
    </row>
    <row r="982" spans="1:2">
      <c r="A982" s="220" t="s">
        <v>2941</v>
      </c>
      <c r="B982" s="221" t="s">
        <v>2942</v>
      </c>
    </row>
    <row r="983" spans="1:2">
      <c r="A983" s="220" t="s">
        <v>2943</v>
      </c>
      <c r="B983" s="221" t="s">
        <v>2944</v>
      </c>
    </row>
    <row r="984" spans="1:2">
      <c r="A984" s="220" t="s">
        <v>2945</v>
      </c>
      <c r="B984" s="221" t="s">
        <v>2946</v>
      </c>
    </row>
    <row r="985" spans="1:2">
      <c r="A985" s="220" t="s">
        <v>2947</v>
      </c>
      <c r="B985" s="221" t="s">
        <v>2948</v>
      </c>
    </row>
    <row r="986" spans="1:2">
      <c r="A986" s="220" t="s">
        <v>2949</v>
      </c>
      <c r="B986" s="221" t="s">
        <v>2950</v>
      </c>
    </row>
    <row r="987" spans="1:2">
      <c r="A987" s="220" t="s">
        <v>2951</v>
      </c>
      <c r="B987" s="221" t="s">
        <v>2952</v>
      </c>
    </row>
    <row r="988" spans="1:2">
      <c r="A988" s="220" t="s">
        <v>2953</v>
      </c>
      <c r="B988" s="221" t="s">
        <v>2954</v>
      </c>
    </row>
    <row r="989" spans="1:2">
      <c r="A989" s="220" t="s">
        <v>2955</v>
      </c>
      <c r="B989" s="221" t="s">
        <v>2956</v>
      </c>
    </row>
    <row r="990" spans="1:2">
      <c r="A990" s="220" t="s">
        <v>2957</v>
      </c>
      <c r="B990" s="221" t="s">
        <v>2958</v>
      </c>
    </row>
    <row r="991" spans="1:2">
      <c r="A991" s="220" t="s">
        <v>2959</v>
      </c>
      <c r="B991" s="221" t="s">
        <v>2960</v>
      </c>
    </row>
    <row r="992" spans="1:2">
      <c r="A992" s="220" t="s">
        <v>2961</v>
      </c>
      <c r="B992" s="221" t="s">
        <v>2962</v>
      </c>
    </row>
    <row r="993" spans="1:2">
      <c r="A993" s="220" t="s">
        <v>2963</v>
      </c>
      <c r="B993" s="221" t="s">
        <v>2964</v>
      </c>
    </row>
    <row r="994" spans="1:2">
      <c r="A994" s="220" t="s">
        <v>2965</v>
      </c>
      <c r="B994" s="221" t="s">
        <v>2966</v>
      </c>
    </row>
    <row r="995" spans="1:2">
      <c r="A995" s="220" t="s">
        <v>2967</v>
      </c>
      <c r="B995" s="221" t="s">
        <v>2968</v>
      </c>
    </row>
    <row r="996" spans="1:2">
      <c r="A996" s="220" t="s">
        <v>2969</v>
      </c>
      <c r="B996" s="221" t="s">
        <v>2970</v>
      </c>
    </row>
    <row r="997" spans="1:2">
      <c r="A997" s="220" t="s">
        <v>2971</v>
      </c>
      <c r="B997" s="221" t="s">
        <v>2972</v>
      </c>
    </row>
    <row r="998" spans="1:2">
      <c r="A998" s="220" t="s">
        <v>2973</v>
      </c>
      <c r="B998" s="221" t="s">
        <v>2974</v>
      </c>
    </row>
    <row r="999" spans="1:2">
      <c r="A999" s="220" t="s">
        <v>2975</v>
      </c>
      <c r="B999" s="221" t="s">
        <v>2976</v>
      </c>
    </row>
    <row r="1000" spans="1:2">
      <c r="A1000" s="220" t="s">
        <v>2977</v>
      </c>
      <c r="B1000" s="221" t="s">
        <v>2978</v>
      </c>
    </row>
    <row r="1001" spans="1:2">
      <c r="A1001" s="220" t="s">
        <v>2979</v>
      </c>
      <c r="B1001" s="221" t="s">
        <v>2980</v>
      </c>
    </row>
    <row r="1002" spans="1:2">
      <c r="A1002" s="220" t="s">
        <v>2981</v>
      </c>
      <c r="B1002" s="221" t="s">
        <v>2982</v>
      </c>
    </row>
    <row r="1003" spans="1:2">
      <c r="A1003" s="220" t="s">
        <v>2983</v>
      </c>
      <c r="B1003" s="221" t="s">
        <v>2984</v>
      </c>
    </row>
    <row r="1004" spans="1:2">
      <c r="A1004" s="220" t="s">
        <v>2985</v>
      </c>
      <c r="B1004" s="221" t="s">
        <v>2986</v>
      </c>
    </row>
    <row r="1005" spans="1:2">
      <c r="A1005" s="220" t="s">
        <v>2987</v>
      </c>
      <c r="B1005" s="221" t="s">
        <v>2988</v>
      </c>
    </row>
    <row r="1006" spans="1:2">
      <c r="A1006" s="220" t="s">
        <v>2989</v>
      </c>
      <c r="B1006" s="221" t="s">
        <v>2990</v>
      </c>
    </row>
    <row r="1007" spans="1:2">
      <c r="A1007" s="220" t="s">
        <v>2991</v>
      </c>
      <c r="B1007" s="221" t="s">
        <v>2992</v>
      </c>
    </row>
    <row r="1008" spans="1:2">
      <c r="A1008" s="220" t="s">
        <v>2993</v>
      </c>
      <c r="B1008" s="221" t="s">
        <v>2994</v>
      </c>
    </row>
    <row r="1009" spans="1:2">
      <c r="A1009" s="220" t="s">
        <v>2995</v>
      </c>
      <c r="B1009" s="221" t="s">
        <v>2996</v>
      </c>
    </row>
    <row r="1010" spans="1:2">
      <c r="A1010" s="220" t="s">
        <v>2997</v>
      </c>
      <c r="B1010" s="221" t="s">
        <v>2998</v>
      </c>
    </row>
    <row r="1011" spans="1:2">
      <c r="A1011" s="220" t="s">
        <v>2999</v>
      </c>
      <c r="B1011" s="221" t="s">
        <v>3000</v>
      </c>
    </row>
    <row r="1012" spans="1:2">
      <c r="A1012" s="220" t="s">
        <v>3001</v>
      </c>
      <c r="B1012" s="221" t="s">
        <v>3002</v>
      </c>
    </row>
    <row r="1013" spans="1:2">
      <c r="A1013" s="220" t="s">
        <v>3003</v>
      </c>
      <c r="B1013" s="221" t="s">
        <v>3004</v>
      </c>
    </row>
    <row r="1014" spans="1:2">
      <c r="A1014" s="220" t="s">
        <v>3005</v>
      </c>
      <c r="B1014" s="221" t="s">
        <v>3006</v>
      </c>
    </row>
    <row r="1015" spans="1:2">
      <c r="A1015" s="220" t="s">
        <v>3007</v>
      </c>
      <c r="B1015" s="221" t="s">
        <v>3008</v>
      </c>
    </row>
    <row r="1016" spans="1:2">
      <c r="A1016" s="220" t="s">
        <v>3009</v>
      </c>
      <c r="B1016" s="221" t="s">
        <v>3010</v>
      </c>
    </row>
    <row r="1017" spans="1:2">
      <c r="A1017" s="220" t="s">
        <v>3011</v>
      </c>
      <c r="B1017" s="221" t="s">
        <v>3012</v>
      </c>
    </row>
    <row r="1018" spans="1:2">
      <c r="A1018" s="220" t="s">
        <v>3013</v>
      </c>
      <c r="B1018" s="221" t="s">
        <v>3014</v>
      </c>
    </row>
    <row r="1019" spans="1:2">
      <c r="A1019" s="220" t="s">
        <v>3015</v>
      </c>
      <c r="B1019" s="221" t="s">
        <v>3016</v>
      </c>
    </row>
    <row r="1020" spans="1:2">
      <c r="A1020" s="220" t="s">
        <v>3017</v>
      </c>
      <c r="B1020" s="221" t="s">
        <v>3018</v>
      </c>
    </row>
    <row r="1021" spans="1:2">
      <c r="A1021" s="220" t="s">
        <v>3019</v>
      </c>
      <c r="B1021" s="221" t="s">
        <v>3020</v>
      </c>
    </row>
    <row r="1022" spans="1:2">
      <c r="A1022" s="220" t="s">
        <v>3021</v>
      </c>
      <c r="B1022" s="221" t="s">
        <v>3022</v>
      </c>
    </row>
    <row r="1023" spans="1:2">
      <c r="A1023" s="220" t="s">
        <v>3023</v>
      </c>
      <c r="B1023" s="221" t="s">
        <v>3024</v>
      </c>
    </row>
    <row r="1024" spans="1:2">
      <c r="A1024" s="220" t="s">
        <v>3025</v>
      </c>
      <c r="B1024" s="221" t="s">
        <v>3026</v>
      </c>
    </row>
    <row r="1025" spans="1:2">
      <c r="A1025" s="220" t="s">
        <v>3027</v>
      </c>
      <c r="B1025" s="221" t="s">
        <v>3028</v>
      </c>
    </row>
    <row r="1026" spans="1:2">
      <c r="A1026" s="220" t="s">
        <v>3029</v>
      </c>
      <c r="B1026" s="221" t="s">
        <v>3030</v>
      </c>
    </row>
    <row r="1027" spans="1:2">
      <c r="A1027" s="220" t="s">
        <v>3031</v>
      </c>
      <c r="B1027" s="221" t="s">
        <v>3032</v>
      </c>
    </row>
    <row r="1028" spans="1:2">
      <c r="A1028" s="220" t="s">
        <v>3033</v>
      </c>
      <c r="B1028" s="221" t="s">
        <v>3034</v>
      </c>
    </row>
    <row r="1029" spans="1:2">
      <c r="A1029" s="220" t="s">
        <v>3035</v>
      </c>
      <c r="B1029" s="221" t="s">
        <v>3036</v>
      </c>
    </row>
    <row r="1030" spans="1:2">
      <c r="A1030" s="220" t="s">
        <v>3037</v>
      </c>
      <c r="B1030" s="221" t="s">
        <v>3038</v>
      </c>
    </row>
    <row r="1031" spans="1:2">
      <c r="A1031" s="220" t="s">
        <v>3039</v>
      </c>
      <c r="B1031" s="221" t="s">
        <v>3040</v>
      </c>
    </row>
    <row r="1032" spans="1:2">
      <c r="A1032" s="220" t="s">
        <v>3041</v>
      </c>
      <c r="B1032" s="221" t="s">
        <v>3042</v>
      </c>
    </row>
    <row r="1033" spans="1:2">
      <c r="A1033" s="220" t="s">
        <v>3043</v>
      </c>
      <c r="B1033" s="221" t="s">
        <v>3044</v>
      </c>
    </row>
    <row r="1034" spans="1:2">
      <c r="A1034" s="220" t="s">
        <v>3045</v>
      </c>
      <c r="B1034" s="221" t="s">
        <v>3046</v>
      </c>
    </row>
    <row r="1035" spans="1:2">
      <c r="A1035" s="220" t="s">
        <v>3047</v>
      </c>
      <c r="B1035" s="221" t="s">
        <v>3048</v>
      </c>
    </row>
    <row r="1036" spans="1:2">
      <c r="A1036" s="220" t="s">
        <v>3049</v>
      </c>
      <c r="B1036" s="221" t="s">
        <v>3050</v>
      </c>
    </row>
    <row r="1037" spans="1:2">
      <c r="A1037" s="220" t="s">
        <v>3051</v>
      </c>
      <c r="B1037" s="221" t="s">
        <v>2968</v>
      </c>
    </row>
    <row r="1038" spans="1:2">
      <c r="A1038" s="220" t="s">
        <v>3052</v>
      </c>
      <c r="B1038" s="221" t="s">
        <v>3053</v>
      </c>
    </row>
    <row r="1039" spans="1:2">
      <c r="A1039" s="220" t="s">
        <v>3054</v>
      </c>
      <c r="B1039" s="221" t="s">
        <v>3055</v>
      </c>
    </row>
    <row r="1040" spans="1:2">
      <c r="A1040" s="220" t="s">
        <v>3056</v>
      </c>
      <c r="B1040" s="221" t="s">
        <v>3057</v>
      </c>
    </row>
    <row r="1041" spans="1:2">
      <c r="A1041" s="220" t="s">
        <v>3058</v>
      </c>
      <c r="B1041" s="221" t="s">
        <v>3046</v>
      </c>
    </row>
    <row r="1042" spans="1:2">
      <c r="A1042" s="220" t="s">
        <v>3059</v>
      </c>
      <c r="B1042" s="221" t="s">
        <v>3060</v>
      </c>
    </row>
    <row r="1043" spans="1:2">
      <c r="A1043" s="220" t="s">
        <v>3061</v>
      </c>
      <c r="B1043" s="221" t="s">
        <v>3062</v>
      </c>
    </row>
    <row r="1044" spans="1:2">
      <c r="A1044" s="220" t="s">
        <v>3063</v>
      </c>
      <c r="B1044" s="221" t="s">
        <v>3064</v>
      </c>
    </row>
    <row r="1045" spans="1:2">
      <c r="A1045" s="220" t="s">
        <v>3065</v>
      </c>
      <c r="B1045" s="221" t="s">
        <v>3066</v>
      </c>
    </row>
    <row r="1046" spans="1:2">
      <c r="A1046" s="220" t="s">
        <v>3067</v>
      </c>
      <c r="B1046" s="221" t="s">
        <v>3068</v>
      </c>
    </row>
    <row r="1047" spans="1:2">
      <c r="A1047" s="220" t="s">
        <v>3069</v>
      </c>
      <c r="B1047" s="221" t="s">
        <v>3070</v>
      </c>
    </row>
    <row r="1048" spans="1:2">
      <c r="A1048" s="220" t="s">
        <v>3071</v>
      </c>
      <c r="B1048" s="221" t="s">
        <v>3072</v>
      </c>
    </row>
    <row r="1049" spans="1:2">
      <c r="A1049" s="220" t="s">
        <v>3073</v>
      </c>
      <c r="B1049" s="221" t="s">
        <v>3074</v>
      </c>
    </row>
    <row r="1050" spans="1:2">
      <c r="A1050" s="220" t="s">
        <v>3075</v>
      </c>
      <c r="B1050" s="221" t="s">
        <v>3076</v>
      </c>
    </row>
    <row r="1051" spans="1:2">
      <c r="A1051" s="220" t="s">
        <v>3077</v>
      </c>
      <c r="B1051" s="221" t="s">
        <v>3078</v>
      </c>
    </row>
    <row r="1052" spans="1:2">
      <c r="A1052" s="220" t="s">
        <v>3079</v>
      </c>
      <c r="B1052" s="221" t="s">
        <v>3080</v>
      </c>
    </row>
    <row r="1053" spans="1:2">
      <c r="A1053" s="220" t="s">
        <v>3081</v>
      </c>
      <c r="B1053" s="221" t="s">
        <v>3082</v>
      </c>
    </row>
    <row r="1054" spans="1:2">
      <c r="A1054" s="220" t="s">
        <v>3083</v>
      </c>
      <c r="B1054" s="221" t="s">
        <v>3084</v>
      </c>
    </row>
    <row r="1055" spans="1:2">
      <c r="A1055" s="220" t="s">
        <v>3085</v>
      </c>
      <c r="B1055" s="221" t="s">
        <v>3086</v>
      </c>
    </row>
    <row r="1056" spans="1:2">
      <c r="A1056" s="220" t="s">
        <v>3087</v>
      </c>
      <c r="B1056" s="221" t="s">
        <v>3088</v>
      </c>
    </row>
    <row r="1057" spans="1:2">
      <c r="A1057" s="220" t="s">
        <v>3089</v>
      </c>
      <c r="B1057" s="221" t="s">
        <v>3090</v>
      </c>
    </row>
    <row r="1058" spans="1:2">
      <c r="A1058" s="220" t="s">
        <v>3091</v>
      </c>
      <c r="B1058" s="221" t="s">
        <v>3092</v>
      </c>
    </row>
    <row r="1059" spans="1:2">
      <c r="A1059" s="220" t="s">
        <v>3093</v>
      </c>
      <c r="B1059" s="221" t="s">
        <v>2558</v>
      </c>
    </row>
    <row r="1060" spans="1:2">
      <c r="A1060" s="220" t="s">
        <v>3094</v>
      </c>
      <c r="B1060" s="221" t="s">
        <v>3095</v>
      </c>
    </row>
    <row r="1061" spans="1:2">
      <c r="A1061" s="220" t="s">
        <v>3096</v>
      </c>
      <c r="B1061" s="221" t="s">
        <v>3097</v>
      </c>
    </row>
    <row r="1062" spans="1:2">
      <c r="A1062" s="220" t="s">
        <v>3098</v>
      </c>
      <c r="B1062" s="221" t="s">
        <v>3099</v>
      </c>
    </row>
    <row r="1063" spans="1:2">
      <c r="A1063" s="220" t="s">
        <v>3100</v>
      </c>
      <c r="B1063" s="221" t="s">
        <v>3101</v>
      </c>
    </row>
    <row r="1064" spans="1:2">
      <c r="A1064" s="220" t="s">
        <v>3102</v>
      </c>
      <c r="B1064" s="221" t="s">
        <v>3103</v>
      </c>
    </row>
    <row r="1065" spans="1:2">
      <c r="A1065" s="220" t="s">
        <v>3104</v>
      </c>
      <c r="B1065" s="221" t="s">
        <v>1155</v>
      </c>
    </row>
    <row r="1066" spans="1:2">
      <c r="A1066" s="220" t="s">
        <v>3105</v>
      </c>
      <c r="B1066" s="221" t="s">
        <v>3106</v>
      </c>
    </row>
    <row r="1067" spans="1:2">
      <c r="A1067" s="220" t="s">
        <v>3107</v>
      </c>
      <c r="B1067" s="221" t="s">
        <v>3108</v>
      </c>
    </row>
    <row r="1068" spans="1:2">
      <c r="A1068" s="220" t="s">
        <v>3109</v>
      </c>
      <c r="B1068" s="221" t="s">
        <v>3110</v>
      </c>
    </row>
    <row r="1069" spans="1:2">
      <c r="A1069" s="220" t="s">
        <v>3111</v>
      </c>
      <c r="B1069" s="221" t="s">
        <v>3112</v>
      </c>
    </row>
    <row r="1070" spans="1:2">
      <c r="A1070" s="220" t="s">
        <v>3113</v>
      </c>
      <c r="B1070" s="221" t="s">
        <v>3114</v>
      </c>
    </row>
    <row r="1071" spans="1:2">
      <c r="A1071" s="220" t="s">
        <v>3115</v>
      </c>
      <c r="B1071" s="221" t="s">
        <v>3116</v>
      </c>
    </row>
    <row r="1072" spans="1:2">
      <c r="A1072" s="220" t="s">
        <v>3117</v>
      </c>
      <c r="B1072" s="221" t="s">
        <v>3118</v>
      </c>
    </row>
    <row r="1073" spans="1:2">
      <c r="A1073" s="220" t="s">
        <v>3119</v>
      </c>
      <c r="B1073" s="221" t="s">
        <v>3120</v>
      </c>
    </row>
    <row r="1074" spans="1:2">
      <c r="A1074" s="220" t="s">
        <v>3121</v>
      </c>
      <c r="B1074" s="221" t="s">
        <v>3122</v>
      </c>
    </row>
    <row r="1075" spans="1:2">
      <c r="A1075" s="220" t="s">
        <v>3123</v>
      </c>
      <c r="B1075" s="221" t="s">
        <v>2736</v>
      </c>
    </row>
    <row r="1076" spans="1:2">
      <c r="A1076" s="220" t="s">
        <v>3124</v>
      </c>
      <c r="B1076" s="221" t="s">
        <v>3125</v>
      </c>
    </row>
    <row r="1077" spans="1:2">
      <c r="A1077" s="220" t="s">
        <v>3126</v>
      </c>
      <c r="B1077" s="221" t="s">
        <v>3127</v>
      </c>
    </row>
    <row r="1078" spans="1:2">
      <c r="A1078" s="220" t="s">
        <v>3128</v>
      </c>
      <c r="B1078" s="221" t="s">
        <v>3129</v>
      </c>
    </row>
    <row r="1079" spans="1:2">
      <c r="A1079" s="220" t="s">
        <v>3130</v>
      </c>
      <c r="B1079" s="221" t="s">
        <v>3131</v>
      </c>
    </row>
    <row r="1080" spans="1:2">
      <c r="A1080" s="220" t="s">
        <v>3132</v>
      </c>
      <c r="B1080" s="221" t="s">
        <v>3133</v>
      </c>
    </row>
    <row r="1081" spans="1:2">
      <c r="A1081" s="220" t="s">
        <v>3134</v>
      </c>
      <c r="B1081" s="221" t="s">
        <v>3135</v>
      </c>
    </row>
    <row r="1082" spans="1:2">
      <c r="A1082" s="220" t="s">
        <v>3136</v>
      </c>
      <c r="B1082" s="221" t="s">
        <v>1709</v>
      </c>
    </row>
    <row r="1083" spans="1:2">
      <c r="A1083" s="220" t="s">
        <v>3137</v>
      </c>
      <c r="B1083" s="221" t="s">
        <v>3138</v>
      </c>
    </row>
    <row r="1084" spans="1:2">
      <c r="A1084" s="218" t="s">
        <v>793</v>
      </c>
      <c r="B1084" s="219" t="s">
        <v>794</v>
      </c>
    </row>
    <row r="1085" spans="1:2">
      <c r="A1085" s="220" t="s">
        <v>3139</v>
      </c>
      <c r="B1085" s="221" t="s">
        <v>2877</v>
      </c>
    </row>
    <row r="1086" spans="1:2">
      <c r="A1086" s="220" t="s">
        <v>3140</v>
      </c>
      <c r="B1086" s="221" t="s">
        <v>1044</v>
      </c>
    </row>
    <row r="1087" spans="1:2">
      <c r="A1087" s="220" t="s">
        <v>3141</v>
      </c>
      <c r="B1087" s="221" t="s">
        <v>3142</v>
      </c>
    </row>
    <row r="1088" spans="1:2">
      <c r="A1088" s="220" t="s">
        <v>3143</v>
      </c>
      <c r="B1088" s="221" t="s">
        <v>2880</v>
      </c>
    </row>
    <row r="1089" spans="1:2">
      <c r="A1089" s="220" t="s">
        <v>3144</v>
      </c>
      <c r="B1089" s="221" t="s">
        <v>3145</v>
      </c>
    </row>
    <row r="1090" spans="1:2">
      <c r="A1090" s="220" t="s">
        <v>3146</v>
      </c>
      <c r="B1090" s="221" t="s">
        <v>1038</v>
      </c>
    </row>
    <row r="1091" spans="1:2">
      <c r="A1091" s="220" t="s">
        <v>3147</v>
      </c>
      <c r="B1091" s="221" t="s">
        <v>2832</v>
      </c>
    </row>
    <row r="1092" spans="1:2">
      <c r="A1092" s="220" t="s">
        <v>3148</v>
      </c>
      <c r="B1092" s="221" t="s">
        <v>1048</v>
      </c>
    </row>
    <row r="1093" spans="1:2">
      <c r="A1093" s="216" t="s">
        <v>3377</v>
      </c>
      <c r="B1093" s="217" t="s">
        <v>3378</v>
      </c>
    </row>
    <row r="1094" spans="1:2">
      <c r="A1094" s="218" t="s">
        <v>840</v>
      </c>
      <c r="B1094" s="219" t="s">
        <v>841</v>
      </c>
    </row>
    <row r="1095" spans="1:2">
      <c r="A1095" s="220" t="s">
        <v>3149</v>
      </c>
      <c r="B1095" s="221" t="s">
        <v>3150</v>
      </c>
    </row>
    <row r="1096" spans="1:2">
      <c r="A1096" s="220" t="s">
        <v>3151</v>
      </c>
      <c r="B1096" s="221" t="s">
        <v>3152</v>
      </c>
    </row>
    <row r="1097" spans="1:2">
      <c r="A1097" s="218" t="s">
        <v>842</v>
      </c>
      <c r="B1097" s="219" t="s">
        <v>689</v>
      </c>
    </row>
    <row r="1098" spans="1:2">
      <c r="A1098" s="220" t="s">
        <v>3153</v>
      </c>
      <c r="B1098" s="221" t="s">
        <v>3154</v>
      </c>
    </row>
    <row r="1099" spans="1:2">
      <c r="A1099" s="220" t="s">
        <v>3155</v>
      </c>
      <c r="B1099" s="221" t="s">
        <v>1113</v>
      </c>
    </row>
    <row r="1100" spans="1:2">
      <c r="A1100" s="220" t="s">
        <v>3156</v>
      </c>
      <c r="B1100" s="221" t="s">
        <v>3152</v>
      </c>
    </row>
    <row r="1101" spans="1:2">
      <c r="A1101" s="216" t="s">
        <v>3381</v>
      </c>
      <c r="B1101" s="217" t="s">
        <v>3382</v>
      </c>
    </row>
    <row r="1102" spans="1:2">
      <c r="A1102" s="218" t="s">
        <v>857</v>
      </c>
      <c r="B1102" s="219" t="s">
        <v>858</v>
      </c>
    </row>
    <row r="1103" spans="1:2">
      <c r="A1103" s="220" t="s">
        <v>3157</v>
      </c>
      <c r="B1103" s="221" t="s">
        <v>3158</v>
      </c>
    </row>
    <row r="1104" spans="1:2">
      <c r="A1104" s="220" t="s">
        <v>3159</v>
      </c>
      <c r="B1104" s="221" t="s">
        <v>3160</v>
      </c>
    </row>
    <row r="1105" spans="1:2">
      <c r="A1105" s="216" t="s">
        <v>3391</v>
      </c>
      <c r="B1105" s="217" t="s">
        <v>3392</v>
      </c>
    </row>
    <row r="1106" spans="1:2">
      <c r="A1106" s="218" t="s">
        <v>1006</v>
      </c>
      <c r="B1106" s="219" t="s">
        <v>773</v>
      </c>
    </row>
    <row r="1107" spans="1:2">
      <c r="A1107" s="220" t="s">
        <v>3161</v>
      </c>
      <c r="B1107" s="221" t="s">
        <v>3162</v>
      </c>
    </row>
    <row r="1108" spans="1:2">
      <c r="A1108" s="220" t="s">
        <v>3163</v>
      </c>
      <c r="B1108" s="221" t="s">
        <v>3164</v>
      </c>
    </row>
    <row r="1109" spans="1:2">
      <c r="A1109" s="220" t="s">
        <v>3165</v>
      </c>
      <c r="B1109" s="221" t="s">
        <v>3166</v>
      </c>
    </row>
    <row r="1110" spans="1:2">
      <c r="A1110" s="220" t="s">
        <v>3167</v>
      </c>
      <c r="B1110" s="221" t="s">
        <v>3168</v>
      </c>
    </row>
    <row r="1111" spans="1:2">
      <c r="A1111" s="220" t="s">
        <v>3169</v>
      </c>
      <c r="B1111" s="221" t="s">
        <v>3170</v>
      </c>
    </row>
    <row r="1112" spans="1:2">
      <c r="A1112" s="220" t="s">
        <v>3171</v>
      </c>
      <c r="B1112" s="221" t="s">
        <v>3172</v>
      </c>
    </row>
    <row r="1113" spans="1:2">
      <c r="A1113" s="216" t="s">
        <v>3393</v>
      </c>
      <c r="B1113" s="217" t="s">
        <v>3394</v>
      </c>
    </row>
    <row r="1114" spans="1:2">
      <c r="A1114" s="218" t="s">
        <v>1021</v>
      </c>
      <c r="B1114" s="219" t="s">
        <v>773</v>
      </c>
    </row>
    <row r="1115" spans="1:2">
      <c r="A1115" s="220" t="s">
        <v>3173</v>
      </c>
      <c r="B1115" s="221" t="s">
        <v>1091</v>
      </c>
    </row>
    <row r="1116" spans="1:2">
      <c r="A1116" s="220" t="s">
        <v>3174</v>
      </c>
      <c r="B1116" s="221" t="s">
        <v>1093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A3945-41A2-4757-A1A9-8B37D64AC27C}">
  <sheetPr codeName="Sheet13"/>
  <dimension ref="A1:F120"/>
  <sheetViews>
    <sheetView workbookViewId="0">
      <selection sqref="A1:XFD1048576"/>
    </sheetView>
  </sheetViews>
  <sheetFormatPr defaultRowHeight="14.4"/>
  <cols>
    <col min="1" max="1" width="11.33203125" bestFit="1" customWidth="1"/>
    <col min="2" max="2" width="91.109375" customWidth="1"/>
    <col min="3" max="3" width="20.44140625" style="227" bestFit="1" customWidth="1"/>
    <col min="4" max="5" width="23.6640625" style="228" customWidth="1"/>
    <col min="6" max="6" width="11.6640625" style="225" customWidth="1"/>
  </cols>
  <sheetData>
    <row r="1" spans="1:6" ht="20.399999999999999" thickBot="1">
      <c r="A1" s="222" t="s">
        <v>118</v>
      </c>
      <c r="B1" s="222" t="s">
        <v>3234</v>
      </c>
      <c r="C1" s="223" t="s">
        <v>3398</v>
      </c>
      <c r="D1" s="222"/>
      <c r="E1" s="222"/>
      <c r="F1" s="224" t="s">
        <v>3399</v>
      </c>
    </row>
    <row r="2" spans="1:6" ht="15" thickTop="1">
      <c r="B2" s="72" t="s">
        <v>124</v>
      </c>
      <c r="C2" s="72">
        <v>11</v>
      </c>
      <c r="D2" s="72" t="s">
        <v>123</v>
      </c>
      <c r="E2" s="72">
        <v>671</v>
      </c>
      <c r="F2" s="72" t="s">
        <v>115</v>
      </c>
    </row>
    <row r="3" spans="1:6">
      <c r="B3" s="72" t="s">
        <v>124</v>
      </c>
      <c r="C3" s="72">
        <v>12</v>
      </c>
      <c r="D3" s="72" t="s">
        <v>125</v>
      </c>
      <c r="E3" s="72">
        <v>671</v>
      </c>
      <c r="F3" s="72" t="s">
        <v>117</v>
      </c>
    </row>
    <row r="4" spans="1:6">
      <c r="B4" s="72" t="s">
        <v>127</v>
      </c>
      <c r="C4" s="72">
        <v>41</v>
      </c>
      <c r="D4" s="72" t="s">
        <v>128</v>
      </c>
      <c r="E4" s="72">
        <v>614</v>
      </c>
      <c r="F4" s="72">
        <v>614810041</v>
      </c>
    </row>
    <row r="5" spans="1:6">
      <c r="B5" s="72" t="s">
        <v>129</v>
      </c>
      <c r="C5" s="72">
        <v>41</v>
      </c>
      <c r="D5" s="72" t="s">
        <v>128</v>
      </c>
      <c r="E5" s="72">
        <v>614</v>
      </c>
      <c r="F5" s="72">
        <v>614820041</v>
      </c>
    </row>
    <row r="6" spans="1:6">
      <c r="B6" s="72" t="s">
        <v>131</v>
      </c>
      <c r="C6" s="72">
        <v>41</v>
      </c>
      <c r="D6" s="72" t="s">
        <v>128</v>
      </c>
      <c r="E6" s="72">
        <v>614</v>
      </c>
      <c r="F6" s="72">
        <v>614830041</v>
      </c>
    </row>
    <row r="7" spans="1:6">
      <c r="B7" s="72" t="s">
        <v>133</v>
      </c>
      <c r="C7" s="72">
        <v>41</v>
      </c>
      <c r="D7" s="72" t="s">
        <v>128</v>
      </c>
      <c r="E7" s="72">
        <v>614</v>
      </c>
      <c r="F7" s="72">
        <v>614840041</v>
      </c>
    </row>
    <row r="8" spans="1:6">
      <c r="B8" s="72" t="s">
        <v>135</v>
      </c>
      <c r="C8" s="72">
        <v>52</v>
      </c>
      <c r="D8" s="72" t="s">
        <v>136</v>
      </c>
      <c r="E8" s="72">
        <v>631</v>
      </c>
      <c r="F8" s="72">
        <v>631110000</v>
      </c>
    </row>
    <row r="9" spans="1:6">
      <c r="B9" s="72" t="s">
        <v>138</v>
      </c>
      <c r="C9" s="72">
        <v>52</v>
      </c>
      <c r="D9" s="72" t="s">
        <v>136</v>
      </c>
      <c r="E9" s="72">
        <v>631</v>
      </c>
      <c r="F9" s="72">
        <v>631120000</v>
      </c>
    </row>
    <row r="10" spans="1:6">
      <c r="B10" s="72" t="s">
        <v>140</v>
      </c>
      <c r="C10" s="72">
        <v>52</v>
      </c>
      <c r="D10" s="72" t="s">
        <v>136</v>
      </c>
      <c r="E10" s="72">
        <v>631</v>
      </c>
      <c r="F10" s="72">
        <v>631210000</v>
      </c>
    </row>
    <row r="11" spans="1:6" s="87" customFormat="1">
      <c r="B11" s="72" t="s">
        <v>142</v>
      </c>
      <c r="C11" s="72">
        <v>52</v>
      </c>
      <c r="D11" s="72" t="s">
        <v>136</v>
      </c>
      <c r="E11" s="72">
        <v>631</v>
      </c>
      <c r="F11" s="72">
        <v>631220000</v>
      </c>
    </row>
    <row r="12" spans="1:6" s="87" customFormat="1">
      <c r="B12" s="72" t="s">
        <v>144</v>
      </c>
      <c r="C12" s="72">
        <v>52</v>
      </c>
      <c r="D12" s="72" t="s">
        <v>136</v>
      </c>
      <c r="E12" s="72">
        <v>632</v>
      </c>
      <c r="F12" s="72">
        <v>632112000</v>
      </c>
    </row>
    <row r="13" spans="1:6" s="87" customFormat="1">
      <c r="B13" s="72" t="s">
        <v>147</v>
      </c>
      <c r="C13" s="72">
        <v>52</v>
      </c>
      <c r="D13" s="72" t="s">
        <v>136</v>
      </c>
      <c r="E13" s="72">
        <v>632</v>
      </c>
      <c r="F13" s="72">
        <v>632212000</v>
      </c>
    </row>
    <row r="14" spans="1:6" s="87" customFormat="1">
      <c r="B14" s="72" t="s">
        <v>150</v>
      </c>
      <c r="C14" s="72">
        <v>552</v>
      </c>
      <c r="D14" s="72" t="s">
        <v>137</v>
      </c>
      <c r="E14" s="72">
        <v>632</v>
      </c>
      <c r="F14" s="72">
        <v>632310552</v>
      </c>
    </row>
    <row r="15" spans="1:6" s="87" customFormat="1">
      <c r="B15" s="72" t="s">
        <v>152</v>
      </c>
      <c r="C15" s="72">
        <v>559</v>
      </c>
      <c r="D15" s="72" t="s">
        <v>139</v>
      </c>
      <c r="E15" s="72">
        <v>632</v>
      </c>
      <c r="F15" s="72">
        <v>632310559</v>
      </c>
    </row>
    <row r="16" spans="1:6" s="87" customFormat="1">
      <c r="B16" s="72" t="s">
        <v>141</v>
      </c>
      <c r="C16" s="72">
        <v>561</v>
      </c>
      <c r="D16" s="72" t="s">
        <v>141</v>
      </c>
      <c r="E16" s="72">
        <v>632</v>
      </c>
      <c r="F16" s="72">
        <v>632310561</v>
      </c>
    </row>
    <row r="17" spans="2:6" s="87" customFormat="1">
      <c r="B17" s="72" t="s">
        <v>156</v>
      </c>
      <c r="C17" s="72">
        <v>563</v>
      </c>
      <c r="D17" s="72" t="s">
        <v>143</v>
      </c>
      <c r="E17" s="72">
        <v>632</v>
      </c>
      <c r="F17" s="72">
        <v>632310563</v>
      </c>
    </row>
    <row r="18" spans="2:6" s="87" customFormat="1">
      <c r="B18" s="72" t="s">
        <v>158</v>
      </c>
      <c r="C18" s="72">
        <v>573</v>
      </c>
      <c r="D18" s="72" t="s">
        <v>146</v>
      </c>
      <c r="E18" s="72">
        <v>632</v>
      </c>
      <c r="F18" s="72">
        <v>632310573</v>
      </c>
    </row>
    <row r="19" spans="2:6" s="87" customFormat="1">
      <c r="B19" s="72" t="s">
        <v>160</v>
      </c>
      <c r="C19" s="72">
        <v>575</v>
      </c>
      <c r="D19" s="72" t="s">
        <v>149</v>
      </c>
      <c r="E19" s="72">
        <v>632</v>
      </c>
      <c r="F19" s="72">
        <v>632310575</v>
      </c>
    </row>
    <row r="20" spans="2:6" s="87" customFormat="1">
      <c r="B20" s="76" t="s">
        <v>162</v>
      </c>
      <c r="C20" s="76">
        <v>5761</v>
      </c>
      <c r="D20" s="76" t="s">
        <v>163</v>
      </c>
      <c r="E20" s="76">
        <v>632</v>
      </c>
      <c r="F20" s="76">
        <v>632315761</v>
      </c>
    </row>
    <row r="21" spans="2:6" s="87" customFormat="1">
      <c r="B21" s="76" t="s">
        <v>165</v>
      </c>
      <c r="C21" s="76">
        <v>5762</v>
      </c>
      <c r="D21" s="76" t="s">
        <v>163</v>
      </c>
      <c r="E21" s="76">
        <v>632</v>
      </c>
      <c r="F21" s="76">
        <v>632315762</v>
      </c>
    </row>
    <row r="22" spans="2:6" s="87" customFormat="1">
      <c r="B22" s="72" t="s">
        <v>166</v>
      </c>
      <c r="C22" s="72">
        <v>581</v>
      </c>
      <c r="D22" s="72" t="s">
        <v>155</v>
      </c>
      <c r="E22" s="72">
        <v>632</v>
      </c>
      <c r="F22" s="72">
        <v>632310581</v>
      </c>
    </row>
    <row r="23" spans="2:6" s="87" customFormat="1">
      <c r="B23" s="72" t="s">
        <v>167</v>
      </c>
      <c r="C23" s="72">
        <v>51</v>
      </c>
      <c r="D23" s="72" t="s">
        <v>168</v>
      </c>
      <c r="E23" s="72">
        <v>632</v>
      </c>
      <c r="F23" s="72">
        <v>632311700</v>
      </c>
    </row>
    <row r="24" spans="2:6" s="87" customFormat="1">
      <c r="B24" s="72" t="s">
        <v>169</v>
      </c>
      <c r="C24" s="72">
        <v>51</v>
      </c>
      <c r="D24" s="72" t="s">
        <v>168</v>
      </c>
      <c r="E24" s="72">
        <v>632</v>
      </c>
      <c r="F24" s="72">
        <v>632311800</v>
      </c>
    </row>
    <row r="25" spans="2:6" s="87" customFormat="1">
      <c r="B25" s="72" t="s">
        <v>170</v>
      </c>
      <c r="C25" s="72">
        <v>552</v>
      </c>
      <c r="D25" s="72" t="s">
        <v>137</v>
      </c>
      <c r="E25" s="72">
        <v>632</v>
      </c>
      <c r="F25" s="72">
        <v>632410552</v>
      </c>
    </row>
    <row r="26" spans="2:6" s="87" customFormat="1">
      <c r="B26" s="72" t="s">
        <v>171</v>
      </c>
      <c r="C26" s="72">
        <v>559</v>
      </c>
      <c r="D26" s="72" t="s">
        <v>139</v>
      </c>
      <c r="E26" s="72">
        <v>632</v>
      </c>
      <c r="F26" s="72">
        <v>632410559</v>
      </c>
    </row>
    <row r="27" spans="2:6" s="87" customFormat="1">
      <c r="B27" s="72" t="s">
        <v>141</v>
      </c>
      <c r="C27" s="72">
        <v>561</v>
      </c>
      <c r="D27" s="72" t="s">
        <v>141</v>
      </c>
      <c r="E27" s="72">
        <v>632</v>
      </c>
      <c r="F27" s="72">
        <v>632410561</v>
      </c>
    </row>
    <row r="28" spans="2:6" s="87" customFormat="1">
      <c r="B28" s="72" t="s">
        <v>156</v>
      </c>
      <c r="C28" s="72">
        <v>563</v>
      </c>
      <c r="D28" s="72" t="s">
        <v>143</v>
      </c>
      <c r="E28" s="72">
        <v>632</v>
      </c>
      <c r="F28" s="72">
        <v>632410563</v>
      </c>
    </row>
    <row r="29" spans="2:6" s="87" customFormat="1">
      <c r="B29" s="72" t="s">
        <v>172</v>
      </c>
      <c r="C29" s="72">
        <v>573</v>
      </c>
      <c r="D29" s="72" t="s">
        <v>146</v>
      </c>
      <c r="E29" s="72">
        <v>632</v>
      </c>
      <c r="F29" s="72">
        <v>632410573</v>
      </c>
    </row>
    <row r="30" spans="2:6">
      <c r="B30" s="72" t="s">
        <v>173</v>
      </c>
      <c r="C30" s="72">
        <v>575</v>
      </c>
      <c r="D30" s="72" t="s">
        <v>149</v>
      </c>
      <c r="E30" s="72">
        <v>632</v>
      </c>
      <c r="F30" s="72">
        <v>632410575</v>
      </c>
    </row>
    <row r="31" spans="2:6">
      <c r="B31" s="76" t="s">
        <v>174</v>
      </c>
      <c r="C31" s="76">
        <v>5761</v>
      </c>
      <c r="D31" s="76" t="s">
        <v>163</v>
      </c>
      <c r="E31" s="76">
        <v>632</v>
      </c>
      <c r="F31" s="76">
        <v>632415761</v>
      </c>
    </row>
    <row r="32" spans="2:6">
      <c r="B32" s="76" t="s">
        <v>175</v>
      </c>
      <c r="C32" s="76">
        <v>5762</v>
      </c>
      <c r="D32" s="76" t="s">
        <v>163</v>
      </c>
      <c r="E32" s="76">
        <v>632</v>
      </c>
      <c r="F32" s="76">
        <v>632415762</v>
      </c>
    </row>
    <row r="33" spans="2:6">
      <c r="B33" s="72" t="s">
        <v>176</v>
      </c>
      <c r="C33" s="72">
        <v>581</v>
      </c>
      <c r="D33" s="72" t="s">
        <v>155</v>
      </c>
      <c r="E33" s="72">
        <v>632</v>
      </c>
      <c r="F33" s="72">
        <v>632410581</v>
      </c>
    </row>
    <row r="34" spans="2:6">
      <c r="B34" s="72" t="s">
        <v>177</v>
      </c>
      <c r="C34" s="72">
        <v>51</v>
      </c>
      <c r="D34" s="72" t="s">
        <v>168</v>
      </c>
      <c r="E34" s="72">
        <v>632</v>
      </c>
      <c r="F34" s="72">
        <v>632411700</v>
      </c>
    </row>
    <row r="35" spans="2:6">
      <c r="B35" s="72" t="s">
        <v>178</v>
      </c>
      <c r="C35" s="72">
        <v>52</v>
      </c>
      <c r="D35" s="72" t="s">
        <v>136</v>
      </c>
      <c r="E35" s="72">
        <v>634</v>
      </c>
      <c r="F35" s="72">
        <v>6341</v>
      </c>
    </row>
    <row r="36" spans="2:6">
      <c r="B36" s="72" t="s">
        <v>179</v>
      </c>
      <c r="C36" s="72">
        <v>52</v>
      </c>
      <c r="D36" s="72" t="s">
        <v>136</v>
      </c>
      <c r="E36" s="72">
        <v>634</v>
      </c>
      <c r="F36" s="72">
        <v>6342</v>
      </c>
    </row>
    <row r="37" spans="2:6">
      <c r="B37" s="72" t="s">
        <v>180</v>
      </c>
      <c r="C37" s="72">
        <v>52</v>
      </c>
      <c r="D37" s="72" t="s">
        <v>136</v>
      </c>
      <c r="E37" s="72">
        <v>636</v>
      </c>
      <c r="F37" s="72">
        <v>6361</v>
      </c>
    </row>
    <row r="38" spans="2:6">
      <c r="B38" s="72" t="s">
        <v>181</v>
      </c>
      <c r="C38" s="72">
        <v>52</v>
      </c>
      <c r="D38" s="72" t="s">
        <v>136</v>
      </c>
      <c r="E38" s="72">
        <v>636</v>
      </c>
      <c r="F38" s="72">
        <v>6362</v>
      </c>
    </row>
    <row r="39" spans="2:6">
      <c r="B39" s="72" t="s">
        <v>182</v>
      </c>
      <c r="C39" s="72">
        <v>52</v>
      </c>
      <c r="D39" s="72" t="s">
        <v>136</v>
      </c>
      <c r="E39" s="72">
        <v>638</v>
      </c>
      <c r="F39" s="72">
        <v>6381</v>
      </c>
    </row>
    <row r="40" spans="2:6">
      <c r="B40" s="72" t="s">
        <v>183</v>
      </c>
      <c r="C40" s="72">
        <v>52</v>
      </c>
      <c r="D40" s="72" t="s">
        <v>136</v>
      </c>
      <c r="E40" s="72">
        <v>638</v>
      </c>
      <c r="F40" s="72">
        <v>6382</v>
      </c>
    </row>
    <row r="41" spans="2:6">
      <c r="B41" s="72" t="s">
        <v>184</v>
      </c>
      <c r="C41" s="72">
        <v>52</v>
      </c>
      <c r="D41" s="72" t="s">
        <v>136</v>
      </c>
      <c r="E41" s="72">
        <v>639</v>
      </c>
      <c r="F41" s="72">
        <v>6391</v>
      </c>
    </row>
    <row r="42" spans="2:6">
      <c r="B42" s="72" t="s">
        <v>185</v>
      </c>
      <c r="C42" s="72">
        <v>52</v>
      </c>
      <c r="D42" s="72" t="s">
        <v>136</v>
      </c>
      <c r="E42" s="72">
        <v>639</v>
      </c>
      <c r="F42" s="72">
        <v>6392</v>
      </c>
    </row>
    <row r="43" spans="2:6">
      <c r="B43" s="72" t="s">
        <v>186</v>
      </c>
      <c r="C43" s="72">
        <v>52</v>
      </c>
      <c r="D43" s="72" t="s">
        <v>136</v>
      </c>
      <c r="E43" s="72">
        <v>639</v>
      </c>
      <c r="F43" s="72">
        <v>6393</v>
      </c>
    </row>
    <row r="44" spans="2:6">
      <c r="B44" s="72" t="s">
        <v>187</v>
      </c>
      <c r="C44" s="72">
        <v>52</v>
      </c>
      <c r="D44" s="72" t="s">
        <v>136</v>
      </c>
      <c r="E44" s="72">
        <v>639</v>
      </c>
      <c r="F44" s="72">
        <v>6394</v>
      </c>
    </row>
    <row r="45" spans="2:6">
      <c r="B45" s="72" t="s">
        <v>188</v>
      </c>
      <c r="C45" s="72">
        <v>31</v>
      </c>
      <c r="D45" s="72" t="s">
        <v>126</v>
      </c>
      <c r="E45" s="72">
        <v>641</v>
      </c>
      <c r="F45" s="72">
        <v>641290031</v>
      </c>
    </row>
    <row r="46" spans="2:6">
      <c r="B46" s="72" t="s">
        <v>189</v>
      </c>
      <c r="C46" s="72">
        <v>31</v>
      </c>
      <c r="D46" s="72" t="s">
        <v>126</v>
      </c>
      <c r="E46" s="72">
        <v>641</v>
      </c>
      <c r="F46" s="72">
        <v>641310031</v>
      </c>
    </row>
    <row r="47" spans="2:6">
      <c r="B47" s="72" t="s">
        <v>190</v>
      </c>
      <c r="C47" s="72">
        <v>31</v>
      </c>
      <c r="D47" s="72" t="s">
        <v>126</v>
      </c>
      <c r="E47" s="72">
        <v>641</v>
      </c>
      <c r="F47" s="72">
        <v>641320031</v>
      </c>
    </row>
    <row r="48" spans="2:6">
      <c r="B48" s="72" t="s">
        <v>191</v>
      </c>
      <c r="C48" s="72">
        <v>43</v>
      </c>
      <c r="D48" s="72" t="s">
        <v>130</v>
      </c>
      <c r="E48" s="72">
        <v>641</v>
      </c>
      <c r="F48" s="72">
        <v>641320043</v>
      </c>
    </row>
    <row r="49" spans="2:6">
      <c r="B49" s="72" t="s">
        <v>192</v>
      </c>
      <c r="C49" s="72">
        <v>31</v>
      </c>
      <c r="D49" s="72" t="s">
        <v>126</v>
      </c>
      <c r="E49" s="72">
        <v>641</v>
      </c>
      <c r="F49" s="72">
        <v>641510031</v>
      </c>
    </row>
    <row r="50" spans="2:6">
      <c r="B50" s="72" t="s">
        <v>193</v>
      </c>
      <c r="C50" s="72">
        <v>43</v>
      </c>
      <c r="D50" s="72" t="s">
        <v>130</v>
      </c>
      <c r="E50" s="72">
        <v>641</v>
      </c>
      <c r="F50" s="72">
        <v>641510043</v>
      </c>
    </row>
    <row r="51" spans="2:6">
      <c r="B51" s="72" t="s">
        <v>194</v>
      </c>
      <c r="C51" s="72">
        <v>31</v>
      </c>
      <c r="D51" s="72" t="s">
        <v>126</v>
      </c>
      <c r="E51" s="72">
        <v>641</v>
      </c>
      <c r="F51" s="72">
        <v>641630031</v>
      </c>
    </row>
    <row r="52" spans="2:6">
      <c r="B52" s="72" t="s">
        <v>195</v>
      </c>
      <c r="C52" s="72">
        <v>43</v>
      </c>
      <c r="D52" s="72" t="s">
        <v>130</v>
      </c>
      <c r="E52" s="72">
        <v>641</v>
      </c>
      <c r="F52" s="72">
        <v>641720043</v>
      </c>
    </row>
    <row r="53" spans="2:6">
      <c r="B53" s="72" t="s">
        <v>196</v>
      </c>
      <c r="C53" s="72">
        <v>41</v>
      </c>
      <c r="D53" s="72" t="s">
        <v>128</v>
      </c>
      <c r="E53" s="72">
        <v>641</v>
      </c>
      <c r="F53" s="72">
        <v>641770041</v>
      </c>
    </row>
    <row r="54" spans="2:6">
      <c r="B54" s="72" t="s">
        <v>197</v>
      </c>
      <c r="C54" s="72">
        <v>43</v>
      </c>
      <c r="D54" s="72" t="s">
        <v>130</v>
      </c>
      <c r="E54" s="72">
        <v>641</v>
      </c>
      <c r="F54" s="72">
        <v>641990043</v>
      </c>
    </row>
    <row r="55" spans="2:6">
      <c r="B55" s="72" t="s">
        <v>198</v>
      </c>
      <c r="C55" s="72">
        <v>31</v>
      </c>
      <c r="D55" s="72" t="s">
        <v>126</v>
      </c>
      <c r="E55" s="72">
        <v>642</v>
      </c>
      <c r="F55" s="72">
        <v>642510031</v>
      </c>
    </row>
    <row r="56" spans="2:6">
      <c r="B56" s="72" t="s">
        <v>199</v>
      </c>
      <c r="C56" s="72">
        <v>31</v>
      </c>
      <c r="D56" s="72" t="s">
        <v>126</v>
      </c>
      <c r="E56" s="72">
        <v>642</v>
      </c>
      <c r="F56" s="72">
        <v>642990031</v>
      </c>
    </row>
    <row r="57" spans="2:6">
      <c r="B57" s="72" t="s">
        <v>200</v>
      </c>
      <c r="C57" s="72">
        <v>43</v>
      </c>
      <c r="D57" s="72" t="s">
        <v>130</v>
      </c>
      <c r="E57" s="72">
        <v>651</v>
      </c>
      <c r="F57" s="72">
        <v>65148</v>
      </c>
    </row>
    <row r="58" spans="2:6">
      <c r="B58" s="72" t="s">
        <v>201</v>
      </c>
      <c r="C58" s="72">
        <v>43</v>
      </c>
      <c r="D58" s="72" t="s">
        <v>130</v>
      </c>
      <c r="E58" s="72">
        <v>652</v>
      </c>
      <c r="F58" s="72">
        <v>65218</v>
      </c>
    </row>
    <row r="59" spans="2:6">
      <c r="B59" s="72" t="s">
        <v>202</v>
      </c>
      <c r="C59" s="72">
        <v>43</v>
      </c>
      <c r="D59" s="72" t="s">
        <v>130</v>
      </c>
      <c r="E59" s="72">
        <v>652</v>
      </c>
      <c r="F59" s="72">
        <v>65264</v>
      </c>
    </row>
    <row r="60" spans="2:6">
      <c r="B60" s="72" t="s">
        <v>203</v>
      </c>
      <c r="C60" s="72">
        <v>43</v>
      </c>
      <c r="D60" s="72" t="s">
        <v>130</v>
      </c>
      <c r="E60" s="72">
        <v>652</v>
      </c>
      <c r="F60" s="72">
        <v>652670043</v>
      </c>
    </row>
    <row r="61" spans="2:6">
      <c r="B61" s="72" t="s">
        <v>204</v>
      </c>
      <c r="C61" s="72">
        <v>71</v>
      </c>
      <c r="D61" s="72" t="s">
        <v>161</v>
      </c>
      <c r="E61" s="72">
        <v>652</v>
      </c>
      <c r="F61" s="72">
        <v>652670071</v>
      </c>
    </row>
    <row r="62" spans="2:6">
      <c r="B62" s="72" t="s">
        <v>205</v>
      </c>
      <c r="C62" s="72">
        <v>43</v>
      </c>
      <c r="D62" s="72" t="s">
        <v>130</v>
      </c>
      <c r="E62" s="72">
        <v>652</v>
      </c>
      <c r="F62" s="72">
        <v>65268</v>
      </c>
    </row>
    <row r="63" spans="2:6">
      <c r="B63" s="72" t="s">
        <v>206</v>
      </c>
      <c r="C63" s="72">
        <v>31</v>
      </c>
      <c r="D63" s="72" t="s">
        <v>126</v>
      </c>
      <c r="E63" s="72">
        <v>661</v>
      </c>
      <c r="F63" s="72">
        <v>6614</v>
      </c>
    </row>
    <row r="64" spans="2:6">
      <c r="B64" s="72" t="s">
        <v>207</v>
      </c>
      <c r="C64" s="72">
        <v>31</v>
      </c>
      <c r="D64" s="72" t="s">
        <v>126</v>
      </c>
      <c r="E64" s="72">
        <v>661</v>
      </c>
      <c r="F64" s="72">
        <v>6615</v>
      </c>
    </row>
    <row r="65" spans="2:6">
      <c r="B65" s="72" t="s">
        <v>208</v>
      </c>
      <c r="C65" s="72">
        <v>61</v>
      </c>
      <c r="D65" s="72" t="s">
        <v>209</v>
      </c>
      <c r="E65" s="72">
        <v>663</v>
      </c>
      <c r="F65" s="72">
        <v>663110000</v>
      </c>
    </row>
    <row r="66" spans="2:6">
      <c r="B66" s="72" t="s">
        <v>210</v>
      </c>
      <c r="C66" s="72">
        <v>61</v>
      </c>
      <c r="D66" s="72" t="s">
        <v>209</v>
      </c>
      <c r="E66" s="72">
        <v>663</v>
      </c>
      <c r="F66" s="72">
        <v>663120000</v>
      </c>
    </row>
    <row r="67" spans="2:6">
      <c r="B67" s="72" t="s">
        <v>211</v>
      </c>
      <c r="C67" s="72">
        <v>61</v>
      </c>
      <c r="D67" s="72" t="s">
        <v>209</v>
      </c>
      <c r="E67" s="72">
        <v>663</v>
      </c>
      <c r="F67" s="72">
        <v>663130000</v>
      </c>
    </row>
    <row r="68" spans="2:6">
      <c r="B68" s="72" t="s">
        <v>212</v>
      </c>
      <c r="C68" s="72">
        <v>61</v>
      </c>
      <c r="D68" s="72" t="s">
        <v>209</v>
      </c>
      <c r="E68" s="72">
        <v>663</v>
      </c>
      <c r="F68" s="72">
        <v>663140000</v>
      </c>
    </row>
    <row r="69" spans="2:6">
      <c r="B69" s="72" t="s">
        <v>213</v>
      </c>
      <c r="C69" s="72">
        <v>61</v>
      </c>
      <c r="D69" s="72" t="s">
        <v>209</v>
      </c>
      <c r="E69" s="72">
        <v>663</v>
      </c>
      <c r="F69" s="72">
        <v>663210000</v>
      </c>
    </row>
    <row r="70" spans="2:6">
      <c r="B70" s="72" t="s">
        <v>214</v>
      </c>
      <c r="C70" s="72">
        <v>61</v>
      </c>
      <c r="D70" s="72" t="s">
        <v>209</v>
      </c>
      <c r="E70" s="72">
        <v>663</v>
      </c>
      <c r="F70" s="72">
        <v>663220000</v>
      </c>
    </row>
    <row r="71" spans="2:6">
      <c r="B71" s="72" t="s">
        <v>215</v>
      </c>
      <c r="C71" s="72">
        <v>61</v>
      </c>
      <c r="D71" s="72" t="s">
        <v>209</v>
      </c>
      <c r="E71" s="72">
        <v>663</v>
      </c>
      <c r="F71" s="72">
        <v>663230000</v>
      </c>
    </row>
    <row r="72" spans="2:6">
      <c r="B72" s="72" t="s">
        <v>216</v>
      </c>
      <c r="C72" s="72">
        <v>61</v>
      </c>
      <c r="D72" s="72" t="s">
        <v>209</v>
      </c>
      <c r="E72" s="72">
        <v>663</v>
      </c>
      <c r="F72" s="72">
        <v>663240000</v>
      </c>
    </row>
    <row r="73" spans="2:6">
      <c r="B73" s="72" t="s">
        <v>217</v>
      </c>
      <c r="C73" s="72">
        <v>43</v>
      </c>
      <c r="D73" s="72" t="s">
        <v>130</v>
      </c>
      <c r="E73" s="72">
        <v>681</v>
      </c>
      <c r="F73" s="72">
        <v>681910043</v>
      </c>
    </row>
    <row r="74" spans="2:6">
      <c r="B74" s="72" t="s">
        <v>218</v>
      </c>
      <c r="C74" s="72">
        <v>31</v>
      </c>
      <c r="D74" s="72" t="s">
        <v>126</v>
      </c>
      <c r="E74" s="72">
        <v>683</v>
      </c>
      <c r="F74" s="72">
        <v>683110031</v>
      </c>
    </row>
    <row r="75" spans="2:6">
      <c r="B75" s="72" t="s">
        <v>219</v>
      </c>
      <c r="C75" s="72">
        <v>43</v>
      </c>
      <c r="D75" s="72" t="s">
        <v>130</v>
      </c>
      <c r="E75" s="72">
        <v>683</v>
      </c>
      <c r="F75" s="72">
        <v>683110043</v>
      </c>
    </row>
    <row r="76" spans="2:6">
      <c r="B76" s="72" t="s">
        <v>220</v>
      </c>
      <c r="C76" s="72">
        <v>71</v>
      </c>
      <c r="D76" s="72" t="s">
        <v>221</v>
      </c>
      <c r="E76" s="72">
        <v>711</v>
      </c>
      <c r="F76" s="72">
        <v>711110071</v>
      </c>
    </row>
    <row r="77" spans="2:6">
      <c r="B77" s="72" t="s">
        <v>222</v>
      </c>
      <c r="C77" s="72">
        <v>71</v>
      </c>
      <c r="D77" s="72" t="s">
        <v>221</v>
      </c>
      <c r="E77" s="72">
        <v>711</v>
      </c>
      <c r="F77" s="72">
        <v>711120071</v>
      </c>
    </row>
    <row r="78" spans="2:6">
      <c r="B78" s="72" t="s">
        <v>223</v>
      </c>
      <c r="C78" s="72">
        <v>71</v>
      </c>
      <c r="D78" s="72" t="s">
        <v>221</v>
      </c>
      <c r="E78" s="72">
        <v>712</v>
      </c>
      <c r="F78" s="72">
        <v>712410071</v>
      </c>
    </row>
    <row r="79" spans="2:6">
      <c r="B79" s="72" t="s">
        <v>224</v>
      </c>
      <c r="C79" s="72">
        <v>71</v>
      </c>
      <c r="D79" s="72" t="s">
        <v>221</v>
      </c>
      <c r="E79" s="72">
        <v>712</v>
      </c>
      <c r="F79" s="72">
        <v>712490071</v>
      </c>
    </row>
    <row r="80" spans="2:6">
      <c r="B80" s="72" t="s">
        <v>225</v>
      </c>
      <c r="C80" s="72">
        <v>71</v>
      </c>
      <c r="D80" s="72" t="s">
        <v>221</v>
      </c>
      <c r="E80" s="72">
        <v>721</v>
      </c>
      <c r="F80" s="72">
        <v>721110071</v>
      </c>
    </row>
    <row r="81" spans="2:6">
      <c r="B81" s="72" t="s">
        <v>226</v>
      </c>
      <c r="C81" s="72">
        <v>71</v>
      </c>
      <c r="D81" s="72" t="s">
        <v>221</v>
      </c>
      <c r="E81" s="72">
        <v>721</v>
      </c>
      <c r="F81" s="72">
        <v>721190071</v>
      </c>
    </row>
    <row r="82" spans="2:6">
      <c r="B82" s="72" t="s">
        <v>227</v>
      </c>
      <c r="C82" s="72">
        <v>71</v>
      </c>
      <c r="D82" s="72" t="s">
        <v>221</v>
      </c>
      <c r="E82" s="72">
        <v>721</v>
      </c>
      <c r="F82" s="72">
        <v>721230071</v>
      </c>
    </row>
    <row r="83" spans="2:6">
      <c r="B83" s="72" t="s">
        <v>228</v>
      </c>
      <c r="C83" s="72">
        <v>71</v>
      </c>
      <c r="D83" s="72" t="s">
        <v>221</v>
      </c>
      <c r="E83" s="72">
        <v>721</v>
      </c>
      <c r="F83" s="72">
        <v>721290071</v>
      </c>
    </row>
    <row r="84" spans="2:6">
      <c r="B84" s="72" t="s">
        <v>229</v>
      </c>
      <c r="C84" s="72">
        <v>71</v>
      </c>
      <c r="D84" s="72" t="s">
        <v>221</v>
      </c>
      <c r="E84" s="72">
        <v>722</v>
      </c>
      <c r="F84" s="72">
        <v>722110071</v>
      </c>
    </row>
    <row r="85" spans="2:6">
      <c r="B85" s="72" t="s">
        <v>230</v>
      </c>
      <c r="C85" s="72">
        <v>71</v>
      </c>
      <c r="D85" s="72" t="s">
        <v>221</v>
      </c>
      <c r="E85" s="72">
        <v>722</v>
      </c>
      <c r="F85" s="72">
        <v>722120071</v>
      </c>
    </row>
    <row r="86" spans="2:6">
      <c r="B86" s="72" t="s">
        <v>231</v>
      </c>
      <c r="C86" s="72">
        <v>71</v>
      </c>
      <c r="D86" s="72" t="s">
        <v>221</v>
      </c>
      <c r="E86" s="72">
        <v>722</v>
      </c>
      <c r="F86" s="72">
        <v>722190071</v>
      </c>
    </row>
    <row r="87" spans="2:6">
      <c r="B87" s="72" t="s">
        <v>232</v>
      </c>
      <c r="C87" s="72">
        <v>71</v>
      </c>
      <c r="D87" s="72" t="s">
        <v>221</v>
      </c>
      <c r="E87" s="72">
        <v>722</v>
      </c>
      <c r="F87" s="72">
        <v>722620071</v>
      </c>
    </row>
    <row r="88" spans="2:6">
      <c r="B88" s="72" t="s">
        <v>233</v>
      </c>
      <c r="C88" s="72">
        <v>71</v>
      </c>
      <c r="D88" s="72" t="s">
        <v>161</v>
      </c>
      <c r="E88" s="72">
        <v>722</v>
      </c>
      <c r="F88" s="72">
        <v>722720071</v>
      </c>
    </row>
    <row r="89" spans="2:6">
      <c r="B89" s="72" t="s">
        <v>234</v>
      </c>
      <c r="C89" s="72">
        <v>71</v>
      </c>
      <c r="D89" s="72" t="s">
        <v>221</v>
      </c>
      <c r="E89" s="72">
        <v>722</v>
      </c>
      <c r="F89" s="72">
        <v>722730071</v>
      </c>
    </row>
    <row r="90" spans="2:6">
      <c r="B90" s="72" t="s">
        <v>235</v>
      </c>
      <c r="C90" s="72">
        <v>71</v>
      </c>
      <c r="D90" s="72" t="s">
        <v>221</v>
      </c>
      <c r="E90" s="72">
        <v>723</v>
      </c>
      <c r="F90" s="72">
        <v>723110071</v>
      </c>
    </row>
    <row r="91" spans="2:6">
      <c r="B91" s="72" t="s">
        <v>236</v>
      </c>
      <c r="C91" s="72">
        <v>71</v>
      </c>
      <c r="D91" s="72" t="s">
        <v>221</v>
      </c>
      <c r="E91" s="72">
        <v>723</v>
      </c>
      <c r="F91" s="72">
        <v>723130071</v>
      </c>
    </row>
    <row r="92" spans="2:6">
      <c r="B92" s="72" t="s">
        <v>237</v>
      </c>
      <c r="C92" s="72">
        <v>71</v>
      </c>
      <c r="D92" s="72" t="s">
        <v>221</v>
      </c>
      <c r="E92" s="72">
        <v>723</v>
      </c>
      <c r="F92" s="72">
        <v>723140071</v>
      </c>
    </row>
    <row r="93" spans="2:6">
      <c r="B93" s="72" t="s">
        <v>238</v>
      </c>
      <c r="C93" s="72">
        <v>71</v>
      </c>
      <c r="D93" s="72" t="s">
        <v>221</v>
      </c>
      <c r="E93" s="72">
        <v>723</v>
      </c>
      <c r="F93" s="72">
        <v>723150071</v>
      </c>
    </row>
    <row r="94" spans="2:6">
      <c r="B94" s="72" t="s">
        <v>239</v>
      </c>
      <c r="C94" s="72">
        <v>71</v>
      </c>
      <c r="D94" s="72" t="s">
        <v>221</v>
      </c>
      <c r="E94" s="72">
        <v>723</v>
      </c>
      <c r="F94" s="72">
        <v>723160071</v>
      </c>
    </row>
    <row r="95" spans="2:6">
      <c r="B95" s="72" t="s">
        <v>240</v>
      </c>
      <c r="C95" s="72">
        <v>71</v>
      </c>
      <c r="D95" s="72" t="s">
        <v>161</v>
      </c>
      <c r="E95" s="72">
        <v>723</v>
      </c>
      <c r="F95" s="72">
        <v>723190071</v>
      </c>
    </row>
    <row r="96" spans="2:6">
      <c r="B96" s="72" t="s">
        <v>241</v>
      </c>
      <c r="C96" s="72">
        <v>71</v>
      </c>
      <c r="D96" s="72" t="s">
        <v>221</v>
      </c>
      <c r="E96" s="72">
        <v>723</v>
      </c>
      <c r="F96" s="72">
        <v>723310071</v>
      </c>
    </row>
    <row r="97" spans="1:6">
      <c r="B97" s="72" t="s">
        <v>242</v>
      </c>
      <c r="C97" s="72">
        <v>71</v>
      </c>
      <c r="D97" s="72" t="s">
        <v>221</v>
      </c>
      <c r="E97" s="72">
        <v>725</v>
      </c>
      <c r="F97" s="72">
        <v>725210071</v>
      </c>
    </row>
    <row r="98" spans="1:6">
      <c r="B98" s="72" t="s">
        <v>243</v>
      </c>
      <c r="C98" s="72">
        <v>43</v>
      </c>
      <c r="D98" s="72" t="s">
        <v>130</v>
      </c>
      <c r="E98" s="72">
        <v>818</v>
      </c>
      <c r="F98" s="72">
        <v>818110043</v>
      </c>
    </row>
    <row r="99" spans="1:6">
      <c r="B99" s="72" t="s">
        <v>244</v>
      </c>
      <c r="C99" s="72">
        <v>43</v>
      </c>
      <c r="D99" s="72" t="s">
        <v>130</v>
      </c>
      <c r="E99" s="72">
        <v>818</v>
      </c>
      <c r="F99" s="72">
        <v>818120043</v>
      </c>
    </row>
    <row r="100" spans="1:6">
      <c r="B100" s="72" t="s">
        <v>245</v>
      </c>
      <c r="C100" s="72">
        <v>43</v>
      </c>
      <c r="D100" s="72" t="s">
        <v>130</v>
      </c>
      <c r="E100" s="72">
        <v>832</v>
      </c>
      <c r="F100" s="72">
        <v>832120043</v>
      </c>
    </row>
    <row r="101" spans="1:6">
      <c r="B101" s="72" t="s">
        <v>246</v>
      </c>
      <c r="C101" s="72">
        <v>43</v>
      </c>
      <c r="D101" s="72" t="s">
        <v>130</v>
      </c>
      <c r="E101" s="72">
        <v>833</v>
      </c>
      <c r="F101" s="72">
        <v>833130043</v>
      </c>
    </row>
    <row r="102" spans="1:6">
      <c r="A102" s="225"/>
      <c r="B102" s="72" t="s">
        <v>247</v>
      </c>
      <c r="C102" s="72">
        <v>81</v>
      </c>
      <c r="D102" s="72" t="s">
        <v>248</v>
      </c>
      <c r="E102" s="72">
        <v>841</v>
      </c>
      <c r="F102" s="72">
        <v>841320000</v>
      </c>
    </row>
    <row r="103" spans="1:6">
      <c r="B103" s="72" t="s">
        <v>250</v>
      </c>
      <c r="C103" s="72">
        <v>81</v>
      </c>
      <c r="D103" s="72" t="s">
        <v>248</v>
      </c>
      <c r="E103" s="72">
        <v>842</v>
      </c>
      <c r="F103" s="72">
        <v>842220081</v>
      </c>
    </row>
    <row r="104" spans="1:6">
      <c r="B104" s="76" t="s">
        <v>249</v>
      </c>
      <c r="C104" s="76">
        <v>81</v>
      </c>
      <c r="D104" s="76" t="s">
        <v>248</v>
      </c>
      <c r="E104" s="76">
        <v>841</v>
      </c>
      <c r="F104" s="76">
        <v>841320150</v>
      </c>
    </row>
    <row r="106" spans="1:6">
      <c r="A106" s="226"/>
    </row>
    <row r="107" spans="1:6">
      <c r="A107" s="226"/>
    </row>
    <row r="108" spans="1:6">
      <c r="A108" s="226"/>
      <c r="B108" s="226"/>
      <c r="C108" s="226"/>
      <c r="D108" s="226"/>
      <c r="E108" s="226"/>
      <c r="F108" s="226"/>
    </row>
    <row r="109" spans="1:6">
      <c r="A109" s="226"/>
      <c r="B109" s="226"/>
      <c r="C109" s="226"/>
      <c r="D109" s="226"/>
      <c r="E109" s="226"/>
      <c r="F109" s="226"/>
    </row>
    <row r="110" spans="1:6">
      <c r="A110" s="226"/>
      <c r="B110" s="226"/>
      <c r="C110" s="226"/>
      <c r="D110" s="226"/>
      <c r="E110" s="226"/>
      <c r="F110" s="226"/>
    </row>
    <row r="111" spans="1:6">
      <c r="A111" s="226"/>
      <c r="B111" s="226"/>
      <c r="C111" s="226"/>
      <c r="D111" s="226"/>
      <c r="E111" s="226"/>
      <c r="F111" s="226"/>
    </row>
    <row r="112" spans="1:6">
      <c r="A112" s="226"/>
      <c r="B112" s="226"/>
      <c r="C112" s="226"/>
      <c r="D112" s="226"/>
      <c r="E112" s="226"/>
      <c r="F112" s="226"/>
    </row>
    <row r="113" spans="1:6">
      <c r="A113" s="226"/>
      <c r="B113" s="226"/>
      <c r="C113" s="226"/>
      <c r="D113" s="226"/>
      <c r="E113" s="226"/>
      <c r="F113" s="226"/>
    </row>
    <row r="114" spans="1:6">
      <c r="A114" s="226"/>
      <c r="B114" s="226"/>
      <c r="C114" s="226"/>
      <c r="D114" s="226"/>
      <c r="E114" s="226"/>
      <c r="F114" s="226"/>
    </row>
    <row r="115" spans="1:6">
      <c r="A115" s="226"/>
      <c r="B115" s="226"/>
      <c r="C115" s="226"/>
      <c r="D115" s="226"/>
      <c r="E115" s="226"/>
      <c r="F115" s="226"/>
    </row>
    <row r="116" spans="1:6">
      <c r="A116" s="226"/>
      <c r="B116" s="226"/>
      <c r="C116" s="226"/>
      <c r="D116" s="226"/>
      <c r="E116" s="226"/>
      <c r="F116" s="226"/>
    </row>
    <row r="117" spans="1:6">
      <c r="A117" s="226"/>
      <c r="B117" s="226"/>
      <c r="C117" s="226"/>
      <c r="D117" s="226"/>
      <c r="E117" s="226"/>
      <c r="F117" s="226"/>
    </row>
    <row r="118" spans="1:6">
      <c r="A118" s="226"/>
      <c r="B118" s="226"/>
      <c r="C118" s="226"/>
      <c r="D118" s="226"/>
      <c r="E118" s="226"/>
      <c r="F118" s="226"/>
    </row>
    <row r="119" spans="1:6">
      <c r="B119" s="226"/>
      <c r="C119" s="226"/>
      <c r="D119" s="226"/>
      <c r="E119" s="226"/>
      <c r="F119" s="226"/>
    </row>
    <row r="120" spans="1:6">
      <c r="B120" s="226"/>
      <c r="C120" s="226"/>
      <c r="D120" s="226"/>
      <c r="E120" s="226"/>
      <c r="F120" s="22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13E44-B5A9-4590-83EC-4305B34B89B5}">
  <dimension ref="A1:J713"/>
  <sheetViews>
    <sheetView topLeftCell="A598" workbookViewId="0">
      <selection sqref="A1:XFD1048576"/>
    </sheetView>
  </sheetViews>
  <sheetFormatPr defaultColWidth="9.109375" defaultRowHeight="13.2"/>
  <cols>
    <col min="1" max="1" width="4.5546875" style="280" customWidth="1"/>
    <col min="2" max="2" width="6.88671875" style="280" customWidth="1"/>
    <col min="3" max="4" width="81.6640625" style="281" customWidth="1"/>
    <col min="5" max="5" width="37.109375" style="281" customWidth="1"/>
    <col min="6" max="6" width="24.6640625" style="282" customWidth="1"/>
    <col min="7" max="7" width="11.6640625" style="281" customWidth="1"/>
    <col min="8" max="8" width="12" style="285" bestFit="1" customWidth="1"/>
    <col min="9" max="9" width="21.6640625" style="229" customWidth="1"/>
    <col min="10" max="257" width="9.109375" style="229"/>
    <col min="258" max="258" width="4.5546875" style="229" customWidth="1"/>
    <col min="259" max="259" width="6.88671875" style="229" customWidth="1"/>
    <col min="260" max="260" width="81.6640625" style="229" customWidth="1"/>
    <col min="261" max="261" width="37.109375" style="229" customWidth="1"/>
    <col min="262" max="262" width="24.6640625" style="229" customWidth="1"/>
    <col min="263" max="263" width="11.6640625" style="229" customWidth="1"/>
    <col min="264" max="264" width="12" style="229" bestFit="1" customWidth="1"/>
    <col min="265" max="265" width="21.6640625" style="229" customWidth="1"/>
    <col min="266" max="513" width="9.109375" style="229"/>
    <col min="514" max="514" width="4.5546875" style="229" customWidth="1"/>
    <col min="515" max="515" width="6.88671875" style="229" customWidth="1"/>
    <col min="516" max="516" width="81.6640625" style="229" customWidth="1"/>
    <col min="517" max="517" width="37.109375" style="229" customWidth="1"/>
    <col min="518" max="518" width="24.6640625" style="229" customWidth="1"/>
    <col min="519" max="519" width="11.6640625" style="229" customWidth="1"/>
    <col min="520" max="520" width="12" style="229" bestFit="1" customWidth="1"/>
    <col min="521" max="521" width="21.6640625" style="229" customWidth="1"/>
    <col min="522" max="769" width="9.109375" style="229"/>
    <col min="770" max="770" width="4.5546875" style="229" customWidth="1"/>
    <col min="771" max="771" width="6.88671875" style="229" customWidth="1"/>
    <col min="772" max="772" width="81.6640625" style="229" customWidth="1"/>
    <col min="773" max="773" width="37.109375" style="229" customWidth="1"/>
    <col min="774" max="774" width="24.6640625" style="229" customWidth="1"/>
    <col min="775" max="775" width="11.6640625" style="229" customWidth="1"/>
    <col min="776" max="776" width="12" style="229" bestFit="1" customWidth="1"/>
    <col min="777" max="777" width="21.6640625" style="229" customWidth="1"/>
    <col min="778" max="1025" width="9.109375" style="229"/>
    <col min="1026" max="1026" width="4.5546875" style="229" customWidth="1"/>
    <col min="1027" max="1027" width="6.88671875" style="229" customWidth="1"/>
    <col min="1028" max="1028" width="81.6640625" style="229" customWidth="1"/>
    <col min="1029" max="1029" width="37.109375" style="229" customWidth="1"/>
    <col min="1030" max="1030" width="24.6640625" style="229" customWidth="1"/>
    <col min="1031" max="1031" width="11.6640625" style="229" customWidth="1"/>
    <col min="1032" max="1032" width="12" style="229" bestFit="1" customWidth="1"/>
    <col min="1033" max="1033" width="21.6640625" style="229" customWidth="1"/>
    <col min="1034" max="1281" width="9.109375" style="229"/>
    <col min="1282" max="1282" width="4.5546875" style="229" customWidth="1"/>
    <col min="1283" max="1283" width="6.88671875" style="229" customWidth="1"/>
    <col min="1284" max="1284" width="81.6640625" style="229" customWidth="1"/>
    <col min="1285" max="1285" width="37.109375" style="229" customWidth="1"/>
    <col min="1286" max="1286" width="24.6640625" style="229" customWidth="1"/>
    <col min="1287" max="1287" width="11.6640625" style="229" customWidth="1"/>
    <col min="1288" max="1288" width="12" style="229" bestFit="1" customWidth="1"/>
    <col min="1289" max="1289" width="21.6640625" style="229" customWidth="1"/>
    <col min="1290" max="1537" width="9.109375" style="229"/>
    <col min="1538" max="1538" width="4.5546875" style="229" customWidth="1"/>
    <col min="1539" max="1539" width="6.88671875" style="229" customWidth="1"/>
    <col min="1540" max="1540" width="81.6640625" style="229" customWidth="1"/>
    <col min="1541" max="1541" width="37.109375" style="229" customWidth="1"/>
    <col min="1542" max="1542" width="24.6640625" style="229" customWidth="1"/>
    <col min="1543" max="1543" width="11.6640625" style="229" customWidth="1"/>
    <col min="1544" max="1544" width="12" style="229" bestFit="1" customWidth="1"/>
    <col min="1545" max="1545" width="21.6640625" style="229" customWidth="1"/>
    <col min="1546" max="1793" width="9.109375" style="229"/>
    <col min="1794" max="1794" width="4.5546875" style="229" customWidth="1"/>
    <col min="1795" max="1795" width="6.88671875" style="229" customWidth="1"/>
    <col min="1796" max="1796" width="81.6640625" style="229" customWidth="1"/>
    <col min="1797" max="1797" width="37.109375" style="229" customWidth="1"/>
    <col min="1798" max="1798" width="24.6640625" style="229" customWidth="1"/>
    <col min="1799" max="1799" width="11.6640625" style="229" customWidth="1"/>
    <col min="1800" max="1800" width="12" style="229" bestFit="1" customWidth="1"/>
    <col min="1801" max="1801" width="21.6640625" style="229" customWidth="1"/>
    <col min="1802" max="2049" width="9.109375" style="229"/>
    <col min="2050" max="2050" width="4.5546875" style="229" customWidth="1"/>
    <col min="2051" max="2051" width="6.88671875" style="229" customWidth="1"/>
    <col min="2052" max="2052" width="81.6640625" style="229" customWidth="1"/>
    <col min="2053" max="2053" width="37.109375" style="229" customWidth="1"/>
    <col min="2054" max="2054" width="24.6640625" style="229" customWidth="1"/>
    <col min="2055" max="2055" width="11.6640625" style="229" customWidth="1"/>
    <col min="2056" max="2056" width="12" style="229" bestFit="1" customWidth="1"/>
    <col min="2057" max="2057" width="21.6640625" style="229" customWidth="1"/>
    <col min="2058" max="2305" width="9.109375" style="229"/>
    <col min="2306" max="2306" width="4.5546875" style="229" customWidth="1"/>
    <col min="2307" max="2307" width="6.88671875" style="229" customWidth="1"/>
    <col min="2308" max="2308" width="81.6640625" style="229" customWidth="1"/>
    <col min="2309" max="2309" width="37.109375" style="229" customWidth="1"/>
    <col min="2310" max="2310" width="24.6640625" style="229" customWidth="1"/>
    <col min="2311" max="2311" width="11.6640625" style="229" customWidth="1"/>
    <col min="2312" max="2312" width="12" style="229" bestFit="1" customWidth="1"/>
    <col min="2313" max="2313" width="21.6640625" style="229" customWidth="1"/>
    <col min="2314" max="2561" width="9.109375" style="229"/>
    <col min="2562" max="2562" width="4.5546875" style="229" customWidth="1"/>
    <col min="2563" max="2563" width="6.88671875" style="229" customWidth="1"/>
    <col min="2564" max="2564" width="81.6640625" style="229" customWidth="1"/>
    <col min="2565" max="2565" width="37.109375" style="229" customWidth="1"/>
    <col min="2566" max="2566" width="24.6640625" style="229" customWidth="1"/>
    <col min="2567" max="2567" width="11.6640625" style="229" customWidth="1"/>
    <col min="2568" max="2568" width="12" style="229" bestFit="1" customWidth="1"/>
    <col min="2569" max="2569" width="21.6640625" style="229" customWidth="1"/>
    <col min="2570" max="2817" width="9.109375" style="229"/>
    <col min="2818" max="2818" width="4.5546875" style="229" customWidth="1"/>
    <col min="2819" max="2819" width="6.88671875" style="229" customWidth="1"/>
    <col min="2820" max="2820" width="81.6640625" style="229" customWidth="1"/>
    <col min="2821" max="2821" width="37.109375" style="229" customWidth="1"/>
    <col min="2822" max="2822" width="24.6640625" style="229" customWidth="1"/>
    <col min="2823" max="2823" width="11.6640625" style="229" customWidth="1"/>
    <col min="2824" max="2824" width="12" style="229" bestFit="1" customWidth="1"/>
    <col min="2825" max="2825" width="21.6640625" style="229" customWidth="1"/>
    <col min="2826" max="3073" width="9.109375" style="229"/>
    <col min="3074" max="3074" width="4.5546875" style="229" customWidth="1"/>
    <col min="3075" max="3075" width="6.88671875" style="229" customWidth="1"/>
    <col min="3076" max="3076" width="81.6640625" style="229" customWidth="1"/>
    <col min="3077" max="3077" width="37.109375" style="229" customWidth="1"/>
    <col min="3078" max="3078" width="24.6640625" style="229" customWidth="1"/>
    <col min="3079" max="3079" width="11.6640625" style="229" customWidth="1"/>
    <col min="3080" max="3080" width="12" style="229" bestFit="1" customWidth="1"/>
    <col min="3081" max="3081" width="21.6640625" style="229" customWidth="1"/>
    <col min="3082" max="3329" width="9.109375" style="229"/>
    <col min="3330" max="3330" width="4.5546875" style="229" customWidth="1"/>
    <col min="3331" max="3331" width="6.88671875" style="229" customWidth="1"/>
    <col min="3332" max="3332" width="81.6640625" style="229" customWidth="1"/>
    <col min="3333" max="3333" width="37.109375" style="229" customWidth="1"/>
    <col min="3334" max="3334" width="24.6640625" style="229" customWidth="1"/>
    <col min="3335" max="3335" width="11.6640625" style="229" customWidth="1"/>
    <col min="3336" max="3336" width="12" style="229" bestFit="1" customWidth="1"/>
    <col min="3337" max="3337" width="21.6640625" style="229" customWidth="1"/>
    <col min="3338" max="3585" width="9.109375" style="229"/>
    <col min="3586" max="3586" width="4.5546875" style="229" customWidth="1"/>
    <col min="3587" max="3587" width="6.88671875" style="229" customWidth="1"/>
    <col min="3588" max="3588" width="81.6640625" style="229" customWidth="1"/>
    <col min="3589" max="3589" width="37.109375" style="229" customWidth="1"/>
    <col min="3590" max="3590" width="24.6640625" style="229" customWidth="1"/>
    <col min="3591" max="3591" width="11.6640625" style="229" customWidth="1"/>
    <col min="3592" max="3592" width="12" style="229" bestFit="1" customWidth="1"/>
    <col min="3593" max="3593" width="21.6640625" style="229" customWidth="1"/>
    <col min="3594" max="3841" width="9.109375" style="229"/>
    <col min="3842" max="3842" width="4.5546875" style="229" customWidth="1"/>
    <col min="3843" max="3843" width="6.88671875" style="229" customWidth="1"/>
    <col min="3844" max="3844" width="81.6640625" style="229" customWidth="1"/>
    <col min="3845" max="3845" width="37.109375" style="229" customWidth="1"/>
    <col min="3846" max="3846" width="24.6640625" style="229" customWidth="1"/>
    <col min="3847" max="3847" width="11.6640625" style="229" customWidth="1"/>
    <col min="3848" max="3848" width="12" style="229" bestFit="1" customWidth="1"/>
    <col min="3849" max="3849" width="21.6640625" style="229" customWidth="1"/>
    <col min="3850" max="4097" width="9.109375" style="229"/>
    <col min="4098" max="4098" width="4.5546875" style="229" customWidth="1"/>
    <col min="4099" max="4099" width="6.88671875" style="229" customWidth="1"/>
    <col min="4100" max="4100" width="81.6640625" style="229" customWidth="1"/>
    <col min="4101" max="4101" width="37.109375" style="229" customWidth="1"/>
    <col min="4102" max="4102" width="24.6640625" style="229" customWidth="1"/>
    <col min="4103" max="4103" width="11.6640625" style="229" customWidth="1"/>
    <col min="4104" max="4104" width="12" style="229" bestFit="1" customWidth="1"/>
    <col min="4105" max="4105" width="21.6640625" style="229" customWidth="1"/>
    <col min="4106" max="4353" width="9.109375" style="229"/>
    <col min="4354" max="4354" width="4.5546875" style="229" customWidth="1"/>
    <col min="4355" max="4355" width="6.88671875" style="229" customWidth="1"/>
    <col min="4356" max="4356" width="81.6640625" style="229" customWidth="1"/>
    <col min="4357" max="4357" width="37.109375" style="229" customWidth="1"/>
    <col min="4358" max="4358" width="24.6640625" style="229" customWidth="1"/>
    <col min="4359" max="4359" width="11.6640625" style="229" customWidth="1"/>
    <col min="4360" max="4360" width="12" style="229" bestFit="1" customWidth="1"/>
    <col min="4361" max="4361" width="21.6640625" style="229" customWidth="1"/>
    <col min="4362" max="4609" width="9.109375" style="229"/>
    <col min="4610" max="4610" width="4.5546875" style="229" customWidth="1"/>
    <col min="4611" max="4611" width="6.88671875" style="229" customWidth="1"/>
    <col min="4612" max="4612" width="81.6640625" style="229" customWidth="1"/>
    <col min="4613" max="4613" width="37.109375" style="229" customWidth="1"/>
    <col min="4614" max="4614" width="24.6640625" style="229" customWidth="1"/>
    <col min="4615" max="4615" width="11.6640625" style="229" customWidth="1"/>
    <col min="4616" max="4616" width="12" style="229" bestFit="1" customWidth="1"/>
    <col min="4617" max="4617" width="21.6640625" style="229" customWidth="1"/>
    <col min="4618" max="4865" width="9.109375" style="229"/>
    <col min="4866" max="4866" width="4.5546875" style="229" customWidth="1"/>
    <col min="4867" max="4867" width="6.88671875" style="229" customWidth="1"/>
    <col min="4868" max="4868" width="81.6640625" style="229" customWidth="1"/>
    <col min="4869" max="4869" width="37.109375" style="229" customWidth="1"/>
    <col min="4870" max="4870" width="24.6640625" style="229" customWidth="1"/>
    <col min="4871" max="4871" width="11.6640625" style="229" customWidth="1"/>
    <col min="4872" max="4872" width="12" style="229" bestFit="1" customWidth="1"/>
    <col min="4873" max="4873" width="21.6640625" style="229" customWidth="1"/>
    <col min="4874" max="5121" width="9.109375" style="229"/>
    <col min="5122" max="5122" width="4.5546875" style="229" customWidth="1"/>
    <col min="5123" max="5123" width="6.88671875" style="229" customWidth="1"/>
    <col min="5124" max="5124" width="81.6640625" style="229" customWidth="1"/>
    <col min="5125" max="5125" width="37.109375" style="229" customWidth="1"/>
    <col min="5126" max="5126" width="24.6640625" style="229" customWidth="1"/>
    <col min="5127" max="5127" width="11.6640625" style="229" customWidth="1"/>
    <col min="5128" max="5128" width="12" style="229" bestFit="1" customWidth="1"/>
    <col min="5129" max="5129" width="21.6640625" style="229" customWidth="1"/>
    <col min="5130" max="5377" width="9.109375" style="229"/>
    <col min="5378" max="5378" width="4.5546875" style="229" customWidth="1"/>
    <col min="5379" max="5379" width="6.88671875" style="229" customWidth="1"/>
    <col min="5380" max="5380" width="81.6640625" style="229" customWidth="1"/>
    <col min="5381" max="5381" width="37.109375" style="229" customWidth="1"/>
    <col min="5382" max="5382" width="24.6640625" style="229" customWidth="1"/>
    <col min="5383" max="5383" width="11.6640625" style="229" customWidth="1"/>
    <col min="5384" max="5384" width="12" style="229" bestFit="1" customWidth="1"/>
    <col min="5385" max="5385" width="21.6640625" style="229" customWidth="1"/>
    <col min="5386" max="5633" width="9.109375" style="229"/>
    <col min="5634" max="5634" width="4.5546875" style="229" customWidth="1"/>
    <col min="5635" max="5635" width="6.88671875" style="229" customWidth="1"/>
    <col min="5636" max="5636" width="81.6640625" style="229" customWidth="1"/>
    <col min="5637" max="5637" width="37.109375" style="229" customWidth="1"/>
    <col min="5638" max="5638" width="24.6640625" style="229" customWidth="1"/>
    <col min="5639" max="5639" width="11.6640625" style="229" customWidth="1"/>
    <col min="5640" max="5640" width="12" style="229" bestFit="1" customWidth="1"/>
    <col min="5641" max="5641" width="21.6640625" style="229" customWidth="1"/>
    <col min="5642" max="5889" width="9.109375" style="229"/>
    <col min="5890" max="5890" width="4.5546875" style="229" customWidth="1"/>
    <col min="5891" max="5891" width="6.88671875" style="229" customWidth="1"/>
    <col min="5892" max="5892" width="81.6640625" style="229" customWidth="1"/>
    <col min="5893" max="5893" width="37.109375" style="229" customWidth="1"/>
    <col min="5894" max="5894" width="24.6640625" style="229" customWidth="1"/>
    <col min="5895" max="5895" width="11.6640625" style="229" customWidth="1"/>
    <col min="5896" max="5896" width="12" style="229" bestFit="1" customWidth="1"/>
    <col min="5897" max="5897" width="21.6640625" style="229" customWidth="1"/>
    <col min="5898" max="6145" width="9.109375" style="229"/>
    <col min="6146" max="6146" width="4.5546875" style="229" customWidth="1"/>
    <col min="6147" max="6147" width="6.88671875" style="229" customWidth="1"/>
    <col min="6148" max="6148" width="81.6640625" style="229" customWidth="1"/>
    <col min="6149" max="6149" width="37.109375" style="229" customWidth="1"/>
    <col min="6150" max="6150" width="24.6640625" style="229" customWidth="1"/>
    <col min="6151" max="6151" width="11.6640625" style="229" customWidth="1"/>
    <col min="6152" max="6152" width="12" style="229" bestFit="1" customWidth="1"/>
    <col min="6153" max="6153" width="21.6640625" style="229" customWidth="1"/>
    <col min="6154" max="6401" width="9.109375" style="229"/>
    <col min="6402" max="6402" width="4.5546875" style="229" customWidth="1"/>
    <col min="6403" max="6403" width="6.88671875" style="229" customWidth="1"/>
    <col min="6404" max="6404" width="81.6640625" style="229" customWidth="1"/>
    <col min="6405" max="6405" width="37.109375" style="229" customWidth="1"/>
    <col min="6406" max="6406" width="24.6640625" style="229" customWidth="1"/>
    <col min="6407" max="6407" width="11.6640625" style="229" customWidth="1"/>
    <col min="6408" max="6408" width="12" style="229" bestFit="1" customWidth="1"/>
    <col min="6409" max="6409" width="21.6640625" style="229" customWidth="1"/>
    <col min="6410" max="6657" width="9.109375" style="229"/>
    <col min="6658" max="6658" width="4.5546875" style="229" customWidth="1"/>
    <col min="6659" max="6659" width="6.88671875" style="229" customWidth="1"/>
    <col min="6660" max="6660" width="81.6640625" style="229" customWidth="1"/>
    <col min="6661" max="6661" width="37.109375" style="229" customWidth="1"/>
    <col min="6662" max="6662" width="24.6640625" style="229" customWidth="1"/>
    <col min="6663" max="6663" width="11.6640625" style="229" customWidth="1"/>
    <col min="6664" max="6664" width="12" style="229" bestFit="1" customWidth="1"/>
    <col min="6665" max="6665" width="21.6640625" style="229" customWidth="1"/>
    <col min="6666" max="6913" width="9.109375" style="229"/>
    <col min="6914" max="6914" width="4.5546875" style="229" customWidth="1"/>
    <col min="6915" max="6915" width="6.88671875" style="229" customWidth="1"/>
    <col min="6916" max="6916" width="81.6640625" style="229" customWidth="1"/>
    <col min="6917" max="6917" width="37.109375" style="229" customWidth="1"/>
    <col min="6918" max="6918" width="24.6640625" style="229" customWidth="1"/>
    <col min="6919" max="6919" width="11.6640625" style="229" customWidth="1"/>
    <col min="6920" max="6920" width="12" style="229" bestFit="1" customWidth="1"/>
    <col min="6921" max="6921" width="21.6640625" style="229" customWidth="1"/>
    <col min="6922" max="7169" width="9.109375" style="229"/>
    <col min="7170" max="7170" width="4.5546875" style="229" customWidth="1"/>
    <col min="7171" max="7171" width="6.88671875" style="229" customWidth="1"/>
    <col min="7172" max="7172" width="81.6640625" style="229" customWidth="1"/>
    <col min="7173" max="7173" width="37.109375" style="229" customWidth="1"/>
    <col min="7174" max="7174" width="24.6640625" style="229" customWidth="1"/>
    <col min="7175" max="7175" width="11.6640625" style="229" customWidth="1"/>
    <col min="7176" max="7176" width="12" style="229" bestFit="1" customWidth="1"/>
    <col min="7177" max="7177" width="21.6640625" style="229" customWidth="1"/>
    <col min="7178" max="7425" width="9.109375" style="229"/>
    <col min="7426" max="7426" width="4.5546875" style="229" customWidth="1"/>
    <col min="7427" max="7427" width="6.88671875" style="229" customWidth="1"/>
    <col min="7428" max="7428" width="81.6640625" style="229" customWidth="1"/>
    <col min="7429" max="7429" width="37.109375" style="229" customWidth="1"/>
    <col min="7430" max="7430" width="24.6640625" style="229" customWidth="1"/>
    <col min="7431" max="7431" width="11.6640625" style="229" customWidth="1"/>
    <col min="7432" max="7432" width="12" style="229" bestFit="1" customWidth="1"/>
    <col min="7433" max="7433" width="21.6640625" style="229" customWidth="1"/>
    <col min="7434" max="7681" width="9.109375" style="229"/>
    <col min="7682" max="7682" width="4.5546875" style="229" customWidth="1"/>
    <col min="7683" max="7683" width="6.88671875" style="229" customWidth="1"/>
    <col min="7684" max="7684" width="81.6640625" style="229" customWidth="1"/>
    <col min="7685" max="7685" width="37.109375" style="229" customWidth="1"/>
    <col min="7686" max="7686" width="24.6640625" style="229" customWidth="1"/>
    <col min="7687" max="7687" width="11.6640625" style="229" customWidth="1"/>
    <col min="7688" max="7688" width="12" style="229" bestFit="1" customWidth="1"/>
    <col min="7689" max="7689" width="21.6640625" style="229" customWidth="1"/>
    <col min="7690" max="7937" width="9.109375" style="229"/>
    <col min="7938" max="7938" width="4.5546875" style="229" customWidth="1"/>
    <col min="7939" max="7939" width="6.88671875" style="229" customWidth="1"/>
    <col min="7940" max="7940" width="81.6640625" style="229" customWidth="1"/>
    <col min="7941" max="7941" width="37.109375" style="229" customWidth="1"/>
    <col min="7942" max="7942" width="24.6640625" style="229" customWidth="1"/>
    <col min="7943" max="7943" width="11.6640625" style="229" customWidth="1"/>
    <col min="7944" max="7944" width="12" style="229" bestFit="1" customWidth="1"/>
    <col min="7945" max="7945" width="21.6640625" style="229" customWidth="1"/>
    <col min="7946" max="8193" width="9.109375" style="229"/>
    <col min="8194" max="8194" width="4.5546875" style="229" customWidth="1"/>
    <col min="8195" max="8195" width="6.88671875" style="229" customWidth="1"/>
    <col min="8196" max="8196" width="81.6640625" style="229" customWidth="1"/>
    <col min="8197" max="8197" width="37.109375" style="229" customWidth="1"/>
    <col min="8198" max="8198" width="24.6640625" style="229" customWidth="1"/>
    <col min="8199" max="8199" width="11.6640625" style="229" customWidth="1"/>
    <col min="8200" max="8200" width="12" style="229" bestFit="1" customWidth="1"/>
    <col min="8201" max="8201" width="21.6640625" style="229" customWidth="1"/>
    <col min="8202" max="8449" width="9.109375" style="229"/>
    <col min="8450" max="8450" width="4.5546875" style="229" customWidth="1"/>
    <col min="8451" max="8451" width="6.88671875" style="229" customWidth="1"/>
    <col min="8452" max="8452" width="81.6640625" style="229" customWidth="1"/>
    <col min="8453" max="8453" width="37.109375" style="229" customWidth="1"/>
    <col min="8454" max="8454" width="24.6640625" style="229" customWidth="1"/>
    <col min="8455" max="8455" width="11.6640625" style="229" customWidth="1"/>
    <col min="8456" max="8456" width="12" style="229" bestFit="1" customWidth="1"/>
    <col min="8457" max="8457" width="21.6640625" style="229" customWidth="1"/>
    <col min="8458" max="8705" width="9.109375" style="229"/>
    <col min="8706" max="8706" width="4.5546875" style="229" customWidth="1"/>
    <col min="8707" max="8707" width="6.88671875" style="229" customWidth="1"/>
    <col min="8708" max="8708" width="81.6640625" style="229" customWidth="1"/>
    <col min="8709" max="8709" width="37.109375" style="229" customWidth="1"/>
    <col min="8710" max="8710" width="24.6640625" style="229" customWidth="1"/>
    <col min="8711" max="8711" width="11.6640625" style="229" customWidth="1"/>
    <col min="8712" max="8712" width="12" style="229" bestFit="1" customWidth="1"/>
    <col min="8713" max="8713" width="21.6640625" style="229" customWidth="1"/>
    <col min="8714" max="8961" width="9.109375" style="229"/>
    <col min="8962" max="8962" width="4.5546875" style="229" customWidth="1"/>
    <col min="8963" max="8963" width="6.88671875" style="229" customWidth="1"/>
    <col min="8964" max="8964" width="81.6640625" style="229" customWidth="1"/>
    <col min="8965" max="8965" width="37.109375" style="229" customWidth="1"/>
    <col min="8966" max="8966" width="24.6640625" style="229" customWidth="1"/>
    <col min="8967" max="8967" width="11.6640625" style="229" customWidth="1"/>
    <col min="8968" max="8968" width="12" style="229" bestFit="1" customWidth="1"/>
    <col min="8969" max="8969" width="21.6640625" style="229" customWidth="1"/>
    <col min="8970" max="9217" width="9.109375" style="229"/>
    <col min="9218" max="9218" width="4.5546875" style="229" customWidth="1"/>
    <col min="9219" max="9219" width="6.88671875" style="229" customWidth="1"/>
    <col min="9220" max="9220" width="81.6640625" style="229" customWidth="1"/>
    <col min="9221" max="9221" width="37.109375" style="229" customWidth="1"/>
    <col min="9222" max="9222" width="24.6640625" style="229" customWidth="1"/>
    <col min="9223" max="9223" width="11.6640625" style="229" customWidth="1"/>
    <col min="9224" max="9224" width="12" style="229" bestFit="1" customWidth="1"/>
    <col min="9225" max="9225" width="21.6640625" style="229" customWidth="1"/>
    <col min="9226" max="9473" width="9.109375" style="229"/>
    <col min="9474" max="9474" width="4.5546875" style="229" customWidth="1"/>
    <col min="9475" max="9475" width="6.88671875" style="229" customWidth="1"/>
    <col min="9476" max="9476" width="81.6640625" style="229" customWidth="1"/>
    <col min="9477" max="9477" width="37.109375" style="229" customWidth="1"/>
    <col min="9478" max="9478" width="24.6640625" style="229" customWidth="1"/>
    <col min="9479" max="9479" width="11.6640625" style="229" customWidth="1"/>
    <col min="9480" max="9480" width="12" style="229" bestFit="1" customWidth="1"/>
    <col min="9481" max="9481" width="21.6640625" style="229" customWidth="1"/>
    <col min="9482" max="9729" width="9.109375" style="229"/>
    <col min="9730" max="9730" width="4.5546875" style="229" customWidth="1"/>
    <col min="9731" max="9731" width="6.88671875" style="229" customWidth="1"/>
    <col min="9732" max="9732" width="81.6640625" style="229" customWidth="1"/>
    <col min="9733" max="9733" width="37.109375" style="229" customWidth="1"/>
    <col min="9734" max="9734" width="24.6640625" style="229" customWidth="1"/>
    <col min="9735" max="9735" width="11.6640625" style="229" customWidth="1"/>
    <col min="9736" max="9736" width="12" style="229" bestFit="1" customWidth="1"/>
    <col min="9737" max="9737" width="21.6640625" style="229" customWidth="1"/>
    <col min="9738" max="9985" width="9.109375" style="229"/>
    <col min="9986" max="9986" width="4.5546875" style="229" customWidth="1"/>
    <col min="9987" max="9987" width="6.88671875" style="229" customWidth="1"/>
    <col min="9988" max="9988" width="81.6640625" style="229" customWidth="1"/>
    <col min="9989" max="9989" width="37.109375" style="229" customWidth="1"/>
    <col min="9990" max="9990" width="24.6640625" style="229" customWidth="1"/>
    <col min="9991" max="9991" width="11.6640625" style="229" customWidth="1"/>
    <col min="9992" max="9992" width="12" style="229" bestFit="1" customWidth="1"/>
    <col min="9993" max="9993" width="21.6640625" style="229" customWidth="1"/>
    <col min="9994" max="10241" width="9.109375" style="229"/>
    <col min="10242" max="10242" width="4.5546875" style="229" customWidth="1"/>
    <col min="10243" max="10243" width="6.88671875" style="229" customWidth="1"/>
    <col min="10244" max="10244" width="81.6640625" style="229" customWidth="1"/>
    <col min="10245" max="10245" width="37.109375" style="229" customWidth="1"/>
    <col min="10246" max="10246" width="24.6640625" style="229" customWidth="1"/>
    <col min="10247" max="10247" width="11.6640625" style="229" customWidth="1"/>
    <col min="10248" max="10248" width="12" style="229" bestFit="1" customWidth="1"/>
    <col min="10249" max="10249" width="21.6640625" style="229" customWidth="1"/>
    <col min="10250" max="10497" width="9.109375" style="229"/>
    <col min="10498" max="10498" width="4.5546875" style="229" customWidth="1"/>
    <col min="10499" max="10499" width="6.88671875" style="229" customWidth="1"/>
    <col min="10500" max="10500" width="81.6640625" style="229" customWidth="1"/>
    <col min="10501" max="10501" width="37.109375" style="229" customWidth="1"/>
    <col min="10502" max="10502" width="24.6640625" style="229" customWidth="1"/>
    <col min="10503" max="10503" width="11.6640625" style="229" customWidth="1"/>
    <col min="10504" max="10504" width="12" style="229" bestFit="1" customWidth="1"/>
    <col min="10505" max="10505" width="21.6640625" style="229" customWidth="1"/>
    <col min="10506" max="10753" width="9.109375" style="229"/>
    <col min="10754" max="10754" width="4.5546875" style="229" customWidth="1"/>
    <col min="10755" max="10755" width="6.88671875" style="229" customWidth="1"/>
    <col min="10756" max="10756" width="81.6640625" style="229" customWidth="1"/>
    <col min="10757" max="10757" width="37.109375" style="229" customWidth="1"/>
    <col min="10758" max="10758" width="24.6640625" style="229" customWidth="1"/>
    <col min="10759" max="10759" width="11.6640625" style="229" customWidth="1"/>
    <col min="10760" max="10760" width="12" style="229" bestFit="1" customWidth="1"/>
    <col min="10761" max="10761" width="21.6640625" style="229" customWidth="1"/>
    <col min="10762" max="11009" width="9.109375" style="229"/>
    <col min="11010" max="11010" width="4.5546875" style="229" customWidth="1"/>
    <col min="11011" max="11011" width="6.88671875" style="229" customWidth="1"/>
    <col min="11012" max="11012" width="81.6640625" style="229" customWidth="1"/>
    <col min="11013" max="11013" width="37.109375" style="229" customWidth="1"/>
    <col min="11014" max="11014" width="24.6640625" style="229" customWidth="1"/>
    <col min="11015" max="11015" width="11.6640625" style="229" customWidth="1"/>
    <col min="11016" max="11016" width="12" style="229" bestFit="1" customWidth="1"/>
    <col min="11017" max="11017" width="21.6640625" style="229" customWidth="1"/>
    <col min="11018" max="11265" width="9.109375" style="229"/>
    <col min="11266" max="11266" width="4.5546875" style="229" customWidth="1"/>
    <col min="11267" max="11267" width="6.88671875" style="229" customWidth="1"/>
    <col min="11268" max="11268" width="81.6640625" style="229" customWidth="1"/>
    <col min="11269" max="11269" width="37.109375" style="229" customWidth="1"/>
    <col min="11270" max="11270" width="24.6640625" style="229" customWidth="1"/>
    <col min="11271" max="11271" width="11.6640625" style="229" customWidth="1"/>
    <col min="11272" max="11272" width="12" style="229" bestFit="1" customWidth="1"/>
    <col min="11273" max="11273" width="21.6640625" style="229" customWidth="1"/>
    <col min="11274" max="11521" width="9.109375" style="229"/>
    <col min="11522" max="11522" width="4.5546875" style="229" customWidth="1"/>
    <col min="11523" max="11523" width="6.88671875" style="229" customWidth="1"/>
    <col min="11524" max="11524" width="81.6640625" style="229" customWidth="1"/>
    <col min="11525" max="11525" width="37.109375" style="229" customWidth="1"/>
    <col min="11526" max="11526" width="24.6640625" style="229" customWidth="1"/>
    <col min="11527" max="11527" width="11.6640625" style="229" customWidth="1"/>
    <col min="11528" max="11528" width="12" style="229" bestFit="1" customWidth="1"/>
    <col min="11529" max="11529" width="21.6640625" style="229" customWidth="1"/>
    <col min="11530" max="11777" width="9.109375" style="229"/>
    <col min="11778" max="11778" width="4.5546875" style="229" customWidth="1"/>
    <col min="11779" max="11779" width="6.88671875" style="229" customWidth="1"/>
    <col min="11780" max="11780" width="81.6640625" style="229" customWidth="1"/>
    <col min="11781" max="11781" width="37.109375" style="229" customWidth="1"/>
    <col min="11782" max="11782" width="24.6640625" style="229" customWidth="1"/>
    <col min="11783" max="11783" width="11.6640625" style="229" customWidth="1"/>
    <col min="11784" max="11784" width="12" style="229" bestFit="1" customWidth="1"/>
    <col min="11785" max="11785" width="21.6640625" style="229" customWidth="1"/>
    <col min="11786" max="12033" width="9.109375" style="229"/>
    <col min="12034" max="12034" width="4.5546875" style="229" customWidth="1"/>
    <col min="12035" max="12035" width="6.88671875" style="229" customWidth="1"/>
    <col min="12036" max="12036" width="81.6640625" style="229" customWidth="1"/>
    <col min="12037" max="12037" width="37.109375" style="229" customWidth="1"/>
    <col min="12038" max="12038" width="24.6640625" style="229" customWidth="1"/>
    <col min="12039" max="12039" width="11.6640625" style="229" customWidth="1"/>
    <col min="12040" max="12040" width="12" style="229" bestFit="1" customWidth="1"/>
    <col min="12041" max="12041" width="21.6640625" style="229" customWidth="1"/>
    <col min="12042" max="12289" width="9.109375" style="229"/>
    <col min="12290" max="12290" width="4.5546875" style="229" customWidth="1"/>
    <col min="12291" max="12291" width="6.88671875" style="229" customWidth="1"/>
    <col min="12292" max="12292" width="81.6640625" style="229" customWidth="1"/>
    <col min="12293" max="12293" width="37.109375" style="229" customWidth="1"/>
    <col min="12294" max="12294" width="24.6640625" style="229" customWidth="1"/>
    <col min="12295" max="12295" width="11.6640625" style="229" customWidth="1"/>
    <col min="12296" max="12296" width="12" style="229" bestFit="1" customWidth="1"/>
    <col min="12297" max="12297" width="21.6640625" style="229" customWidth="1"/>
    <col min="12298" max="12545" width="9.109375" style="229"/>
    <col min="12546" max="12546" width="4.5546875" style="229" customWidth="1"/>
    <col min="12547" max="12547" width="6.88671875" style="229" customWidth="1"/>
    <col min="12548" max="12548" width="81.6640625" style="229" customWidth="1"/>
    <col min="12549" max="12549" width="37.109375" style="229" customWidth="1"/>
    <col min="12550" max="12550" width="24.6640625" style="229" customWidth="1"/>
    <col min="12551" max="12551" width="11.6640625" style="229" customWidth="1"/>
    <col min="12552" max="12552" width="12" style="229" bestFit="1" customWidth="1"/>
    <col min="12553" max="12553" width="21.6640625" style="229" customWidth="1"/>
    <col min="12554" max="12801" width="9.109375" style="229"/>
    <col min="12802" max="12802" width="4.5546875" style="229" customWidth="1"/>
    <col min="12803" max="12803" width="6.88671875" style="229" customWidth="1"/>
    <col min="12804" max="12804" width="81.6640625" style="229" customWidth="1"/>
    <col min="12805" max="12805" width="37.109375" style="229" customWidth="1"/>
    <col min="12806" max="12806" width="24.6640625" style="229" customWidth="1"/>
    <col min="12807" max="12807" width="11.6640625" style="229" customWidth="1"/>
    <col min="12808" max="12808" width="12" style="229" bestFit="1" customWidth="1"/>
    <col min="12809" max="12809" width="21.6640625" style="229" customWidth="1"/>
    <col min="12810" max="13057" width="9.109375" style="229"/>
    <col min="13058" max="13058" width="4.5546875" style="229" customWidth="1"/>
    <col min="13059" max="13059" width="6.88671875" style="229" customWidth="1"/>
    <col min="13060" max="13060" width="81.6640625" style="229" customWidth="1"/>
    <col min="13061" max="13061" width="37.109375" style="229" customWidth="1"/>
    <col min="13062" max="13062" width="24.6640625" style="229" customWidth="1"/>
    <col min="13063" max="13063" width="11.6640625" style="229" customWidth="1"/>
    <col min="13064" max="13064" width="12" style="229" bestFit="1" customWidth="1"/>
    <col min="13065" max="13065" width="21.6640625" style="229" customWidth="1"/>
    <col min="13066" max="13313" width="9.109375" style="229"/>
    <col min="13314" max="13314" width="4.5546875" style="229" customWidth="1"/>
    <col min="13315" max="13315" width="6.88671875" style="229" customWidth="1"/>
    <col min="13316" max="13316" width="81.6640625" style="229" customWidth="1"/>
    <col min="13317" max="13317" width="37.109375" style="229" customWidth="1"/>
    <col min="13318" max="13318" width="24.6640625" style="229" customWidth="1"/>
    <col min="13319" max="13319" width="11.6640625" style="229" customWidth="1"/>
    <col min="13320" max="13320" width="12" style="229" bestFit="1" customWidth="1"/>
    <col min="13321" max="13321" width="21.6640625" style="229" customWidth="1"/>
    <col min="13322" max="13569" width="9.109375" style="229"/>
    <col min="13570" max="13570" width="4.5546875" style="229" customWidth="1"/>
    <col min="13571" max="13571" width="6.88671875" style="229" customWidth="1"/>
    <col min="13572" max="13572" width="81.6640625" style="229" customWidth="1"/>
    <col min="13573" max="13573" width="37.109375" style="229" customWidth="1"/>
    <col min="13574" max="13574" width="24.6640625" style="229" customWidth="1"/>
    <col min="13575" max="13575" width="11.6640625" style="229" customWidth="1"/>
    <col min="13576" max="13576" width="12" style="229" bestFit="1" customWidth="1"/>
    <col min="13577" max="13577" width="21.6640625" style="229" customWidth="1"/>
    <col min="13578" max="13825" width="9.109375" style="229"/>
    <col min="13826" max="13826" width="4.5546875" style="229" customWidth="1"/>
    <col min="13827" max="13827" width="6.88671875" style="229" customWidth="1"/>
    <col min="13828" max="13828" width="81.6640625" style="229" customWidth="1"/>
    <col min="13829" max="13829" width="37.109375" style="229" customWidth="1"/>
    <col min="13830" max="13830" width="24.6640625" style="229" customWidth="1"/>
    <col min="13831" max="13831" width="11.6640625" style="229" customWidth="1"/>
    <col min="13832" max="13832" width="12" style="229" bestFit="1" customWidth="1"/>
    <col min="13833" max="13833" width="21.6640625" style="229" customWidth="1"/>
    <col min="13834" max="14081" width="9.109375" style="229"/>
    <col min="14082" max="14082" width="4.5546875" style="229" customWidth="1"/>
    <col min="14083" max="14083" width="6.88671875" style="229" customWidth="1"/>
    <col min="14084" max="14084" width="81.6640625" style="229" customWidth="1"/>
    <col min="14085" max="14085" width="37.109375" style="229" customWidth="1"/>
    <col min="14086" max="14086" width="24.6640625" style="229" customWidth="1"/>
    <col min="14087" max="14087" width="11.6640625" style="229" customWidth="1"/>
    <col min="14088" max="14088" width="12" style="229" bestFit="1" customWidth="1"/>
    <col min="14089" max="14089" width="21.6640625" style="229" customWidth="1"/>
    <col min="14090" max="14337" width="9.109375" style="229"/>
    <col min="14338" max="14338" width="4.5546875" style="229" customWidth="1"/>
    <col min="14339" max="14339" width="6.88671875" style="229" customWidth="1"/>
    <col min="14340" max="14340" width="81.6640625" style="229" customWidth="1"/>
    <col min="14341" max="14341" width="37.109375" style="229" customWidth="1"/>
    <col min="14342" max="14342" width="24.6640625" style="229" customWidth="1"/>
    <col min="14343" max="14343" width="11.6640625" style="229" customWidth="1"/>
    <col min="14344" max="14344" width="12" style="229" bestFit="1" customWidth="1"/>
    <col min="14345" max="14345" width="21.6640625" style="229" customWidth="1"/>
    <col min="14346" max="14593" width="9.109375" style="229"/>
    <col min="14594" max="14594" width="4.5546875" style="229" customWidth="1"/>
    <col min="14595" max="14595" width="6.88671875" style="229" customWidth="1"/>
    <col min="14596" max="14596" width="81.6640625" style="229" customWidth="1"/>
    <col min="14597" max="14597" width="37.109375" style="229" customWidth="1"/>
    <col min="14598" max="14598" width="24.6640625" style="229" customWidth="1"/>
    <col min="14599" max="14599" width="11.6640625" style="229" customWidth="1"/>
    <col min="14600" max="14600" width="12" style="229" bestFit="1" customWidth="1"/>
    <col min="14601" max="14601" width="21.6640625" style="229" customWidth="1"/>
    <col min="14602" max="14849" width="9.109375" style="229"/>
    <col min="14850" max="14850" width="4.5546875" style="229" customWidth="1"/>
    <col min="14851" max="14851" width="6.88671875" style="229" customWidth="1"/>
    <col min="14852" max="14852" width="81.6640625" style="229" customWidth="1"/>
    <col min="14853" max="14853" width="37.109375" style="229" customWidth="1"/>
    <col min="14854" max="14854" width="24.6640625" style="229" customWidth="1"/>
    <col min="14855" max="14855" width="11.6640625" style="229" customWidth="1"/>
    <col min="14856" max="14856" width="12" style="229" bestFit="1" customWidth="1"/>
    <col min="14857" max="14857" width="21.6640625" style="229" customWidth="1"/>
    <col min="14858" max="15105" width="9.109375" style="229"/>
    <col min="15106" max="15106" width="4.5546875" style="229" customWidth="1"/>
    <col min="15107" max="15107" width="6.88671875" style="229" customWidth="1"/>
    <col min="15108" max="15108" width="81.6640625" style="229" customWidth="1"/>
    <col min="15109" max="15109" width="37.109375" style="229" customWidth="1"/>
    <col min="15110" max="15110" width="24.6640625" style="229" customWidth="1"/>
    <col min="15111" max="15111" width="11.6640625" style="229" customWidth="1"/>
    <col min="15112" max="15112" width="12" style="229" bestFit="1" customWidth="1"/>
    <col min="15113" max="15113" width="21.6640625" style="229" customWidth="1"/>
    <col min="15114" max="15361" width="9.109375" style="229"/>
    <col min="15362" max="15362" width="4.5546875" style="229" customWidth="1"/>
    <col min="15363" max="15363" width="6.88671875" style="229" customWidth="1"/>
    <col min="15364" max="15364" width="81.6640625" style="229" customWidth="1"/>
    <col min="15365" max="15365" width="37.109375" style="229" customWidth="1"/>
    <col min="15366" max="15366" width="24.6640625" style="229" customWidth="1"/>
    <col min="15367" max="15367" width="11.6640625" style="229" customWidth="1"/>
    <col min="15368" max="15368" width="12" style="229" bestFit="1" customWidth="1"/>
    <col min="15369" max="15369" width="21.6640625" style="229" customWidth="1"/>
    <col min="15370" max="15617" width="9.109375" style="229"/>
    <col min="15618" max="15618" width="4.5546875" style="229" customWidth="1"/>
    <col min="15619" max="15619" width="6.88671875" style="229" customWidth="1"/>
    <col min="15620" max="15620" width="81.6640625" style="229" customWidth="1"/>
    <col min="15621" max="15621" width="37.109375" style="229" customWidth="1"/>
    <col min="15622" max="15622" width="24.6640625" style="229" customWidth="1"/>
    <col min="15623" max="15623" width="11.6640625" style="229" customWidth="1"/>
    <col min="15624" max="15624" width="12" style="229" bestFit="1" customWidth="1"/>
    <col min="15625" max="15625" width="21.6640625" style="229" customWidth="1"/>
    <col min="15626" max="15873" width="9.109375" style="229"/>
    <col min="15874" max="15874" width="4.5546875" style="229" customWidth="1"/>
    <col min="15875" max="15875" width="6.88671875" style="229" customWidth="1"/>
    <col min="15876" max="15876" width="81.6640625" style="229" customWidth="1"/>
    <col min="15877" max="15877" width="37.109375" style="229" customWidth="1"/>
    <col min="15878" max="15878" width="24.6640625" style="229" customWidth="1"/>
    <col min="15879" max="15879" width="11.6640625" style="229" customWidth="1"/>
    <col min="15880" max="15880" width="12" style="229" bestFit="1" customWidth="1"/>
    <col min="15881" max="15881" width="21.6640625" style="229" customWidth="1"/>
    <col min="15882" max="16129" width="9.109375" style="229"/>
    <col min="16130" max="16130" width="4.5546875" style="229" customWidth="1"/>
    <col min="16131" max="16131" width="6.88671875" style="229" customWidth="1"/>
    <col min="16132" max="16132" width="81.6640625" style="229" customWidth="1"/>
    <col min="16133" max="16133" width="37.109375" style="229" customWidth="1"/>
    <col min="16134" max="16134" width="24.6640625" style="229" customWidth="1"/>
    <col min="16135" max="16135" width="11.6640625" style="229" customWidth="1"/>
    <col min="16136" max="16136" width="12" style="229" bestFit="1" customWidth="1"/>
    <col min="16137" max="16137" width="21.6640625" style="229" customWidth="1"/>
    <col min="16138" max="16384" width="9.109375" style="229"/>
  </cols>
  <sheetData>
    <row r="1" spans="1:10" ht="18" customHeight="1" thickBot="1">
      <c r="A1" s="313" t="s">
        <v>3400</v>
      </c>
      <c r="B1" s="313"/>
      <c r="C1" s="313"/>
      <c r="D1" s="313"/>
      <c r="E1" s="313"/>
      <c r="F1" s="313"/>
      <c r="G1" s="313"/>
      <c r="H1" s="313"/>
    </row>
    <row r="2" spans="1:10" ht="30" customHeight="1" thickTop="1">
      <c r="A2" s="230" t="s">
        <v>4</v>
      </c>
      <c r="B2" s="231" t="s">
        <v>6</v>
      </c>
      <c r="C2" s="231" t="s">
        <v>7</v>
      </c>
      <c r="D2" s="231"/>
      <c r="E2" s="231" t="s">
        <v>9</v>
      </c>
      <c r="F2" s="231" t="s">
        <v>10</v>
      </c>
      <c r="G2" s="231" t="s">
        <v>11</v>
      </c>
      <c r="H2" s="232" t="s">
        <v>12</v>
      </c>
    </row>
    <row r="3" spans="1:10" s="238" customFormat="1" ht="12" customHeight="1" thickBot="1">
      <c r="A3" s="233">
        <v>1</v>
      </c>
      <c r="B3" s="234">
        <v>2</v>
      </c>
      <c r="C3" s="234" t="s">
        <v>3401</v>
      </c>
      <c r="D3" s="234"/>
      <c r="E3" s="235">
        <v>4</v>
      </c>
      <c r="F3" s="236">
        <v>5</v>
      </c>
      <c r="G3" s="236">
        <v>6</v>
      </c>
      <c r="H3" s="237">
        <v>7</v>
      </c>
    </row>
    <row r="4" spans="1:10" s="245" customFormat="1" ht="15" customHeight="1" thickTop="1">
      <c r="A4" s="239">
        <v>1</v>
      </c>
      <c r="B4" s="240">
        <v>19</v>
      </c>
      <c r="C4" s="241" t="s">
        <v>3402</v>
      </c>
      <c r="D4" s="242" t="s">
        <v>3403</v>
      </c>
      <c r="E4" s="241" t="s">
        <v>3404</v>
      </c>
      <c r="F4" s="241" t="s">
        <v>3405</v>
      </c>
      <c r="G4" s="243">
        <v>3205860</v>
      </c>
      <c r="H4" s="244" t="s">
        <v>3406</v>
      </c>
    </row>
    <row r="5" spans="1:10" s="245" customFormat="1" ht="15" customHeight="1">
      <c r="A5" s="239">
        <v>2</v>
      </c>
      <c r="B5" s="246">
        <v>52321</v>
      </c>
      <c r="C5" s="241" t="s">
        <v>3407</v>
      </c>
      <c r="D5" s="242" t="s">
        <v>3408</v>
      </c>
      <c r="E5" s="241" t="s">
        <v>3409</v>
      </c>
      <c r="F5" s="241" t="s">
        <v>3405</v>
      </c>
      <c r="G5" s="243">
        <v>5513260</v>
      </c>
      <c r="H5" s="244" t="s">
        <v>3410</v>
      </c>
    </row>
    <row r="6" spans="1:10" s="245" customFormat="1" ht="15" customHeight="1">
      <c r="A6" s="239">
        <v>3</v>
      </c>
      <c r="B6" s="247">
        <v>42434</v>
      </c>
      <c r="C6" s="248" t="s">
        <v>3411</v>
      </c>
      <c r="D6" s="242" t="s">
        <v>3412</v>
      </c>
      <c r="E6" s="248" t="s">
        <v>3413</v>
      </c>
      <c r="F6" s="248" t="s">
        <v>3405</v>
      </c>
      <c r="G6" s="249">
        <v>2197278</v>
      </c>
      <c r="H6" s="250" t="s">
        <v>3414</v>
      </c>
    </row>
    <row r="7" spans="1:10" s="245" customFormat="1" ht="15" customHeight="1">
      <c r="A7" s="239">
        <v>4</v>
      </c>
      <c r="B7" s="247">
        <v>46028</v>
      </c>
      <c r="C7" s="241" t="s">
        <v>3415</v>
      </c>
      <c r="D7" s="242" t="s">
        <v>3416</v>
      </c>
      <c r="E7" s="241" t="s">
        <v>3417</v>
      </c>
      <c r="F7" s="241" t="s">
        <v>3405</v>
      </c>
      <c r="G7" s="243">
        <v>2611660</v>
      </c>
      <c r="H7" s="244" t="s">
        <v>3418</v>
      </c>
    </row>
    <row r="8" spans="1:10" ht="15" customHeight="1">
      <c r="A8" s="239">
        <v>5</v>
      </c>
      <c r="B8" s="247">
        <v>35</v>
      </c>
      <c r="C8" s="241" t="s">
        <v>3419</v>
      </c>
      <c r="D8" s="242" t="s">
        <v>3420</v>
      </c>
      <c r="E8" s="241" t="s">
        <v>3421</v>
      </c>
      <c r="F8" s="241" t="s">
        <v>3405</v>
      </c>
      <c r="G8" s="243">
        <v>3220346</v>
      </c>
      <c r="H8" s="244" t="s">
        <v>3422</v>
      </c>
      <c r="J8" s="245"/>
    </row>
    <row r="9" spans="1:10" s="245" customFormat="1" ht="15" customHeight="1">
      <c r="A9" s="239">
        <v>6</v>
      </c>
      <c r="B9" s="247">
        <v>6031</v>
      </c>
      <c r="C9" s="241" t="s">
        <v>3423</v>
      </c>
      <c r="D9" s="242" t="s">
        <v>3424</v>
      </c>
      <c r="E9" s="241" t="s">
        <v>3425</v>
      </c>
      <c r="F9" s="241" t="s">
        <v>3405</v>
      </c>
      <c r="G9" s="243">
        <v>3206084</v>
      </c>
      <c r="H9" s="244" t="s">
        <v>3426</v>
      </c>
    </row>
    <row r="10" spans="1:10" s="245" customFormat="1" ht="15" customHeight="1">
      <c r="A10" s="239">
        <v>7</v>
      </c>
      <c r="B10" s="247">
        <v>20833</v>
      </c>
      <c r="C10" s="241" t="s">
        <v>3427</v>
      </c>
      <c r="D10" s="242" t="s">
        <v>3428</v>
      </c>
      <c r="E10" s="241" t="s">
        <v>3429</v>
      </c>
      <c r="F10" s="241" t="s">
        <v>3405</v>
      </c>
      <c r="G10" s="243">
        <v>1253433</v>
      </c>
      <c r="H10" s="244" t="s">
        <v>3430</v>
      </c>
    </row>
    <row r="11" spans="1:10" s="245" customFormat="1" ht="15" customHeight="1">
      <c r="A11" s="239">
        <v>8</v>
      </c>
      <c r="B11" s="247">
        <v>51</v>
      </c>
      <c r="C11" s="241" t="s">
        <v>3431</v>
      </c>
      <c r="D11" s="242" t="s">
        <v>3432</v>
      </c>
      <c r="E11" s="241" t="s">
        <v>3433</v>
      </c>
      <c r="F11" s="241" t="s">
        <v>3405</v>
      </c>
      <c r="G11" s="243">
        <v>3205924</v>
      </c>
      <c r="H11" s="244" t="s">
        <v>3434</v>
      </c>
    </row>
    <row r="12" spans="1:10" ht="15" customHeight="1">
      <c r="A12" s="251">
        <v>9</v>
      </c>
      <c r="B12" s="252">
        <v>23753</v>
      </c>
      <c r="C12" s="242" t="s">
        <v>3435</v>
      </c>
      <c r="D12" s="242" t="s">
        <v>3436</v>
      </c>
      <c r="E12" s="242" t="s">
        <v>3433</v>
      </c>
      <c r="F12" s="242" t="s">
        <v>3405</v>
      </c>
      <c r="G12" s="253">
        <v>1676504</v>
      </c>
      <c r="H12" s="254" t="s">
        <v>3437</v>
      </c>
      <c r="J12" s="245"/>
    </row>
    <row r="13" spans="1:10" ht="15" customHeight="1">
      <c r="A13" s="251">
        <v>10</v>
      </c>
      <c r="B13" s="252">
        <v>51386</v>
      </c>
      <c r="C13" s="242" t="s">
        <v>3438</v>
      </c>
      <c r="D13" s="242" t="s">
        <v>3439</v>
      </c>
      <c r="E13" s="242" t="s">
        <v>3433</v>
      </c>
      <c r="F13" s="242" t="s">
        <v>3405</v>
      </c>
      <c r="G13" s="253">
        <v>5294584</v>
      </c>
      <c r="H13" s="254" t="s">
        <v>3440</v>
      </c>
      <c r="J13" s="245"/>
    </row>
    <row r="14" spans="1:10" ht="15" customHeight="1">
      <c r="A14" s="251">
        <v>11</v>
      </c>
      <c r="B14" s="252">
        <v>22275</v>
      </c>
      <c r="C14" s="242" t="s">
        <v>3441</v>
      </c>
      <c r="D14" s="242" t="s">
        <v>3442</v>
      </c>
      <c r="E14" s="242" t="s">
        <v>3443</v>
      </c>
      <c r="F14" s="242" t="s">
        <v>3405</v>
      </c>
      <c r="G14" s="253">
        <v>1404113</v>
      </c>
      <c r="H14" s="254" t="s">
        <v>3444</v>
      </c>
      <c r="J14" s="245"/>
    </row>
    <row r="15" spans="1:10" ht="15" customHeight="1">
      <c r="A15" s="251">
        <v>12</v>
      </c>
      <c r="B15" s="252">
        <v>47406</v>
      </c>
      <c r="C15" s="242" t="s">
        <v>3445</v>
      </c>
      <c r="D15" s="242" t="s">
        <v>3446</v>
      </c>
      <c r="E15" s="242" t="s">
        <v>3447</v>
      </c>
      <c r="F15" s="242" t="s">
        <v>3405</v>
      </c>
      <c r="G15" s="253">
        <v>2864851</v>
      </c>
      <c r="H15" s="254" t="s">
        <v>3448</v>
      </c>
      <c r="J15" s="245"/>
    </row>
    <row r="16" spans="1:10" ht="15" customHeight="1">
      <c r="A16" s="251">
        <v>13</v>
      </c>
      <c r="B16" s="252">
        <v>23979</v>
      </c>
      <c r="C16" s="242" t="s">
        <v>3449</v>
      </c>
      <c r="D16" s="242" t="s">
        <v>3450</v>
      </c>
      <c r="E16" s="242" t="s">
        <v>3451</v>
      </c>
      <c r="F16" s="242" t="s">
        <v>3405</v>
      </c>
      <c r="G16" s="253">
        <v>1730118</v>
      </c>
      <c r="H16" s="254" t="s">
        <v>3452</v>
      </c>
      <c r="J16" s="245"/>
    </row>
    <row r="17" spans="1:10" ht="15" customHeight="1">
      <c r="A17" s="251">
        <v>14</v>
      </c>
      <c r="B17" s="252">
        <v>115</v>
      </c>
      <c r="C17" s="242" t="s">
        <v>3453</v>
      </c>
      <c r="D17" s="242" t="s">
        <v>3454</v>
      </c>
      <c r="E17" s="242" t="s">
        <v>3433</v>
      </c>
      <c r="F17" s="242" t="s">
        <v>3405</v>
      </c>
      <c r="G17" s="253">
        <v>3205959</v>
      </c>
      <c r="H17" s="254" t="s">
        <v>3455</v>
      </c>
      <c r="J17" s="245"/>
    </row>
    <row r="18" spans="1:10" ht="15" customHeight="1">
      <c r="A18" s="251">
        <v>15</v>
      </c>
      <c r="B18" s="252">
        <v>123</v>
      </c>
      <c r="C18" s="242" t="s">
        <v>3456</v>
      </c>
      <c r="D18" s="242" t="s">
        <v>3457</v>
      </c>
      <c r="E18" s="242" t="s">
        <v>3458</v>
      </c>
      <c r="F18" s="242" t="s">
        <v>3405</v>
      </c>
      <c r="G18" s="253">
        <v>3205916</v>
      </c>
      <c r="H18" s="254" t="s">
        <v>3459</v>
      </c>
      <c r="J18" s="245"/>
    </row>
    <row r="19" spans="1:10" ht="15" customHeight="1">
      <c r="A19" s="251">
        <v>16</v>
      </c>
      <c r="B19" s="252">
        <v>23673</v>
      </c>
      <c r="C19" s="242" t="s">
        <v>3460</v>
      </c>
      <c r="D19" s="242" t="s">
        <v>3461</v>
      </c>
      <c r="E19" s="242" t="s">
        <v>3433</v>
      </c>
      <c r="F19" s="242" t="s">
        <v>3405</v>
      </c>
      <c r="G19" s="253">
        <v>1594478</v>
      </c>
      <c r="H19" s="254" t="s">
        <v>3462</v>
      </c>
      <c r="J19" s="245"/>
    </row>
    <row r="20" spans="1:10" ht="15" customHeight="1">
      <c r="A20" s="251">
        <v>17</v>
      </c>
      <c r="B20" s="252">
        <v>23745</v>
      </c>
      <c r="C20" s="242" t="s">
        <v>3463</v>
      </c>
      <c r="D20" s="242" t="s">
        <v>3464</v>
      </c>
      <c r="E20" s="242" t="s">
        <v>3465</v>
      </c>
      <c r="F20" s="242" t="s">
        <v>3405</v>
      </c>
      <c r="G20" s="253">
        <v>1654098</v>
      </c>
      <c r="H20" s="254" t="s">
        <v>3466</v>
      </c>
      <c r="J20" s="245"/>
    </row>
    <row r="21" spans="1:10" ht="22.8">
      <c r="A21" s="251">
        <v>18</v>
      </c>
      <c r="B21" s="252">
        <v>23690</v>
      </c>
      <c r="C21" s="242" t="s">
        <v>3467</v>
      </c>
      <c r="D21" s="242" t="s">
        <v>3468</v>
      </c>
      <c r="E21" s="242" t="s">
        <v>3469</v>
      </c>
      <c r="F21" s="242" t="s">
        <v>3470</v>
      </c>
      <c r="G21" s="253">
        <v>1604686</v>
      </c>
      <c r="H21" s="254" t="s">
        <v>3471</v>
      </c>
      <c r="J21" s="245"/>
    </row>
    <row r="22" spans="1:10" ht="15" customHeight="1">
      <c r="A22" s="251">
        <v>19</v>
      </c>
      <c r="B22" s="252">
        <v>47422</v>
      </c>
      <c r="C22" s="242" t="s">
        <v>3472</v>
      </c>
      <c r="D22" s="242" t="s">
        <v>3473</v>
      </c>
      <c r="E22" s="242" t="s">
        <v>3451</v>
      </c>
      <c r="F22" s="242" t="s">
        <v>3405</v>
      </c>
      <c r="G22" s="253">
        <v>2872781</v>
      </c>
      <c r="H22" s="254" t="s">
        <v>3474</v>
      </c>
      <c r="J22" s="245"/>
    </row>
    <row r="23" spans="1:10" ht="15" customHeight="1">
      <c r="A23" s="251">
        <v>20</v>
      </c>
      <c r="B23" s="252">
        <v>48066</v>
      </c>
      <c r="C23" s="242" t="s">
        <v>3475</v>
      </c>
      <c r="D23" s="242" t="s">
        <v>3476</v>
      </c>
      <c r="E23" s="242" t="s">
        <v>3451</v>
      </c>
      <c r="F23" s="242" t="s">
        <v>3405</v>
      </c>
      <c r="G23" s="255" t="s">
        <v>3477</v>
      </c>
      <c r="H23" s="254" t="s">
        <v>3478</v>
      </c>
      <c r="J23" s="245"/>
    </row>
    <row r="24" spans="1:10" ht="15" customHeight="1">
      <c r="A24" s="251">
        <v>21</v>
      </c>
      <c r="B24" s="252">
        <v>24051</v>
      </c>
      <c r="C24" s="242" t="s">
        <v>3479</v>
      </c>
      <c r="D24" s="242" t="s">
        <v>3480</v>
      </c>
      <c r="E24" s="242" t="s">
        <v>3451</v>
      </c>
      <c r="F24" s="242" t="s">
        <v>3405</v>
      </c>
      <c r="G24" s="253">
        <v>1815342</v>
      </c>
      <c r="H24" s="254" t="s">
        <v>3481</v>
      </c>
      <c r="I24" s="256"/>
      <c r="J24" s="245"/>
    </row>
    <row r="25" spans="1:10" s="245" customFormat="1" ht="15" customHeight="1">
      <c r="A25" s="239">
        <v>22</v>
      </c>
      <c r="B25" s="247">
        <v>20157</v>
      </c>
      <c r="C25" s="241" t="s">
        <v>3482</v>
      </c>
      <c r="D25" s="242" t="s">
        <v>3483</v>
      </c>
      <c r="E25" s="241" t="s">
        <v>3484</v>
      </c>
      <c r="F25" s="241" t="s">
        <v>3405</v>
      </c>
      <c r="G25" s="243">
        <v>3205991</v>
      </c>
      <c r="H25" s="244" t="s">
        <v>3485</v>
      </c>
    </row>
    <row r="26" spans="1:10" ht="15" customHeight="1">
      <c r="A26" s="251">
        <v>23</v>
      </c>
      <c r="B26" s="252">
        <v>43732</v>
      </c>
      <c r="C26" s="242" t="s">
        <v>3486</v>
      </c>
      <c r="D26" s="242" t="s">
        <v>3487</v>
      </c>
      <c r="E26" s="242" t="s">
        <v>3488</v>
      </c>
      <c r="F26" s="242" t="s">
        <v>3405</v>
      </c>
      <c r="G26" s="253">
        <v>2400774</v>
      </c>
      <c r="H26" s="254" t="s">
        <v>3489</v>
      </c>
      <c r="J26" s="245"/>
    </row>
    <row r="27" spans="1:10" ht="15" customHeight="1">
      <c r="A27" s="251">
        <v>24</v>
      </c>
      <c r="B27" s="252">
        <v>49286</v>
      </c>
      <c r="C27" s="242" t="s">
        <v>3490</v>
      </c>
      <c r="D27" s="242" t="s">
        <v>3491</v>
      </c>
      <c r="E27" s="242" t="s">
        <v>3484</v>
      </c>
      <c r="F27" s="242" t="s">
        <v>3405</v>
      </c>
      <c r="G27" s="255" t="s">
        <v>3492</v>
      </c>
      <c r="H27" s="254" t="s">
        <v>3493</v>
      </c>
      <c r="J27" s="245"/>
    </row>
    <row r="28" spans="1:10" s="245" customFormat="1" ht="15" customHeight="1">
      <c r="A28" s="239">
        <v>25</v>
      </c>
      <c r="B28" s="247">
        <v>40834</v>
      </c>
      <c r="C28" s="248" t="s">
        <v>3494</v>
      </c>
      <c r="D28" s="242" t="s">
        <v>3495</v>
      </c>
      <c r="E28" s="248" t="s">
        <v>3496</v>
      </c>
      <c r="F28" s="248" t="s">
        <v>3405</v>
      </c>
      <c r="G28" s="249">
        <v>2111004</v>
      </c>
      <c r="H28" s="250" t="s">
        <v>3497</v>
      </c>
    </row>
    <row r="29" spans="1:10" s="245" customFormat="1" ht="15" customHeight="1">
      <c r="A29" s="239">
        <v>26</v>
      </c>
      <c r="B29" s="247">
        <v>47334</v>
      </c>
      <c r="C29" s="248" t="s">
        <v>3498</v>
      </c>
      <c r="D29" s="242" t="s">
        <v>3499</v>
      </c>
      <c r="E29" s="248" t="s">
        <v>3500</v>
      </c>
      <c r="F29" s="248" t="s">
        <v>3405</v>
      </c>
      <c r="G29" s="249">
        <v>2840731</v>
      </c>
      <c r="H29" s="250" t="s">
        <v>3501</v>
      </c>
    </row>
    <row r="30" spans="1:10" s="245" customFormat="1" ht="15" customHeight="1">
      <c r="A30" s="239">
        <v>27</v>
      </c>
      <c r="B30" s="247">
        <v>174</v>
      </c>
      <c r="C30" s="248" t="s">
        <v>3502</v>
      </c>
      <c r="D30" s="242" t="s">
        <v>3503</v>
      </c>
      <c r="E30" s="248" t="s">
        <v>3504</v>
      </c>
      <c r="F30" s="248" t="s">
        <v>3405</v>
      </c>
      <c r="G30" s="249">
        <v>3207595</v>
      </c>
      <c r="H30" s="250" t="s">
        <v>3505</v>
      </c>
    </row>
    <row r="31" spans="1:10" s="245" customFormat="1" ht="15" customHeight="1">
      <c r="A31" s="239">
        <v>28</v>
      </c>
      <c r="B31" s="247">
        <v>47439</v>
      </c>
      <c r="C31" s="248" t="s">
        <v>3506</v>
      </c>
      <c r="D31" s="242" t="s">
        <v>3507</v>
      </c>
      <c r="E31" s="248" t="s">
        <v>3508</v>
      </c>
      <c r="F31" s="248" t="s">
        <v>3405</v>
      </c>
      <c r="G31" s="249">
        <v>2875004</v>
      </c>
      <c r="H31" s="250" t="s">
        <v>3509</v>
      </c>
    </row>
    <row r="32" spans="1:10" s="245" customFormat="1" ht="15" customHeight="1">
      <c r="A32" s="251">
        <v>29</v>
      </c>
      <c r="B32" s="252">
        <v>25917</v>
      </c>
      <c r="C32" s="242" t="s">
        <v>3510</v>
      </c>
      <c r="D32" s="242" t="s">
        <v>3511</v>
      </c>
      <c r="E32" s="242" t="s">
        <v>3512</v>
      </c>
      <c r="F32" s="242" t="s">
        <v>3405</v>
      </c>
      <c r="G32" s="253">
        <v>3277348</v>
      </c>
      <c r="H32" s="254" t="s">
        <v>3513</v>
      </c>
    </row>
    <row r="33" spans="1:10" s="245" customFormat="1" ht="15" customHeight="1">
      <c r="A33" s="239">
        <v>30</v>
      </c>
      <c r="B33" s="247">
        <v>47932</v>
      </c>
      <c r="C33" s="248" t="s">
        <v>3514</v>
      </c>
      <c r="D33" s="242" t="s">
        <v>3515</v>
      </c>
      <c r="E33" s="248" t="s">
        <v>3516</v>
      </c>
      <c r="F33" s="248" t="s">
        <v>3405</v>
      </c>
      <c r="G33" s="249">
        <v>4041186</v>
      </c>
      <c r="H33" s="250" t="s">
        <v>3517</v>
      </c>
    </row>
    <row r="34" spans="1:10" s="245" customFormat="1" ht="15" customHeight="1">
      <c r="A34" s="239">
        <v>31</v>
      </c>
      <c r="B34" s="247">
        <v>49585</v>
      </c>
      <c r="C34" s="248" t="s">
        <v>3518</v>
      </c>
      <c r="D34" s="242" t="s">
        <v>3519</v>
      </c>
      <c r="E34" s="248" t="s">
        <v>3500</v>
      </c>
      <c r="F34" s="248" t="s">
        <v>3405</v>
      </c>
      <c r="G34" s="257" t="s">
        <v>3520</v>
      </c>
      <c r="H34" s="250" t="s">
        <v>3521</v>
      </c>
    </row>
    <row r="35" spans="1:10" s="245" customFormat="1" ht="15" customHeight="1">
      <c r="A35" s="239">
        <v>32</v>
      </c>
      <c r="B35" s="247">
        <v>51409</v>
      </c>
      <c r="C35" s="248" t="s">
        <v>3522</v>
      </c>
      <c r="D35" s="242" t="s">
        <v>3523</v>
      </c>
      <c r="E35" s="248" t="s">
        <v>3524</v>
      </c>
      <c r="F35" s="248" t="s">
        <v>3405</v>
      </c>
      <c r="G35" s="257">
        <v>5292441</v>
      </c>
      <c r="H35" s="250" t="s">
        <v>3525</v>
      </c>
    </row>
    <row r="36" spans="1:10" s="245" customFormat="1" ht="15" customHeight="1">
      <c r="A36" s="239">
        <v>33</v>
      </c>
      <c r="B36" s="247">
        <v>50985</v>
      </c>
      <c r="C36" s="248" t="s">
        <v>3526</v>
      </c>
      <c r="D36" s="242" t="s">
        <v>3527</v>
      </c>
      <c r="E36" s="248" t="s">
        <v>3528</v>
      </c>
      <c r="F36" s="248" t="s">
        <v>3405</v>
      </c>
      <c r="G36" s="249">
        <v>5205689</v>
      </c>
      <c r="H36" s="250" t="s">
        <v>3529</v>
      </c>
    </row>
    <row r="37" spans="1:10" s="245" customFormat="1" ht="15" customHeight="1">
      <c r="A37" s="251">
        <v>34</v>
      </c>
      <c r="B37" s="252">
        <v>51853</v>
      </c>
      <c r="C37" s="242" t="s">
        <v>3530</v>
      </c>
      <c r="D37" s="242" t="s">
        <v>3531</v>
      </c>
      <c r="E37" s="242" t="s">
        <v>3532</v>
      </c>
      <c r="F37" s="242" t="s">
        <v>3405</v>
      </c>
      <c r="G37" s="253">
        <v>5379229</v>
      </c>
      <c r="H37" s="254">
        <v>68850110329</v>
      </c>
    </row>
    <row r="38" spans="1:10" s="245" customFormat="1" ht="15" customHeight="1">
      <c r="A38" s="239">
        <v>35</v>
      </c>
      <c r="B38" s="247">
        <v>713</v>
      </c>
      <c r="C38" s="248" t="s">
        <v>3533</v>
      </c>
      <c r="D38" s="242" t="s">
        <v>3534</v>
      </c>
      <c r="E38" s="248" t="s">
        <v>3535</v>
      </c>
      <c r="F38" s="248" t="s">
        <v>3405</v>
      </c>
      <c r="G38" s="249">
        <v>3281418</v>
      </c>
      <c r="H38" s="250" t="s">
        <v>3536</v>
      </c>
    </row>
    <row r="39" spans="1:10" s="245" customFormat="1" ht="15" customHeight="1">
      <c r="A39" s="239">
        <v>36</v>
      </c>
      <c r="B39" s="247">
        <v>47037</v>
      </c>
      <c r="C39" s="248" t="s">
        <v>3537</v>
      </c>
      <c r="D39" s="242" t="s">
        <v>3538</v>
      </c>
      <c r="E39" s="258" t="s">
        <v>3524</v>
      </c>
      <c r="F39" s="248" t="s">
        <v>3405</v>
      </c>
      <c r="G39" s="249">
        <v>2829541</v>
      </c>
      <c r="H39" s="250" t="s">
        <v>3539</v>
      </c>
    </row>
    <row r="40" spans="1:10" s="245" customFormat="1" ht="15" customHeight="1">
      <c r="A40" s="251">
        <v>37</v>
      </c>
      <c r="B40" s="252">
        <v>48314</v>
      </c>
      <c r="C40" s="242" t="s">
        <v>3540</v>
      </c>
      <c r="D40" s="242" t="s">
        <v>3541</v>
      </c>
      <c r="E40" s="242" t="s">
        <v>3542</v>
      </c>
      <c r="F40" s="242" t="s">
        <v>3543</v>
      </c>
      <c r="G40" s="253">
        <v>4140966</v>
      </c>
      <c r="H40" s="254" t="s">
        <v>3544</v>
      </c>
    </row>
    <row r="41" spans="1:10" ht="15" customHeight="1">
      <c r="A41" s="251">
        <v>38</v>
      </c>
      <c r="B41" s="252">
        <v>48710</v>
      </c>
      <c r="C41" s="242" t="s">
        <v>3545</v>
      </c>
      <c r="D41" s="242" t="s">
        <v>3546</v>
      </c>
      <c r="E41" s="242" t="s">
        <v>3547</v>
      </c>
      <c r="F41" s="242" t="s">
        <v>3405</v>
      </c>
      <c r="G41" s="253">
        <v>4335635</v>
      </c>
      <c r="H41" s="254" t="s">
        <v>3548</v>
      </c>
      <c r="J41" s="245"/>
    </row>
    <row r="42" spans="1:10" ht="15" customHeight="1">
      <c r="A42" s="251">
        <v>39</v>
      </c>
      <c r="B42" s="252">
        <v>52313</v>
      </c>
      <c r="C42" s="242" t="s">
        <v>3549</v>
      </c>
      <c r="D42" s="242" t="s">
        <v>3550</v>
      </c>
      <c r="E42" s="242" t="s">
        <v>3551</v>
      </c>
      <c r="F42" s="242" t="s">
        <v>3405</v>
      </c>
      <c r="G42" s="253">
        <v>5475139</v>
      </c>
      <c r="H42" s="254">
        <v>38617796847</v>
      </c>
      <c r="J42" s="245"/>
    </row>
    <row r="43" spans="1:10" s="245" customFormat="1" ht="15" customHeight="1">
      <c r="A43" s="239">
        <v>40</v>
      </c>
      <c r="B43" s="247">
        <v>721</v>
      </c>
      <c r="C43" s="248" t="s">
        <v>3552</v>
      </c>
      <c r="D43" s="242" t="s">
        <v>3553</v>
      </c>
      <c r="E43" s="248" t="s">
        <v>3554</v>
      </c>
      <c r="F43" s="248" t="s">
        <v>3405</v>
      </c>
      <c r="G43" s="249">
        <v>3230040</v>
      </c>
      <c r="H43" s="250" t="s">
        <v>3555</v>
      </c>
    </row>
    <row r="44" spans="1:10" s="245" customFormat="1" ht="15" customHeight="1">
      <c r="A44" s="239">
        <v>41</v>
      </c>
      <c r="B44" s="247">
        <v>47852</v>
      </c>
      <c r="C44" s="248" t="s">
        <v>3556</v>
      </c>
      <c r="D44" s="242" t="s">
        <v>3557</v>
      </c>
      <c r="E44" s="248" t="s">
        <v>3558</v>
      </c>
      <c r="F44" s="248" t="s">
        <v>3405</v>
      </c>
      <c r="G44" s="249">
        <v>1850113</v>
      </c>
      <c r="H44" s="250" t="s">
        <v>3559</v>
      </c>
    </row>
    <row r="45" spans="1:10" s="245" customFormat="1" ht="15.75" customHeight="1">
      <c r="A45" s="239">
        <v>42</v>
      </c>
      <c r="B45" s="247">
        <v>756</v>
      </c>
      <c r="C45" s="248" t="s">
        <v>3560</v>
      </c>
      <c r="D45" s="242" t="s">
        <v>3561</v>
      </c>
      <c r="E45" s="248" t="s">
        <v>3562</v>
      </c>
      <c r="F45" s="248" t="s">
        <v>3405</v>
      </c>
      <c r="G45" s="249">
        <v>931608</v>
      </c>
      <c r="H45" s="250" t="s">
        <v>3563</v>
      </c>
    </row>
    <row r="46" spans="1:10" s="245" customFormat="1" ht="15" customHeight="1">
      <c r="A46" s="251">
        <v>43</v>
      </c>
      <c r="B46" s="252">
        <v>789</v>
      </c>
      <c r="C46" s="242" t="s">
        <v>3564</v>
      </c>
      <c r="D46" s="242" t="s">
        <v>3565</v>
      </c>
      <c r="E46" s="242" t="s">
        <v>3566</v>
      </c>
      <c r="F46" s="242" t="s">
        <v>3567</v>
      </c>
      <c r="G46" s="253">
        <v>3316734</v>
      </c>
      <c r="H46" s="254" t="s">
        <v>3568</v>
      </c>
    </row>
    <row r="47" spans="1:10" s="245" customFormat="1" ht="15" customHeight="1">
      <c r="A47" s="251">
        <v>44</v>
      </c>
      <c r="B47" s="252">
        <v>797</v>
      </c>
      <c r="C47" s="242" t="s">
        <v>3569</v>
      </c>
      <c r="D47" s="242" t="s">
        <v>3570</v>
      </c>
      <c r="E47" s="242" t="s">
        <v>3571</v>
      </c>
      <c r="F47" s="242" t="s">
        <v>3572</v>
      </c>
      <c r="G47" s="253">
        <v>3303870</v>
      </c>
      <c r="H47" s="254" t="s">
        <v>3573</v>
      </c>
    </row>
    <row r="48" spans="1:10" s="245" customFormat="1" ht="15" customHeight="1">
      <c r="A48" s="251">
        <v>45</v>
      </c>
      <c r="B48" s="252">
        <v>23577</v>
      </c>
      <c r="C48" s="242" t="s">
        <v>3574</v>
      </c>
      <c r="D48" s="242" t="s">
        <v>3575</v>
      </c>
      <c r="E48" s="242" t="s">
        <v>3576</v>
      </c>
      <c r="F48" s="242" t="s">
        <v>3577</v>
      </c>
      <c r="G48" s="253">
        <v>1475444</v>
      </c>
      <c r="H48" s="254" t="s">
        <v>3578</v>
      </c>
    </row>
    <row r="49" spans="1:8" s="245" customFormat="1" ht="15" customHeight="1">
      <c r="A49" s="251">
        <v>46</v>
      </c>
      <c r="B49" s="252">
        <v>801</v>
      </c>
      <c r="C49" s="242" t="s">
        <v>3579</v>
      </c>
      <c r="D49" s="242" t="s">
        <v>3580</v>
      </c>
      <c r="E49" s="242" t="s">
        <v>3581</v>
      </c>
      <c r="F49" s="242" t="s">
        <v>3582</v>
      </c>
      <c r="G49" s="253">
        <v>3123367</v>
      </c>
      <c r="H49" s="254" t="s">
        <v>3583</v>
      </c>
    </row>
    <row r="50" spans="1:8" s="245" customFormat="1" ht="15" customHeight="1">
      <c r="A50" s="251">
        <v>47</v>
      </c>
      <c r="B50" s="252">
        <v>810</v>
      </c>
      <c r="C50" s="242" t="s">
        <v>3584</v>
      </c>
      <c r="D50" s="242" t="s">
        <v>3585</v>
      </c>
      <c r="E50" s="242" t="s">
        <v>3586</v>
      </c>
      <c r="F50" s="242" t="s">
        <v>3587</v>
      </c>
      <c r="G50" s="253">
        <v>3014223</v>
      </c>
      <c r="H50" s="254" t="s">
        <v>3588</v>
      </c>
    </row>
    <row r="51" spans="1:8" s="245" customFormat="1" ht="15" customHeight="1">
      <c r="A51" s="251">
        <v>48</v>
      </c>
      <c r="B51" s="252">
        <v>828</v>
      </c>
      <c r="C51" s="242" t="s">
        <v>3589</v>
      </c>
      <c r="D51" s="242" t="s">
        <v>3590</v>
      </c>
      <c r="E51" s="242" t="s">
        <v>3591</v>
      </c>
      <c r="F51" s="242" t="s">
        <v>3592</v>
      </c>
      <c r="G51" s="253">
        <v>3089240</v>
      </c>
      <c r="H51" s="254" t="s">
        <v>3593</v>
      </c>
    </row>
    <row r="52" spans="1:8" s="245" customFormat="1" ht="15" customHeight="1">
      <c r="A52" s="251">
        <v>49</v>
      </c>
      <c r="B52" s="252">
        <v>836</v>
      </c>
      <c r="C52" s="242" t="s">
        <v>3594</v>
      </c>
      <c r="D52" s="242" t="s">
        <v>3595</v>
      </c>
      <c r="E52" s="242" t="s">
        <v>3596</v>
      </c>
      <c r="F52" s="242" t="s">
        <v>22</v>
      </c>
      <c r="G52" s="253">
        <v>3321088</v>
      </c>
      <c r="H52" s="254" t="s">
        <v>3597</v>
      </c>
    </row>
    <row r="53" spans="1:8" s="245" customFormat="1" ht="15" customHeight="1">
      <c r="A53" s="251">
        <v>50</v>
      </c>
      <c r="B53" s="252">
        <v>844</v>
      </c>
      <c r="C53" s="242" t="s">
        <v>3598</v>
      </c>
      <c r="D53" s="242" t="s">
        <v>3599</v>
      </c>
      <c r="E53" s="242" t="s">
        <v>3600</v>
      </c>
      <c r="F53" s="242" t="s">
        <v>3601</v>
      </c>
      <c r="G53" s="253">
        <v>3313824</v>
      </c>
      <c r="H53" s="254" t="s">
        <v>3602</v>
      </c>
    </row>
    <row r="54" spans="1:8" s="245" customFormat="1" ht="15" customHeight="1">
      <c r="A54" s="251">
        <v>51</v>
      </c>
      <c r="B54" s="252">
        <v>852</v>
      </c>
      <c r="C54" s="242" t="s">
        <v>3603</v>
      </c>
      <c r="D54" s="242" t="s">
        <v>3604</v>
      </c>
      <c r="E54" s="242" t="s">
        <v>3605</v>
      </c>
      <c r="F54" s="242" t="s">
        <v>3606</v>
      </c>
      <c r="G54" s="253">
        <v>3071162</v>
      </c>
      <c r="H54" s="254" t="s">
        <v>3607</v>
      </c>
    </row>
    <row r="55" spans="1:8" s="245" customFormat="1" ht="15" customHeight="1">
      <c r="A55" s="251">
        <v>52</v>
      </c>
      <c r="B55" s="252">
        <v>869</v>
      </c>
      <c r="C55" s="242" t="s">
        <v>3608</v>
      </c>
      <c r="D55" s="242" t="s">
        <v>3609</v>
      </c>
      <c r="E55" s="242" t="s">
        <v>3610</v>
      </c>
      <c r="F55" s="242" t="s">
        <v>3611</v>
      </c>
      <c r="G55" s="253">
        <v>3118452</v>
      </c>
      <c r="H55" s="254" t="s">
        <v>3612</v>
      </c>
    </row>
    <row r="56" spans="1:8" s="245" customFormat="1" ht="15" customHeight="1">
      <c r="A56" s="251">
        <v>53</v>
      </c>
      <c r="B56" s="252">
        <v>43915</v>
      </c>
      <c r="C56" s="242" t="s">
        <v>3613</v>
      </c>
      <c r="D56" s="242" t="s">
        <v>3614</v>
      </c>
      <c r="E56" s="242" t="s">
        <v>3615</v>
      </c>
      <c r="F56" s="242" t="s">
        <v>3616</v>
      </c>
      <c r="G56" s="253">
        <v>2435411</v>
      </c>
      <c r="H56" s="254" t="s">
        <v>3617</v>
      </c>
    </row>
    <row r="57" spans="1:8" s="245" customFormat="1" ht="15" customHeight="1">
      <c r="A57" s="251">
        <v>54</v>
      </c>
      <c r="B57" s="252">
        <v>877</v>
      </c>
      <c r="C57" s="242" t="s">
        <v>3618</v>
      </c>
      <c r="D57" s="242" t="s">
        <v>3619</v>
      </c>
      <c r="E57" s="242" t="s">
        <v>3620</v>
      </c>
      <c r="F57" s="242" t="s">
        <v>3621</v>
      </c>
      <c r="G57" s="253">
        <v>3006166</v>
      </c>
      <c r="H57" s="254" t="s">
        <v>3622</v>
      </c>
    </row>
    <row r="58" spans="1:8" s="245" customFormat="1" ht="15" customHeight="1">
      <c r="A58" s="251">
        <v>55</v>
      </c>
      <c r="B58" s="252">
        <v>44493</v>
      </c>
      <c r="C58" s="242" t="s">
        <v>3623</v>
      </c>
      <c r="D58" s="242" t="s">
        <v>3624</v>
      </c>
      <c r="E58" s="242" t="s">
        <v>3625</v>
      </c>
      <c r="F58" s="242" t="s">
        <v>3626</v>
      </c>
      <c r="G58" s="253">
        <v>2494841</v>
      </c>
      <c r="H58" s="254" t="s">
        <v>3627</v>
      </c>
    </row>
    <row r="59" spans="1:8" s="245" customFormat="1" ht="15" customHeight="1">
      <c r="A59" s="251">
        <v>56</v>
      </c>
      <c r="B59" s="252">
        <v>43636</v>
      </c>
      <c r="C59" s="242" t="s">
        <v>3628</v>
      </c>
      <c r="D59" s="242" t="s">
        <v>3629</v>
      </c>
      <c r="E59" s="242" t="s">
        <v>3630</v>
      </c>
      <c r="F59" s="242" t="s">
        <v>3543</v>
      </c>
      <c r="G59" s="253">
        <v>2334712</v>
      </c>
      <c r="H59" s="254" t="s">
        <v>3631</v>
      </c>
    </row>
    <row r="60" spans="1:8" s="245" customFormat="1" ht="15" customHeight="1">
      <c r="A60" s="251">
        <v>57</v>
      </c>
      <c r="B60" s="252">
        <v>885</v>
      </c>
      <c r="C60" s="242" t="s">
        <v>3632</v>
      </c>
      <c r="D60" s="242" t="s">
        <v>3633</v>
      </c>
      <c r="E60" s="242" t="s">
        <v>3634</v>
      </c>
      <c r="F60" s="242" t="s">
        <v>3635</v>
      </c>
      <c r="G60" s="253">
        <v>3142019</v>
      </c>
      <c r="H60" s="254" t="s">
        <v>3636</v>
      </c>
    </row>
    <row r="61" spans="1:8" s="245" customFormat="1" ht="15" customHeight="1">
      <c r="A61" s="251">
        <v>58</v>
      </c>
      <c r="B61" s="252">
        <v>893</v>
      </c>
      <c r="C61" s="242" t="s">
        <v>3637</v>
      </c>
      <c r="D61" s="242" t="s">
        <v>3638</v>
      </c>
      <c r="E61" s="242" t="s">
        <v>3639</v>
      </c>
      <c r="F61" s="242" t="s">
        <v>3405</v>
      </c>
      <c r="G61" s="253">
        <v>3224953</v>
      </c>
      <c r="H61" s="254" t="s">
        <v>3640</v>
      </c>
    </row>
    <row r="62" spans="1:8" s="245" customFormat="1" ht="15" customHeight="1">
      <c r="A62" s="251">
        <v>59</v>
      </c>
      <c r="B62" s="252">
        <v>43644</v>
      </c>
      <c r="C62" s="242" t="s">
        <v>3641</v>
      </c>
      <c r="D62" s="242" t="s">
        <v>3642</v>
      </c>
      <c r="E62" s="242" t="s">
        <v>3643</v>
      </c>
      <c r="F62" s="242" t="s">
        <v>3644</v>
      </c>
      <c r="G62" s="253">
        <v>2326086</v>
      </c>
      <c r="H62" s="254" t="s">
        <v>3645</v>
      </c>
    </row>
    <row r="63" spans="1:8" s="245" customFormat="1" ht="15" customHeight="1">
      <c r="A63" s="251">
        <v>60</v>
      </c>
      <c r="B63" s="252">
        <v>764</v>
      </c>
      <c r="C63" s="242" t="s">
        <v>3646</v>
      </c>
      <c r="D63" s="242" t="s">
        <v>3647</v>
      </c>
      <c r="E63" s="242" t="s">
        <v>3648</v>
      </c>
      <c r="F63" s="242" t="s">
        <v>3405</v>
      </c>
      <c r="G63" s="253">
        <v>3205380</v>
      </c>
      <c r="H63" s="254" t="s">
        <v>3649</v>
      </c>
    </row>
    <row r="64" spans="1:8" s="245" customFormat="1" ht="15" customHeight="1">
      <c r="A64" s="251">
        <v>61</v>
      </c>
      <c r="B64" s="252">
        <v>40623</v>
      </c>
      <c r="C64" s="242" t="s">
        <v>3650</v>
      </c>
      <c r="D64" s="242" t="s">
        <v>3651</v>
      </c>
      <c r="E64" s="242" t="s">
        <v>3652</v>
      </c>
      <c r="F64" s="242" t="s">
        <v>3405</v>
      </c>
      <c r="G64" s="253">
        <v>1909592</v>
      </c>
      <c r="H64" s="254" t="s">
        <v>3653</v>
      </c>
    </row>
    <row r="65" spans="1:8" s="245" customFormat="1" ht="15" customHeight="1">
      <c r="A65" s="251">
        <v>62</v>
      </c>
      <c r="B65" s="252">
        <v>924</v>
      </c>
      <c r="C65" s="242" t="s">
        <v>3654</v>
      </c>
      <c r="D65" s="242" t="s">
        <v>3655</v>
      </c>
      <c r="E65" s="242" t="s">
        <v>3656</v>
      </c>
      <c r="F65" s="242" t="s">
        <v>3657</v>
      </c>
      <c r="G65" s="253">
        <v>3203727</v>
      </c>
      <c r="H65" s="254" t="s">
        <v>3658</v>
      </c>
    </row>
    <row r="66" spans="1:8" s="245" customFormat="1" ht="15" customHeight="1">
      <c r="A66" s="251">
        <v>63</v>
      </c>
      <c r="B66" s="252">
        <v>40631</v>
      </c>
      <c r="C66" s="242" t="s">
        <v>3659</v>
      </c>
      <c r="D66" s="242" t="s">
        <v>3660</v>
      </c>
      <c r="E66" s="242" t="s">
        <v>3661</v>
      </c>
      <c r="F66" s="242" t="s">
        <v>3662</v>
      </c>
      <c r="G66" s="253">
        <v>2071061</v>
      </c>
      <c r="H66" s="254" t="s">
        <v>3663</v>
      </c>
    </row>
    <row r="67" spans="1:8" s="245" customFormat="1" ht="15" customHeight="1">
      <c r="A67" s="251">
        <v>64</v>
      </c>
      <c r="B67" s="252">
        <v>50090</v>
      </c>
      <c r="C67" s="242" t="s">
        <v>3664</v>
      </c>
      <c r="D67" s="242" t="s">
        <v>3665</v>
      </c>
      <c r="E67" s="242" t="s">
        <v>3666</v>
      </c>
      <c r="F67" s="242" t="s">
        <v>3587</v>
      </c>
      <c r="G67" s="253">
        <v>4857283</v>
      </c>
      <c r="H67" s="254" t="s">
        <v>3667</v>
      </c>
    </row>
    <row r="68" spans="1:8" s="245" customFormat="1" ht="15" customHeight="1">
      <c r="A68" s="251">
        <v>65</v>
      </c>
      <c r="B68" s="252">
        <v>908</v>
      </c>
      <c r="C68" s="242" t="s">
        <v>3668</v>
      </c>
      <c r="D68" s="242" t="s">
        <v>3669</v>
      </c>
      <c r="E68" s="242" t="s">
        <v>3670</v>
      </c>
      <c r="F68" s="242" t="s">
        <v>3611</v>
      </c>
      <c r="G68" s="253">
        <v>3118380</v>
      </c>
      <c r="H68" s="254" t="s">
        <v>3671</v>
      </c>
    </row>
    <row r="69" spans="1:8" s="245" customFormat="1" ht="15" customHeight="1">
      <c r="A69" s="251">
        <v>66</v>
      </c>
      <c r="B69" s="252">
        <v>916</v>
      </c>
      <c r="C69" s="242" t="s">
        <v>3672</v>
      </c>
      <c r="D69" s="242" t="s">
        <v>3673</v>
      </c>
      <c r="E69" s="242" t="s">
        <v>3674</v>
      </c>
      <c r="F69" s="242" t="s">
        <v>3675</v>
      </c>
      <c r="G69" s="253">
        <v>3132170</v>
      </c>
      <c r="H69" s="254" t="s">
        <v>3676</v>
      </c>
    </row>
    <row r="70" spans="1:8" s="245" customFormat="1" ht="15" customHeight="1">
      <c r="A70" s="251">
        <v>67</v>
      </c>
      <c r="B70" s="252">
        <v>932</v>
      </c>
      <c r="C70" s="242" t="s">
        <v>3677</v>
      </c>
      <c r="D70" s="242" t="s">
        <v>3678</v>
      </c>
      <c r="E70" s="242" t="s">
        <v>3679</v>
      </c>
      <c r="F70" s="242" t="s">
        <v>3680</v>
      </c>
      <c r="G70" s="253">
        <v>3125483</v>
      </c>
      <c r="H70" s="254" t="s">
        <v>3681</v>
      </c>
    </row>
    <row r="71" spans="1:8" s="245" customFormat="1" ht="15" customHeight="1">
      <c r="A71" s="251">
        <v>68</v>
      </c>
      <c r="B71" s="252">
        <v>22242</v>
      </c>
      <c r="C71" s="259" t="s">
        <v>3682</v>
      </c>
      <c r="D71" s="242" t="s">
        <v>3683</v>
      </c>
      <c r="E71" s="259" t="s">
        <v>3684</v>
      </c>
      <c r="F71" s="259" t="s">
        <v>3405</v>
      </c>
      <c r="G71" s="260">
        <v>1426672</v>
      </c>
      <c r="H71" s="254" t="s">
        <v>3685</v>
      </c>
    </row>
    <row r="72" spans="1:8" s="245" customFormat="1" ht="15" customHeight="1">
      <c r="A72" s="251">
        <v>69</v>
      </c>
      <c r="B72" s="252">
        <v>6146</v>
      </c>
      <c r="C72" s="242" t="s">
        <v>3686</v>
      </c>
      <c r="D72" s="242" t="s">
        <v>3687</v>
      </c>
      <c r="E72" s="242" t="s">
        <v>3688</v>
      </c>
      <c r="F72" s="242" t="s">
        <v>3405</v>
      </c>
      <c r="G72" s="253">
        <v>738751</v>
      </c>
      <c r="H72" s="254" t="s">
        <v>3689</v>
      </c>
    </row>
    <row r="73" spans="1:8" s="245" customFormat="1" ht="15" customHeight="1">
      <c r="A73" s="251">
        <v>70</v>
      </c>
      <c r="B73" s="252">
        <v>43907</v>
      </c>
      <c r="C73" s="242" t="s">
        <v>3690</v>
      </c>
      <c r="D73" s="242" t="s">
        <v>3691</v>
      </c>
      <c r="E73" s="242" t="s">
        <v>3692</v>
      </c>
      <c r="F73" s="242" t="s">
        <v>49</v>
      </c>
      <c r="G73" s="253">
        <v>2298651</v>
      </c>
      <c r="H73" s="254" t="s">
        <v>3693</v>
      </c>
    </row>
    <row r="74" spans="1:8" s="245" customFormat="1" ht="15" customHeight="1">
      <c r="A74" s="251">
        <v>71</v>
      </c>
      <c r="B74" s="252">
        <v>965</v>
      </c>
      <c r="C74" s="242" t="s">
        <v>3694</v>
      </c>
      <c r="D74" s="242" t="s">
        <v>3695</v>
      </c>
      <c r="E74" s="242" t="s">
        <v>3696</v>
      </c>
      <c r="F74" s="242" t="s">
        <v>3405</v>
      </c>
      <c r="G74" s="253">
        <v>3212084</v>
      </c>
      <c r="H74" s="254" t="s">
        <v>3697</v>
      </c>
    </row>
    <row r="75" spans="1:8" s="245" customFormat="1" ht="15" customHeight="1">
      <c r="A75" s="251">
        <v>72</v>
      </c>
      <c r="B75" s="252">
        <v>40682</v>
      </c>
      <c r="C75" s="242" t="s">
        <v>3698</v>
      </c>
      <c r="D75" s="242" t="s">
        <v>3699</v>
      </c>
      <c r="E75" s="261" t="s">
        <v>3700</v>
      </c>
      <c r="F75" s="242" t="s">
        <v>3405</v>
      </c>
      <c r="G75" s="260">
        <v>1783815</v>
      </c>
      <c r="H75" s="254" t="s">
        <v>3701</v>
      </c>
    </row>
    <row r="76" spans="1:8" s="245" customFormat="1" ht="15" customHeight="1">
      <c r="A76" s="251">
        <v>73</v>
      </c>
      <c r="B76" s="252">
        <v>23593</v>
      </c>
      <c r="C76" s="242" t="s">
        <v>3702</v>
      </c>
      <c r="D76" s="242" t="s">
        <v>3703</v>
      </c>
      <c r="E76" s="242" t="s">
        <v>3704</v>
      </c>
      <c r="F76" s="242" t="s">
        <v>3705</v>
      </c>
      <c r="G76" s="253">
        <v>3201678</v>
      </c>
      <c r="H76" s="254" t="s">
        <v>3706</v>
      </c>
    </row>
    <row r="77" spans="1:8" s="245" customFormat="1" ht="15" customHeight="1">
      <c r="A77" s="251">
        <v>74</v>
      </c>
      <c r="B77" s="252">
        <v>22347</v>
      </c>
      <c r="C77" s="242" t="s">
        <v>3707</v>
      </c>
      <c r="D77" s="242" t="s">
        <v>3708</v>
      </c>
      <c r="E77" s="242" t="s">
        <v>3709</v>
      </c>
      <c r="F77" s="242" t="s">
        <v>3405</v>
      </c>
      <c r="G77" s="253">
        <v>1425684</v>
      </c>
      <c r="H77" s="254" t="s">
        <v>3710</v>
      </c>
    </row>
    <row r="78" spans="1:8" s="245" customFormat="1" ht="15" customHeight="1">
      <c r="A78" s="251">
        <v>75</v>
      </c>
      <c r="B78" s="252">
        <v>973</v>
      </c>
      <c r="C78" s="242" t="s">
        <v>3711</v>
      </c>
      <c r="D78" s="242" t="s">
        <v>3712</v>
      </c>
      <c r="E78" s="242" t="s">
        <v>3713</v>
      </c>
      <c r="F78" s="242" t="s">
        <v>3405</v>
      </c>
      <c r="G78" s="253">
        <v>3205240</v>
      </c>
      <c r="H78" s="254" t="s">
        <v>3714</v>
      </c>
    </row>
    <row r="79" spans="1:8" s="245" customFormat="1" ht="15" customHeight="1">
      <c r="A79" s="251">
        <v>76</v>
      </c>
      <c r="B79" s="252">
        <v>42112</v>
      </c>
      <c r="C79" s="242" t="s">
        <v>3715</v>
      </c>
      <c r="D79" s="242" t="s">
        <v>3716</v>
      </c>
      <c r="E79" s="242" t="s">
        <v>3717</v>
      </c>
      <c r="F79" s="242" t="s">
        <v>3635</v>
      </c>
      <c r="G79" s="253">
        <v>2106698</v>
      </c>
      <c r="H79" s="254" t="s">
        <v>3718</v>
      </c>
    </row>
    <row r="80" spans="1:8" s="245" customFormat="1" ht="15" customHeight="1">
      <c r="A80" s="251">
        <v>77</v>
      </c>
      <c r="B80" s="252">
        <v>990</v>
      </c>
      <c r="C80" s="242" t="s">
        <v>3719</v>
      </c>
      <c r="D80" s="242" t="s">
        <v>3720</v>
      </c>
      <c r="E80" s="242" t="s">
        <v>3721</v>
      </c>
      <c r="F80" s="242" t="s">
        <v>3611</v>
      </c>
      <c r="G80" s="253">
        <v>3119904</v>
      </c>
      <c r="H80" s="254" t="s">
        <v>3722</v>
      </c>
    </row>
    <row r="81" spans="1:10" s="245" customFormat="1" ht="15" customHeight="1">
      <c r="A81" s="251">
        <v>78</v>
      </c>
      <c r="B81" s="252">
        <v>1011</v>
      </c>
      <c r="C81" s="242" t="s">
        <v>3723</v>
      </c>
      <c r="D81" s="242" t="s">
        <v>3724</v>
      </c>
      <c r="E81" s="242" t="s">
        <v>3725</v>
      </c>
      <c r="F81" s="242" t="s">
        <v>3726</v>
      </c>
      <c r="G81" s="253">
        <v>207349</v>
      </c>
      <c r="H81" s="254" t="s">
        <v>3727</v>
      </c>
    </row>
    <row r="82" spans="1:10" s="245" customFormat="1" ht="15" customHeight="1">
      <c r="A82" s="251">
        <v>79</v>
      </c>
      <c r="B82" s="252">
        <v>1003</v>
      </c>
      <c r="C82" s="242" t="s">
        <v>3728</v>
      </c>
      <c r="D82" s="242" t="s">
        <v>3729</v>
      </c>
      <c r="E82" s="242" t="s">
        <v>3730</v>
      </c>
      <c r="F82" s="242" t="s">
        <v>3587</v>
      </c>
      <c r="G82" s="253">
        <v>3014207</v>
      </c>
      <c r="H82" s="254" t="s">
        <v>3731</v>
      </c>
    </row>
    <row r="83" spans="1:10" s="245" customFormat="1" ht="15" customHeight="1">
      <c r="A83" s="251">
        <v>80</v>
      </c>
      <c r="B83" s="252">
        <v>47908</v>
      </c>
      <c r="C83" s="242" t="s">
        <v>3732</v>
      </c>
      <c r="D83" s="242" t="s">
        <v>3733</v>
      </c>
      <c r="E83" s="242" t="s">
        <v>3734</v>
      </c>
      <c r="F83" s="242" t="s">
        <v>3543</v>
      </c>
      <c r="G83" s="253">
        <v>4016408</v>
      </c>
      <c r="H83" s="254" t="s">
        <v>3735</v>
      </c>
    </row>
    <row r="84" spans="1:10" s="245" customFormat="1" ht="15" customHeight="1">
      <c r="A84" s="251">
        <v>81</v>
      </c>
      <c r="B84" s="252">
        <v>949</v>
      </c>
      <c r="C84" s="242" t="s">
        <v>3736</v>
      </c>
      <c r="D84" s="242" t="s">
        <v>3737</v>
      </c>
      <c r="E84" s="242" t="s">
        <v>3738</v>
      </c>
      <c r="F84" s="242" t="s">
        <v>3611</v>
      </c>
      <c r="G84" s="253">
        <v>3751783</v>
      </c>
      <c r="H84" s="254" t="s">
        <v>3739</v>
      </c>
    </row>
    <row r="85" spans="1:10" s="245" customFormat="1" ht="15" customHeight="1">
      <c r="A85" s="251">
        <v>82</v>
      </c>
      <c r="B85" s="252">
        <v>1020</v>
      </c>
      <c r="C85" s="242" t="s">
        <v>3740</v>
      </c>
      <c r="D85" s="242" t="s">
        <v>3741</v>
      </c>
      <c r="E85" s="242" t="s">
        <v>3742</v>
      </c>
      <c r="F85" s="242" t="s">
        <v>3405</v>
      </c>
      <c r="G85" s="253">
        <v>3205258</v>
      </c>
      <c r="H85" s="254" t="s">
        <v>3743</v>
      </c>
    </row>
    <row r="86" spans="1:10" s="245" customFormat="1" ht="15" customHeight="1">
      <c r="A86" s="251">
        <v>83</v>
      </c>
      <c r="B86" s="252">
        <v>1038</v>
      </c>
      <c r="C86" s="242" t="s">
        <v>3744</v>
      </c>
      <c r="D86" s="242" t="s">
        <v>3745</v>
      </c>
      <c r="E86" s="242" t="s">
        <v>3746</v>
      </c>
      <c r="F86" s="242" t="s">
        <v>3405</v>
      </c>
      <c r="G86" s="253">
        <v>3270564</v>
      </c>
      <c r="H86" s="254" t="s">
        <v>3747</v>
      </c>
    </row>
    <row r="87" spans="1:10" ht="15" customHeight="1">
      <c r="A87" s="251">
        <v>84</v>
      </c>
      <c r="B87" s="252">
        <v>49075</v>
      </c>
      <c r="C87" s="242" t="s">
        <v>3748</v>
      </c>
      <c r="D87" s="242" t="s">
        <v>3749</v>
      </c>
      <c r="E87" s="242" t="s">
        <v>3750</v>
      </c>
      <c r="F87" s="242" t="s">
        <v>3405</v>
      </c>
      <c r="G87" s="255" t="s">
        <v>3751</v>
      </c>
      <c r="H87" s="254" t="s">
        <v>3752</v>
      </c>
      <c r="J87" s="245"/>
    </row>
    <row r="88" spans="1:10" ht="15" customHeight="1">
      <c r="A88" s="251">
        <v>85</v>
      </c>
      <c r="B88" s="252">
        <v>1046</v>
      </c>
      <c r="C88" s="242" t="s">
        <v>3753</v>
      </c>
      <c r="D88" s="242" t="s">
        <v>3754</v>
      </c>
      <c r="E88" s="242" t="s">
        <v>3755</v>
      </c>
      <c r="F88" s="242" t="s">
        <v>3405</v>
      </c>
      <c r="G88" s="253">
        <v>3213862</v>
      </c>
      <c r="H88" s="254" t="s">
        <v>3756</v>
      </c>
      <c r="J88" s="245"/>
    </row>
    <row r="89" spans="1:10" ht="15" customHeight="1">
      <c r="A89" s="251">
        <v>86</v>
      </c>
      <c r="B89" s="252">
        <v>23585</v>
      </c>
      <c r="C89" s="242" t="s">
        <v>3757</v>
      </c>
      <c r="D89" s="242" t="s">
        <v>3758</v>
      </c>
      <c r="E89" s="242" t="s">
        <v>3759</v>
      </c>
      <c r="F89" s="242" t="s">
        <v>3405</v>
      </c>
      <c r="G89" s="253">
        <v>1494449</v>
      </c>
      <c r="H89" s="254" t="s">
        <v>3760</v>
      </c>
      <c r="J89" s="245"/>
    </row>
    <row r="90" spans="1:10" ht="15" customHeight="1">
      <c r="A90" s="251">
        <v>87</v>
      </c>
      <c r="B90" s="252">
        <v>44926</v>
      </c>
      <c r="C90" s="242" t="s">
        <v>3761</v>
      </c>
      <c r="D90" s="242" t="s">
        <v>3762</v>
      </c>
      <c r="E90" s="242" t="s">
        <v>3763</v>
      </c>
      <c r="F90" s="242" t="s">
        <v>3405</v>
      </c>
      <c r="G90" s="253">
        <v>2275341</v>
      </c>
      <c r="H90" s="254" t="s">
        <v>3764</v>
      </c>
      <c r="J90" s="245"/>
    </row>
    <row r="91" spans="1:10" ht="15" customHeight="1">
      <c r="A91" s="251">
        <v>88</v>
      </c>
      <c r="B91" s="252">
        <v>22339</v>
      </c>
      <c r="C91" s="242" t="s">
        <v>3765</v>
      </c>
      <c r="D91" s="242" t="s">
        <v>3766</v>
      </c>
      <c r="E91" s="242" t="s">
        <v>3767</v>
      </c>
      <c r="F91" s="242" t="s">
        <v>3405</v>
      </c>
      <c r="G91" s="253">
        <v>1250795</v>
      </c>
      <c r="H91" s="254" t="s">
        <v>3768</v>
      </c>
      <c r="J91" s="245"/>
    </row>
    <row r="92" spans="1:10" ht="15" customHeight="1">
      <c r="A92" s="251">
        <v>89</v>
      </c>
      <c r="B92" s="252">
        <v>25878</v>
      </c>
      <c r="C92" s="242" t="s">
        <v>3769</v>
      </c>
      <c r="D92" s="242" t="s">
        <v>3770</v>
      </c>
      <c r="E92" s="242" t="s">
        <v>3771</v>
      </c>
      <c r="F92" s="242" t="s">
        <v>3405</v>
      </c>
      <c r="G92" s="253">
        <v>3205479</v>
      </c>
      <c r="H92" s="254" t="s">
        <v>3772</v>
      </c>
      <c r="J92" s="245"/>
    </row>
    <row r="93" spans="1:10" ht="15" customHeight="1">
      <c r="A93" s="251">
        <v>90</v>
      </c>
      <c r="B93" s="252">
        <v>45189</v>
      </c>
      <c r="C93" s="242" t="s">
        <v>3773</v>
      </c>
      <c r="D93" s="242" t="s">
        <v>3774</v>
      </c>
      <c r="E93" s="242" t="s">
        <v>3775</v>
      </c>
      <c r="F93" s="242" t="s">
        <v>3635</v>
      </c>
      <c r="G93" s="253">
        <v>2479184</v>
      </c>
      <c r="H93" s="254" t="s">
        <v>3776</v>
      </c>
      <c r="J93" s="245"/>
    </row>
    <row r="94" spans="1:10" s="245" customFormat="1" ht="15" customHeight="1">
      <c r="A94" s="239">
        <v>91</v>
      </c>
      <c r="B94" s="247">
        <v>1079</v>
      </c>
      <c r="C94" s="248" t="s">
        <v>3777</v>
      </c>
      <c r="D94" s="242" t="s">
        <v>3778</v>
      </c>
      <c r="E94" s="248" t="s">
        <v>3779</v>
      </c>
      <c r="F94" s="248" t="s">
        <v>3405</v>
      </c>
      <c r="G94" s="249">
        <v>3271005</v>
      </c>
      <c r="H94" s="250" t="s">
        <v>3780</v>
      </c>
    </row>
    <row r="95" spans="1:10" ht="15" customHeight="1">
      <c r="A95" s="251">
        <v>92</v>
      </c>
      <c r="B95" s="252">
        <v>45927</v>
      </c>
      <c r="C95" s="242" t="s">
        <v>3781</v>
      </c>
      <c r="D95" s="242" t="s">
        <v>3782</v>
      </c>
      <c r="E95" s="242" t="s">
        <v>3783</v>
      </c>
      <c r="F95" s="262" t="s">
        <v>3405</v>
      </c>
      <c r="G95" s="253">
        <v>2593262</v>
      </c>
      <c r="H95" s="254" t="s">
        <v>3784</v>
      </c>
      <c r="J95" s="245"/>
    </row>
    <row r="96" spans="1:10" ht="15" customHeight="1">
      <c r="A96" s="251">
        <v>93</v>
      </c>
      <c r="B96" s="252">
        <v>44565</v>
      </c>
      <c r="C96" s="242" t="s">
        <v>3785</v>
      </c>
      <c r="D96" s="242" t="s">
        <v>3786</v>
      </c>
      <c r="E96" s="262" t="s">
        <v>3787</v>
      </c>
      <c r="F96" s="262" t="s">
        <v>3587</v>
      </c>
      <c r="G96" s="253">
        <v>2528614</v>
      </c>
      <c r="H96" s="254" t="s">
        <v>3788</v>
      </c>
      <c r="J96" s="245"/>
    </row>
    <row r="97" spans="1:10" ht="15" customHeight="1">
      <c r="A97" s="251">
        <v>94</v>
      </c>
      <c r="B97" s="252">
        <v>48103</v>
      </c>
      <c r="C97" s="242" t="s">
        <v>3789</v>
      </c>
      <c r="D97" s="242" t="s">
        <v>3790</v>
      </c>
      <c r="E97" s="262" t="s">
        <v>3791</v>
      </c>
      <c r="F97" s="262" t="s">
        <v>3792</v>
      </c>
      <c r="G97" s="253">
        <v>2725029</v>
      </c>
      <c r="H97" s="254" t="s">
        <v>3793</v>
      </c>
      <c r="J97" s="245"/>
    </row>
    <row r="98" spans="1:10" s="245" customFormat="1" ht="15" customHeight="1">
      <c r="A98" s="239">
        <v>95</v>
      </c>
      <c r="B98" s="247">
        <v>47123</v>
      </c>
      <c r="C98" s="248" t="s">
        <v>3794</v>
      </c>
      <c r="D98" s="242" t="s">
        <v>3795</v>
      </c>
      <c r="E98" s="248" t="s">
        <v>3796</v>
      </c>
      <c r="F98" s="248" t="s">
        <v>3405</v>
      </c>
      <c r="G98" s="249">
        <v>2830442</v>
      </c>
      <c r="H98" s="250" t="s">
        <v>3797</v>
      </c>
    </row>
    <row r="99" spans="1:10" ht="15" customHeight="1">
      <c r="A99" s="251">
        <v>96</v>
      </c>
      <c r="B99" s="252">
        <v>46366</v>
      </c>
      <c r="C99" s="242" t="s">
        <v>3798</v>
      </c>
      <c r="D99" s="242" t="s">
        <v>3799</v>
      </c>
      <c r="E99" s="242" t="s">
        <v>3800</v>
      </c>
      <c r="F99" s="242" t="s">
        <v>3543</v>
      </c>
      <c r="G99" s="253">
        <v>1606492</v>
      </c>
      <c r="H99" s="254" t="s">
        <v>3801</v>
      </c>
      <c r="J99" s="245"/>
    </row>
    <row r="100" spans="1:10" ht="15" customHeight="1">
      <c r="A100" s="251">
        <v>97</v>
      </c>
      <c r="B100" s="252">
        <v>43255</v>
      </c>
      <c r="C100" s="242" t="s">
        <v>3802</v>
      </c>
      <c r="D100" s="242" t="s">
        <v>3803</v>
      </c>
      <c r="E100" s="242" t="s">
        <v>3804</v>
      </c>
      <c r="F100" s="242" t="s">
        <v>3405</v>
      </c>
      <c r="G100" s="253">
        <v>2288028</v>
      </c>
      <c r="H100" s="254" t="s">
        <v>3805</v>
      </c>
      <c r="J100" s="245"/>
    </row>
    <row r="101" spans="1:10" s="245" customFormat="1" ht="15" customHeight="1">
      <c r="A101" s="239">
        <v>98</v>
      </c>
      <c r="B101" s="247">
        <v>1087</v>
      </c>
      <c r="C101" s="248" t="s">
        <v>3806</v>
      </c>
      <c r="D101" s="242" t="s">
        <v>154</v>
      </c>
      <c r="E101" s="248" t="s">
        <v>3807</v>
      </c>
      <c r="F101" s="248" t="s">
        <v>3405</v>
      </c>
      <c r="G101" s="249">
        <v>3277097</v>
      </c>
      <c r="H101" s="250" t="s">
        <v>3808</v>
      </c>
    </row>
    <row r="102" spans="1:10" ht="15" customHeight="1">
      <c r="A102" s="251">
        <v>99</v>
      </c>
      <c r="B102" s="252">
        <v>41546</v>
      </c>
      <c r="C102" s="242" t="s">
        <v>3809</v>
      </c>
      <c r="D102" s="242" t="s">
        <v>3810</v>
      </c>
      <c r="E102" s="242" t="s">
        <v>3811</v>
      </c>
      <c r="F102" s="242" t="s">
        <v>3611</v>
      </c>
      <c r="G102" s="253">
        <v>2097958</v>
      </c>
      <c r="H102" s="254" t="s">
        <v>3812</v>
      </c>
      <c r="J102" s="245"/>
    </row>
    <row r="103" spans="1:10" ht="15" customHeight="1">
      <c r="A103" s="251">
        <v>100</v>
      </c>
      <c r="B103" s="252">
        <v>48031</v>
      </c>
      <c r="C103" s="242" t="s">
        <v>3813</v>
      </c>
      <c r="D103" s="242" t="s">
        <v>3814</v>
      </c>
      <c r="E103" s="242" t="s">
        <v>3815</v>
      </c>
      <c r="F103" s="242" t="s">
        <v>3405</v>
      </c>
      <c r="G103" s="255" t="s">
        <v>3816</v>
      </c>
      <c r="H103" s="254" t="s">
        <v>3817</v>
      </c>
      <c r="J103" s="245"/>
    </row>
    <row r="104" spans="1:10" ht="15" customHeight="1">
      <c r="A104" s="251">
        <v>101</v>
      </c>
      <c r="B104" s="252">
        <v>45228</v>
      </c>
      <c r="C104" s="242" t="s">
        <v>3818</v>
      </c>
      <c r="D104" s="242" t="s">
        <v>3819</v>
      </c>
      <c r="E104" s="242" t="s">
        <v>3820</v>
      </c>
      <c r="F104" s="242" t="s">
        <v>3405</v>
      </c>
      <c r="G104" s="253">
        <v>2559633</v>
      </c>
      <c r="H104" s="254" t="s">
        <v>3821</v>
      </c>
      <c r="J104" s="245"/>
    </row>
    <row r="105" spans="1:10" ht="15" customHeight="1">
      <c r="A105" s="251">
        <v>102</v>
      </c>
      <c r="B105" s="252">
        <v>49083</v>
      </c>
      <c r="C105" s="242" t="s">
        <v>3822</v>
      </c>
      <c r="D105" s="242" t="s">
        <v>3823</v>
      </c>
      <c r="E105" s="242" t="s">
        <v>3804</v>
      </c>
      <c r="F105" s="242" t="s">
        <v>3405</v>
      </c>
      <c r="G105" s="255" t="s">
        <v>3824</v>
      </c>
      <c r="H105" s="254" t="s">
        <v>3825</v>
      </c>
      <c r="J105" s="245"/>
    </row>
    <row r="106" spans="1:10" ht="15" customHeight="1">
      <c r="A106" s="251">
        <v>103</v>
      </c>
      <c r="B106" s="252">
        <v>6066</v>
      </c>
      <c r="C106" s="242" t="s">
        <v>3826</v>
      </c>
      <c r="D106" s="242" t="s">
        <v>3827</v>
      </c>
      <c r="E106" s="242" t="s">
        <v>3828</v>
      </c>
      <c r="F106" s="242" t="s">
        <v>3611</v>
      </c>
      <c r="G106" s="253">
        <v>3878724</v>
      </c>
      <c r="H106" s="254" t="s">
        <v>3829</v>
      </c>
      <c r="J106" s="245"/>
    </row>
    <row r="107" spans="1:10" ht="15" customHeight="1">
      <c r="A107" s="251">
        <v>104</v>
      </c>
      <c r="B107" s="252">
        <v>45902</v>
      </c>
      <c r="C107" s="242" t="s">
        <v>3830</v>
      </c>
      <c r="D107" s="242" t="s">
        <v>3831</v>
      </c>
      <c r="E107" s="242" t="s">
        <v>3832</v>
      </c>
      <c r="F107" s="242" t="s">
        <v>3833</v>
      </c>
      <c r="G107" s="255">
        <v>1865862</v>
      </c>
      <c r="H107" s="254" t="s">
        <v>3834</v>
      </c>
      <c r="J107" s="245"/>
    </row>
    <row r="108" spans="1:10" ht="15" customHeight="1">
      <c r="A108" s="251">
        <v>105</v>
      </c>
      <c r="B108" s="252">
        <v>51255</v>
      </c>
      <c r="C108" s="242" t="s">
        <v>3835</v>
      </c>
      <c r="D108" s="242" t="s">
        <v>3836</v>
      </c>
      <c r="E108" s="263" t="s">
        <v>3837</v>
      </c>
      <c r="F108" s="263" t="s">
        <v>3601</v>
      </c>
      <c r="G108" s="264" t="s">
        <v>3838</v>
      </c>
      <c r="H108" s="254" t="s">
        <v>3839</v>
      </c>
      <c r="J108" s="245"/>
    </row>
    <row r="109" spans="1:10" ht="15" customHeight="1">
      <c r="A109" s="251">
        <v>106</v>
      </c>
      <c r="B109" s="252">
        <v>51263</v>
      </c>
      <c r="C109" s="242" t="s">
        <v>3840</v>
      </c>
      <c r="D109" s="242" t="s">
        <v>3841</v>
      </c>
      <c r="E109" s="263" t="s">
        <v>3842</v>
      </c>
      <c r="F109" s="263" t="s">
        <v>3606</v>
      </c>
      <c r="G109" s="264" t="s">
        <v>3843</v>
      </c>
      <c r="H109" s="254" t="s">
        <v>3844</v>
      </c>
      <c r="J109" s="245"/>
    </row>
    <row r="110" spans="1:10" ht="15" customHeight="1">
      <c r="A110" s="251">
        <v>107</v>
      </c>
      <c r="B110" s="252">
        <v>51343</v>
      </c>
      <c r="C110" s="242" t="s">
        <v>3845</v>
      </c>
      <c r="D110" s="242" t="s">
        <v>3846</v>
      </c>
      <c r="E110" s="242" t="s">
        <v>3847</v>
      </c>
      <c r="F110" s="242" t="s">
        <v>3572</v>
      </c>
      <c r="G110" s="255" t="s">
        <v>3848</v>
      </c>
      <c r="H110" s="254" t="s">
        <v>3849</v>
      </c>
      <c r="J110" s="245"/>
    </row>
    <row r="111" spans="1:10" ht="15" customHeight="1">
      <c r="A111" s="251">
        <v>108</v>
      </c>
      <c r="B111" s="252">
        <v>51319</v>
      </c>
      <c r="C111" s="242" t="s">
        <v>3850</v>
      </c>
      <c r="D111" s="242" t="s">
        <v>3851</v>
      </c>
      <c r="E111" s="242" t="s">
        <v>3852</v>
      </c>
      <c r="F111" s="242" t="s">
        <v>3587</v>
      </c>
      <c r="G111" s="255" t="s">
        <v>3853</v>
      </c>
      <c r="H111" s="254" t="s">
        <v>3854</v>
      </c>
      <c r="J111" s="245"/>
    </row>
    <row r="112" spans="1:10" ht="15" customHeight="1">
      <c r="A112" s="251">
        <v>109</v>
      </c>
      <c r="B112" s="252">
        <v>51298</v>
      </c>
      <c r="C112" s="242" t="s">
        <v>3855</v>
      </c>
      <c r="D112" s="242" t="s">
        <v>3856</v>
      </c>
      <c r="E112" s="242" t="s">
        <v>3857</v>
      </c>
      <c r="F112" s="242" t="s">
        <v>3858</v>
      </c>
      <c r="G112" s="255" t="s">
        <v>3859</v>
      </c>
      <c r="H112" s="254" t="s">
        <v>3860</v>
      </c>
      <c r="J112" s="245"/>
    </row>
    <row r="113" spans="1:10" ht="15" customHeight="1">
      <c r="A113" s="251">
        <v>110</v>
      </c>
      <c r="B113" s="252">
        <v>51302</v>
      </c>
      <c r="C113" s="242" t="s">
        <v>3861</v>
      </c>
      <c r="D113" s="242" t="s">
        <v>3862</v>
      </c>
      <c r="E113" s="242" t="s">
        <v>3863</v>
      </c>
      <c r="F113" s="242" t="s">
        <v>22</v>
      </c>
      <c r="G113" s="255" t="s">
        <v>3864</v>
      </c>
      <c r="H113" s="254" t="s">
        <v>3865</v>
      </c>
      <c r="J113" s="245"/>
    </row>
    <row r="114" spans="1:10" ht="15" customHeight="1">
      <c r="A114" s="251">
        <v>111</v>
      </c>
      <c r="B114" s="252">
        <v>51327</v>
      </c>
      <c r="C114" s="263" t="s">
        <v>3866</v>
      </c>
      <c r="D114" s="242" t="s">
        <v>3867</v>
      </c>
      <c r="E114" s="263" t="s">
        <v>3868</v>
      </c>
      <c r="F114" s="263" t="s">
        <v>3611</v>
      </c>
      <c r="G114" s="265" t="s">
        <v>3869</v>
      </c>
      <c r="H114" s="254" t="s">
        <v>3870</v>
      </c>
      <c r="J114" s="245"/>
    </row>
    <row r="115" spans="1:10" ht="15" customHeight="1">
      <c r="A115" s="251">
        <v>112</v>
      </c>
      <c r="B115" s="252">
        <v>51335</v>
      </c>
      <c r="C115" s="263" t="s">
        <v>3871</v>
      </c>
      <c r="D115" s="242" t="s">
        <v>3872</v>
      </c>
      <c r="E115" s="263" t="s">
        <v>3873</v>
      </c>
      <c r="F115" s="263" t="s">
        <v>3616</v>
      </c>
      <c r="G115" s="265" t="s">
        <v>3874</v>
      </c>
      <c r="H115" s="254" t="s">
        <v>3875</v>
      </c>
      <c r="J115" s="245"/>
    </row>
    <row r="116" spans="1:10" ht="15" customHeight="1">
      <c r="A116" s="251">
        <v>113</v>
      </c>
      <c r="B116" s="252">
        <v>51280</v>
      </c>
      <c r="C116" s="242" t="s">
        <v>3876</v>
      </c>
      <c r="D116" s="242" t="s">
        <v>3877</v>
      </c>
      <c r="E116" s="242" t="s">
        <v>3878</v>
      </c>
      <c r="F116" s="242" t="s">
        <v>3543</v>
      </c>
      <c r="G116" s="255" t="s">
        <v>3879</v>
      </c>
      <c r="H116" s="254" t="s">
        <v>3880</v>
      </c>
      <c r="J116" s="245"/>
    </row>
    <row r="117" spans="1:10" ht="15" customHeight="1">
      <c r="A117" s="251">
        <v>114</v>
      </c>
      <c r="B117" s="252">
        <v>51271</v>
      </c>
      <c r="C117" s="242" t="s">
        <v>3881</v>
      </c>
      <c r="D117" s="242" t="s">
        <v>3882</v>
      </c>
      <c r="E117" s="242" t="s">
        <v>3883</v>
      </c>
      <c r="F117" s="242" t="s">
        <v>3635</v>
      </c>
      <c r="G117" s="255" t="s">
        <v>3884</v>
      </c>
      <c r="H117" s="254" t="s">
        <v>3885</v>
      </c>
      <c r="J117" s="245"/>
    </row>
    <row r="118" spans="1:10" s="245" customFormat="1" ht="15" customHeight="1">
      <c r="A118" s="239">
        <v>115</v>
      </c>
      <c r="B118" s="247">
        <v>47061</v>
      </c>
      <c r="C118" s="248" t="s">
        <v>3886</v>
      </c>
      <c r="D118" s="242" t="s">
        <v>3887</v>
      </c>
      <c r="E118" s="248" t="s">
        <v>3888</v>
      </c>
      <c r="F118" s="248" t="s">
        <v>3405</v>
      </c>
      <c r="G118" s="249">
        <v>2831317</v>
      </c>
      <c r="H118" s="250" t="s">
        <v>3889</v>
      </c>
    </row>
    <row r="119" spans="1:10" ht="15" customHeight="1">
      <c r="A119" s="251">
        <v>116</v>
      </c>
      <c r="B119" s="252">
        <v>22058</v>
      </c>
      <c r="C119" s="242" t="s">
        <v>3890</v>
      </c>
      <c r="D119" s="242" t="s">
        <v>3891</v>
      </c>
      <c r="E119" s="242" t="s">
        <v>3892</v>
      </c>
      <c r="F119" s="242" t="s">
        <v>3405</v>
      </c>
      <c r="G119" s="253">
        <v>1294164</v>
      </c>
      <c r="H119" s="254" t="s">
        <v>3893</v>
      </c>
      <c r="J119" s="245"/>
    </row>
    <row r="120" spans="1:10" ht="15" customHeight="1">
      <c r="A120" s="251">
        <v>117</v>
      </c>
      <c r="B120" s="252">
        <v>6120</v>
      </c>
      <c r="C120" s="242" t="s">
        <v>3894</v>
      </c>
      <c r="D120" s="242" t="s">
        <v>3895</v>
      </c>
      <c r="E120" s="242" t="s">
        <v>3896</v>
      </c>
      <c r="F120" s="242" t="s">
        <v>3405</v>
      </c>
      <c r="G120" s="253">
        <v>936693</v>
      </c>
      <c r="H120" s="254" t="s">
        <v>3897</v>
      </c>
      <c r="J120" s="245"/>
    </row>
    <row r="121" spans="1:10" ht="22.8">
      <c r="A121" s="251">
        <v>118</v>
      </c>
      <c r="B121" s="252">
        <v>51724</v>
      </c>
      <c r="C121" s="242" t="s">
        <v>3898</v>
      </c>
      <c r="D121" s="242" t="s">
        <v>3899</v>
      </c>
      <c r="E121" s="242" t="s">
        <v>3900</v>
      </c>
      <c r="F121" s="242" t="s">
        <v>3405</v>
      </c>
      <c r="G121" s="253">
        <v>5332494</v>
      </c>
      <c r="H121" s="254" t="s">
        <v>3901</v>
      </c>
      <c r="J121" s="245"/>
    </row>
    <row r="122" spans="1:10" s="245" customFormat="1" ht="15" customHeight="1">
      <c r="A122" s="239">
        <v>119</v>
      </c>
      <c r="B122" s="247">
        <v>47053</v>
      </c>
      <c r="C122" s="248" t="s">
        <v>3902</v>
      </c>
      <c r="D122" s="242" t="s">
        <v>3903</v>
      </c>
      <c r="E122" s="248" t="s">
        <v>3904</v>
      </c>
      <c r="F122" s="248" t="s">
        <v>3405</v>
      </c>
      <c r="G122" s="249">
        <v>2831309</v>
      </c>
      <c r="H122" s="250" t="s">
        <v>3905</v>
      </c>
    </row>
    <row r="123" spans="1:10" ht="15" customHeight="1">
      <c r="A123" s="251">
        <v>120</v>
      </c>
      <c r="B123" s="252">
        <v>22162</v>
      </c>
      <c r="C123" s="242" t="s">
        <v>3906</v>
      </c>
      <c r="D123" s="242" t="s">
        <v>3907</v>
      </c>
      <c r="E123" s="242" t="s">
        <v>3908</v>
      </c>
      <c r="F123" s="242" t="s">
        <v>3909</v>
      </c>
      <c r="G123" s="253">
        <v>3286436</v>
      </c>
      <c r="H123" s="254" t="s">
        <v>3910</v>
      </c>
      <c r="J123" s="245"/>
    </row>
    <row r="124" spans="1:10" ht="15" customHeight="1">
      <c r="A124" s="251">
        <v>121</v>
      </c>
      <c r="B124" s="252">
        <v>22138</v>
      </c>
      <c r="C124" s="242" t="s">
        <v>3911</v>
      </c>
      <c r="D124" s="242" t="s">
        <v>3912</v>
      </c>
      <c r="E124" s="242" t="s">
        <v>3913</v>
      </c>
      <c r="F124" s="242" t="s">
        <v>3914</v>
      </c>
      <c r="G124" s="253">
        <v>3957772</v>
      </c>
      <c r="H124" s="254" t="s">
        <v>3915</v>
      </c>
      <c r="J124" s="245"/>
    </row>
    <row r="125" spans="1:10" ht="15" customHeight="1">
      <c r="A125" s="251">
        <v>122</v>
      </c>
      <c r="B125" s="252">
        <v>22234</v>
      </c>
      <c r="C125" s="242" t="s">
        <v>3916</v>
      </c>
      <c r="D125" s="242" t="s">
        <v>3917</v>
      </c>
      <c r="E125" s="242" t="s">
        <v>3918</v>
      </c>
      <c r="F125" s="242" t="s">
        <v>3616</v>
      </c>
      <c r="G125" s="253">
        <v>3418103</v>
      </c>
      <c r="H125" s="254" t="s">
        <v>3919</v>
      </c>
      <c r="J125" s="245"/>
    </row>
    <row r="126" spans="1:10" ht="15" customHeight="1">
      <c r="A126" s="251">
        <v>123</v>
      </c>
      <c r="B126" s="252">
        <v>22179</v>
      </c>
      <c r="C126" s="242" t="s">
        <v>3920</v>
      </c>
      <c r="D126" s="242" t="s">
        <v>3921</v>
      </c>
      <c r="E126" s="242" t="s">
        <v>3922</v>
      </c>
      <c r="F126" s="242" t="s">
        <v>3923</v>
      </c>
      <c r="G126" s="253">
        <v>3324974</v>
      </c>
      <c r="H126" s="254" t="s">
        <v>3924</v>
      </c>
      <c r="J126" s="245"/>
    </row>
    <row r="127" spans="1:10" ht="15" customHeight="1">
      <c r="A127" s="251">
        <v>124</v>
      </c>
      <c r="B127" s="252">
        <v>22200</v>
      </c>
      <c r="C127" s="242" t="s">
        <v>3925</v>
      </c>
      <c r="D127" s="242" t="s">
        <v>3926</v>
      </c>
      <c r="E127" s="242" t="s">
        <v>3927</v>
      </c>
      <c r="F127" s="242" t="s">
        <v>3928</v>
      </c>
      <c r="G127" s="253">
        <v>3142027</v>
      </c>
      <c r="H127" s="254" t="s">
        <v>3929</v>
      </c>
      <c r="J127" s="245"/>
    </row>
    <row r="128" spans="1:10" ht="15" customHeight="1">
      <c r="A128" s="251">
        <v>125</v>
      </c>
      <c r="B128" s="252">
        <v>22218</v>
      </c>
      <c r="C128" s="242" t="s">
        <v>3930</v>
      </c>
      <c r="D128" s="242" t="s">
        <v>3931</v>
      </c>
      <c r="E128" s="242" t="s">
        <v>3932</v>
      </c>
      <c r="F128" s="242" t="s">
        <v>3933</v>
      </c>
      <c r="G128" s="253">
        <v>3310850</v>
      </c>
      <c r="H128" s="254" t="s">
        <v>3934</v>
      </c>
      <c r="J128" s="245"/>
    </row>
    <row r="129" spans="1:10" ht="15" customHeight="1">
      <c r="A129" s="251">
        <v>126</v>
      </c>
      <c r="B129" s="252">
        <v>22187</v>
      </c>
      <c r="C129" s="242" t="s">
        <v>3935</v>
      </c>
      <c r="D129" s="242" t="s">
        <v>3936</v>
      </c>
      <c r="E129" s="242" t="s">
        <v>3937</v>
      </c>
      <c r="F129" s="242" t="s">
        <v>3938</v>
      </c>
      <c r="G129" s="253">
        <v>3033619</v>
      </c>
      <c r="H129" s="254" t="s">
        <v>3939</v>
      </c>
      <c r="J129" s="245"/>
    </row>
    <row r="130" spans="1:10" ht="15" customHeight="1">
      <c r="A130" s="251">
        <v>127</v>
      </c>
      <c r="B130" s="252">
        <v>26506</v>
      </c>
      <c r="C130" s="242" t="s">
        <v>3940</v>
      </c>
      <c r="D130" s="242" t="s">
        <v>3941</v>
      </c>
      <c r="E130" s="242" t="s">
        <v>3942</v>
      </c>
      <c r="F130" s="242" t="s">
        <v>3943</v>
      </c>
      <c r="G130" s="253">
        <v>1486993</v>
      </c>
      <c r="H130" s="254" t="s">
        <v>3944</v>
      </c>
      <c r="J130" s="245"/>
    </row>
    <row r="131" spans="1:10" ht="15" customHeight="1">
      <c r="A131" s="251">
        <v>128</v>
      </c>
      <c r="B131" s="252">
        <v>23243</v>
      </c>
      <c r="C131" s="242" t="s">
        <v>3945</v>
      </c>
      <c r="D131" s="242" t="s">
        <v>3946</v>
      </c>
      <c r="E131" s="242" t="s">
        <v>3947</v>
      </c>
      <c r="F131" s="242" t="s">
        <v>3948</v>
      </c>
      <c r="G131" s="253">
        <v>1408232</v>
      </c>
      <c r="H131" s="254" t="s">
        <v>3949</v>
      </c>
      <c r="J131" s="245"/>
    </row>
    <row r="132" spans="1:10" ht="15" customHeight="1">
      <c r="A132" s="251">
        <v>129</v>
      </c>
      <c r="B132" s="252">
        <v>22154</v>
      </c>
      <c r="C132" s="242" t="s">
        <v>3950</v>
      </c>
      <c r="D132" s="242" t="s">
        <v>3951</v>
      </c>
      <c r="E132" s="242" t="s">
        <v>3952</v>
      </c>
      <c r="F132" s="242" t="s">
        <v>3953</v>
      </c>
      <c r="G132" s="253">
        <v>1334239</v>
      </c>
      <c r="H132" s="254" t="s">
        <v>3954</v>
      </c>
      <c r="J132" s="245"/>
    </row>
    <row r="133" spans="1:10" ht="15" customHeight="1">
      <c r="A133" s="251">
        <v>130</v>
      </c>
      <c r="B133" s="252">
        <v>42598</v>
      </c>
      <c r="C133" s="242" t="s">
        <v>3955</v>
      </c>
      <c r="D133" s="242" t="s">
        <v>3956</v>
      </c>
      <c r="E133" s="261" t="s">
        <v>3957</v>
      </c>
      <c r="F133" s="261" t="s">
        <v>3958</v>
      </c>
      <c r="G133" s="260">
        <v>2175843</v>
      </c>
      <c r="H133" s="254" t="s">
        <v>3959</v>
      </c>
      <c r="J133" s="245"/>
    </row>
    <row r="134" spans="1:10" ht="15" customHeight="1">
      <c r="A134" s="251">
        <v>131</v>
      </c>
      <c r="B134" s="252">
        <v>22226</v>
      </c>
      <c r="C134" s="242" t="s">
        <v>3960</v>
      </c>
      <c r="D134" s="242" t="s">
        <v>3961</v>
      </c>
      <c r="E134" s="242" t="s">
        <v>3962</v>
      </c>
      <c r="F134" s="242" t="s">
        <v>3963</v>
      </c>
      <c r="G134" s="253">
        <v>1300997</v>
      </c>
      <c r="H134" s="254" t="s">
        <v>3964</v>
      </c>
      <c r="J134" s="245"/>
    </row>
    <row r="135" spans="1:10" ht="15" customHeight="1">
      <c r="A135" s="251">
        <v>132</v>
      </c>
      <c r="B135" s="252">
        <v>23497</v>
      </c>
      <c r="C135" s="242" t="s">
        <v>3965</v>
      </c>
      <c r="D135" s="242" t="s">
        <v>3966</v>
      </c>
      <c r="E135" s="242" t="s">
        <v>3967</v>
      </c>
      <c r="F135" s="242" t="s">
        <v>3405</v>
      </c>
      <c r="G135" s="253">
        <v>1463080</v>
      </c>
      <c r="H135" s="254" t="s">
        <v>3968</v>
      </c>
      <c r="J135" s="245"/>
    </row>
    <row r="136" spans="1:10" ht="15" customHeight="1">
      <c r="A136" s="251">
        <v>133</v>
      </c>
      <c r="B136" s="252">
        <v>26514</v>
      </c>
      <c r="C136" s="242" t="s">
        <v>3969</v>
      </c>
      <c r="D136" s="242" t="s">
        <v>3970</v>
      </c>
      <c r="E136" s="242" t="s">
        <v>3971</v>
      </c>
      <c r="F136" s="242" t="s">
        <v>3972</v>
      </c>
      <c r="G136" s="253">
        <v>1503847</v>
      </c>
      <c r="H136" s="254" t="s">
        <v>3973</v>
      </c>
      <c r="J136" s="245"/>
    </row>
    <row r="137" spans="1:10" ht="15" customHeight="1">
      <c r="A137" s="251">
        <v>134</v>
      </c>
      <c r="B137" s="252">
        <v>22195</v>
      </c>
      <c r="C137" s="242" t="s">
        <v>3974</v>
      </c>
      <c r="D137" s="242" t="s">
        <v>3975</v>
      </c>
      <c r="E137" s="242" t="s">
        <v>3976</v>
      </c>
      <c r="F137" s="242" t="s">
        <v>3977</v>
      </c>
      <c r="G137" s="253">
        <v>3439780</v>
      </c>
      <c r="H137" s="254" t="s">
        <v>3978</v>
      </c>
      <c r="J137" s="245"/>
    </row>
    <row r="138" spans="1:10" ht="15" customHeight="1">
      <c r="A138" s="251">
        <v>135</v>
      </c>
      <c r="B138" s="252">
        <v>25925</v>
      </c>
      <c r="C138" s="242" t="s">
        <v>3979</v>
      </c>
      <c r="D138" s="242" t="s">
        <v>3980</v>
      </c>
      <c r="E138" s="242" t="s">
        <v>3981</v>
      </c>
      <c r="F138" s="242" t="s">
        <v>3982</v>
      </c>
      <c r="G138" s="253">
        <v>1508342</v>
      </c>
      <c r="H138" s="254" t="s">
        <v>3983</v>
      </c>
      <c r="J138" s="245"/>
    </row>
    <row r="139" spans="1:10" ht="15" customHeight="1">
      <c r="A139" s="251">
        <v>136</v>
      </c>
      <c r="B139" s="252">
        <v>25933</v>
      </c>
      <c r="C139" s="242" t="s">
        <v>3984</v>
      </c>
      <c r="D139" s="242" t="s">
        <v>3985</v>
      </c>
      <c r="E139" s="242" t="s">
        <v>3986</v>
      </c>
      <c r="F139" s="242" t="s">
        <v>3577</v>
      </c>
      <c r="G139" s="253">
        <v>1439863</v>
      </c>
      <c r="H139" s="254" t="s">
        <v>3987</v>
      </c>
      <c r="J139" s="245"/>
    </row>
    <row r="140" spans="1:10" ht="15" customHeight="1">
      <c r="A140" s="251">
        <v>137</v>
      </c>
      <c r="B140" s="252">
        <v>26522</v>
      </c>
      <c r="C140" s="242" t="s">
        <v>3988</v>
      </c>
      <c r="D140" s="242" t="s">
        <v>3989</v>
      </c>
      <c r="E140" s="242" t="s">
        <v>3990</v>
      </c>
      <c r="F140" s="242" t="s">
        <v>3991</v>
      </c>
      <c r="G140" s="253">
        <v>1504495</v>
      </c>
      <c r="H140" s="254" t="s">
        <v>3992</v>
      </c>
      <c r="J140" s="245"/>
    </row>
    <row r="141" spans="1:10" ht="15" customHeight="1">
      <c r="A141" s="251">
        <v>138</v>
      </c>
      <c r="B141" s="252">
        <v>26539</v>
      </c>
      <c r="C141" s="242" t="s">
        <v>3993</v>
      </c>
      <c r="D141" s="242" t="s">
        <v>3994</v>
      </c>
      <c r="E141" s="242" t="s">
        <v>3995</v>
      </c>
      <c r="F141" s="242" t="s">
        <v>3996</v>
      </c>
      <c r="G141" s="253">
        <v>1481517</v>
      </c>
      <c r="H141" s="254" t="s">
        <v>3997</v>
      </c>
      <c r="J141" s="245"/>
    </row>
    <row r="142" spans="1:10" ht="15" customHeight="1">
      <c r="A142" s="251">
        <v>139</v>
      </c>
      <c r="B142" s="252">
        <v>21609</v>
      </c>
      <c r="C142" s="242" t="s">
        <v>3998</v>
      </c>
      <c r="D142" s="242" t="s">
        <v>3999</v>
      </c>
      <c r="E142" s="242" t="s">
        <v>4000</v>
      </c>
      <c r="F142" s="242" t="s">
        <v>3405</v>
      </c>
      <c r="G142" s="253">
        <v>3206017</v>
      </c>
      <c r="H142" s="254" t="s">
        <v>4001</v>
      </c>
      <c r="J142" s="245"/>
    </row>
    <row r="143" spans="1:10" s="245" customFormat="1" ht="15" customHeight="1">
      <c r="A143" s="251">
        <v>140</v>
      </c>
      <c r="B143" s="252">
        <v>49649</v>
      </c>
      <c r="C143" s="242" t="s">
        <v>4002</v>
      </c>
      <c r="D143" s="242" t="s">
        <v>4003</v>
      </c>
      <c r="E143" s="262" t="s">
        <v>4004</v>
      </c>
      <c r="F143" s="242" t="s">
        <v>3405</v>
      </c>
      <c r="G143" s="255" t="s">
        <v>4005</v>
      </c>
      <c r="H143" s="254" t="s">
        <v>4006</v>
      </c>
    </row>
    <row r="144" spans="1:10" s="245" customFormat="1" ht="15" customHeight="1">
      <c r="A144" s="251">
        <v>141</v>
      </c>
      <c r="B144" s="252">
        <v>49091</v>
      </c>
      <c r="C144" s="242" t="s">
        <v>4007</v>
      </c>
      <c r="D144" s="242" t="s">
        <v>4008</v>
      </c>
      <c r="E144" s="242" t="s">
        <v>4009</v>
      </c>
      <c r="F144" s="242" t="s">
        <v>3405</v>
      </c>
      <c r="G144" s="253" t="s">
        <v>4010</v>
      </c>
      <c r="H144" s="254" t="s">
        <v>4011</v>
      </c>
    </row>
    <row r="145" spans="1:10" s="245" customFormat="1" ht="15" customHeight="1">
      <c r="A145" s="251">
        <v>142</v>
      </c>
      <c r="B145" s="252">
        <v>47131</v>
      </c>
      <c r="C145" s="242" t="s">
        <v>4012</v>
      </c>
      <c r="D145" s="242" t="s">
        <v>4013</v>
      </c>
      <c r="E145" s="242" t="s">
        <v>3779</v>
      </c>
      <c r="F145" s="242" t="s">
        <v>3405</v>
      </c>
      <c r="G145" s="253">
        <v>2831309</v>
      </c>
      <c r="H145" s="254" t="s">
        <v>3905</v>
      </c>
    </row>
    <row r="146" spans="1:10" ht="15" customHeight="1">
      <c r="A146" s="251">
        <v>143</v>
      </c>
      <c r="B146" s="252">
        <v>6082</v>
      </c>
      <c r="C146" s="242" t="s">
        <v>4014</v>
      </c>
      <c r="D146" s="242" t="s">
        <v>4015</v>
      </c>
      <c r="E146" s="242" t="s">
        <v>4016</v>
      </c>
      <c r="F146" s="242" t="s">
        <v>3405</v>
      </c>
      <c r="G146" s="253">
        <v>3799166</v>
      </c>
      <c r="H146" s="254" t="s">
        <v>4017</v>
      </c>
      <c r="J146" s="245"/>
    </row>
    <row r="147" spans="1:10" ht="15" customHeight="1">
      <c r="A147" s="251">
        <v>144</v>
      </c>
      <c r="B147" s="252">
        <v>38495</v>
      </c>
      <c r="C147" s="242" t="s">
        <v>4018</v>
      </c>
      <c r="D147" s="242" t="s">
        <v>4019</v>
      </c>
      <c r="E147" s="242" t="s">
        <v>3779</v>
      </c>
      <c r="F147" s="242" t="s">
        <v>3405</v>
      </c>
      <c r="G147" s="253">
        <v>1957406</v>
      </c>
      <c r="H147" s="254" t="s">
        <v>4020</v>
      </c>
      <c r="J147" s="245"/>
    </row>
    <row r="148" spans="1:10" ht="15" customHeight="1">
      <c r="A148" s="251">
        <v>145</v>
      </c>
      <c r="B148" s="252">
        <v>38500</v>
      </c>
      <c r="C148" s="242" t="s">
        <v>4021</v>
      </c>
      <c r="D148" s="242" t="s">
        <v>4022</v>
      </c>
      <c r="E148" s="242" t="s">
        <v>3779</v>
      </c>
      <c r="F148" s="242" t="s">
        <v>3405</v>
      </c>
      <c r="G148" s="253">
        <v>1956868</v>
      </c>
      <c r="H148" s="254" t="s">
        <v>4023</v>
      </c>
      <c r="J148" s="245"/>
    </row>
    <row r="149" spans="1:10" s="245" customFormat="1" ht="15" customHeight="1">
      <c r="A149" s="251">
        <v>146</v>
      </c>
      <c r="B149" s="252">
        <v>46237</v>
      </c>
      <c r="C149" s="242" t="s">
        <v>4024</v>
      </c>
      <c r="D149" s="242" t="s">
        <v>4025</v>
      </c>
      <c r="E149" s="242" t="s">
        <v>4026</v>
      </c>
      <c r="F149" s="242" t="s">
        <v>3405</v>
      </c>
      <c r="G149" s="253">
        <v>767875</v>
      </c>
      <c r="H149" s="254" t="s">
        <v>4027</v>
      </c>
    </row>
    <row r="150" spans="1:10" s="245" customFormat="1" ht="15" customHeight="1">
      <c r="A150" s="239">
        <v>147</v>
      </c>
      <c r="B150" s="247">
        <v>1222</v>
      </c>
      <c r="C150" s="248" t="s">
        <v>4028</v>
      </c>
      <c r="D150" s="242" t="s">
        <v>4029</v>
      </c>
      <c r="E150" s="248" t="s">
        <v>4030</v>
      </c>
      <c r="F150" s="248" t="s">
        <v>3405</v>
      </c>
      <c r="G150" s="249">
        <v>3271030</v>
      </c>
      <c r="H150" s="250" t="s">
        <v>4031</v>
      </c>
    </row>
    <row r="151" spans="1:10" ht="15" customHeight="1">
      <c r="A151" s="251">
        <v>148</v>
      </c>
      <c r="B151" s="252">
        <v>2063</v>
      </c>
      <c r="C151" s="242" t="s">
        <v>4032</v>
      </c>
      <c r="D151" s="242" t="s">
        <v>4033</v>
      </c>
      <c r="E151" s="242" t="s">
        <v>4034</v>
      </c>
      <c r="F151" s="242" t="s">
        <v>3621</v>
      </c>
      <c r="G151" s="253">
        <v>3006107</v>
      </c>
      <c r="H151" s="254" t="s">
        <v>4035</v>
      </c>
      <c r="J151" s="245"/>
    </row>
    <row r="152" spans="1:10" ht="15" customHeight="1">
      <c r="A152" s="251">
        <v>149</v>
      </c>
      <c r="B152" s="252">
        <v>43749</v>
      </c>
      <c r="C152" s="242" t="s">
        <v>4036</v>
      </c>
      <c r="D152" s="242" t="s">
        <v>4037</v>
      </c>
      <c r="E152" s="242" t="s">
        <v>4038</v>
      </c>
      <c r="F152" s="242" t="s">
        <v>4039</v>
      </c>
      <c r="G152" s="253">
        <v>2382512</v>
      </c>
      <c r="H152" s="254" t="s">
        <v>4040</v>
      </c>
      <c r="J152" s="245"/>
    </row>
    <row r="153" spans="1:10" ht="15" customHeight="1">
      <c r="A153" s="251">
        <v>150</v>
      </c>
      <c r="B153" s="252">
        <v>2452</v>
      </c>
      <c r="C153" s="242" t="s">
        <v>4041</v>
      </c>
      <c r="D153" s="242" t="s">
        <v>4042</v>
      </c>
      <c r="E153" s="242" t="s">
        <v>4043</v>
      </c>
      <c r="F153" s="242" t="s">
        <v>3587</v>
      </c>
      <c r="G153" s="253">
        <v>3049779</v>
      </c>
      <c r="H153" s="254" t="s">
        <v>4044</v>
      </c>
      <c r="J153" s="245"/>
    </row>
    <row r="154" spans="1:10" ht="24" customHeight="1">
      <c r="A154" s="251">
        <v>151</v>
      </c>
      <c r="B154" s="252">
        <v>50215</v>
      </c>
      <c r="C154" s="242" t="s">
        <v>4045</v>
      </c>
      <c r="D154" s="242" t="s">
        <v>4046</v>
      </c>
      <c r="E154" s="242" t="s">
        <v>4047</v>
      </c>
      <c r="F154" s="242" t="s">
        <v>3587</v>
      </c>
      <c r="G154" s="253">
        <v>4907361</v>
      </c>
      <c r="H154" s="254" t="s">
        <v>4048</v>
      </c>
      <c r="J154" s="245"/>
    </row>
    <row r="155" spans="1:10" ht="15" customHeight="1">
      <c r="A155" s="251">
        <v>152</v>
      </c>
      <c r="B155" s="252">
        <v>2284</v>
      </c>
      <c r="C155" s="242" t="s">
        <v>4049</v>
      </c>
      <c r="D155" s="242" t="s">
        <v>4050</v>
      </c>
      <c r="E155" s="242" t="s">
        <v>4051</v>
      </c>
      <c r="F155" s="242" t="s">
        <v>3587</v>
      </c>
      <c r="G155" s="253">
        <v>3021645</v>
      </c>
      <c r="H155" s="254" t="s">
        <v>4052</v>
      </c>
      <c r="J155" s="245"/>
    </row>
    <row r="156" spans="1:10" ht="22.8">
      <c r="A156" s="251">
        <v>153</v>
      </c>
      <c r="B156" s="252">
        <v>2268</v>
      </c>
      <c r="C156" s="242" t="s">
        <v>4053</v>
      </c>
      <c r="D156" s="242" t="s">
        <v>4054</v>
      </c>
      <c r="E156" s="242" t="s">
        <v>4055</v>
      </c>
      <c r="F156" s="242" t="s">
        <v>3587</v>
      </c>
      <c r="G156" s="253">
        <v>3058212</v>
      </c>
      <c r="H156" s="254" t="s">
        <v>4056</v>
      </c>
      <c r="J156" s="245"/>
    </row>
    <row r="157" spans="1:10" ht="22.8">
      <c r="A157" s="251">
        <v>154</v>
      </c>
      <c r="B157" s="252">
        <v>2313</v>
      </c>
      <c r="C157" s="242" t="s">
        <v>4057</v>
      </c>
      <c r="D157" s="242" t="s">
        <v>4058</v>
      </c>
      <c r="E157" s="242" t="s">
        <v>4059</v>
      </c>
      <c r="F157" s="242" t="s">
        <v>3587</v>
      </c>
      <c r="G157" s="253">
        <v>3392589</v>
      </c>
      <c r="H157" s="254" t="s">
        <v>4060</v>
      </c>
      <c r="J157" s="245"/>
    </row>
    <row r="158" spans="1:10" s="245" customFormat="1" ht="22.8">
      <c r="A158" s="251">
        <v>155</v>
      </c>
      <c r="B158" s="252">
        <v>49796</v>
      </c>
      <c r="C158" s="242" t="s">
        <v>4061</v>
      </c>
      <c r="D158" s="242" t="s">
        <v>4062</v>
      </c>
      <c r="E158" s="262" t="s">
        <v>4063</v>
      </c>
      <c r="F158" s="242" t="s">
        <v>3587</v>
      </c>
      <c r="G158" s="253">
        <v>4748875</v>
      </c>
      <c r="H158" s="254" t="s">
        <v>4064</v>
      </c>
    </row>
    <row r="159" spans="1:10" ht="22.8">
      <c r="A159" s="251">
        <v>156</v>
      </c>
      <c r="B159" s="252">
        <v>22486</v>
      </c>
      <c r="C159" s="242" t="s">
        <v>4065</v>
      </c>
      <c r="D159" s="242" t="s">
        <v>4066</v>
      </c>
      <c r="E159" s="242" t="s">
        <v>4067</v>
      </c>
      <c r="F159" s="242" t="s">
        <v>3587</v>
      </c>
      <c r="G159" s="253">
        <v>1404881</v>
      </c>
      <c r="H159" s="254" t="s">
        <v>4068</v>
      </c>
      <c r="J159" s="245"/>
    </row>
    <row r="160" spans="1:10" ht="15" customHeight="1">
      <c r="A160" s="251">
        <v>157</v>
      </c>
      <c r="B160" s="252">
        <v>2321</v>
      </c>
      <c r="C160" s="242" t="s">
        <v>4069</v>
      </c>
      <c r="D160" s="242" t="s">
        <v>4070</v>
      </c>
      <c r="E160" s="242" t="s">
        <v>4071</v>
      </c>
      <c r="F160" s="242" t="s">
        <v>3587</v>
      </c>
      <c r="G160" s="253">
        <v>3014185</v>
      </c>
      <c r="H160" s="254" t="s">
        <v>4072</v>
      </c>
      <c r="J160" s="245"/>
    </row>
    <row r="161" spans="1:10" ht="15" customHeight="1">
      <c r="A161" s="251">
        <v>158</v>
      </c>
      <c r="B161" s="252">
        <v>2508</v>
      </c>
      <c r="C161" s="266" t="s">
        <v>4073</v>
      </c>
      <c r="D161" s="242" t="s">
        <v>4074</v>
      </c>
      <c r="E161" s="266" t="s">
        <v>4075</v>
      </c>
      <c r="F161" s="266" t="s">
        <v>3587</v>
      </c>
      <c r="G161" s="267">
        <v>3014347</v>
      </c>
      <c r="H161" s="254" t="s">
        <v>4076</v>
      </c>
      <c r="J161" s="245"/>
    </row>
    <row r="162" spans="1:10" ht="22.8">
      <c r="A162" s="251">
        <v>159</v>
      </c>
      <c r="B162" s="252">
        <v>2250</v>
      </c>
      <c r="C162" s="242" t="s">
        <v>4077</v>
      </c>
      <c r="D162" s="242" t="s">
        <v>4078</v>
      </c>
      <c r="E162" s="242" t="s">
        <v>4079</v>
      </c>
      <c r="F162" s="242" t="s">
        <v>3587</v>
      </c>
      <c r="G162" s="253">
        <v>3397335</v>
      </c>
      <c r="H162" s="254" t="s">
        <v>4080</v>
      </c>
      <c r="J162" s="245"/>
    </row>
    <row r="163" spans="1:10" s="245" customFormat="1" ht="15" customHeight="1">
      <c r="A163" s="251">
        <v>160</v>
      </c>
      <c r="B163" s="252">
        <v>38479</v>
      </c>
      <c r="C163" s="242" t="s">
        <v>4081</v>
      </c>
      <c r="D163" s="242" t="s">
        <v>4082</v>
      </c>
      <c r="E163" s="262" t="s">
        <v>4083</v>
      </c>
      <c r="F163" s="242" t="s">
        <v>3792</v>
      </c>
      <c r="G163" s="253">
        <v>1986490</v>
      </c>
      <c r="H163" s="254" t="s">
        <v>4084</v>
      </c>
    </row>
    <row r="164" spans="1:10" ht="15" customHeight="1">
      <c r="A164" s="251">
        <v>161</v>
      </c>
      <c r="B164" s="252">
        <v>51450</v>
      </c>
      <c r="C164" s="242" t="s">
        <v>4085</v>
      </c>
      <c r="D164" s="242" t="s">
        <v>4086</v>
      </c>
      <c r="E164" s="242" t="s">
        <v>4087</v>
      </c>
      <c r="F164" s="242" t="s">
        <v>3587</v>
      </c>
      <c r="G164" s="253">
        <v>5302099</v>
      </c>
      <c r="H164" s="254" t="s">
        <v>4088</v>
      </c>
      <c r="J164" s="245"/>
    </row>
    <row r="165" spans="1:10" ht="15" customHeight="1">
      <c r="A165" s="251">
        <v>162</v>
      </c>
      <c r="B165" s="252">
        <v>22849</v>
      </c>
      <c r="C165" s="242" t="s">
        <v>4089</v>
      </c>
      <c r="D165" s="242" t="s">
        <v>4090</v>
      </c>
      <c r="E165" s="242" t="s">
        <v>4091</v>
      </c>
      <c r="F165" s="242" t="s">
        <v>3587</v>
      </c>
      <c r="G165" s="253">
        <v>1388142</v>
      </c>
      <c r="H165" s="254" t="s">
        <v>4092</v>
      </c>
      <c r="J165" s="245"/>
    </row>
    <row r="166" spans="1:10" s="245" customFormat="1" ht="15" customHeight="1">
      <c r="A166" s="251">
        <v>163</v>
      </c>
      <c r="B166" s="252">
        <v>2292</v>
      </c>
      <c r="C166" s="242" t="s">
        <v>4093</v>
      </c>
      <c r="D166" s="242" t="s">
        <v>4094</v>
      </c>
      <c r="E166" s="242" t="s">
        <v>4095</v>
      </c>
      <c r="F166" s="242" t="s">
        <v>3587</v>
      </c>
      <c r="G166" s="253">
        <v>3014193</v>
      </c>
      <c r="H166" s="254" t="s">
        <v>4096</v>
      </c>
    </row>
    <row r="167" spans="1:10" ht="15" customHeight="1">
      <c r="A167" s="251">
        <v>164</v>
      </c>
      <c r="B167" s="252">
        <v>2276</v>
      </c>
      <c r="C167" s="242" t="s">
        <v>4097</v>
      </c>
      <c r="D167" s="242" t="s">
        <v>4098</v>
      </c>
      <c r="E167" s="242" t="s">
        <v>4099</v>
      </c>
      <c r="F167" s="242" t="s">
        <v>3587</v>
      </c>
      <c r="G167" s="253">
        <v>3058204</v>
      </c>
      <c r="H167" s="254" t="s">
        <v>4100</v>
      </c>
      <c r="J167" s="245"/>
    </row>
    <row r="168" spans="1:10" s="245" customFormat="1" ht="15" customHeight="1">
      <c r="A168" s="251">
        <v>165</v>
      </c>
      <c r="B168" s="252">
        <v>42024</v>
      </c>
      <c r="C168" s="242" t="s">
        <v>4101</v>
      </c>
      <c r="D168" s="242" t="s">
        <v>4102</v>
      </c>
      <c r="E168" s="242" t="s">
        <v>4103</v>
      </c>
      <c r="F168" s="242" t="s">
        <v>3657</v>
      </c>
      <c r="G168" s="253">
        <v>2161753</v>
      </c>
      <c r="H168" s="254" t="s">
        <v>4104</v>
      </c>
    </row>
    <row r="169" spans="1:10" s="245" customFormat="1" ht="15" customHeight="1">
      <c r="A169" s="251">
        <v>166</v>
      </c>
      <c r="B169" s="252">
        <v>48267</v>
      </c>
      <c r="C169" s="242" t="s">
        <v>4105</v>
      </c>
      <c r="D169" s="242" t="s">
        <v>4106</v>
      </c>
      <c r="E169" s="242" t="s">
        <v>4107</v>
      </c>
      <c r="F169" s="242" t="s">
        <v>4108</v>
      </c>
      <c r="G169" s="253">
        <v>2752298</v>
      </c>
      <c r="H169" s="254" t="s">
        <v>4109</v>
      </c>
    </row>
    <row r="170" spans="1:10" s="268" customFormat="1" ht="15" customHeight="1">
      <c r="A170" s="251">
        <v>167</v>
      </c>
      <c r="B170" s="252">
        <v>24141</v>
      </c>
      <c r="C170" s="242" t="s">
        <v>4110</v>
      </c>
      <c r="D170" s="242" t="s">
        <v>153</v>
      </c>
      <c r="E170" s="242" t="s">
        <v>4111</v>
      </c>
      <c r="F170" s="242" t="s">
        <v>3572</v>
      </c>
      <c r="G170" s="253">
        <v>1787578</v>
      </c>
      <c r="H170" s="254" t="s">
        <v>4112</v>
      </c>
      <c r="J170" s="245"/>
    </row>
    <row r="171" spans="1:10" s="245" customFormat="1" ht="15" customHeight="1">
      <c r="A171" s="251">
        <v>168</v>
      </c>
      <c r="B171" s="252">
        <v>2444</v>
      </c>
      <c r="C171" s="242" t="s">
        <v>20</v>
      </c>
      <c r="D171" s="242" t="s">
        <v>148</v>
      </c>
      <c r="E171" s="242" t="s">
        <v>21</v>
      </c>
      <c r="F171" s="242" t="s">
        <v>22</v>
      </c>
      <c r="G171" s="253">
        <v>3337413</v>
      </c>
      <c r="H171" s="254" t="s">
        <v>23</v>
      </c>
    </row>
    <row r="172" spans="1:10" ht="15" customHeight="1">
      <c r="A172" s="251">
        <v>169</v>
      </c>
      <c r="B172" s="252">
        <v>38454</v>
      </c>
      <c r="C172" s="242" t="s">
        <v>35</v>
      </c>
      <c r="D172" s="242" t="s">
        <v>4113</v>
      </c>
      <c r="E172" s="242" t="s">
        <v>36</v>
      </c>
      <c r="F172" s="242" t="s">
        <v>22</v>
      </c>
      <c r="G172" s="260">
        <v>1954253</v>
      </c>
      <c r="H172" s="254" t="s">
        <v>37</v>
      </c>
      <c r="J172" s="245"/>
    </row>
    <row r="173" spans="1:10" ht="15" customHeight="1">
      <c r="A173" s="251">
        <v>170</v>
      </c>
      <c r="B173" s="252">
        <v>2186</v>
      </c>
      <c r="C173" s="242" t="s">
        <v>40</v>
      </c>
      <c r="D173" s="242" t="s">
        <v>4114</v>
      </c>
      <c r="E173" s="242" t="s">
        <v>41</v>
      </c>
      <c r="F173" s="242" t="s">
        <v>22</v>
      </c>
      <c r="G173" s="253">
        <v>3328627</v>
      </c>
      <c r="H173" s="254" t="s">
        <v>42</v>
      </c>
      <c r="J173" s="245"/>
    </row>
    <row r="174" spans="1:10" ht="15" customHeight="1">
      <c r="A174" s="251">
        <v>171</v>
      </c>
      <c r="B174" s="252">
        <v>2194</v>
      </c>
      <c r="C174" s="242" t="s">
        <v>47</v>
      </c>
      <c r="D174" s="242" t="s">
        <v>4115</v>
      </c>
      <c r="E174" s="242" t="s">
        <v>48</v>
      </c>
      <c r="F174" s="242" t="s">
        <v>49</v>
      </c>
      <c r="G174" s="253">
        <v>3091732</v>
      </c>
      <c r="H174" s="254" t="s">
        <v>50</v>
      </c>
      <c r="J174" s="245"/>
    </row>
    <row r="175" spans="1:10" ht="15" customHeight="1">
      <c r="A175" s="251">
        <v>172</v>
      </c>
      <c r="B175" s="252">
        <v>48023</v>
      </c>
      <c r="C175" s="242" t="s">
        <v>53</v>
      </c>
      <c r="D175" s="242" t="s">
        <v>4116</v>
      </c>
      <c r="E175" s="242" t="s">
        <v>54</v>
      </c>
      <c r="F175" s="242" t="s">
        <v>22</v>
      </c>
      <c r="G175" s="255" t="s">
        <v>55</v>
      </c>
      <c r="H175" s="254" t="s">
        <v>56</v>
      </c>
      <c r="J175" s="245"/>
    </row>
    <row r="176" spans="1:10" s="245" customFormat="1" ht="15" customHeight="1">
      <c r="A176" s="251">
        <v>173</v>
      </c>
      <c r="B176" s="252">
        <v>22857</v>
      </c>
      <c r="C176" s="242" t="s">
        <v>59</v>
      </c>
      <c r="D176" s="242" t="s">
        <v>4117</v>
      </c>
      <c r="E176" s="242" t="s">
        <v>60</v>
      </c>
      <c r="F176" s="242" t="s">
        <v>22</v>
      </c>
      <c r="G176" s="253">
        <v>3368491</v>
      </c>
      <c r="H176" s="254" t="s">
        <v>61</v>
      </c>
    </row>
    <row r="177" spans="1:10" ht="15" customHeight="1">
      <c r="A177" s="251">
        <v>174</v>
      </c>
      <c r="B177" s="252">
        <v>2160</v>
      </c>
      <c r="C177" s="242" t="s">
        <v>64</v>
      </c>
      <c r="D177" s="242" t="s">
        <v>4118</v>
      </c>
      <c r="E177" s="242" t="s">
        <v>65</v>
      </c>
      <c r="F177" s="242" t="s">
        <v>22</v>
      </c>
      <c r="G177" s="253">
        <v>3395855</v>
      </c>
      <c r="H177" s="254" t="s">
        <v>66</v>
      </c>
      <c r="J177" s="245"/>
    </row>
    <row r="178" spans="1:10" ht="15" customHeight="1">
      <c r="A178" s="251">
        <v>175</v>
      </c>
      <c r="B178" s="252">
        <v>2225</v>
      </c>
      <c r="C178" s="242" t="s">
        <v>69</v>
      </c>
      <c r="D178" s="242" t="s">
        <v>4119</v>
      </c>
      <c r="E178" s="242" t="s">
        <v>70</v>
      </c>
      <c r="F178" s="242" t="s">
        <v>22</v>
      </c>
      <c r="G178" s="253">
        <v>3328554</v>
      </c>
      <c r="H178" s="254" t="s">
        <v>71</v>
      </c>
      <c r="J178" s="245"/>
    </row>
    <row r="179" spans="1:10" s="245" customFormat="1" ht="15" customHeight="1">
      <c r="A179" s="251">
        <v>176</v>
      </c>
      <c r="B179" s="252">
        <v>22568</v>
      </c>
      <c r="C179" s="242" t="s">
        <v>4120</v>
      </c>
      <c r="D179" s="242" t="s">
        <v>4121</v>
      </c>
      <c r="E179" s="242" t="s">
        <v>74</v>
      </c>
      <c r="F179" s="242" t="s">
        <v>22</v>
      </c>
      <c r="G179" s="253">
        <v>1580485</v>
      </c>
      <c r="H179" s="254" t="s">
        <v>75</v>
      </c>
    </row>
    <row r="180" spans="1:10" ht="15" customHeight="1">
      <c r="A180" s="251">
        <v>177</v>
      </c>
      <c r="B180" s="252">
        <v>2217</v>
      </c>
      <c r="C180" s="242" t="s">
        <v>78</v>
      </c>
      <c r="D180" s="242" t="s">
        <v>4122</v>
      </c>
      <c r="E180" s="242" t="s">
        <v>79</v>
      </c>
      <c r="F180" s="242" t="s">
        <v>22</v>
      </c>
      <c r="G180" s="253">
        <v>3328562</v>
      </c>
      <c r="H180" s="254" t="s">
        <v>80</v>
      </c>
      <c r="J180" s="245"/>
    </row>
    <row r="181" spans="1:10" ht="15" customHeight="1">
      <c r="A181" s="251">
        <v>178</v>
      </c>
      <c r="B181" s="252">
        <v>2493</v>
      </c>
      <c r="C181" s="242" t="s">
        <v>83</v>
      </c>
      <c r="D181" s="242" t="s">
        <v>4123</v>
      </c>
      <c r="E181" s="242" t="s">
        <v>84</v>
      </c>
      <c r="F181" s="242" t="s">
        <v>22</v>
      </c>
      <c r="G181" s="253">
        <v>3328686</v>
      </c>
      <c r="H181" s="254" t="s">
        <v>85</v>
      </c>
      <c r="J181" s="245"/>
    </row>
    <row r="182" spans="1:10" ht="15" customHeight="1">
      <c r="A182" s="251">
        <v>179</v>
      </c>
      <c r="B182" s="252">
        <v>2151</v>
      </c>
      <c r="C182" s="242" t="s">
        <v>87</v>
      </c>
      <c r="D182" s="242" t="s">
        <v>4124</v>
      </c>
      <c r="E182" s="242" t="s">
        <v>88</v>
      </c>
      <c r="F182" s="242" t="s">
        <v>22</v>
      </c>
      <c r="G182" s="253">
        <v>3334317</v>
      </c>
      <c r="H182" s="254" t="s">
        <v>89</v>
      </c>
      <c r="J182" s="245"/>
    </row>
    <row r="183" spans="1:10" ht="15" customHeight="1">
      <c r="A183" s="251">
        <v>180</v>
      </c>
      <c r="B183" s="252">
        <v>40947</v>
      </c>
      <c r="C183" s="242" t="s">
        <v>92</v>
      </c>
      <c r="D183" s="242" t="s">
        <v>4125</v>
      </c>
      <c r="E183" s="242" t="s">
        <v>93</v>
      </c>
      <c r="F183" s="242" t="s">
        <v>22</v>
      </c>
      <c r="G183" s="253">
        <v>2116073</v>
      </c>
      <c r="H183" s="254" t="s">
        <v>94</v>
      </c>
      <c r="J183" s="245"/>
    </row>
    <row r="184" spans="1:10" s="245" customFormat="1" ht="15" customHeight="1">
      <c r="A184" s="251">
        <v>181</v>
      </c>
      <c r="B184" s="252">
        <v>51360</v>
      </c>
      <c r="C184" s="242" t="s">
        <v>4126</v>
      </c>
      <c r="D184" s="242" t="s">
        <v>4127</v>
      </c>
      <c r="E184" s="262" t="s">
        <v>4128</v>
      </c>
      <c r="F184" s="242" t="s">
        <v>3606</v>
      </c>
      <c r="G184" s="253">
        <v>5290538</v>
      </c>
      <c r="H184" s="254" t="s">
        <v>4129</v>
      </c>
    </row>
    <row r="185" spans="1:10" ht="15" customHeight="1">
      <c r="A185" s="251">
        <v>182</v>
      </c>
      <c r="B185" s="252">
        <v>2469</v>
      </c>
      <c r="C185" s="242" t="s">
        <v>4130</v>
      </c>
      <c r="D185" s="242" t="s">
        <v>4131</v>
      </c>
      <c r="E185" s="242" t="s">
        <v>4132</v>
      </c>
      <c r="F185" s="242" t="s">
        <v>3611</v>
      </c>
      <c r="G185" s="253">
        <v>3129306</v>
      </c>
      <c r="H185" s="254" t="s">
        <v>4133</v>
      </c>
      <c r="J185" s="245"/>
    </row>
    <row r="186" spans="1:10" ht="15" customHeight="1">
      <c r="A186" s="251">
        <v>183</v>
      </c>
      <c r="B186" s="252">
        <v>2372</v>
      </c>
      <c r="C186" s="242" t="s">
        <v>4134</v>
      </c>
      <c r="D186" s="242" t="s">
        <v>4135</v>
      </c>
      <c r="E186" s="242" t="s">
        <v>4136</v>
      </c>
      <c r="F186" s="242" t="s">
        <v>3611</v>
      </c>
      <c r="G186" s="253">
        <v>3119076</v>
      </c>
      <c r="H186" s="254" t="s">
        <v>4137</v>
      </c>
      <c r="J186" s="245"/>
    </row>
    <row r="187" spans="1:10" ht="15" customHeight="1">
      <c r="A187" s="251">
        <v>184</v>
      </c>
      <c r="B187" s="252">
        <v>2330</v>
      </c>
      <c r="C187" s="242" t="s">
        <v>4138</v>
      </c>
      <c r="D187" s="242" t="s">
        <v>4139</v>
      </c>
      <c r="E187" s="242" t="s">
        <v>4140</v>
      </c>
      <c r="F187" s="242" t="s">
        <v>3611</v>
      </c>
      <c r="G187" s="253">
        <v>3118339</v>
      </c>
      <c r="H187" s="254" t="s">
        <v>4141</v>
      </c>
      <c r="J187" s="245"/>
    </row>
    <row r="188" spans="1:10" ht="15" customHeight="1">
      <c r="A188" s="251">
        <v>185</v>
      </c>
      <c r="B188" s="252">
        <v>2348</v>
      </c>
      <c r="C188" s="242" t="s">
        <v>4142</v>
      </c>
      <c r="D188" s="242" t="s">
        <v>4143</v>
      </c>
      <c r="E188" s="242" t="s">
        <v>4144</v>
      </c>
      <c r="F188" s="242" t="s">
        <v>3611</v>
      </c>
      <c r="G188" s="253">
        <v>3149463</v>
      </c>
      <c r="H188" s="254" t="s">
        <v>4145</v>
      </c>
      <c r="J188" s="245"/>
    </row>
    <row r="189" spans="1:10" ht="15" customHeight="1">
      <c r="A189" s="251">
        <v>186</v>
      </c>
      <c r="B189" s="252">
        <v>22435</v>
      </c>
      <c r="C189" s="242" t="s">
        <v>4146</v>
      </c>
      <c r="D189" s="242" t="s">
        <v>4147</v>
      </c>
      <c r="E189" s="242" t="s">
        <v>4132</v>
      </c>
      <c r="F189" s="242" t="s">
        <v>3611</v>
      </c>
      <c r="G189" s="253">
        <v>1413236</v>
      </c>
      <c r="H189" s="254" t="s">
        <v>4148</v>
      </c>
      <c r="J189" s="245"/>
    </row>
    <row r="190" spans="1:10" ht="15" customHeight="1">
      <c r="A190" s="251">
        <v>187</v>
      </c>
      <c r="B190" s="252">
        <v>23368</v>
      </c>
      <c r="C190" s="242" t="s">
        <v>4149</v>
      </c>
      <c r="D190" s="242" t="s">
        <v>4150</v>
      </c>
      <c r="E190" s="242" t="s">
        <v>4151</v>
      </c>
      <c r="F190" s="242" t="s">
        <v>3611</v>
      </c>
      <c r="G190" s="260">
        <v>1465643</v>
      </c>
      <c r="H190" s="254">
        <v>36149548625</v>
      </c>
      <c r="J190" s="245"/>
    </row>
    <row r="191" spans="1:10" ht="15" customHeight="1">
      <c r="A191" s="251">
        <v>188</v>
      </c>
      <c r="B191" s="252">
        <v>2356</v>
      </c>
      <c r="C191" s="242" t="s">
        <v>4152</v>
      </c>
      <c r="D191" s="242" t="s">
        <v>4153</v>
      </c>
      <c r="E191" s="242" t="s">
        <v>4154</v>
      </c>
      <c r="F191" s="242" t="s">
        <v>3611</v>
      </c>
      <c r="G191" s="253">
        <v>3119068</v>
      </c>
      <c r="H191" s="254" t="s">
        <v>4155</v>
      </c>
      <c r="J191" s="245"/>
    </row>
    <row r="192" spans="1:10" ht="15" customHeight="1">
      <c r="A192" s="251">
        <v>189</v>
      </c>
      <c r="B192" s="252">
        <v>43773</v>
      </c>
      <c r="C192" s="242" t="s">
        <v>4156</v>
      </c>
      <c r="D192" s="242" t="s">
        <v>4157</v>
      </c>
      <c r="E192" s="242" t="s">
        <v>4158</v>
      </c>
      <c r="F192" s="242" t="s">
        <v>3611</v>
      </c>
      <c r="G192" s="260">
        <v>2393255</v>
      </c>
      <c r="H192" s="254" t="s">
        <v>4159</v>
      </c>
      <c r="J192" s="245"/>
    </row>
    <row r="193" spans="1:10" ht="15" customHeight="1">
      <c r="A193" s="251">
        <v>190</v>
      </c>
      <c r="B193" s="252">
        <v>22451</v>
      </c>
      <c r="C193" s="242" t="s">
        <v>4160</v>
      </c>
      <c r="D193" s="242" t="s">
        <v>4161</v>
      </c>
      <c r="E193" s="242" t="s">
        <v>4162</v>
      </c>
      <c r="F193" s="242" t="s">
        <v>3611</v>
      </c>
      <c r="G193" s="253">
        <v>1315366</v>
      </c>
      <c r="H193" s="254" t="s">
        <v>4163</v>
      </c>
      <c r="J193" s="245"/>
    </row>
    <row r="194" spans="1:10" ht="15" customHeight="1">
      <c r="A194" s="251">
        <v>191</v>
      </c>
      <c r="B194" s="252">
        <v>22460</v>
      </c>
      <c r="C194" s="242" t="s">
        <v>4164</v>
      </c>
      <c r="D194" s="242" t="s">
        <v>4165</v>
      </c>
      <c r="E194" s="242" t="s">
        <v>4166</v>
      </c>
      <c r="F194" s="242" t="s">
        <v>3611</v>
      </c>
      <c r="G194" s="253">
        <v>1406043</v>
      </c>
      <c r="H194" s="254" t="s">
        <v>4167</v>
      </c>
      <c r="J194" s="245"/>
    </row>
    <row r="195" spans="1:10" ht="15" customHeight="1">
      <c r="A195" s="251">
        <v>192</v>
      </c>
      <c r="B195" s="252">
        <v>2397</v>
      </c>
      <c r="C195" s="242" t="s">
        <v>4168</v>
      </c>
      <c r="D195" s="242" t="s">
        <v>4169</v>
      </c>
      <c r="E195" s="242" t="s">
        <v>4170</v>
      </c>
      <c r="F195" s="242" t="s">
        <v>3611</v>
      </c>
      <c r="G195" s="253">
        <v>3118347</v>
      </c>
      <c r="H195" s="254" t="s">
        <v>4171</v>
      </c>
      <c r="J195" s="245"/>
    </row>
    <row r="196" spans="1:10" ht="15" customHeight="1">
      <c r="A196" s="251">
        <v>193</v>
      </c>
      <c r="B196" s="252">
        <v>2410</v>
      </c>
      <c r="C196" s="242" t="s">
        <v>4172</v>
      </c>
      <c r="D196" s="242" t="s">
        <v>4173</v>
      </c>
      <c r="E196" s="242" t="s">
        <v>4174</v>
      </c>
      <c r="F196" s="242" t="s">
        <v>3611</v>
      </c>
      <c r="G196" s="253">
        <v>3199622</v>
      </c>
      <c r="H196" s="254" t="s">
        <v>4175</v>
      </c>
      <c r="J196" s="245"/>
    </row>
    <row r="197" spans="1:10" ht="15" customHeight="1">
      <c r="A197" s="251">
        <v>194</v>
      </c>
      <c r="B197" s="252">
        <v>2524</v>
      </c>
      <c r="C197" s="242" t="s">
        <v>4176</v>
      </c>
      <c r="D197" s="242" t="s">
        <v>4177</v>
      </c>
      <c r="E197" s="242" t="s">
        <v>4178</v>
      </c>
      <c r="F197" s="242" t="s">
        <v>3611</v>
      </c>
      <c r="G197" s="253">
        <v>3118436</v>
      </c>
      <c r="H197" s="254" t="s">
        <v>4179</v>
      </c>
      <c r="J197" s="245"/>
    </row>
    <row r="198" spans="1:10" ht="15" customHeight="1">
      <c r="A198" s="251">
        <v>195</v>
      </c>
      <c r="B198" s="252">
        <v>22478</v>
      </c>
      <c r="C198" s="242" t="s">
        <v>4180</v>
      </c>
      <c r="D198" s="242" t="s">
        <v>4181</v>
      </c>
      <c r="E198" s="242" t="s">
        <v>4182</v>
      </c>
      <c r="F198" s="242" t="s">
        <v>3611</v>
      </c>
      <c r="G198" s="253">
        <v>1321358</v>
      </c>
      <c r="H198" s="254" t="s">
        <v>4183</v>
      </c>
      <c r="J198" s="245"/>
    </row>
    <row r="199" spans="1:10" ht="15" customHeight="1">
      <c r="A199" s="251">
        <v>196</v>
      </c>
      <c r="B199" s="252">
        <v>23815</v>
      </c>
      <c r="C199" s="242" t="s">
        <v>4184</v>
      </c>
      <c r="D199" s="242" t="s">
        <v>4185</v>
      </c>
      <c r="E199" s="242" t="s">
        <v>4186</v>
      </c>
      <c r="F199" s="242" t="s">
        <v>3635</v>
      </c>
      <c r="G199" s="253">
        <v>1695525</v>
      </c>
      <c r="H199" s="254" t="s">
        <v>4187</v>
      </c>
      <c r="J199" s="245"/>
    </row>
    <row r="200" spans="1:10" ht="15" customHeight="1">
      <c r="A200" s="251">
        <v>197</v>
      </c>
      <c r="B200" s="252">
        <v>2436</v>
      </c>
      <c r="C200" s="242" t="s">
        <v>4188</v>
      </c>
      <c r="D200" s="242" t="s">
        <v>4189</v>
      </c>
      <c r="E200" s="242" t="s">
        <v>4190</v>
      </c>
      <c r="F200" s="242" t="s">
        <v>3405</v>
      </c>
      <c r="G200" s="253">
        <v>3211592</v>
      </c>
      <c r="H200" s="254" t="s">
        <v>4191</v>
      </c>
      <c r="J200" s="245"/>
    </row>
    <row r="201" spans="1:10" ht="15" customHeight="1">
      <c r="A201" s="251">
        <v>198</v>
      </c>
      <c r="B201" s="252">
        <v>1923</v>
      </c>
      <c r="C201" s="242" t="s">
        <v>4192</v>
      </c>
      <c r="D201" s="242" t="s">
        <v>4193</v>
      </c>
      <c r="E201" s="242" t="s">
        <v>4194</v>
      </c>
      <c r="F201" s="242" t="s">
        <v>3405</v>
      </c>
      <c r="G201" s="253">
        <v>3283097</v>
      </c>
      <c r="H201" s="254" t="s">
        <v>4195</v>
      </c>
      <c r="J201" s="245"/>
    </row>
    <row r="202" spans="1:10" ht="15" customHeight="1">
      <c r="A202" s="251">
        <v>199</v>
      </c>
      <c r="B202" s="252">
        <v>1974</v>
      </c>
      <c r="C202" s="242" t="s">
        <v>4196</v>
      </c>
      <c r="D202" s="242" t="s">
        <v>4197</v>
      </c>
      <c r="E202" s="242" t="s">
        <v>4198</v>
      </c>
      <c r="F202" s="242" t="s">
        <v>3405</v>
      </c>
      <c r="G202" s="253">
        <v>3205029</v>
      </c>
      <c r="H202" s="254" t="s">
        <v>4199</v>
      </c>
      <c r="J202" s="245"/>
    </row>
    <row r="203" spans="1:10" ht="15" customHeight="1">
      <c r="A203" s="251">
        <v>200</v>
      </c>
      <c r="B203" s="252">
        <v>1982</v>
      </c>
      <c r="C203" s="242" t="s">
        <v>4200</v>
      </c>
      <c r="D203" s="242" t="s">
        <v>4201</v>
      </c>
      <c r="E203" s="242" t="s">
        <v>4202</v>
      </c>
      <c r="F203" s="242" t="s">
        <v>3405</v>
      </c>
      <c r="G203" s="253">
        <v>3207919</v>
      </c>
      <c r="H203" s="254" t="s">
        <v>4203</v>
      </c>
      <c r="J203" s="245"/>
    </row>
    <row r="204" spans="1:10" ht="15" customHeight="1">
      <c r="A204" s="251">
        <v>201</v>
      </c>
      <c r="B204" s="252">
        <v>1861</v>
      </c>
      <c r="C204" s="242" t="s">
        <v>4204</v>
      </c>
      <c r="D204" s="242" t="s">
        <v>4205</v>
      </c>
      <c r="E204" s="242" t="s">
        <v>4206</v>
      </c>
      <c r="F204" s="242" t="s">
        <v>3405</v>
      </c>
      <c r="G204" s="253">
        <v>3204952</v>
      </c>
      <c r="H204" s="254" t="s">
        <v>4207</v>
      </c>
      <c r="J204" s="245"/>
    </row>
    <row r="205" spans="1:10" ht="15" customHeight="1">
      <c r="A205" s="251">
        <v>202</v>
      </c>
      <c r="B205" s="252">
        <v>1966</v>
      </c>
      <c r="C205" s="242" t="s">
        <v>4208</v>
      </c>
      <c r="D205" s="242" t="s">
        <v>4209</v>
      </c>
      <c r="E205" s="242" t="s">
        <v>4210</v>
      </c>
      <c r="F205" s="242" t="s">
        <v>3405</v>
      </c>
      <c r="G205" s="253">
        <v>3219780</v>
      </c>
      <c r="H205" s="254" t="s">
        <v>4211</v>
      </c>
      <c r="J205" s="245"/>
    </row>
    <row r="206" spans="1:10" ht="15" customHeight="1">
      <c r="A206" s="251">
        <v>203</v>
      </c>
      <c r="B206" s="252">
        <v>1931</v>
      </c>
      <c r="C206" s="242" t="s">
        <v>4212</v>
      </c>
      <c r="D206" s="242" t="s">
        <v>4213</v>
      </c>
      <c r="E206" s="242" t="s">
        <v>4214</v>
      </c>
      <c r="F206" s="242" t="s">
        <v>3405</v>
      </c>
      <c r="G206" s="253">
        <v>3272079</v>
      </c>
      <c r="H206" s="254" t="s">
        <v>4215</v>
      </c>
      <c r="J206" s="245"/>
    </row>
    <row r="207" spans="1:10" ht="15" customHeight="1">
      <c r="A207" s="251">
        <v>204</v>
      </c>
      <c r="B207" s="252">
        <v>1757</v>
      </c>
      <c r="C207" s="242" t="s">
        <v>4216</v>
      </c>
      <c r="D207" s="242" t="s">
        <v>4217</v>
      </c>
      <c r="E207" s="242" t="s">
        <v>4218</v>
      </c>
      <c r="F207" s="242" t="s">
        <v>3405</v>
      </c>
      <c r="G207" s="253">
        <v>3276643</v>
      </c>
      <c r="H207" s="254" t="s">
        <v>4219</v>
      </c>
      <c r="J207" s="245"/>
    </row>
    <row r="208" spans="1:10" ht="15" customHeight="1">
      <c r="A208" s="251">
        <v>205</v>
      </c>
      <c r="B208" s="252">
        <v>6154</v>
      </c>
      <c r="C208" s="242" t="s">
        <v>4220</v>
      </c>
      <c r="D208" s="242" t="s">
        <v>4221</v>
      </c>
      <c r="E208" s="242" t="s">
        <v>4222</v>
      </c>
      <c r="F208" s="242" t="s">
        <v>3405</v>
      </c>
      <c r="G208" s="253">
        <v>1235664</v>
      </c>
      <c r="H208" s="254" t="s">
        <v>4223</v>
      </c>
      <c r="J208" s="245"/>
    </row>
    <row r="209" spans="1:10" ht="15" customHeight="1">
      <c r="A209" s="251">
        <v>206</v>
      </c>
      <c r="B209" s="252">
        <v>51191</v>
      </c>
      <c r="C209" s="242" t="s">
        <v>4224</v>
      </c>
      <c r="D209" s="242" t="s">
        <v>4225</v>
      </c>
      <c r="E209" s="242" t="s">
        <v>4226</v>
      </c>
      <c r="F209" s="242" t="s">
        <v>3405</v>
      </c>
      <c r="G209" s="253">
        <v>5214068</v>
      </c>
      <c r="H209" s="254" t="s">
        <v>4227</v>
      </c>
      <c r="J209" s="245"/>
    </row>
    <row r="210" spans="1:10" ht="15" customHeight="1">
      <c r="A210" s="251">
        <v>207</v>
      </c>
      <c r="B210" s="252">
        <v>1790</v>
      </c>
      <c r="C210" s="242" t="s">
        <v>4228</v>
      </c>
      <c r="D210" s="242" t="s">
        <v>4229</v>
      </c>
      <c r="E210" s="242" t="s">
        <v>4230</v>
      </c>
      <c r="F210" s="242" t="s">
        <v>3405</v>
      </c>
      <c r="G210" s="253">
        <v>3250270</v>
      </c>
      <c r="H210" s="254" t="s">
        <v>4231</v>
      </c>
      <c r="J210" s="245"/>
    </row>
    <row r="211" spans="1:10" ht="15" customHeight="1">
      <c r="A211" s="251">
        <v>208</v>
      </c>
      <c r="B211" s="252">
        <v>1907</v>
      </c>
      <c r="C211" s="242" t="s">
        <v>4232</v>
      </c>
      <c r="D211" s="242" t="s">
        <v>4233</v>
      </c>
      <c r="E211" s="242" t="s">
        <v>4234</v>
      </c>
      <c r="F211" s="242" t="s">
        <v>3405</v>
      </c>
      <c r="G211" s="253">
        <v>3270262</v>
      </c>
      <c r="H211" s="254" t="s">
        <v>4235</v>
      </c>
      <c r="J211" s="245"/>
    </row>
    <row r="212" spans="1:10" ht="15" customHeight="1">
      <c r="A212" s="251">
        <v>209</v>
      </c>
      <c r="B212" s="252">
        <v>1812</v>
      </c>
      <c r="C212" s="242" t="s">
        <v>4236</v>
      </c>
      <c r="D212" s="242" t="s">
        <v>4237</v>
      </c>
      <c r="E212" s="242" t="s">
        <v>4238</v>
      </c>
      <c r="F212" s="242" t="s">
        <v>3405</v>
      </c>
      <c r="G212" s="253">
        <v>3260771</v>
      </c>
      <c r="H212" s="254" t="s">
        <v>4239</v>
      </c>
      <c r="J212" s="245"/>
    </row>
    <row r="213" spans="1:10" ht="15" customHeight="1">
      <c r="A213" s="251">
        <v>210</v>
      </c>
      <c r="B213" s="252">
        <v>1829</v>
      </c>
      <c r="C213" s="242" t="s">
        <v>4240</v>
      </c>
      <c r="D213" s="242" t="s">
        <v>4241</v>
      </c>
      <c r="E213" s="242" t="s">
        <v>4242</v>
      </c>
      <c r="F213" s="242" t="s">
        <v>3405</v>
      </c>
      <c r="G213" s="253">
        <v>3276546</v>
      </c>
      <c r="H213" s="254" t="s">
        <v>4243</v>
      </c>
      <c r="J213" s="245"/>
    </row>
    <row r="214" spans="1:10" ht="15" customHeight="1">
      <c r="A214" s="251">
        <v>211</v>
      </c>
      <c r="B214" s="252">
        <v>2014</v>
      </c>
      <c r="C214" s="242" t="s">
        <v>4244</v>
      </c>
      <c r="D214" s="242" t="s">
        <v>4245</v>
      </c>
      <c r="E214" s="242" t="s">
        <v>4246</v>
      </c>
      <c r="F214" s="242" t="s">
        <v>3405</v>
      </c>
      <c r="G214" s="253">
        <v>3205037</v>
      </c>
      <c r="H214" s="254" t="s">
        <v>4247</v>
      </c>
      <c r="J214" s="245"/>
    </row>
    <row r="215" spans="1:10" ht="15" customHeight="1">
      <c r="A215" s="251">
        <v>212</v>
      </c>
      <c r="B215" s="252">
        <v>1958</v>
      </c>
      <c r="C215" s="242" t="s">
        <v>4248</v>
      </c>
      <c r="D215" s="242" t="s">
        <v>4249</v>
      </c>
      <c r="E215" s="242" t="s">
        <v>4250</v>
      </c>
      <c r="F215" s="242" t="s">
        <v>3405</v>
      </c>
      <c r="G215" s="253">
        <v>3254852</v>
      </c>
      <c r="H215" s="254" t="s">
        <v>4251</v>
      </c>
      <c r="J215" s="245"/>
    </row>
    <row r="216" spans="1:10" ht="15" customHeight="1">
      <c r="A216" s="251">
        <v>213</v>
      </c>
      <c r="B216" s="252">
        <v>1853</v>
      </c>
      <c r="C216" s="242" t="s">
        <v>4252</v>
      </c>
      <c r="D216" s="242" t="s">
        <v>4253</v>
      </c>
      <c r="E216" s="242" t="s">
        <v>4254</v>
      </c>
      <c r="F216" s="242" t="s">
        <v>3405</v>
      </c>
      <c r="G216" s="253">
        <v>3204987</v>
      </c>
      <c r="H216" s="254" t="s">
        <v>4255</v>
      </c>
      <c r="J216" s="245"/>
    </row>
    <row r="217" spans="1:10" ht="15" customHeight="1">
      <c r="A217" s="251">
        <v>214</v>
      </c>
      <c r="B217" s="252">
        <v>2102</v>
      </c>
      <c r="C217" s="242" t="s">
        <v>4256</v>
      </c>
      <c r="D217" s="242" t="s">
        <v>4257</v>
      </c>
      <c r="E217" s="242" t="s">
        <v>4258</v>
      </c>
      <c r="F217" s="242" t="s">
        <v>3621</v>
      </c>
      <c r="G217" s="253">
        <v>3042316</v>
      </c>
      <c r="H217" s="254" t="s">
        <v>4259</v>
      </c>
      <c r="J217" s="245"/>
    </row>
    <row r="218" spans="1:10" ht="15" customHeight="1">
      <c r="A218" s="251">
        <v>215</v>
      </c>
      <c r="B218" s="252">
        <v>1837</v>
      </c>
      <c r="C218" s="242" t="s">
        <v>4260</v>
      </c>
      <c r="D218" s="242" t="s">
        <v>4261</v>
      </c>
      <c r="E218" s="242" t="s">
        <v>4262</v>
      </c>
      <c r="F218" s="242" t="s">
        <v>3405</v>
      </c>
      <c r="G218" s="253">
        <v>3227120</v>
      </c>
      <c r="H218" s="254" t="s">
        <v>4263</v>
      </c>
      <c r="J218" s="245"/>
    </row>
    <row r="219" spans="1:10" ht="15" customHeight="1">
      <c r="A219" s="251">
        <v>216</v>
      </c>
      <c r="B219" s="252">
        <v>2080</v>
      </c>
      <c r="C219" s="242" t="s">
        <v>4264</v>
      </c>
      <c r="D219" s="242" t="s">
        <v>4265</v>
      </c>
      <c r="E219" s="242" t="s">
        <v>4266</v>
      </c>
      <c r="F219" s="242" t="s">
        <v>3405</v>
      </c>
      <c r="G219" s="253">
        <v>3219763</v>
      </c>
      <c r="H219" s="254" t="s">
        <v>4267</v>
      </c>
      <c r="J219" s="245"/>
    </row>
    <row r="220" spans="1:10" ht="15" customHeight="1">
      <c r="A220" s="251">
        <v>217</v>
      </c>
      <c r="B220" s="252">
        <v>2135</v>
      </c>
      <c r="C220" s="242" t="s">
        <v>4268</v>
      </c>
      <c r="D220" s="242" t="s">
        <v>4269</v>
      </c>
      <c r="E220" s="242" t="s">
        <v>4270</v>
      </c>
      <c r="F220" s="242" t="s">
        <v>3405</v>
      </c>
      <c r="G220" s="253">
        <v>3703088</v>
      </c>
      <c r="H220" s="254">
        <v>48987767944</v>
      </c>
      <c r="J220" s="245"/>
    </row>
    <row r="221" spans="1:10" ht="15" customHeight="1">
      <c r="A221" s="251">
        <v>218</v>
      </c>
      <c r="B221" s="252">
        <v>2006</v>
      </c>
      <c r="C221" s="242" t="s">
        <v>4271</v>
      </c>
      <c r="D221" s="242" t="s">
        <v>4272</v>
      </c>
      <c r="E221" s="242" t="s">
        <v>4273</v>
      </c>
      <c r="F221" s="242" t="s">
        <v>3405</v>
      </c>
      <c r="G221" s="253">
        <v>3274080</v>
      </c>
      <c r="H221" s="254" t="s">
        <v>4274</v>
      </c>
      <c r="J221" s="245"/>
    </row>
    <row r="222" spans="1:10" ht="15" customHeight="1">
      <c r="A222" s="251">
        <v>219</v>
      </c>
      <c r="B222" s="252">
        <v>1888</v>
      </c>
      <c r="C222" s="242" t="s">
        <v>4275</v>
      </c>
      <c r="D222" s="242" t="s">
        <v>4276</v>
      </c>
      <c r="E222" s="242" t="s">
        <v>4277</v>
      </c>
      <c r="F222" s="242" t="s">
        <v>3405</v>
      </c>
      <c r="G222" s="253">
        <v>3270211</v>
      </c>
      <c r="H222" s="254" t="s">
        <v>4278</v>
      </c>
      <c r="J222" s="245"/>
    </row>
    <row r="223" spans="1:10" ht="15" customHeight="1">
      <c r="A223" s="251">
        <v>220</v>
      </c>
      <c r="B223" s="252">
        <v>2071</v>
      </c>
      <c r="C223" s="242" t="s">
        <v>4279</v>
      </c>
      <c r="D223" s="242" t="s">
        <v>4280</v>
      </c>
      <c r="E223" s="242" t="s">
        <v>4281</v>
      </c>
      <c r="F223" s="242" t="s">
        <v>3601</v>
      </c>
      <c r="G223" s="253">
        <v>3313786</v>
      </c>
      <c r="H223" s="254" t="s">
        <v>4282</v>
      </c>
      <c r="J223" s="245"/>
    </row>
    <row r="224" spans="1:10" ht="15" customHeight="1">
      <c r="A224" s="251">
        <v>221</v>
      </c>
      <c r="B224" s="252">
        <v>1999</v>
      </c>
      <c r="C224" s="242" t="s">
        <v>4283</v>
      </c>
      <c r="D224" s="242" t="s">
        <v>4284</v>
      </c>
      <c r="E224" s="242" t="s">
        <v>4285</v>
      </c>
      <c r="F224" s="242" t="s">
        <v>3405</v>
      </c>
      <c r="G224" s="253">
        <v>3205002</v>
      </c>
      <c r="H224" s="254" t="s">
        <v>4286</v>
      </c>
      <c r="J224" s="245"/>
    </row>
    <row r="225" spans="1:10" ht="15" customHeight="1">
      <c r="A225" s="251">
        <v>222</v>
      </c>
      <c r="B225" s="252">
        <v>1915</v>
      </c>
      <c r="C225" s="242" t="s">
        <v>4287</v>
      </c>
      <c r="D225" s="242" t="s">
        <v>4288</v>
      </c>
      <c r="E225" s="242" t="s">
        <v>4190</v>
      </c>
      <c r="F225" s="242" t="s">
        <v>3405</v>
      </c>
      <c r="G225" s="253">
        <v>3225909</v>
      </c>
      <c r="H225" s="254" t="s">
        <v>4289</v>
      </c>
      <c r="J225" s="245"/>
    </row>
    <row r="226" spans="1:10" ht="15" customHeight="1">
      <c r="A226" s="251">
        <v>223</v>
      </c>
      <c r="B226" s="252">
        <v>1845</v>
      </c>
      <c r="C226" s="242" t="s">
        <v>4290</v>
      </c>
      <c r="D226" s="242" t="s">
        <v>4291</v>
      </c>
      <c r="E226" s="242" t="s">
        <v>4292</v>
      </c>
      <c r="F226" s="242" t="s">
        <v>3405</v>
      </c>
      <c r="G226" s="253">
        <v>3207102</v>
      </c>
      <c r="H226" s="254" t="s">
        <v>4293</v>
      </c>
      <c r="J226" s="245"/>
    </row>
    <row r="227" spans="1:10" ht="15" customHeight="1">
      <c r="A227" s="251">
        <v>224</v>
      </c>
      <c r="B227" s="252">
        <v>1781</v>
      </c>
      <c r="C227" s="242" t="s">
        <v>4294</v>
      </c>
      <c r="D227" s="242" t="s">
        <v>4295</v>
      </c>
      <c r="E227" s="242" t="s">
        <v>4296</v>
      </c>
      <c r="F227" s="242" t="s">
        <v>3405</v>
      </c>
      <c r="G227" s="253">
        <v>3270149</v>
      </c>
      <c r="H227" s="254" t="s">
        <v>4297</v>
      </c>
      <c r="J227" s="245"/>
    </row>
    <row r="228" spans="1:10" ht="15" customHeight="1">
      <c r="A228" s="251">
        <v>225</v>
      </c>
      <c r="B228" s="252">
        <v>2047</v>
      </c>
      <c r="C228" s="242" t="s">
        <v>4298</v>
      </c>
      <c r="D228" s="242" t="s">
        <v>4299</v>
      </c>
      <c r="E228" s="242" t="s">
        <v>4292</v>
      </c>
      <c r="F228" s="242" t="s">
        <v>3405</v>
      </c>
      <c r="G228" s="253">
        <v>3207005</v>
      </c>
      <c r="H228" s="254" t="s">
        <v>4300</v>
      </c>
      <c r="J228" s="245"/>
    </row>
    <row r="229" spans="1:10" ht="15" customHeight="1">
      <c r="A229" s="251">
        <v>226</v>
      </c>
      <c r="B229" s="252">
        <v>1870</v>
      </c>
      <c r="C229" s="242" t="s">
        <v>4301</v>
      </c>
      <c r="D229" s="242" t="s">
        <v>4302</v>
      </c>
      <c r="E229" s="242" t="s">
        <v>4303</v>
      </c>
      <c r="F229" s="242" t="s">
        <v>3405</v>
      </c>
      <c r="G229" s="253">
        <v>3204995</v>
      </c>
      <c r="H229" s="254" t="s">
        <v>4304</v>
      </c>
      <c r="J229" s="245"/>
    </row>
    <row r="230" spans="1:10" ht="15" customHeight="1">
      <c r="A230" s="251">
        <v>227</v>
      </c>
      <c r="B230" s="252">
        <v>1896</v>
      </c>
      <c r="C230" s="242" t="s">
        <v>4305</v>
      </c>
      <c r="D230" s="242" t="s">
        <v>4306</v>
      </c>
      <c r="E230" s="242" t="s">
        <v>4194</v>
      </c>
      <c r="F230" s="242" t="s">
        <v>3405</v>
      </c>
      <c r="G230" s="253">
        <v>3281485</v>
      </c>
      <c r="H230" s="254" t="s">
        <v>4307</v>
      </c>
      <c r="J230" s="245"/>
    </row>
    <row r="231" spans="1:10" ht="15" customHeight="1">
      <c r="A231" s="251">
        <v>228</v>
      </c>
      <c r="B231" s="252">
        <v>1804</v>
      </c>
      <c r="C231" s="242" t="s">
        <v>4308</v>
      </c>
      <c r="D231" s="242" t="s">
        <v>4309</v>
      </c>
      <c r="E231" s="242" t="s">
        <v>4310</v>
      </c>
      <c r="F231" s="242" t="s">
        <v>3405</v>
      </c>
      <c r="G231" s="253">
        <v>3207064</v>
      </c>
      <c r="H231" s="254" t="s">
        <v>4311</v>
      </c>
      <c r="J231" s="245"/>
    </row>
    <row r="232" spans="1:10" ht="15" customHeight="1">
      <c r="A232" s="251">
        <v>229</v>
      </c>
      <c r="B232" s="252">
        <v>1940</v>
      </c>
      <c r="C232" s="242" t="s">
        <v>4312</v>
      </c>
      <c r="D232" s="242" t="s">
        <v>4313</v>
      </c>
      <c r="E232" s="242" t="s">
        <v>4314</v>
      </c>
      <c r="F232" s="242" t="s">
        <v>3405</v>
      </c>
      <c r="G232" s="253">
        <v>1422545</v>
      </c>
      <c r="H232" s="254" t="s">
        <v>4315</v>
      </c>
      <c r="J232" s="245"/>
    </row>
    <row r="233" spans="1:10" ht="15" customHeight="1">
      <c r="A233" s="251">
        <v>230</v>
      </c>
      <c r="B233" s="252">
        <v>2022</v>
      </c>
      <c r="C233" s="242" t="s">
        <v>4316</v>
      </c>
      <c r="D233" s="242" t="s">
        <v>4317</v>
      </c>
      <c r="E233" s="242" t="s">
        <v>4318</v>
      </c>
      <c r="F233" s="242" t="s">
        <v>3405</v>
      </c>
      <c r="G233" s="253">
        <v>3225755</v>
      </c>
      <c r="H233" s="254" t="s">
        <v>4319</v>
      </c>
      <c r="J233" s="245"/>
    </row>
    <row r="234" spans="1:10" ht="15" customHeight="1">
      <c r="A234" s="251">
        <v>231</v>
      </c>
      <c r="B234" s="252">
        <v>22427</v>
      </c>
      <c r="C234" s="242" t="s">
        <v>4320</v>
      </c>
      <c r="D234" s="242" t="s">
        <v>4321</v>
      </c>
      <c r="E234" s="242" t="s">
        <v>4322</v>
      </c>
      <c r="F234" s="242" t="s">
        <v>3405</v>
      </c>
      <c r="G234" s="253">
        <v>1398270</v>
      </c>
      <c r="H234" s="254" t="s">
        <v>4323</v>
      </c>
      <c r="J234" s="245"/>
    </row>
    <row r="235" spans="1:10" ht="22.8">
      <c r="A235" s="251">
        <v>232</v>
      </c>
      <c r="B235" s="252">
        <v>50848</v>
      </c>
      <c r="C235" s="242" t="s">
        <v>4324</v>
      </c>
      <c r="D235" s="242" t="s">
        <v>4325</v>
      </c>
      <c r="E235" s="242" t="s">
        <v>4326</v>
      </c>
      <c r="F235" s="242" t="s">
        <v>4327</v>
      </c>
      <c r="G235" s="253">
        <v>2271354</v>
      </c>
      <c r="H235" s="254" t="s">
        <v>4328</v>
      </c>
      <c r="J235" s="245"/>
    </row>
    <row r="236" spans="1:10" ht="15" customHeight="1">
      <c r="A236" s="251">
        <v>233</v>
      </c>
      <c r="B236" s="252">
        <v>38446</v>
      </c>
      <c r="C236" s="242" t="s">
        <v>4329</v>
      </c>
      <c r="D236" s="242" t="s">
        <v>4330</v>
      </c>
      <c r="E236" s="262" t="s">
        <v>4331</v>
      </c>
      <c r="F236" s="262" t="s">
        <v>3543</v>
      </c>
      <c r="G236" s="253">
        <v>1970828</v>
      </c>
      <c r="H236" s="254" t="s">
        <v>4332</v>
      </c>
      <c r="J236" s="245"/>
    </row>
    <row r="237" spans="1:10" ht="15" customHeight="1">
      <c r="A237" s="251">
        <v>234</v>
      </c>
      <c r="B237" s="252">
        <v>38438</v>
      </c>
      <c r="C237" s="242" t="s">
        <v>4333</v>
      </c>
      <c r="D237" s="242" t="s">
        <v>4334</v>
      </c>
      <c r="E237" s="261" t="s">
        <v>4335</v>
      </c>
      <c r="F237" s="261" t="s">
        <v>4336</v>
      </c>
      <c r="G237" s="260">
        <v>1963813</v>
      </c>
      <c r="H237" s="254" t="s">
        <v>4337</v>
      </c>
      <c r="J237" s="245"/>
    </row>
    <row r="238" spans="1:10" ht="15" customHeight="1">
      <c r="A238" s="251">
        <v>235</v>
      </c>
      <c r="B238" s="252">
        <v>41185</v>
      </c>
      <c r="C238" s="242" t="s">
        <v>4338</v>
      </c>
      <c r="D238" s="242" t="s">
        <v>4339</v>
      </c>
      <c r="E238" s="242" t="s">
        <v>4340</v>
      </c>
      <c r="F238" s="242" t="s">
        <v>3577</v>
      </c>
      <c r="G238" s="253">
        <v>2103133</v>
      </c>
      <c r="H238" s="254" t="s">
        <v>4341</v>
      </c>
      <c r="J238" s="245"/>
    </row>
    <row r="239" spans="1:10" ht="15" customHeight="1">
      <c r="A239" s="251">
        <v>236</v>
      </c>
      <c r="B239" s="252">
        <v>21053</v>
      </c>
      <c r="C239" s="242" t="s">
        <v>4342</v>
      </c>
      <c r="D239" s="242" t="s">
        <v>4343</v>
      </c>
      <c r="E239" s="242" t="s">
        <v>4344</v>
      </c>
      <c r="F239" s="242" t="s">
        <v>3582</v>
      </c>
      <c r="G239" s="253">
        <v>1286030</v>
      </c>
      <c r="H239" s="254" t="s">
        <v>4345</v>
      </c>
      <c r="J239" s="245"/>
    </row>
    <row r="240" spans="1:10" ht="15" customHeight="1">
      <c r="A240" s="251">
        <v>237</v>
      </c>
      <c r="B240" s="252">
        <v>22398</v>
      </c>
      <c r="C240" s="242" t="s">
        <v>4346</v>
      </c>
      <c r="D240" s="242" t="s">
        <v>4347</v>
      </c>
      <c r="E240" s="242" t="s">
        <v>4348</v>
      </c>
      <c r="F240" s="242" t="s">
        <v>4349</v>
      </c>
      <c r="G240" s="253">
        <v>1395521</v>
      </c>
      <c r="H240" s="254" t="s">
        <v>4350</v>
      </c>
      <c r="J240" s="245"/>
    </row>
    <row r="241" spans="1:10" ht="15" customHeight="1">
      <c r="A241" s="251">
        <v>238</v>
      </c>
      <c r="B241" s="252">
        <v>22494</v>
      </c>
      <c r="C241" s="242" t="s">
        <v>4351</v>
      </c>
      <c r="D241" s="242" t="s">
        <v>4352</v>
      </c>
      <c r="E241" s="242" t="s">
        <v>4353</v>
      </c>
      <c r="F241" s="242" t="s">
        <v>22</v>
      </c>
      <c r="G241" s="253">
        <v>1387332</v>
      </c>
      <c r="H241" s="254" t="s">
        <v>4354</v>
      </c>
      <c r="J241" s="245"/>
    </row>
    <row r="242" spans="1:10" ht="15" customHeight="1">
      <c r="A242" s="251">
        <v>239</v>
      </c>
      <c r="B242" s="252">
        <v>22824</v>
      </c>
      <c r="C242" s="242" t="s">
        <v>4355</v>
      </c>
      <c r="D242" s="242" t="s">
        <v>4356</v>
      </c>
      <c r="E242" s="242" t="s">
        <v>4357</v>
      </c>
      <c r="F242" s="242" t="s">
        <v>3616</v>
      </c>
      <c r="G242" s="253">
        <v>2100673</v>
      </c>
      <c r="H242" s="254" t="s">
        <v>4358</v>
      </c>
      <c r="J242" s="245"/>
    </row>
    <row r="243" spans="1:10" ht="15" customHeight="1">
      <c r="A243" s="251">
        <v>240</v>
      </c>
      <c r="B243" s="252">
        <v>42993</v>
      </c>
      <c r="C243" s="242" t="s">
        <v>4359</v>
      </c>
      <c r="D243" s="242" t="s">
        <v>4360</v>
      </c>
      <c r="E243" s="242" t="s">
        <v>4361</v>
      </c>
      <c r="F243" s="242" t="s">
        <v>3626</v>
      </c>
      <c r="G243" s="253">
        <v>2282208</v>
      </c>
      <c r="H243" s="254" t="s">
        <v>4362</v>
      </c>
      <c r="J243" s="245"/>
    </row>
    <row r="244" spans="1:10" ht="15" customHeight="1">
      <c r="A244" s="251">
        <v>241</v>
      </c>
      <c r="B244" s="252">
        <v>22371</v>
      </c>
      <c r="C244" s="242" t="s">
        <v>4363</v>
      </c>
      <c r="D244" s="242" t="s">
        <v>4364</v>
      </c>
      <c r="E244" s="242" t="s">
        <v>4365</v>
      </c>
      <c r="F244" s="242" t="s">
        <v>4366</v>
      </c>
      <c r="G244" s="253">
        <v>1411942</v>
      </c>
      <c r="H244" s="254" t="s">
        <v>4367</v>
      </c>
      <c r="J244" s="245"/>
    </row>
    <row r="245" spans="1:10" ht="15" customHeight="1">
      <c r="A245" s="251">
        <v>242</v>
      </c>
      <c r="B245" s="252">
        <v>22832</v>
      </c>
      <c r="C245" s="242" t="s">
        <v>4368</v>
      </c>
      <c r="D245" s="242" t="s">
        <v>4369</v>
      </c>
      <c r="E245" s="242" t="s">
        <v>4370</v>
      </c>
      <c r="F245" s="242" t="s">
        <v>3405</v>
      </c>
      <c r="G245" s="253">
        <v>1274597</v>
      </c>
      <c r="H245" s="254" t="s">
        <v>4371</v>
      </c>
      <c r="J245" s="245"/>
    </row>
    <row r="246" spans="1:10" ht="15" customHeight="1">
      <c r="A246" s="251">
        <v>243</v>
      </c>
      <c r="B246" s="252">
        <v>2918</v>
      </c>
      <c r="C246" s="242" t="s">
        <v>4372</v>
      </c>
      <c r="D246" s="242" t="s">
        <v>4373</v>
      </c>
      <c r="E246" s="242" t="s">
        <v>4374</v>
      </c>
      <c r="F246" s="242" t="s">
        <v>3405</v>
      </c>
      <c r="G246" s="253">
        <v>3219925</v>
      </c>
      <c r="H246" s="254" t="s">
        <v>4375</v>
      </c>
      <c r="J246" s="245"/>
    </row>
    <row r="247" spans="1:10" ht="15" customHeight="1">
      <c r="A247" s="251">
        <v>244</v>
      </c>
      <c r="B247" s="252">
        <v>22525</v>
      </c>
      <c r="C247" s="242" t="s">
        <v>4376</v>
      </c>
      <c r="D247" s="242" t="s">
        <v>4377</v>
      </c>
      <c r="E247" s="242" t="s">
        <v>4378</v>
      </c>
      <c r="F247" s="242" t="s">
        <v>3405</v>
      </c>
      <c r="G247" s="253">
        <v>3219518</v>
      </c>
      <c r="H247" s="254" t="s">
        <v>4379</v>
      </c>
      <c r="J247" s="245"/>
    </row>
    <row r="248" spans="1:10" ht="15" customHeight="1">
      <c r="A248" s="251">
        <v>245</v>
      </c>
      <c r="B248" s="252">
        <v>2934</v>
      </c>
      <c r="C248" s="242" t="s">
        <v>4380</v>
      </c>
      <c r="D248" s="242" t="s">
        <v>4381</v>
      </c>
      <c r="E248" s="242" t="s">
        <v>4382</v>
      </c>
      <c r="F248" s="242" t="s">
        <v>3405</v>
      </c>
      <c r="G248" s="253">
        <v>3207153</v>
      </c>
      <c r="H248" s="254" t="s">
        <v>4383</v>
      </c>
      <c r="J248" s="245"/>
    </row>
    <row r="249" spans="1:10" ht="15" customHeight="1">
      <c r="A249" s="251">
        <v>246</v>
      </c>
      <c r="B249" s="252">
        <v>2967</v>
      </c>
      <c r="C249" s="242" t="s">
        <v>4384</v>
      </c>
      <c r="D249" s="242" t="s">
        <v>4385</v>
      </c>
      <c r="E249" s="242" t="s">
        <v>4386</v>
      </c>
      <c r="F249" s="242" t="s">
        <v>4387</v>
      </c>
      <c r="G249" s="253">
        <v>3115879</v>
      </c>
      <c r="H249" s="254" t="s">
        <v>4388</v>
      </c>
      <c r="J249" s="245"/>
    </row>
    <row r="250" spans="1:10" ht="15" customHeight="1">
      <c r="A250" s="251">
        <v>247</v>
      </c>
      <c r="B250" s="252">
        <v>2983</v>
      </c>
      <c r="C250" s="242" t="s">
        <v>4389</v>
      </c>
      <c r="D250" s="242" t="s">
        <v>4390</v>
      </c>
      <c r="E250" s="242" t="s">
        <v>4391</v>
      </c>
      <c r="F250" s="242" t="s">
        <v>3405</v>
      </c>
      <c r="G250" s="253">
        <v>3274098</v>
      </c>
      <c r="H250" s="254" t="s">
        <v>4392</v>
      </c>
      <c r="J250" s="245"/>
    </row>
    <row r="251" spans="1:10" ht="15" customHeight="1">
      <c r="A251" s="251">
        <v>248</v>
      </c>
      <c r="B251" s="252">
        <v>3105</v>
      </c>
      <c r="C251" s="242" t="s">
        <v>4393</v>
      </c>
      <c r="D251" s="242" t="s">
        <v>4394</v>
      </c>
      <c r="E251" s="242" t="s">
        <v>4395</v>
      </c>
      <c r="F251" s="242" t="s">
        <v>3405</v>
      </c>
      <c r="G251" s="253">
        <v>3793028</v>
      </c>
      <c r="H251" s="254" t="s">
        <v>4396</v>
      </c>
      <c r="J251" s="245"/>
    </row>
    <row r="252" spans="1:10" ht="15" customHeight="1">
      <c r="A252" s="251">
        <v>249</v>
      </c>
      <c r="B252" s="252">
        <v>3041</v>
      </c>
      <c r="C252" s="242" t="s">
        <v>4397</v>
      </c>
      <c r="D252" s="242" t="s">
        <v>4398</v>
      </c>
      <c r="E252" s="242" t="s">
        <v>4399</v>
      </c>
      <c r="F252" s="242" t="s">
        <v>3405</v>
      </c>
      <c r="G252" s="253">
        <v>3270289</v>
      </c>
      <c r="H252" s="254" t="s">
        <v>4400</v>
      </c>
      <c r="J252" s="245"/>
    </row>
    <row r="253" spans="1:10" ht="15" customHeight="1">
      <c r="A253" s="251">
        <v>250</v>
      </c>
      <c r="B253" s="252">
        <v>3113</v>
      </c>
      <c r="C253" s="242" t="s">
        <v>4401</v>
      </c>
      <c r="D253" s="242" t="s">
        <v>4402</v>
      </c>
      <c r="E253" s="242" t="s">
        <v>4403</v>
      </c>
      <c r="F253" s="242" t="s">
        <v>3405</v>
      </c>
      <c r="G253" s="253">
        <v>3817121</v>
      </c>
      <c r="H253" s="254" t="s">
        <v>4404</v>
      </c>
      <c r="J253" s="245"/>
    </row>
    <row r="254" spans="1:10" ht="15" customHeight="1">
      <c r="A254" s="251">
        <v>251</v>
      </c>
      <c r="B254" s="252">
        <v>3121</v>
      </c>
      <c r="C254" s="242" t="s">
        <v>4405</v>
      </c>
      <c r="D254" s="242" t="s">
        <v>4406</v>
      </c>
      <c r="E254" s="242" t="s">
        <v>4403</v>
      </c>
      <c r="F254" s="242" t="s">
        <v>3405</v>
      </c>
      <c r="G254" s="253">
        <v>3937658</v>
      </c>
      <c r="H254" s="254" t="s">
        <v>4407</v>
      </c>
      <c r="J254" s="245"/>
    </row>
    <row r="255" spans="1:10" ht="15" customHeight="1">
      <c r="A255" s="251">
        <v>252</v>
      </c>
      <c r="B255" s="252">
        <v>3050</v>
      </c>
      <c r="C255" s="242" t="s">
        <v>4408</v>
      </c>
      <c r="D255" s="242" t="s">
        <v>4409</v>
      </c>
      <c r="E255" s="242" t="s">
        <v>4410</v>
      </c>
      <c r="F255" s="242" t="s">
        <v>3405</v>
      </c>
      <c r="G255" s="253">
        <v>3205118</v>
      </c>
      <c r="H255" s="254" t="s">
        <v>4411</v>
      </c>
      <c r="J255" s="245"/>
    </row>
    <row r="256" spans="1:10" ht="15" customHeight="1">
      <c r="A256" s="251">
        <v>253</v>
      </c>
      <c r="B256" s="252">
        <v>3084</v>
      </c>
      <c r="C256" s="242" t="s">
        <v>4412</v>
      </c>
      <c r="D256" s="242" t="s">
        <v>4413</v>
      </c>
      <c r="E256" s="242" t="s">
        <v>4414</v>
      </c>
      <c r="F256" s="242" t="s">
        <v>3405</v>
      </c>
      <c r="G256" s="253">
        <v>3724042</v>
      </c>
      <c r="H256" s="254" t="s">
        <v>4415</v>
      </c>
      <c r="J256" s="245"/>
    </row>
    <row r="257" spans="1:10" ht="15" customHeight="1">
      <c r="A257" s="251">
        <v>254</v>
      </c>
      <c r="B257" s="252">
        <v>3092</v>
      </c>
      <c r="C257" s="242" t="s">
        <v>4416</v>
      </c>
      <c r="D257" s="242" t="s">
        <v>4417</v>
      </c>
      <c r="E257" s="242" t="s">
        <v>4418</v>
      </c>
      <c r="F257" s="242" t="s">
        <v>3405</v>
      </c>
      <c r="G257" s="253">
        <v>3772047</v>
      </c>
      <c r="H257" s="254" t="s">
        <v>4419</v>
      </c>
      <c r="J257" s="245"/>
    </row>
    <row r="258" spans="1:10" ht="15" customHeight="1">
      <c r="A258" s="251">
        <v>255</v>
      </c>
      <c r="B258" s="252">
        <v>2975</v>
      </c>
      <c r="C258" s="242" t="s">
        <v>4420</v>
      </c>
      <c r="D258" s="242" t="s">
        <v>4421</v>
      </c>
      <c r="E258" s="242" t="s">
        <v>4399</v>
      </c>
      <c r="F258" s="242" t="s">
        <v>3405</v>
      </c>
      <c r="G258" s="253">
        <v>3270424</v>
      </c>
      <c r="H258" s="254" t="s">
        <v>4422</v>
      </c>
      <c r="J258" s="245"/>
    </row>
    <row r="259" spans="1:10" ht="15" customHeight="1">
      <c r="A259" s="251">
        <v>256</v>
      </c>
      <c r="B259" s="252">
        <v>21061</v>
      </c>
      <c r="C259" s="242" t="s">
        <v>4423</v>
      </c>
      <c r="D259" s="242" t="s">
        <v>4424</v>
      </c>
      <c r="E259" s="242" t="s">
        <v>4425</v>
      </c>
      <c r="F259" s="242" t="s">
        <v>3405</v>
      </c>
      <c r="G259" s="253">
        <v>1259571</v>
      </c>
      <c r="H259" s="254" t="s">
        <v>4426</v>
      </c>
      <c r="J259" s="245"/>
    </row>
    <row r="260" spans="1:10" ht="15" customHeight="1">
      <c r="A260" s="251">
        <v>257</v>
      </c>
      <c r="B260" s="252">
        <v>3025</v>
      </c>
      <c r="C260" s="242" t="s">
        <v>4427</v>
      </c>
      <c r="D260" s="242" t="s">
        <v>4428</v>
      </c>
      <c r="E260" s="242" t="s">
        <v>4429</v>
      </c>
      <c r="F260" s="242" t="s">
        <v>3611</v>
      </c>
      <c r="G260" s="253">
        <v>3140792</v>
      </c>
      <c r="H260" s="254" t="s">
        <v>4430</v>
      </c>
      <c r="J260" s="245"/>
    </row>
    <row r="261" spans="1:10" ht="15" customHeight="1">
      <c r="A261" s="251">
        <v>258</v>
      </c>
      <c r="B261" s="252">
        <v>23286</v>
      </c>
      <c r="C261" s="242" t="s">
        <v>4431</v>
      </c>
      <c r="D261" s="242" t="s">
        <v>4432</v>
      </c>
      <c r="E261" s="242" t="s">
        <v>4433</v>
      </c>
      <c r="F261" s="242" t="s">
        <v>3405</v>
      </c>
      <c r="G261" s="253">
        <v>3226344</v>
      </c>
      <c r="H261" s="254" t="s">
        <v>4434</v>
      </c>
      <c r="J261" s="245"/>
    </row>
    <row r="262" spans="1:10" ht="15" customHeight="1">
      <c r="A262" s="251">
        <v>259</v>
      </c>
      <c r="B262" s="252">
        <v>2959</v>
      </c>
      <c r="C262" s="242" t="s">
        <v>4435</v>
      </c>
      <c r="D262" s="242" t="s">
        <v>4436</v>
      </c>
      <c r="E262" s="242" t="s">
        <v>4437</v>
      </c>
      <c r="F262" s="242" t="s">
        <v>3405</v>
      </c>
      <c r="G262" s="253">
        <v>3270475</v>
      </c>
      <c r="H262" s="254" t="s">
        <v>4438</v>
      </c>
      <c r="J262" s="245"/>
    </row>
    <row r="263" spans="1:10" ht="15" customHeight="1">
      <c r="A263" s="251">
        <v>260</v>
      </c>
      <c r="B263" s="252">
        <v>3009</v>
      </c>
      <c r="C263" s="242" t="s">
        <v>4439</v>
      </c>
      <c r="D263" s="242" t="s">
        <v>4440</v>
      </c>
      <c r="E263" s="242" t="s">
        <v>3512</v>
      </c>
      <c r="F263" s="242" t="s">
        <v>3405</v>
      </c>
      <c r="G263" s="253">
        <v>3287572</v>
      </c>
      <c r="H263" s="254" t="s">
        <v>4441</v>
      </c>
      <c r="J263" s="245"/>
    </row>
    <row r="264" spans="1:10" ht="15" customHeight="1">
      <c r="A264" s="251">
        <v>261</v>
      </c>
      <c r="B264" s="252">
        <v>2900</v>
      </c>
      <c r="C264" s="242" t="s">
        <v>4442</v>
      </c>
      <c r="D264" s="242" t="s">
        <v>4443</v>
      </c>
      <c r="E264" s="242" t="s">
        <v>4444</v>
      </c>
      <c r="F264" s="242" t="s">
        <v>3611</v>
      </c>
      <c r="G264" s="253">
        <v>3118355</v>
      </c>
      <c r="H264" s="254" t="s">
        <v>4445</v>
      </c>
      <c r="J264" s="245"/>
    </row>
    <row r="265" spans="1:10" ht="15" customHeight="1">
      <c r="A265" s="251">
        <v>262</v>
      </c>
      <c r="B265" s="252">
        <v>3076</v>
      </c>
      <c r="C265" s="242" t="s">
        <v>4446</v>
      </c>
      <c r="D265" s="242" t="s">
        <v>4447</v>
      </c>
      <c r="E265" s="242" t="s">
        <v>4448</v>
      </c>
      <c r="F265" s="242" t="s">
        <v>4449</v>
      </c>
      <c r="G265" s="253">
        <v>3421031</v>
      </c>
      <c r="H265" s="254" t="s">
        <v>4450</v>
      </c>
      <c r="J265" s="245"/>
    </row>
    <row r="266" spans="1:10" ht="15" customHeight="1">
      <c r="A266" s="251">
        <v>263</v>
      </c>
      <c r="B266" s="252">
        <v>2942</v>
      </c>
      <c r="C266" s="242" t="s">
        <v>4451</v>
      </c>
      <c r="D266" s="242" t="s">
        <v>4452</v>
      </c>
      <c r="E266" s="242" t="s">
        <v>4453</v>
      </c>
      <c r="F266" s="242" t="s">
        <v>3405</v>
      </c>
      <c r="G266" s="253">
        <v>1339958</v>
      </c>
      <c r="H266" s="254" t="s">
        <v>4454</v>
      </c>
      <c r="J266" s="245"/>
    </row>
    <row r="267" spans="1:10" ht="15" customHeight="1">
      <c r="A267" s="251">
        <v>264</v>
      </c>
      <c r="B267" s="252">
        <v>22621</v>
      </c>
      <c r="C267" s="242" t="s">
        <v>4455</v>
      </c>
      <c r="D267" s="242" t="s">
        <v>4456</v>
      </c>
      <c r="E267" s="242" t="s">
        <v>4457</v>
      </c>
      <c r="F267" s="242" t="s">
        <v>3405</v>
      </c>
      <c r="G267" s="253">
        <v>3205177</v>
      </c>
      <c r="H267" s="254" t="s">
        <v>4458</v>
      </c>
      <c r="J267" s="245"/>
    </row>
    <row r="268" spans="1:10" ht="15" customHeight="1">
      <c r="A268" s="251">
        <v>265</v>
      </c>
      <c r="B268" s="252">
        <v>3068</v>
      </c>
      <c r="C268" s="242" t="s">
        <v>4459</v>
      </c>
      <c r="D268" s="242" t="s">
        <v>4460</v>
      </c>
      <c r="E268" s="242" t="s">
        <v>4461</v>
      </c>
      <c r="F268" s="242" t="s">
        <v>3405</v>
      </c>
      <c r="G268" s="253">
        <v>3208001</v>
      </c>
      <c r="H268" s="254" t="s">
        <v>4462</v>
      </c>
      <c r="J268" s="245"/>
    </row>
    <row r="269" spans="1:10" ht="15" customHeight="1">
      <c r="A269" s="251">
        <v>266</v>
      </c>
      <c r="B269" s="252">
        <v>2991</v>
      </c>
      <c r="C269" s="242" t="s">
        <v>4463</v>
      </c>
      <c r="D269" s="242" t="s">
        <v>4464</v>
      </c>
      <c r="E269" s="242" t="s">
        <v>4465</v>
      </c>
      <c r="F269" s="242" t="s">
        <v>3587</v>
      </c>
      <c r="G269" s="253">
        <v>3058239</v>
      </c>
      <c r="H269" s="254" t="s">
        <v>4466</v>
      </c>
      <c r="J269" s="245"/>
    </row>
    <row r="270" spans="1:10" ht="15" customHeight="1">
      <c r="A270" s="251">
        <v>267</v>
      </c>
      <c r="B270" s="252">
        <v>21070</v>
      </c>
      <c r="C270" s="242" t="s">
        <v>4467</v>
      </c>
      <c r="D270" s="242" t="s">
        <v>4468</v>
      </c>
      <c r="E270" s="242" t="s">
        <v>4469</v>
      </c>
      <c r="F270" s="242" t="s">
        <v>3405</v>
      </c>
      <c r="G270" s="253">
        <v>1259563</v>
      </c>
      <c r="H270" s="254" t="s">
        <v>4470</v>
      </c>
      <c r="J270" s="245"/>
    </row>
    <row r="271" spans="1:10" ht="15" customHeight="1">
      <c r="A271" s="251">
        <v>268</v>
      </c>
      <c r="B271" s="252">
        <v>6179</v>
      </c>
      <c r="C271" s="242" t="s">
        <v>4471</v>
      </c>
      <c r="D271" s="242" t="s">
        <v>4472</v>
      </c>
      <c r="E271" s="242" t="s">
        <v>3779</v>
      </c>
      <c r="F271" s="242" t="s">
        <v>3405</v>
      </c>
      <c r="G271" s="253">
        <v>3899772</v>
      </c>
      <c r="H271" s="254" t="s">
        <v>4473</v>
      </c>
      <c r="J271" s="245"/>
    </row>
    <row r="272" spans="1:10" ht="15" customHeight="1">
      <c r="A272" s="251">
        <v>269</v>
      </c>
      <c r="B272" s="252">
        <v>43335</v>
      </c>
      <c r="C272" s="242" t="s">
        <v>4474</v>
      </c>
      <c r="D272" s="242" t="s">
        <v>4475</v>
      </c>
      <c r="E272" s="261" t="s">
        <v>4476</v>
      </c>
      <c r="F272" s="242" t="s">
        <v>3405</v>
      </c>
      <c r="G272" s="260">
        <v>2298007</v>
      </c>
      <c r="H272" s="254" t="s">
        <v>4477</v>
      </c>
      <c r="J272" s="245"/>
    </row>
    <row r="273" spans="1:10" ht="15" customHeight="1">
      <c r="A273" s="251">
        <v>270</v>
      </c>
      <c r="B273" s="252">
        <v>23962</v>
      </c>
      <c r="C273" s="242" t="s">
        <v>4478</v>
      </c>
      <c r="D273" s="242" t="s">
        <v>4479</v>
      </c>
      <c r="E273" s="242" t="s">
        <v>4480</v>
      </c>
      <c r="F273" s="242" t="s">
        <v>3405</v>
      </c>
      <c r="G273" s="253">
        <v>1778129</v>
      </c>
      <c r="H273" s="254" t="s">
        <v>4481</v>
      </c>
      <c r="J273" s="245"/>
    </row>
    <row r="274" spans="1:10" ht="15" customHeight="1">
      <c r="A274" s="251">
        <v>271</v>
      </c>
      <c r="B274" s="252">
        <v>46173</v>
      </c>
      <c r="C274" s="242" t="s">
        <v>4482</v>
      </c>
      <c r="D274" s="242" t="s">
        <v>4483</v>
      </c>
      <c r="E274" s="261" t="s">
        <v>4484</v>
      </c>
      <c r="F274" s="242" t="s">
        <v>3405</v>
      </c>
      <c r="G274" s="260">
        <v>2650029</v>
      </c>
      <c r="H274" s="254" t="s">
        <v>4485</v>
      </c>
      <c r="J274" s="245"/>
    </row>
    <row r="275" spans="1:10" ht="15" customHeight="1">
      <c r="A275" s="251">
        <v>272</v>
      </c>
      <c r="B275" s="252">
        <v>38487</v>
      </c>
      <c r="C275" s="242" t="s">
        <v>4486</v>
      </c>
      <c r="D275" s="242" t="s">
        <v>4487</v>
      </c>
      <c r="E275" s="261" t="s">
        <v>4480</v>
      </c>
      <c r="F275" s="242" t="s">
        <v>3405</v>
      </c>
      <c r="G275" s="260">
        <v>1922548</v>
      </c>
      <c r="H275" s="254" t="s">
        <v>4488</v>
      </c>
      <c r="J275" s="245"/>
    </row>
    <row r="276" spans="1:10" ht="15" customHeight="1">
      <c r="A276" s="251">
        <v>273</v>
      </c>
      <c r="B276" s="252">
        <v>21852</v>
      </c>
      <c r="C276" s="242" t="s">
        <v>4489</v>
      </c>
      <c r="D276" s="242" t="s">
        <v>4490</v>
      </c>
      <c r="E276" s="261" t="s">
        <v>4491</v>
      </c>
      <c r="F276" s="242" t="s">
        <v>3405</v>
      </c>
      <c r="G276" s="260">
        <v>1147820</v>
      </c>
      <c r="H276" s="254" t="s">
        <v>4492</v>
      </c>
      <c r="J276" s="245"/>
    </row>
    <row r="277" spans="1:10" ht="15" customHeight="1">
      <c r="A277" s="251">
        <v>274</v>
      </c>
      <c r="B277" s="252">
        <v>52209</v>
      </c>
      <c r="C277" s="242" t="s">
        <v>4493</v>
      </c>
      <c r="D277" s="242" t="s">
        <v>145</v>
      </c>
      <c r="E277" s="261" t="s">
        <v>4494</v>
      </c>
      <c r="F277" s="242" t="s">
        <v>3405</v>
      </c>
      <c r="G277" s="260">
        <v>1626841</v>
      </c>
      <c r="H277" s="254">
        <v>88776522763</v>
      </c>
      <c r="J277" s="245"/>
    </row>
    <row r="278" spans="1:10" ht="15" customHeight="1">
      <c r="A278" s="251">
        <v>275</v>
      </c>
      <c r="B278" s="252">
        <v>21869</v>
      </c>
      <c r="C278" s="242" t="s">
        <v>4495</v>
      </c>
      <c r="D278" s="242" t="s">
        <v>4496</v>
      </c>
      <c r="E278" s="261" t="s">
        <v>4476</v>
      </c>
      <c r="F278" s="242" t="s">
        <v>3405</v>
      </c>
      <c r="G278" s="260">
        <v>3211622</v>
      </c>
      <c r="H278" s="254" t="s">
        <v>4497</v>
      </c>
      <c r="J278" s="245"/>
    </row>
    <row r="279" spans="1:10" ht="15" customHeight="1">
      <c r="A279" s="251">
        <v>276</v>
      </c>
      <c r="B279" s="252">
        <v>21836</v>
      </c>
      <c r="C279" s="242" t="s">
        <v>4498</v>
      </c>
      <c r="D279" s="242" t="s">
        <v>4499</v>
      </c>
      <c r="E279" s="261" t="s">
        <v>4500</v>
      </c>
      <c r="F279" s="242" t="s">
        <v>3405</v>
      </c>
      <c r="G279" s="260">
        <v>3205363</v>
      </c>
      <c r="H279" s="254" t="s">
        <v>4501</v>
      </c>
      <c r="J279" s="245"/>
    </row>
    <row r="280" spans="1:10" ht="15" customHeight="1">
      <c r="A280" s="251">
        <v>277</v>
      </c>
      <c r="B280" s="252">
        <v>40883</v>
      </c>
      <c r="C280" s="242" t="s">
        <v>4502</v>
      </c>
      <c r="D280" s="242" t="s">
        <v>4503</v>
      </c>
      <c r="E280" s="261" t="s">
        <v>4504</v>
      </c>
      <c r="F280" s="242" t="s">
        <v>4505</v>
      </c>
      <c r="G280" s="260">
        <v>1943430</v>
      </c>
      <c r="H280" s="254" t="s">
        <v>4506</v>
      </c>
      <c r="J280" s="245"/>
    </row>
    <row r="281" spans="1:10" ht="15" customHeight="1">
      <c r="A281" s="251">
        <v>278</v>
      </c>
      <c r="B281" s="252">
        <v>23665</v>
      </c>
      <c r="C281" s="242" t="s">
        <v>4507</v>
      </c>
      <c r="D281" s="242" t="s">
        <v>4508</v>
      </c>
      <c r="E281" s="261" t="s">
        <v>4491</v>
      </c>
      <c r="F281" s="242" t="s">
        <v>3405</v>
      </c>
      <c r="G281" s="253">
        <v>3283020</v>
      </c>
      <c r="H281" s="254" t="s">
        <v>4509</v>
      </c>
      <c r="J281" s="245"/>
    </row>
    <row r="282" spans="1:10" s="245" customFormat="1" ht="15" customHeight="1">
      <c r="A282" s="239">
        <v>279</v>
      </c>
      <c r="B282" s="247">
        <v>47096</v>
      </c>
      <c r="C282" s="248" t="s">
        <v>4510</v>
      </c>
      <c r="D282" s="242" t="s">
        <v>4511</v>
      </c>
      <c r="E282" s="248" t="s">
        <v>3779</v>
      </c>
      <c r="F282" s="248" t="s">
        <v>3405</v>
      </c>
      <c r="G282" s="249">
        <v>2830949</v>
      </c>
      <c r="H282" s="250" t="s">
        <v>4512</v>
      </c>
    </row>
    <row r="283" spans="1:10" s="245" customFormat="1" ht="15" customHeight="1">
      <c r="A283" s="251">
        <v>280</v>
      </c>
      <c r="B283" s="252">
        <v>25843</v>
      </c>
      <c r="C283" s="242" t="s">
        <v>4513</v>
      </c>
      <c r="D283" s="242" t="s">
        <v>4514</v>
      </c>
      <c r="E283" s="242" t="s">
        <v>4515</v>
      </c>
      <c r="F283" s="242" t="s">
        <v>3405</v>
      </c>
      <c r="G283" s="253">
        <v>1369741</v>
      </c>
      <c r="H283" s="254" t="s">
        <v>4516</v>
      </c>
    </row>
    <row r="284" spans="1:10" ht="22.8">
      <c r="A284" s="251">
        <v>281</v>
      </c>
      <c r="B284" s="252">
        <v>48242</v>
      </c>
      <c r="C284" s="242" t="s">
        <v>4517</v>
      </c>
      <c r="D284" s="242" t="s">
        <v>4518</v>
      </c>
      <c r="E284" s="242" t="s">
        <v>4519</v>
      </c>
      <c r="F284" s="242" t="s">
        <v>3405</v>
      </c>
      <c r="G284" s="253">
        <v>4166159</v>
      </c>
      <c r="H284" s="254" t="s">
        <v>4520</v>
      </c>
      <c r="J284" s="245"/>
    </row>
    <row r="285" spans="1:10" ht="15" customHeight="1">
      <c r="A285" s="251">
        <v>282</v>
      </c>
      <c r="B285" s="252">
        <v>24168</v>
      </c>
      <c r="C285" s="242" t="s">
        <v>4521</v>
      </c>
      <c r="D285" s="242" t="s">
        <v>4522</v>
      </c>
      <c r="E285" s="242" t="s">
        <v>4523</v>
      </c>
      <c r="F285" s="242" t="s">
        <v>3405</v>
      </c>
      <c r="G285" s="253">
        <v>1469819</v>
      </c>
      <c r="H285" s="250" t="s">
        <v>4524</v>
      </c>
      <c r="J285" s="245"/>
    </row>
    <row r="286" spans="1:10" ht="15" customHeight="1">
      <c r="A286" s="251">
        <v>283</v>
      </c>
      <c r="B286" s="252">
        <v>44508</v>
      </c>
      <c r="C286" s="242" t="s">
        <v>4525</v>
      </c>
      <c r="D286" s="242" t="s">
        <v>4526</v>
      </c>
      <c r="E286" s="242" t="s">
        <v>4527</v>
      </c>
      <c r="F286" s="242" t="s">
        <v>3405</v>
      </c>
      <c r="G286" s="253">
        <v>2456257</v>
      </c>
      <c r="H286" s="254" t="s">
        <v>4528</v>
      </c>
      <c r="J286" s="245"/>
    </row>
    <row r="287" spans="1:10" ht="15" customHeight="1">
      <c r="A287" s="251">
        <v>284</v>
      </c>
      <c r="B287" s="252">
        <v>33634</v>
      </c>
      <c r="C287" s="269" t="s">
        <v>4529</v>
      </c>
      <c r="D287" s="242" t="s">
        <v>4530</v>
      </c>
      <c r="E287" s="269" t="s">
        <v>4531</v>
      </c>
      <c r="F287" s="269" t="s">
        <v>3587</v>
      </c>
      <c r="G287" s="264" t="s">
        <v>4532</v>
      </c>
      <c r="H287" s="270">
        <v>57200304958</v>
      </c>
      <c r="J287" s="245"/>
    </row>
    <row r="288" spans="1:10" ht="15" customHeight="1">
      <c r="A288" s="251">
        <v>285</v>
      </c>
      <c r="B288" s="252">
        <v>49059</v>
      </c>
      <c r="C288" s="269" t="s">
        <v>4533</v>
      </c>
      <c r="D288" s="242" t="s">
        <v>4534</v>
      </c>
      <c r="E288" s="269" t="s">
        <v>4535</v>
      </c>
      <c r="F288" s="269" t="s">
        <v>22</v>
      </c>
      <c r="G288" s="271" t="s">
        <v>4536</v>
      </c>
      <c r="H288" s="270">
        <v>99737296287</v>
      </c>
      <c r="J288" s="245"/>
    </row>
    <row r="289" spans="1:10" ht="15" customHeight="1">
      <c r="A289" s="251">
        <v>286</v>
      </c>
      <c r="B289" s="252">
        <v>49729</v>
      </c>
      <c r="C289" s="269" t="s">
        <v>4537</v>
      </c>
      <c r="D289" s="242" t="s">
        <v>4538</v>
      </c>
      <c r="E289" s="269" t="s">
        <v>4539</v>
      </c>
      <c r="F289" s="269" t="s">
        <v>3611</v>
      </c>
      <c r="G289" s="264" t="s">
        <v>4540</v>
      </c>
      <c r="H289" s="270">
        <v>60142045282</v>
      </c>
      <c r="J289" s="245"/>
    </row>
    <row r="290" spans="1:10" ht="15" customHeight="1">
      <c r="A290" s="251">
        <v>287</v>
      </c>
      <c r="B290" s="252">
        <v>48865</v>
      </c>
      <c r="C290" s="269" t="s">
        <v>4541</v>
      </c>
      <c r="D290" s="242" t="s">
        <v>4542</v>
      </c>
      <c r="E290" s="269" t="s">
        <v>4543</v>
      </c>
      <c r="F290" s="269" t="s">
        <v>3405</v>
      </c>
      <c r="G290" s="264" t="s">
        <v>4544</v>
      </c>
      <c r="H290" s="270">
        <v>69410598395</v>
      </c>
      <c r="J290" s="245"/>
    </row>
    <row r="291" spans="1:10" ht="15" customHeight="1">
      <c r="A291" s="251">
        <v>288</v>
      </c>
      <c r="B291" s="252">
        <v>7333</v>
      </c>
      <c r="C291" s="242" t="s">
        <v>4545</v>
      </c>
      <c r="D291" s="242" t="s">
        <v>4546</v>
      </c>
      <c r="E291" s="242" t="s">
        <v>4547</v>
      </c>
      <c r="F291" s="242" t="s">
        <v>4548</v>
      </c>
      <c r="G291" s="253">
        <v>3099598</v>
      </c>
      <c r="H291" s="254" t="s">
        <v>4549</v>
      </c>
      <c r="J291" s="245"/>
    </row>
    <row r="292" spans="1:10" ht="15" customHeight="1">
      <c r="A292" s="251">
        <v>289</v>
      </c>
      <c r="B292" s="252">
        <v>7472</v>
      </c>
      <c r="C292" s="242" t="s">
        <v>4550</v>
      </c>
      <c r="D292" s="242" t="s">
        <v>4551</v>
      </c>
      <c r="E292" s="242" t="s">
        <v>4552</v>
      </c>
      <c r="F292" s="242" t="s">
        <v>3405</v>
      </c>
      <c r="G292" s="253">
        <v>3217191</v>
      </c>
      <c r="H292" s="254" t="s">
        <v>4553</v>
      </c>
      <c r="J292" s="245"/>
    </row>
    <row r="293" spans="1:10" ht="15" customHeight="1">
      <c r="A293" s="251">
        <v>290</v>
      </c>
      <c r="B293" s="252">
        <v>7405</v>
      </c>
      <c r="C293" s="242" t="s">
        <v>4554</v>
      </c>
      <c r="D293" s="242" t="s">
        <v>4555</v>
      </c>
      <c r="E293" s="242" t="s">
        <v>4556</v>
      </c>
      <c r="F293" s="242" t="s">
        <v>3611</v>
      </c>
      <c r="G293" s="253">
        <v>3133737</v>
      </c>
      <c r="H293" s="254" t="s">
        <v>4557</v>
      </c>
      <c r="J293" s="245"/>
    </row>
    <row r="294" spans="1:10" ht="15" customHeight="1">
      <c r="A294" s="251">
        <v>291</v>
      </c>
      <c r="B294" s="252">
        <v>7456</v>
      </c>
      <c r="C294" s="242" t="s">
        <v>4558</v>
      </c>
      <c r="D294" s="242" t="s">
        <v>4559</v>
      </c>
      <c r="E294" s="242" t="s">
        <v>4560</v>
      </c>
      <c r="F294" s="242" t="s">
        <v>4561</v>
      </c>
      <c r="G294" s="253">
        <v>3102947</v>
      </c>
      <c r="H294" s="254" t="s">
        <v>4562</v>
      </c>
      <c r="J294" s="245"/>
    </row>
    <row r="295" spans="1:10" ht="15" customHeight="1">
      <c r="A295" s="251">
        <v>292</v>
      </c>
      <c r="B295" s="252">
        <v>7392</v>
      </c>
      <c r="C295" s="242" t="s">
        <v>4563</v>
      </c>
      <c r="D295" s="242" t="s">
        <v>4564</v>
      </c>
      <c r="E295" s="242" t="s">
        <v>4565</v>
      </c>
      <c r="F295" s="242" t="s">
        <v>3611</v>
      </c>
      <c r="G295" s="253">
        <v>3120104</v>
      </c>
      <c r="H295" s="254" t="s">
        <v>4566</v>
      </c>
      <c r="J295" s="245"/>
    </row>
    <row r="296" spans="1:10" ht="15" customHeight="1">
      <c r="A296" s="251">
        <v>293</v>
      </c>
      <c r="B296" s="252">
        <v>7489</v>
      </c>
      <c r="C296" s="242" t="s">
        <v>4567</v>
      </c>
      <c r="D296" s="242" t="s">
        <v>4568</v>
      </c>
      <c r="E296" s="242" t="s">
        <v>4569</v>
      </c>
      <c r="F296" s="242" t="s">
        <v>3405</v>
      </c>
      <c r="G296" s="253">
        <v>3205835</v>
      </c>
      <c r="H296" s="254" t="s">
        <v>4570</v>
      </c>
      <c r="J296" s="245"/>
    </row>
    <row r="297" spans="1:10" ht="15" customHeight="1">
      <c r="A297" s="251">
        <v>294</v>
      </c>
      <c r="B297" s="252">
        <v>7421</v>
      </c>
      <c r="C297" s="242" t="s">
        <v>4571</v>
      </c>
      <c r="D297" s="242" t="s">
        <v>4572</v>
      </c>
      <c r="E297" s="242" t="s">
        <v>4573</v>
      </c>
      <c r="F297" s="242" t="s">
        <v>3616</v>
      </c>
      <c r="G297" s="253">
        <v>3019683</v>
      </c>
      <c r="H297" s="254" t="s">
        <v>4574</v>
      </c>
      <c r="J297" s="245"/>
    </row>
    <row r="298" spans="1:10" ht="15" customHeight="1">
      <c r="A298" s="251">
        <v>295</v>
      </c>
      <c r="B298" s="252">
        <v>7528</v>
      </c>
      <c r="C298" s="242" t="s">
        <v>4575</v>
      </c>
      <c r="D298" s="242" t="s">
        <v>4576</v>
      </c>
      <c r="E298" s="242" t="s">
        <v>4577</v>
      </c>
      <c r="F298" s="242" t="s">
        <v>3405</v>
      </c>
      <c r="G298" s="253">
        <v>3205827</v>
      </c>
      <c r="H298" s="254" t="s">
        <v>4578</v>
      </c>
      <c r="J298" s="245"/>
    </row>
    <row r="299" spans="1:10" ht="15" customHeight="1">
      <c r="A299" s="251">
        <v>296</v>
      </c>
      <c r="B299" s="252">
        <v>7501</v>
      </c>
      <c r="C299" s="242" t="s">
        <v>4579</v>
      </c>
      <c r="D299" s="242" t="s">
        <v>4580</v>
      </c>
      <c r="E299" s="242" t="s">
        <v>4581</v>
      </c>
      <c r="F299" s="242" t="s">
        <v>3470</v>
      </c>
      <c r="G299" s="253">
        <v>3216284</v>
      </c>
      <c r="H299" s="254" t="s">
        <v>4582</v>
      </c>
      <c r="J299" s="245"/>
    </row>
    <row r="300" spans="1:10" ht="15" customHeight="1">
      <c r="A300" s="251">
        <v>297</v>
      </c>
      <c r="B300" s="252">
        <v>7497</v>
      </c>
      <c r="C300" s="242" t="s">
        <v>4583</v>
      </c>
      <c r="D300" s="242" t="s">
        <v>4584</v>
      </c>
      <c r="E300" s="242" t="s">
        <v>4585</v>
      </c>
      <c r="F300" s="242" t="s">
        <v>3405</v>
      </c>
      <c r="G300" s="253">
        <v>3205819</v>
      </c>
      <c r="H300" s="254" t="s">
        <v>4586</v>
      </c>
      <c r="J300" s="245"/>
    </row>
    <row r="301" spans="1:10" ht="15" customHeight="1">
      <c r="A301" s="251">
        <v>298</v>
      </c>
      <c r="B301" s="252">
        <v>7536</v>
      </c>
      <c r="C301" s="242" t="s">
        <v>4587</v>
      </c>
      <c r="D301" s="242" t="s">
        <v>4588</v>
      </c>
      <c r="E301" s="242" t="s">
        <v>4589</v>
      </c>
      <c r="F301" s="242" t="s">
        <v>4590</v>
      </c>
      <c r="G301" s="253">
        <v>3126862</v>
      </c>
      <c r="H301" s="254" t="s">
        <v>4591</v>
      </c>
      <c r="J301" s="245"/>
    </row>
    <row r="302" spans="1:10" ht="15" customHeight="1">
      <c r="A302" s="251">
        <v>299</v>
      </c>
      <c r="B302" s="252">
        <v>48402</v>
      </c>
      <c r="C302" s="242" t="s">
        <v>4592</v>
      </c>
      <c r="D302" s="242" t="s">
        <v>4593</v>
      </c>
      <c r="E302" s="242" t="s">
        <v>4594</v>
      </c>
      <c r="F302" s="242" t="s">
        <v>3405</v>
      </c>
      <c r="G302" s="253">
        <v>4250257</v>
      </c>
      <c r="H302" s="254" t="s">
        <v>4595</v>
      </c>
      <c r="J302" s="245"/>
    </row>
    <row r="303" spans="1:10" ht="15" customHeight="1">
      <c r="A303" s="251">
        <v>300</v>
      </c>
      <c r="B303" s="252">
        <v>7163</v>
      </c>
      <c r="C303" s="242" t="s">
        <v>4596</v>
      </c>
      <c r="D303" s="242" t="s">
        <v>4597</v>
      </c>
      <c r="E303" s="242" t="s">
        <v>4598</v>
      </c>
      <c r="F303" s="242" t="s">
        <v>4599</v>
      </c>
      <c r="G303" s="253">
        <v>3148637</v>
      </c>
      <c r="H303" s="254" t="s">
        <v>4600</v>
      </c>
      <c r="J303" s="245"/>
    </row>
    <row r="304" spans="1:10" ht="15" customHeight="1">
      <c r="A304" s="251">
        <v>301</v>
      </c>
      <c r="B304" s="252">
        <v>7147</v>
      </c>
      <c r="C304" s="242" t="s">
        <v>4601</v>
      </c>
      <c r="D304" s="242" t="s">
        <v>4602</v>
      </c>
      <c r="E304" s="242" t="s">
        <v>4603</v>
      </c>
      <c r="F304" s="242" t="s">
        <v>3587</v>
      </c>
      <c r="G304" s="253">
        <v>3014410</v>
      </c>
      <c r="H304" s="254" t="s">
        <v>4604</v>
      </c>
      <c r="J304" s="245"/>
    </row>
    <row r="305" spans="1:10" ht="15" customHeight="1">
      <c r="A305" s="251">
        <v>302</v>
      </c>
      <c r="B305" s="252">
        <v>7180</v>
      </c>
      <c r="C305" s="242" t="s">
        <v>4605</v>
      </c>
      <c r="D305" s="242" t="s">
        <v>4606</v>
      </c>
      <c r="E305" s="262" t="s">
        <v>4607</v>
      </c>
      <c r="F305" s="262" t="s">
        <v>3606</v>
      </c>
      <c r="G305" s="253">
        <v>3071332</v>
      </c>
      <c r="H305" s="254" t="s">
        <v>4608</v>
      </c>
      <c r="J305" s="245"/>
    </row>
    <row r="306" spans="1:10" ht="15" customHeight="1">
      <c r="A306" s="251">
        <v>303</v>
      </c>
      <c r="B306" s="252">
        <v>7114</v>
      </c>
      <c r="C306" s="242" t="s">
        <v>4609</v>
      </c>
      <c r="D306" s="242" t="s">
        <v>4610</v>
      </c>
      <c r="E306" s="242" t="s">
        <v>4611</v>
      </c>
      <c r="F306" s="242" t="s">
        <v>4612</v>
      </c>
      <c r="G306" s="253">
        <v>3084981</v>
      </c>
      <c r="H306" s="254" t="s">
        <v>4613</v>
      </c>
      <c r="J306" s="245"/>
    </row>
    <row r="307" spans="1:10" ht="15" customHeight="1">
      <c r="A307" s="251">
        <v>304</v>
      </c>
      <c r="B307" s="252">
        <v>52305</v>
      </c>
      <c r="C307" s="242" t="s">
        <v>4614</v>
      </c>
      <c r="D307" s="242" t="s">
        <v>4615</v>
      </c>
      <c r="E307" s="242" t="s">
        <v>4616</v>
      </c>
      <c r="F307" s="242" t="s">
        <v>3635</v>
      </c>
      <c r="G307" s="253">
        <v>5343020</v>
      </c>
      <c r="H307" s="254" t="s">
        <v>4617</v>
      </c>
      <c r="J307" s="245"/>
    </row>
    <row r="308" spans="1:10" ht="15" customHeight="1">
      <c r="A308" s="251">
        <v>305</v>
      </c>
      <c r="B308" s="252">
        <v>7761</v>
      </c>
      <c r="C308" s="242" t="s">
        <v>4618</v>
      </c>
      <c r="D308" s="242" t="s">
        <v>4619</v>
      </c>
      <c r="E308" s="242" t="s">
        <v>4620</v>
      </c>
      <c r="F308" s="242" t="s">
        <v>3587</v>
      </c>
      <c r="G308" s="253">
        <v>3014452</v>
      </c>
      <c r="H308" s="254" t="s">
        <v>4621</v>
      </c>
      <c r="J308" s="245"/>
    </row>
    <row r="309" spans="1:10" ht="15" customHeight="1">
      <c r="A309" s="251">
        <v>306</v>
      </c>
      <c r="B309" s="252">
        <v>7350</v>
      </c>
      <c r="C309" s="242" t="s">
        <v>4622</v>
      </c>
      <c r="D309" s="242" t="s">
        <v>4623</v>
      </c>
      <c r="E309" s="242" t="s">
        <v>4624</v>
      </c>
      <c r="F309" s="242" t="s">
        <v>4625</v>
      </c>
      <c r="G309" s="253">
        <v>3187381</v>
      </c>
      <c r="H309" s="254" t="s">
        <v>4626</v>
      </c>
      <c r="J309" s="245"/>
    </row>
    <row r="310" spans="1:10" ht="15" customHeight="1">
      <c r="A310" s="251">
        <v>307</v>
      </c>
      <c r="B310" s="252">
        <v>7309</v>
      </c>
      <c r="C310" s="242" t="s">
        <v>4627</v>
      </c>
      <c r="D310" s="242" t="s">
        <v>4628</v>
      </c>
      <c r="E310" s="242" t="s">
        <v>4629</v>
      </c>
      <c r="F310" s="242" t="s">
        <v>3611</v>
      </c>
      <c r="G310" s="253">
        <v>3133745</v>
      </c>
      <c r="H310" s="254" t="s">
        <v>4630</v>
      </c>
      <c r="J310" s="245"/>
    </row>
    <row r="311" spans="1:10" ht="15" customHeight="1">
      <c r="A311" s="251">
        <v>308</v>
      </c>
      <c r="B311" s="252">
        <v>7106</v>
      </c>
      <c r="C311" s="242" t="s">
        <v>4631</v>
      </c>
      <c r="D311" s="242" t="s">
        <v>4632</v>
      </c>
      <c r="E311" s="242" t="s">
        <v>4633</v>
      </c>
      <c r="F311" s="242" t="s">
        <v>4108</v>
      </c>
      <c r="G311" s="253">
        <v>3009971</v>
      </c>
      <c r="H311" s="254" t="s">
        <v>4634</v>
      </c>
      <c r="J311" s="245"/>
    </row>
    <row r="312" spans="1:10" ht="15" customHeight="1">
      <c r="A312" s="251">
        <v>309</v>
      </c>
      <c r="B312" s="252">
        <v>7091</v>
      </c>
      <c r="C312" s="242" t="s">
        <v>4635</v>
      </c>
      <c r="D312" s="242" t="s">
        <v>4636</v>
      </c>
      <c r="E312" s="242" t="s">
        <v>4637</v>
      </c>
      <c r="F312" s="242" t="s">
        <v>3582</v>
      </c>
      <c r="G312" s="253">
        <v>3123464</v>
      </c>
      <c r="H312" s="254" t="s">
        <v>4638</v>
      </c>
      <c r="J312" s="245"/>
    </row>
    <row r="313" spans="1:10" ht="15" customHeight="1">
      <c r="A313" s="251">
        <v>310</v>
      </c>
      <c r="B313" s="252">
        <v>21801</v>
      </c>
      <c r="C313" s="242" t="s">
        <v>4639</v>
      </c>
      <c r="D313" s="242" t="s">
        <v>4640</v>
      </c>
      <c r="E313" s="242" t="s">
        <v>4641</v>
      </c>
      <c r="F313" s="242" t="s">
        <v>4642</v>
      </c>
      <c r="G313" s="253">
        <v>1284797</v>
      </c>
      <c r="H313" s="254" t="s">
        <v>4643</v>
      </c>
      <c r="J313" s="245"/>
    </row>
    <row r="314" spans="1:10" ht="15" customHeight="1">
      <c r="A314" s="251">
        <v>311</v>
      </c>
      <c r="B314" s="252">
        <v>21797</v>
      </c>
      <c r="C314" s="242" t="s">
        <v>4644</v>
      </c>
      <c r="D314" s="242" t="s">
        <v>4645</v>
      </c>
      <c r="E314" s="242" t="s">
        <v>4646</v>
      </c>
      <c r="F314" s="242" t="s">
        <v>4647</v>
      </c>
      <c r="G314" s="253">
        <v>1151703</v>
      </c>
      <c r="H314" s="254" t="s">
        <v>4648</v>
      </c>
      <c r="J314" s="245"/>
    </row>
    <row r="315" spans="1:10">
      <c r="A315" s="251">
        <v>312</v>
      </c>
      <c r="B315" s="252">
        <v>45986</v>
      </c>
      <c r="C315" s="242" t="s">
        <v>4649</v>
      </c>
      <c r="D315" s="242" t="s">
        <v>4650</v>
      </c>
      <c r="E315" s="242" t="s">
        <v>4651</v>
      </c>
      <c r="F315" s="242" t="s">
        <v>4652</v>
      </c>
      <c r="G315" s="253">
        <v>2506327</v>
      </c>
      <c r="H315" s="254" t="s">
        <v>4653</v>
      </c>
      <c r="J315" s="245"/>
    </row>
    <row r="316" spans="1:10" ht="15" customHeight="1">
      <c r="A316" s="251">
        <v>313</v>
      </c>
      <c r="B316" s="252">
        <v>26555</v>
      </c>
      <c r="C316" s="242" t="s">
        <v>4654</v>
      </c>
      <c r="D316" s="242" t="s">
        <v>4655</v>
      </c>
      <c r="E316" s="242" t="s">
        <v>4656</v>
      </c>
      <c r="F316" s="242" t="s">
        <v>4657</v>
      </c>
      <c r="G316" s="253">
        <v>1738925</v>
      </c>
      <c r="H316" s="254" t="s">
        <v>4658</v>
      </c>
      <c r="J316" s="245"/>
    </row>
    <row r="317" spans="1:10" ht="15" customHeight="1">
      <c r="A317" s="251">
        <v>314</v>
      </c>
      <c r="B317" s="252">
        <v>21810</v>
      </c>
      <c r="C317" s="242" t="s">
        <v>4659</v>
      </c>
      <c r="D317" s="242" t="s">
        <v>4660</v>
      </c>
      <c r="E317" s="242" t="s">
        <v>4661</v>
      </c>
      <c r="F317" s="242" t="s">
        <v>4662</v>
      </c>
      <c r="G317" s="253">
        <v>1284789</v>
      </c>
      <c r="H317" s="254" t="s">
        <v>4663</v>
      </c>
      <c r="J317" s="245"/>
    </row>
    <row r="318" spans="1:10" ht="15" customHeight="1">
      <c r="A318" s="251">
        <v>315</v>
      </c>
      <c r="B318" s="252">
        <v>7430</v>
      </c>
      <c r="C318" s="242" t="s">
        <v>4664</v>
      </c>
      <c r="D318" s="242" t="s">
        <v>4665</v>
      </c>
      <c r="E318" s="242" t="s">
        <v>4666</v>
      </c>
      <c r="F318" s="242" t="s">
        <v>3657</v>
      </c>
      <c r="G318" s="253">
        <v>3549496</v>
      </c>
      <c r="H318" s="254" t="s">
        <v>4667</v>
      </c>
      <c r="J318" s="245"/>
    </row>
    <row r="319" spans="1:10" ht="15" customHeight="1">
      <c r="A319" s="251">
        <v>316</v>
      </c>
      <c r="B319" s="252">
        <v>7384</v>
      </c>
      <c r="C319" s="242" t="s">
        <v>4668</v>
      </c>
      <c r="D319" s="242" t="s">
        <v>4669</v>
      </c>
      <c r="E319" s="242" t="s">
        <v>4670</v>
      </c>
      <c r="F319" s="242" t="s">
        <v>22</v>
      </c>
      <c r="G319" s="253">
        <v>3417778</v>
      </c>
      <c r="H319" s="254" t="s">
        <v>4671</v>
      </c>
      <c r="J319" s="245"/>
    </row>
    <row r="320" spans="1:10" ht="15" customHeight="1">
      <c r="A320" s="251">
        <v>317</v>
      </c>
      <c r="B320" s="252">
        <v>21789</v>
      </c>
      <c r="C320" s="242" t="s">
        <v>4672</v>
      </c>
      <c r="D320" s="242" t="s">
        <v>4673</v>
      </c>
      <c r="E320" s="242" t="s">
        <v>4674</v>
      </c>
      <c r="F320" s="242" t="s">
        <v>3611</v>
      </c>
      <c r="G320" s="253">
        <v>1140370</v>
      </c>
      <c r="H320" s="254" t="s">
        <v>4675</v>
      </c>
      <c r="J320" s="245"/>
    </row>
    <row r="321" spans="1:10" ht="15" customHeight="1">
      <c r="A321" s="251">
        <v>318</v>
      </c>
      <c r="B321" s="252">
        <v>7413</v>
      </c>
      <c r="C321" s="242" t="s">
        <v>4676</v>
      </c>
      <c r="D321" s="242" t="s">
        <v>4677</v>
      </c>
      <c r="E321" s="242" t="s">
        <v>4678</v>
      </c>
      <c r="F321" s="242" t="s">
        <v>4679</v>
      </c>
      <c r="G321" s="253">
        <v>3348431</v>
      </c>
      <c r="H321" s="254" t="s">
        <v>4680</v>
      </c>
      <c r="J321" s="245"/>
    </row>
    <row r="322" spans="1:10" ht="15" customHeight="1">
      <c r="A322" s="251">
        <v>319</v>
      </c>
      <c r="B322" s="252">
        <v>7341</v>
      </c>
      <c r="C322" s="242" t="s">
        <v>4681</v>
      </c>
      <c r="D322" s="242" t="s">
        <v>4682</v>
      </c>
      <c r="E322" s="242" t="s">
        <v>4683</v>
      </c>
      <c r="F322" s="242" t="s">
        <v>4684</v>
      </c>
      <c r="G322" s="253">
        <v>3334392</v>
      </c>
      <c r="H322" s="254" t="s">
        <v>4685</v>
      </c>
      <c r="J322" s="245"/>
    </row>
    <row r="323" spans="1:10" ht="15" customHeight="1">
      <c r="A323" s="251">
        <v>320</v>
      </c>
      <c r="B323" s="252">
        <v>7464</v>
      </c>
      <c r="C323" s="242" t="s">
        <v>4686</v>
      </c>
      <c r="D323" s="242" t="s">
        <v>4687</v>
      </c>
      <c r="E323" s="242" t="s">
        <v>4688</v>
      </c>
      <c r="F323" s="242" t="s">
        <v>3405</v>
      </c>
      <c r="G323" s="253">
        <v>3256251</v>
      </c>
      <c r="H323" s="254" t="s">
        <v>4689</v>
      </c>
      <c r="J323" s="245"/>
    </row>
    <row r="324" spans="1:10" ht="15" customHeight="1">
      <c r="A324" s="251">
        <v>321</v>
      </c>
      <c r="B324" s="252">
        <v>6187</v>
      </c>
      <c r="C324" s="242" t="s">
        <v>4690</v>
      </c>
      <c r="D324" s="242" t="s">
        <v>4691</v>
      </c>
      <c r="E324" s="242" t="s">
        <v>4692</v>
      </c>
      <c r="F324" s="242" t="s">
        <v>4693</v>
      </c>
      <c r="G324" s="253">
        <v>2872692</v>
      </c>
      <c r="H324" s="254" t="s">
        <v>4694</v>
      </c>
      <c r="J324" s="245"/>
    </row>
    <row r="325" spans="1:10" ht="15" customHeight="1">
      <c r="A325" s="251">
        <v>322</v>
      </c>
      <c r="B325" s="252">
        <v>6195</v>
      </c>
      <c r="C325" s="242" t="s">
        <v>4695</v>
      </c>
      <c r="D325" s="242" t="s">
        <v>4696</v>
      </c>
      <c r="E325" s="242" t="s">
        <v>4697</v>
      </c>
      <c r="F325" s="242" t="s">
        <v>4698</v>
      </c>
      <c r="G325" s="253">
        <v>2884321</v>
      </c>
      <c r="H325" s="254" t="s">
        <v>4699</v>
      </c>
      <c r="J325" s="245"/>
    </row>
    <row r="326" spans="1:10" ht="15" customHeight="1">
      <c r="A326" s="251">
        <v>323</v>
      </c>
      <c r="B326" s="252">
        <v>6200</v>
      </c>
      <c r="C326" s="242" t="s">
        <v>4700</v>
      </c>
      <c r="D326" s="242" t="s">
        <v>4701</v>
      </c>
      <c r="E326" s="242" t="s">
        <v>4702</v>
      </c>
      <c r="F326" s="242" t="s">
        <v>4703</v>
      </c>
      <c r="G326" s="253">
        <v>2884330</v>
      </c>
      <c r="H326" s="254" t="s">
        <v>4704</v>
      </c>
      <c r="J326" s="245"/>
    </row>
    <row r="327" spans="1:10" ht="15" customHeight="1">
      <c r="A327" s="251">
        <v>324</v>
      </c>
      <c r="B327" s="252">
        <v>6218</v>
      </c>
      <c r="C327" s="242" t="s">
        <v>4705</v>
      </c>
      <c r="D327" s="242" t="s">
        <v>4706</v>
      </c>
      <c r="E327" s="242" t="s">
        <v>4707</v>
      </c>
      <c r="F327" s="242" t="s">
        <v>3567</v>
      </c>
      <c r="G327" s="253">
        <v>2873761</v>
      </c>
      <c r="H327" s="254" t="s">
        <v>4708</v>
      </c>
      <c r="J327" s="245"/>
    </row>
    <row r="328" spans="1:10" ht="15" customHeight="1">
      <c r="A328" s="251">
        <v>325</v>
      </c>
      <c r="B328" s="252">
        <v>6226</v>
      </c>
      <c r="C328" s="242" t="s">
        <v>4709</v>
      </c>
      <c r="D328" s="242" t="s">
        <v>4710</v>
      </c>
      <c r="E328" s="242" t="s">
        <v>4711</v>
      </c>
      <c r="F328" s="242" t="s">
        <v>4712</v>
      </c>
      <c r="G328" s="253">
        <v>2882736</v>
      </c>
      <c r="H328" s="254" t="s">
        <v>4713</v>
      </c>
      <c r="J328" s="245"/>
    </row>
    <row r="329" spans="1:10" ht="15" customHeight="1">
      <c r="A329" s="251">
        <v>326</v>
      </c>
      <c r="B329" s="252">
        <v>6234</v>
      </c>
      <c r="C329" s="242" t="s">
        <v>4714</v>
      </c>
      <c r="D329" s="242" t="s">
        <v>4715</v>
      </c>
      <c r="E329" s="242" t="s">
        <v>4716</v>
      </c>
      <c r="F329" s="242" t="s">
        <v>4717</v>
      </c>
      <c r="G329" s="253">
        <v>2883341</v>
      </c>
      <c r="H329" s="254" t="s">
        <v>4718</v>
      </c>
      <c r="J329" s="245"/>
    </row>
    <row r="330" spans="1:10" ht="15" customHeight="1">
      <c r="A330" s="251">
        <v>327</v>
      </c>
      <c r="B330" s="252">
        <v>6541</v>
      </c>
      <c r="C330" s="242" t="s">
        <v>4719</v>
      </c>
      <c r="D330" s="242" t="s">
        <v>4720</v>
      </c>
      <c r="E330" s="242" t="s">
        <v>4721</v>
      </c>
      <c r="F330" s="242" t="s">
        <v>4722</v>
      </c>
      <c r="G330" s="253">
        <v>2883708</v>
      </c>
      <c r="H330" s="254" t="s">
        <v>4723</v>
      </c>
      <c r="J330" s="245"/>
    </row>
    <row r="331" spans="1:10" ht="15" customHeight="1">
      <c r="A331" s="251">
        <v>328</v>
      </c>
      <c r="B331" s="252">
        <v>6242</v>
      </c>
      <c r="C331" s="242" t="s">
        <v>4724</v>
      </c>
      <c r="D331" s="242" t="s">
        <v>4725</v>
      </c>
      <c r="E331" s="242" t="s">
        <v>4726</v>
      </c>
      <c r="F331" s="242" t="s">
        <v>4727</v>
      </c>
      <c r="G331" s="253">
        <v>2883694</v>
      </c>
      <c r="H331" s="254" t="s">
        <v>4728</v>
      </c>
      <c r="J331" s="245"/>
    </row>
    <row r="332" spans="1:10" ht="15" customHeight="1">
      <c r="A332" s="251">
        <v>329</v>
      </c>
      <c r="B332" s="252">
        <v>6259</v>
      </c>
      <c r="C332" s="242" t="s">
        <v>4729</v>
      </c>
      <c r="D332" s="242" t="s">
        <v>4730</v>
      </c>
      <c r="E332" s="242" t="s">
        <v>4731</v>
      </c>
      <c r="F332" s="242" t="s">
        <v>4039</v>
      </c>
      <c r="G332" s="253">
        <v>2874687</v>
      </c>
      <c r="H332" s="254" t="s">
        <v>4732</v>
      </c>
      <c r="J332" s="245"/>
    </row>
    <row r="333" spans="1:10" ht="15" customHeight="1">
      <c r="A333" s="251">
        <v>330</v>
      </c>
      <c r="B333" s="252">
        <v>6267</v>
      </c>
      <c r="C333" s="242" t="s">
        <v>4733</v>
      </c>
      <c r="D333" s="242" t="s">
        <v>4734</v>
      </c>
      <c r="E333" s="242" t="s">
        <v>4735</v>
      </c>
      <c r="F333" s="242" t="s">
        <v>4736</v>
      </c>
      <c r="G333" s="253">
        <v>2873788</v>
      </c>
      <c r="H333" s="254" t="s">
        <v>4737</v>
      </c>
      <c r="J333" s="245"/>
    </row>
    <row r="334" spans="1:10" ht="15" customHeight="1">
      <c r="A334" s="251">
        <v>331</v>
      </c>
      <c r="B334" s="252">
        <v>6275</v>
      </c>
      <c r="C334" s="242" t="s">
        <v>4738</v>
      </c>
      <c r="D334" s="242" t="s">
        <v>4739</v>
      </c>
      <c r="E334" s="242" t="s">
        <v>4740</v>
      </c>
      <c r="F334" s="242" t="s">
        <v>4548</v>
      </c>
      <c r="G334" s="253">
        <v>2873796</v>
      </c>
      <c r="H334" s="254" t="s">
        <v>4741</v>
      </c>
      <c r="J334" s="245"/>
    </row>
    <row r="335" spans="1:10" ht="15" customHeight="1">
      <c r="A335" s="251">
        <v>332</v>
      </c>
      <c r="B335" s="252">
        <v>6291</v>
      </c>
      <c r="C335" s="242" t="s">
        <v>4742</v>
      </c>
      <c r="D335" s="242" t="s">
        <v>4743</v>
      </c>
      <c r="E335" s="242" t="s">
        <v>4744</v>
      </c>
      <c r="F335" s="242" t="s">
        <v>4745</v>
      </c>
      <c r="G335" s="253">
        <v>2877457</v>
      </c>
      <c r="H335" s="254" t="s">
        <v>4746</v>
      </c>
      <c r="J335" s="245"/>
    </row>
    <row r="336" spans="1:10" ht="15" customHeight="1">
      <c r="A336" s="251">
        <v>333</v>
      </c>
      <c r="B336" s="252">
        <v>6306</v>
      </c>
      <c r="C336" s="242" t="s">
        <v>4747</v>
      </c>
      <c r="D336" s="242" t="s">
        <v>4748</v>
      </c>
      <c r="E336" s="242" t="s">
        <v>4749</v>
      </c>
      <c r="F336" s="242" t="s">
        <v>4750</v>
      </c>
      <c r="G336" s="253">
        <v>2872722</v>
      </c>
      <c r="H336" s="254" t="s">
        <v>4751</v>
      </c>
      <c r="J336" s="245"/>
    </row>
    <row r="337" spans="1:10" ht="15" customHeight="1">
      <c r="A337" s="251">
        <v>334</v>
      </c>
      <c r="B337" s="252">
        <v>21692</v>
      </c>
      <c r="C337" s="242" t="s">
        <v>4752</v>
      </c>
      <c r="D337" s="242" t="s">
        <v>4753</v>
      </c>
      <c r="E337" s="242" t="s">
        <v>4754</v>
      </c>
      <c r="F337" s="242" t="s">
        <v>4755</v>
      </c>
      <c r="G337" s="253">
        <v>2882027</v>
      </c>
      <c r="H337" s="254" t="s">
        <v>4756</v>
      </c>
      <c r="J337" s="245"/>
    </row>
    <row r="338" spans="1:10" ht="15" customHeight="1">
      <c r="A338" s="251">
        <v>335</v>
      </c>
      <c r="B338" s="252">
        <v>6314</v>
      </c>
      <c r="C338" s="242" t="s">
        <v>4757</v>
      </c>
      <c r="D338" s="242" t="s">
        <v>4758</v>
      </c>
      <c r="E338" s="242" t="s">
        <v>4759</v>
      </c>
      <c r="F338" s="242" t="s">
        <v>3572</v>
      </c>
      <c r="G338" s="253">
        <v>2882302</v>
      </c>
      <c r="H338" s="254" t="s">
        <v>4760</v>
      </c>
      <c r="J338" s="245"/>
    </row>
    <row r="339" spans="1:10" ht="15" customHeight="1">
      <c r="A339" s="251">
        <v>336</v>
      </c>
      <c r="B339" s="252">
        <v>6322</v>
      </c>
      <c r="C339" s="242" t="s">
        <v>4761</v>
      </c>
      <c r="D339" s="242" t="s">
        <v>4762</v>
      </c>
      <c r="E339" s="242" t="s">
        <v>4763</v>
      </c>
      <c r="F339" s="242" t="s">
        <v>4764</v>
      </c>
      <c r="G339" s="253">
        <v>2883015</v>
      </c>
      <c r="H339" s="254" t="s">
        <v>4765</v>
      </c>
      <c r="J339" s="245"/>
    </row>
    <row r="340" spans="1:10" ht="15" customHeight="1">
      <c r="A340" s="251">
        <v>337</v>
      </c>
      <c r="B340" s="252">
        <v>6339</v>
      </c>
      <c r="C340" s="242" t="s">
        <v>4766</v>
      </c>
      <c r="D340" s="242" t="s">
        <v>4767</v>
      </c>
      <c r="E340" s="242" t="s">
        <v>4768</v>
      </c>
      <c r="F340" s="242" t="s">
        <v>4769</v>
      </c>
      <c r="G340" s="253">
        <v>2873125</v>
      </c>
      <c r="H340" s="254" t="s">
        <v>4770</v>
      </c>
      <c r="J340" s="245"/>
    </row>
    <row r="341" spans="1:10" ht="15" customHeight="1">
      <c r="A341" s="251">
        <v>338</v>
      </c>
      <c r="B341" s="252">
        <v>6347</v>
      </c>
      <c r="C341" s="242" t="s">
        <v>4771</v>
      </c>
      <c r="D341" s="242" t="s">
        <v>4772</v>
      </c>
      <c r="E341" s="242" t="s">
        <v>4773</v>
      </c>
      <c r="F341" s="242" t="s">
        <v>3792</v>
      </c>
      <c r="G341" s="253">
        <v>2872706</v>
      </c>
      <c r="H341" s="254" t="s">
        <v>4774</v>
      </c>
      <c r="J341" s="245"/>
    </row>
    <row r="342" spans="1:10" ht="15" customHeight="1">
      <c r="A342" s="251">
        <v>339</v>
      </c>
      <c r="B342" s="252">
        <v>6355</v>
      </c>
      <c r="C342" s="242" t="s">
        <v>4775</v>
      </c>
      <c r="D342" s="242" t="s">
        <v>4776</v>
      </c>
      <c r="E342" s="242" t="s">
        <v>4777</v>
      </c>
      <c r="F342" s="242" t="s">
        <v>4778</v>
      </c>
      <c r="G342" s="253">
        <v>2873397</v>
      </c>
      <c r="H342" s="254" t="s">
        <v>4779</v>
      </c>
      <c r="J342" s="245"/>
    </row>
    <row r="343" spans="1:10" ht="15" customHeight="1">
      <c r="A343" s="251">
        <v>340</v>
      </c>
      <c r="B343" s="252">
        <v>6363</v>
      </c>
      <c r="C343" s="242" t="s">
        <v>4780</v>
      </c>
      <c r="D343" s="242" t="s">
        <v>4781</v>
      </c>
      <c r="E343" s="242" t="s">
        <v>4782</v>
      </c>
      <c r="F343" s="242" t="s">
        <v>4783</v>
      </c>
      <c r="G343" s="253">
        <v>2873770</v>
      </c>
      <c r="H343" s="254" t="s">
        <v>4784</v>
      </c>
      <c r="J343" s="245"/>
    </row>
    <row r="344" spans="1:10" ht="15" customHeight="1">
      <c r="A344" s="251">
        <v>341</v>
      </c>
      <c r="B344" s="252">
        <v>21713</v>
      </c>
      <c r="C344" s="242" t="s">
        <v>4785</v>
      </c>
      <c r="D344" s="242" t="s">
        <v>4786</v>
      </c>
      <c r="E344" s="242" t="s">
        <v>4787</v>
      </c>
      <c r="F344" s="242" t="s">
        <v>4788</v>
      </c>
      <c r="G344" s="253">
        <v>2883295</v>
      </c>
      <c r="H344" s="254" t="s">
        <v>4789</v>
      </c>
      <c r="J344" s="245"/>
    </row>
    <row r="345" spans="1:10" ht="15" customHeight="1">
      <c r="A345" s="251">
        <v>342</v>
      </c>
      <c r="B345" s="252">
        <v>6371</v>
      </c>
      <c r="C345" s="242" t="s">
        <v>4790</v>
      </c>
      <c r="D345" s="242" t="s">
        <v>4791</v>
      </c>
      <c r="E345" s="242" t="s">
        <v>4792</v>
      </c>
      <c r="F345" s="242" t="s">
        <v>3577</v>
      </c>
      <c r="G345" s="253">
        <v>2883643</v>
      </c>
      <c r="H345" s="254" t="s">
        <v>4793</v>
      </c>
      <c r="J345" s="245"/>
    </row>
    <row r="346" spans="1:10" ht="15" customHeight="1">
      <c r="A346" s="251">
        <v>343</v>
      </c>
      <c r="B346" s="252">
        <v>50032</v>
      </c>
      <c r="C346" s="242" t="s">
        <v>4794</v>
      </c>
      <c r="D346" s="242" t="s">
        <v>4795</v>
      </c>
      <c r="E346" s="242" t="s">
        <v>4796</v>
      </c>
      <c r="F346" s="242" t="s">
        <v>4797</v>
      </c>
      <c r="G346" s="253">
        <v>4840836</v>
      </c>
      <c r="H346" s="254" t="s">
        <v>4798</v>
      </c>
      <c r="J346" s="245"/>
    </row>
    <row r="347" spans="1:10" ht="22.8">
      <c r="A347" s="251">
        <v>344</v>
      </c>
      <c r="B347" s="252">
        <v>21748</v>
      </c>
      <c r="C347" s="242" t="s">
        <v>4799</v>
      </c>
      <c r="D347" s="242" t="s">
        <v>4800</v>
      </c>
      <c r="E347" s="242" t="s">
        <v>4801</v>
      </c>
      <c r="F347" s="242" t="s">
        <v>4802</v>
      </c>
      <c r="G347" s="253">
        <v>2883287</v>
      </c>
      <c r="H347" s="254" t="s">
        <v>4803</v>
      </c>
      <c r="J347" s="245"/>
    </row>
    <row r="348" spans="1:10" ht="15" customHeight="1">
      <c r="A348" s="251">
        <v>345</v>
      </c>
      <c r="B348" s="252">
        <v>6398</v>
      </c>
      <c r="C348" s="242" t="s">
        <v>4804</v>
      </c>
      <c r="D348" s="242" t="s">
        <v>4805</v>
      </c>
      <c r="E348" s="242" t="s">
        <v>4806</v>
      </c>
      <c r="F348" s="242" t="s">
        <v>4807</v>
      </c>
      <c r="G348" s="253">
        <v>2882698</v>
      </c>
      <c r="H348" s="254" t="s">
        <v>4808</v>
      </c>
      <c r="J348" s="245"/>
    </row>
    <row r="349" spans="1:10" ht="15" customHeight="1">
      <c r="A349" s="251">
        <v>346</v>
      </c>
      <c r="B349" s="252">
        <v>6402</v>
      </c>
      <c r="C349" s="242" t="s">
        <v>4809</v>
      </c>
      <c r="D349" s="242" t="s">
        <v>4810</v>
      </c>
      <c r="E349" s="242" t="s">
        <v>4811</v>
      </c>
      <c r="F349" s="242" t="s">
        <v>4812</v>
      </c>
      <c r="G349" s="253">
        <v>2872641</v>
      </c>
      <c r="H349" s="254" t="s">
        <v>4813</v>
      </c>
      <c r="J349" s="245"/>
    </row>
    <row r="350" spans="1:10" ht="15" customHeight="1">
      <c r="A350" s="251">
        <v>347</v>
      </c>
      <c r="B350" s="252">
        <v>6419</v>
      </c>
      <c r="C350" s="242" t="s">
        <v>4814</v>
      </c>
      <c r="D350" s="242" t="s">
        <v>4815</v>
      </c>
      <c r="E350" s="242" t="s">
        <v>4816</v>
      </c>
      <c r="F350" s="242" t="s">
        <v>4817</v>
      </c>
      <c r="G350" s="253">
        <v>2873079</v>
      </c>
      <c r="H350" s="254" t="s">
        <v>4818</v>
      </c>
      <c r="J350" s="245"/>
    </row>
    <row r="351" spans="1:10" ht="15" customHeight="1">
      <c r="A351" s="251">
        <v>348</v>
      </c>
      <c r="B351" s="252">
        <v>6427</v>
      </c>
      <c r="C351" s="242" t="s">
        <v>4819</v>
      </c>
      <c r="D351" s="242" t="s">
        <v>4820</v>
      </c>
      <c r="E351" s="242" t="s">
        <v>4821</v>
      </c>
      <c r="F351" s="242" t="s">
        <v>4387</v>
      </c>
      <c r="G351" s="253">
        <v>2873087</v>
      </c>
      <c r="H351" s="254" t="s">
        <v>4822</v>
      </c>
      <c r="J351" s="245"/>
    </row>
    <row r="352" spans="1:10" ht="15" customHeight="1">
      <c r="A352" s="251">
        <v>349</v>
      </c>
      <c r="B352" s="252">
        <v>6435</v>
      </c>
      <c r="C352" s="242" t="s">
        <v>4823</v>
      </c>
      <c r="D352" s="242" t="s">
        <v>4824</v>
      </c>
      <c r="E352" s="242" t="s">
        <v>4825</v>
      </c>
      <c r="F352" s="242" t="s">
        <v>3582</v>
      </c>
      <c r="G352" s="253">
        <v>2882981</v>
      </c>
      <c r="H352" s="254" t="s">
        <v>4826</v>
      </c>
      <c r="J352" s="245"/>
    </row>
    <row r="353" spans="1:10" ht="15" customHeight="1">
      <c r="A353" s="251">
        <v>350</v>
      </c>
      <c r="B353" s="252">
        <v>21730</v>
      </c>
      <c r="C353" s="242" t="s">
        <v>4827</v>
      </c>
      <c r="D353" s="242" t="s">
        <v>4828</v>
      </c>
      <c r="E353" s="242" t="s">
        <v>4829</v>
      </c>
      <c r="F353" s="242" t="s">
        <v>4336</v>
      </c>
      <c r="G353" s="253">
        <v>2882035</v>
      </c>
      <c r="H353" s="254" t="s">
        <v>4830</v>
      </c>
      <c r="J353" s="245"/>
    </row>
    <row r="354" spans="1:10" ht="15" customHeight="1">
      <c r="A354" s="251">
        <v>351</v>
      </c>
      <c r="B354" s="252">
        <v>6451</v>
      </c>
      <c r="C354" s="242" t="s">
        <v>4831</v>
      </c>
      <c r="D354" s="242" t="s">
        <v>4832</v>
      </c>
      <c r="E354" s="242" t="s">
        <v>4833</v>
      </c>
      <c r="F354" s="242" t="s">
        <v>4108</v>
      </c>
      <c r="G354" s="253">
        <v>2873290</v>
      </c>
      <c r="H354" s="254" t="s">
        <v>4834</v>
      </c>
      <c r="J354" s="245"/>
    </row>
    <row r="355" spans="1:10" ht="15" customHeight="1">
      <c r="A355" s="251">
        <v>352</v>
      </c>
      <c r="B355" s="252">
        <v>6460</v>
      </c>
      <c r="C355" s="242" t="s">
        <v>4835</v>
      </c>
      <c r="D355" s="242" t="s">
        <v>4836</v>
      </c>
      <c r="E355" s="242" t="s">
        <v>4837</v>
      </c>
      <c r="F355" s="242" t="s">
        <v>4838</v>
      </c>
      <c r="G355" s="253">
        <v>2882329</v>
      </c>
      <c r="H355" s="254" t="s">
        <v>4839</v>
      </c>
      <c r="J355" s="245"/>
    </row>
    <row r="356" spans="1:10" ht="15" customHeight="1">
      <c r="A356" s="251">
        <v>353</v>
      </c>
      <c r="B356" s="252">
        <v>6478</v>
      </c>
      <c r="C356" s="242" t="s">
        <v>4840</v>
      </c>
      <c r="D356" s="242" t="s">
        <v>4841</v>
      </c>
      <c r="E356" s="242" t="s">
        <v>4842</v>
      </c>
      <c r="F356" s="242" t="s">
        <v>4327</v>
      </c>
      <c r="G356" s="253">
        <v>2877465</v>
      </c>
      <c r="H356" s="254" t="s">
        <v>4843</v>
      </c>
      <c r="J356" s="245"/>
    </row>
    <row r="357" spans="1:10" ht="15" customHeight="1">
      <c r="A357" s="251">
        <v>354</v>
      </c>
      <c r="B357" s="252">
        <v>6486</v>
      </c>
      <c r="C357" s="242" t="s">
        <v>4844</v>
      </c>
      <c r="D357" s="242" t="s">
        <v>4845</v>
      </c>
      <c r="E357" s="242" t="s">
        <v>4846</v>
      </c>
      <c r="F357" s="242" t="s">
        <v>4366</v>
      </c>
      <c r="G357" s="253">
        <v>2873281</v>
      </c>
      <c r="H357" s="254" t="s">
        <v>4847</v>
      </c>
      <c r="J357" s="245"/>
    </row>
    <row r="358" spans="1:10" ht="15" customHeight="1">
      <c r="A358" s="251">
        <v>355</v>
      </c>
      <c r="B358" s="252">
        <v>6494</v>
      </c>
      <c r="C358" s="242" t="s">
        <v>4848</v>
      </c>
      <c r="D358" s="242" t="s">
        <v>4849</v>
      </c>
      <c r="E358" s="242" t="s">
        <v>4850</v>
      </c>
      <c r="F358" s="242" t="s">
        <v>4851</v>
      </c>
      <c r="G358" s="253">
        <v>2883724</v>
      </c>
      <c r="H358" s="254" t="s">
        <v>4852</v>
      </c>
      <c r="J358" s="245"/>
    </row>
    <row r="359" spans="1:10" ht="15" customHeight="1">
      <c r="A359" s="251">
        <v>356</v>
      </c>
      <c r="B359" s="252">
        <v>6509</v>
      </c>
      <c r="C359" s="242" t="s">
        <v>4853</v>
      </c>
      <c r="D359" s="242" t="s">
        <v>4854</v>
      </c>
      <c r="E359" s="242" t="s">
        <v>4855</v>
      </c>
      <c r="F359" s="242" t="s">
        <v>4856</v>
      </c>
      <c r="G359" s="253">
        <v>2883252</v>
      </c>
      <c r="H359" s="254" t="s">
        <v>4857</v>
      </c>
      <c r="J359" s="245"/>
    </row>
    <row r="360" spans="1:10" ht="15" customHeight="1">
      <c r="A360" s="251">
        <v>357</v>
      </c>
      <c r="B360" s="252">
        <v>6517</v>
      </c>
      <c r="C360" s="242" t="s">
        <v>4858</v>
      </c>
      <c r="D360" s="242" t="s">
        <v>4859</v>
      </c>
      <c r="E360" s="242" t="s">
        <v>4860</v>
      </c>
      <c r="F360" s="242" t="s">
        <v>4861</v>
      </c>
      <c r="G360" s="253">
        <v>2883368</v>
      </c>
      <c r="H360" s="254" t="s">
        <v>4862</v>
      </c>
      <c r="J360" s="245"/>
    </row>
    <row r="361" spans="1:10" ht="15" customHeight="1">
      <c r="A361" s="251">
        <v>358</v>
      </c>
      <c r="B361" s="252">
        <v>6525</v>
      </c>
      <c r="C361" s="242" t="s">
        <v>4863</v>
      </c>
      <c r="D361" s="242" t="s">
        <v>4864</v>
      </c>
      <c r="E361" s="242" t="s">
        <v>4865</v>
      </c>
      <c r="F361" s="242" t="s">
        <v>4866</v>
      </c>
      <c r="G361" s="253">
        <v>2872633</v>
      </c>
      <c r="H361" s="254" t="s">
        <v>4867</v>
      </c>
      <c r="J361" s="245"/>
    </row>
    <row r="362" spans="1:10" ht="15" customHeight="1">
      <c r="A362" s="251">
        <v>359</v>
      </c>
      <c r="B362" s="252">
        <v>6533</v>
      </c>
      <c r="C362" s="242" t="s">
        <v>4868</v>
      </c>
      <c r="D362" s="242" t="s">
        <v>4869</v>
      </c>
      <c r="E362" s="242" t="s">
        <v>4870</v>
      </c>
      <c r="F362" s="242" t="s">
        <v>3948</v>
      </c>
      <c r="G362" s="253">
        <v>2882744</v>
      </c>
      <c r="H362" s="254" t="s">
        <v>4871</v>
      </c>
      <c r="J362" s="245"/>
    </row>
    <row r="363" spans="1:10" ht="15" customHeight="1">
      <c r="A363" s="251">
        <v>360</v>
      </c>
      <c r="B363" s="252">
        <v>6550</v>
      </c>
      <c r="C363" s="242" t="s">
        <v>4872</v>
      </c>
      <c r="D363" s="242" t="s">
        <v>4873</v>
      </c>
      <c r="E363" s="242" t="s">
        <v>4874</v>
      </c>
      <c r="F363" s="242" t="s">
        <v>4875</v>
      </c>
      <c r="G363" s="253">
        <v>2882337</v>
      </c>
      <c r="H363" s="254" t="s">
        <v>4876</v>
      </c>
      <c r="J363" s="245"/>
    </row>
    <row r="364" spans="1:10" ht="15" customHeight="1">
      <c r="A364" s="251">
        <v>361</v>
      </c>
      <c r="B364" s="252">
        <v>6568</v>
      </c>
      <c r="C364" s="242" t="s">
        <v>4877</v>
      </c>
      <c r="D364" s="242" t="s">
        <v>4878</v>
      </c>
      <c r="E364" s="242" t="s">
        <v>4519</v>
      </c>
      <c r="F364" s="242" t="s">
        <v>4879</v>
      </c>
      <c r="G364" s="253">
        <v>2872684</v>
      </c>
      <c r="H364" s="254" t="s">
        <v>4880</v>
      </c>
      <c r="J364" s="245"/>
    </row>
    <row r="365" spans="1:10" ht="15" customHeight="1">
      <c r="A365" s="251">
        <v>362</v>
      </c>
      <c r="B365" s="252">
        <v>6576</v>
      </c>
      <c r="C365" s="242" t="s">
        <v>4881</v>
      </c>
      <c r="D365" s="242" t="s">
        <v>4882</v>
      </c>
      <c r="E365" s="242" t="s">
        <v>4883</v>
      </c>
      <c r="F365" s="242" t="s">
        <v>4884</v>
      </c>
      <c r="G365" s="253">
        <v>2872439</v>
      </c>
      <c r="H365" s="254" t="s">
        <v>4885</v>
      </c>
      <c r="J365" s="245"/>
    </row>
    <row r="366" spans="1:10" ht="15" customHeight="1">
      <c r="A366" s="251">
        <v>363</v>
      </c>
      <c r="B366" s="252">
        <v>6584</v>
      </c>
      <c r="C366" s="242" t="s">
        <v>4886</v>
      </c>
      <c r="D366" s="242" t="s">
        <v>4887</v>
      </c>
      <c r="E366" s="242" t="s">
        <v>4888</v>
      </c>
      <c r="F366" s="242" t="s">
        <v>4889</v>
      </c>
      <c r="G366" s="253">
        <v>2872625</v>
      </c>
      <c r="H366" s="254" t="s">
        <v>4890</v>
      </c>
      <c r="J366" s="245"/>
    </row>
    <row r="367" spans="1:10" ht="15" customHeight="1">
      <c r="A367" s="251">
        <v>364</v>
      </c>
      <c r="B367" s="252">
        <v>6592</v>
      </c>
      <c r="C367" s="242" t="s">
        <v>4891</v>
      </c>
      <c r="D367" s="242" t="s">
        <v>4892</v>
      </c>
      <c r="E367" s="242" t="s">
        <v>4893</v>
      </c>
      <c r="F367" s="242" t="s">
        <v>4894</v>
      </c>
      <c r="G367" s="253">
        <v>2883279</v>
      </c>
      <c r="H367" s="254" t="s">
        <v>4895</v>
      </c>
      <c r="J367" s="245"/>
    </row>
    <row r="368" spans="1:10" ht="15" customHeight="1">
      <c r="A368" s="251">
        <v>365</v>
      </c>
      <c r="B368" s="252">
        <v>22890</v>
      </c>
      <c r="C368" s="242" t="s">
        <v>4896</v>
      </c>
      <c r="D368" s="242" t="s">
        <v>4897</v>
      </c>
      <c r="E368" s="242" t="s">
        <v>4898</v>
      </c>
      <c r="F368" s="242" t="s">
        <v>4899</v>
      </c>
      <c r="G368" s="253">
        <v>2883007</v>
      </c>
      <c r="H368" s="254" t="s">
        <v>4900</v>
      </c>
      <c r="J368" s="245"/>
    </row>
    <row r="369" spans="1:10" ht="15" customHeight="1">
      <c r="A369" s="251">
        <v>366</v>
      </c>
      <c r="B369" s="252">
        <v>6613</v>
      </c>
      <c r="C369" s="242" t="s">
        <v>4901</v>
      </c>
      <c r="D369" s="242" t="s">
        <v>4902</v>
      </c>
      <c r="E369" s="242" t="s">
        <v>4903</v>
      </c>
      <c r="F369" s="242" t="s">
        <v>4904</v>
      </c>
      <c r="G369" s="253">
        <v>2882728</v>
      </c>
      <c r="H369" s="254" t="s">
        <v>4905</v>
      </c>
      <c r="J369" s="245"/>
    </row>
    <row r="370" spans="1:10" ht="15" customHeight="1">
      <c r="A370" s="251">
        <v>367</v>
      </c>
      <c r="B370" s="252">
        <v>6621</v>
      </c>
      <c r="C370" s="242" t="s">
        <v>4906</v>
      </c>
      <c r="D370" s="242" t="s">
        <v>4907</v>
      </c>
      <c r="E370" s="242" t="s">
        <v>4908</v>
      </c>
      <c r="F370" s="242" t="s">
        <v>49</v>
      </c>
      <c r="G370" s="253">
        <v>2883716</v>
      </c>
      <c r="H370" s="254" t="s">
        <v>4909</v>
      </c>
      <c r="J370" s="245"/>
    </row>
    <row r="371" spans="1:10" ht="15" customHeight="1">
      <c r="A371" s="251">
        <v>368</v>
      </c>
      <c r="B371" s="252">
        <v>6630</v>
      </c>
      <c r="C371" s="242" t="s">
        <v>4910</v>
      </c>
      <c r="D371" s="242" t="s">
        <v>4911</v>
      </c>
      <c r="E371" s="242" t="s">
        <v>4912</v>
      </c>
      <c r="F371" s="242" t="s">
        <v>3587</v>
      </c>
      <c r="G371" s="253">
        <v>2872676</v>
      </c>
      <c r="H371" s="254" t="s">
        <v>4913</v>
      </c>
      <c r="J371" s="245"/>
    </row>
    <row r="372" spans="1:10" ht="15" customHeight="1">
      <c r="A372" s="251">
        <v>369</v>
      </c>
      <c r="B372" s="252">
        <v>6656</v>
      </c>
      <c r="C372" s="242" t="s">
        <v>4914</v>
      </c>
      <c r="D372" s="242" t="s">
        <v>4915</v>
      </c>
      <c r="E372" s="242" t="s">
        <v>4916</v>
      </c>
      <c r="F372" s="242" t="s">
        <v>4917</v>
      </c>
      <c r="G372" s="253">
        <v>2873265</v>
      </c>
      <c r="H372" s="254" t="s">
        <v>4918</v>
      </c>
      <c r="J372" s="245"/>
    </row>
    <row r="373" spans="1:10" ht="15" customHeight="1">
      <c r="A373" s="251">
        <v>370</v>
      </c>
      <c r="B373" s="252">
        <v>22111</v>
      </c>
      <c r="C373" s="242" t="s">
        <v>4919</v>
      </c>
      <c r="D373" s="242" t="s">
        <v>4920</v>
      </c>
      <c r="E373" s="242" t="s">
        <v>4921</v>
      </c>
      <c r="F373" s="242" t="s">
        <v>3592</v>
      </c>
      <c r="G373" s="253">
        <v>2883333</v>
      </c>
      <c r="H373" s="254" t="s">
        <v>4922</v>
      </c>
      <c r="J373" s="245"/>
    </row>
    <row r="374" spans="1:10" ht="15" customHeight="1">
      <c r="A374" s="251">
        <v>371</v>
      </c>
      <c r="B374" s="252">
        <v>6672</v>
      </c>
      <c r="C374" s="242" t="s">
        <v>4923</v>
      </c>
      <c r="D374" s="242" t="s">
        <v>4924</v>
      </c>
      <c r="E374" s="242" t="s">
        <v>4925</v>
      </c>
      <c r="F374" s="242" t="s">
        <v>4926</v>
      </c>
      <c r="G374" s="253">
        <v>2883244</v>
      </c>
      <c r="H374" s="254" t="s">
        <v>4927</v>
      </c>
      <c r="J374" s="245"/>
    </row>
    <row r="375" spans="1:10" ht="15" customHeight="1">
      <c r="A375" s="251">
        <v>372</v>
      </c>
      <c r="B375" s="252">
        <v>6961</v>
      </c>
      <c r="C375" s="242" t="s">
        <v>4928</v>
      </c>
      <c r="D375" s="242" t="s">
        <v>4929</v>
      </c>
      <c r="E375" s="242" t="s">
        <v>4930</v>
      </c>
      <c r="F375" s="242" t="s">
        <v>3858</v>
      </c>
      <c r="G375" s="253">
        <v>2882345</v>
      </c>
      <c r="H375" s="254" t="s">
        <v>4931</v>
      </c>
      <c r="J375" s="245"/>
    </row>
    <row r="376" spans="1:10" ht="15" customHeight="1">
      <c r="A376" s="251">
        <v>373</v>
      </c>
      <c r="B376" s="252">
        <v>6697</v>
      </c>
      <c r="C376" s="242" t="s">
        <v>4932</v>
      </c>
      <c r="D376" s="242" t="s">
        <v>4933</v>
      </c>
      <c r="E376" s="242" t="s">
        <v>4934</v>
      </c>
      <c r="F376" s="242" t="s">
        <v>4449</v>
      </c>
      <c r="G376" s="253">
        <v>2883350</v>
      </c>
      <c r="H376" s="254" t="s">
        <v>4935</v>
      </c>
      <c r="J376" s="245"/>
    </row>
    <row r="377" spans="1:10" ht="15" customHeight="1">
      <c r="A377" s="251">
        <v>374</v>
      </c>
      <c r="B377" s="252">
        <v>6777</v>
      </c>
      <c r="C377" s="242" t="s">
        <v>4936</v>
      </c>
      <c r="D377" s="242" t="s">
        <v>4937</v>
      </c>
      <c r="E377" s="242" t="s">
        <v>4938</v>
      </c>
      <c r="F377" s="242" t="s">
        <v>4349</v>
      </c>
      <c r="G377" s="253">
        <v>2873257</v>
      </c>
      <c r="H377" s="254" t="s">
        <v>4939</v>
      </c>
      <c r="J377" s="245"/>
    </row>
    <row r="378" spans="1:10" ht="15" customHeight="1">
      <c r="A378" s="251">
        <v>375</v>
      </c>
      <c r="B378" s="252">
        <v>51749</v>
      </c>
      <c r="C378" s="242" t="s">
        <v>4940</v>
      </c>
      <c r="D378" s="242" t="s">
        <v>4941</v>
      </c>
      <c r="E378" s="242" t="s">
        <v>4942</v>
      </c>
      <c r="F378" s="242" t="s">
        <v>4943</v>
      </c>
      <c r="G378" s="253">
        <v>5344301</v>
      </c>
      <c r="H378" s="254" t="s">
        <v>4944</v>
      </c>
      <c r="J378" s="245"/>
    </row>
    <row r="379" spans="1:10" ht="15" customHeight="1">
      <c r="A379" s="251">
        <v>376</v>
      </c>
      <c r="B379" s="252">
        <v>6701</v>
      </c>
      <c r="C379" s="242" t="s">
        <v>4945</v>
      </c>
      <c r="D379" s="242" t="s">
        <v>4946</v>
      </c>
      <c r="E379" s="242" t="s">
        <v>4947</v>
      </c>
      <c r="F379" s="242" t="s">
        <v>3657</v>
      </c>
      <c r="G379" s="253">
        <v>2883384</v>
      </c>
      <c r="H379" s="254" t="s">
        <v>4948</v>
      </c>
      <c r="J379" s="245"/>
    </row>
    <row r="380" spans="1:10" ht="15" customHeight="1">
      <c r="A380" s="251">
        <v>377</v>
      </c>
      <c r="B380" s="252">
        <v>6710</v>
      </c>
      <c r="C380" s="242" t="s">
        <v>4949</v>
      </c>
      <c r="D380" s="242" t="s">
        <v>4950</v>
      </c>
      <c r="E380" s="242" t="s">
        <v>4951</v>
      </c>
      <c r="F380" s="242" t="s">
        <v>22</v>
      </c>
      <c r="G380" s="253">
        <v>2883686</v>
      </c>
      <c r="H380" s="254" t="s">
        <v>4952</v>
      </c>
      <c r="J380" s="245"/>
    </row>
    <row r="381" spans="1:10" ht="15" customHeight="1">
      <c r="A381" s="251">
        <v>378</v>
      </c>
      <c r="B381" s="252">
        <v>6728</v>
      </c>
      <c r="C381" s="242" t="s">
        <v>4953</v>
      </c>
      <c r="D381" s="242" t="s">
        <v>4954</v>
      </c>
      <c r="E381" s="242" t="s">
        <v>4955</v>
      </c>
      <c r="F381" s="242" t="s">
        <v>4956</v>
      </c>
      <c r="G381" s="253">
        <v>2883376</v>
      </c>
      <c r="H381" s="254" t="s">
        <v>4957</v>
      </c>
      <c r="J381" s="245"/>
    </row>
    <row r="382" spans="1:10" ht="15" customHeight="1">
      <c r="A382" s="251">
        <v>379</v>
      </c>
      <c r="B382" s="252">
        <v>6736</v>
      </c>
      <c r="C382" s="242" t="s">
        <v>4958</v>
      </c>
      <c r="D382" s="242" t="s">
        <v>4959</v>
      </c>
      <c r="E382" s="242" t="s">
        <v>4960</v>
      </c>
      <c r="F382" s="242" t="s">
        <v>4961</v>
      </c>
      <c r="G382" s="253">
        <v>2873109</v>
      </c>
      <c r="H382" s="254" t="s">
        <v>4962</v>
      </c>
      <c r="J382" s="245"/>
    </row>
    <row r="383" spans="1:10" ht="15" customHeight="1">
      <c r="A383" s="251">
        <v>380</v>
      </c>
      <c r="B383" s="252">
        <v>6744</v>
      </c>
      <c r="C383" s="242" t="s">
        <v>4963</v>
      </c>
      <c r="D383" s="242" t="s">
        <v>4964</v>
      </c>
      <c r="E383" s="242" t="s">
        <v>4965</v>
      </c>
      <c r="F383" s="242" t="s">
        <v>4966</v>
      </c>
      <c r="G383" s="253">
        <v>2883651</v>
      </c>
      <c r="H383" s="254" t="s">
        <v>4967</v>
      </c>
      <c r="J383" s="245"/>
    </row>
    <row r="384" spans="1:10" ht="15" customHeight="1">
      <c r="A384" s="251">
        <v>381</v>
      </c>
      <c r="B384" s="252">
        <v>6752</v>
      </c>
      <c r="C384" s="242" t="s">
        <v>4968</v>
      </c>
      <c r="D384" s="242" t="s">
        <v>4969</v>
      </c>
      <c r="E384" s="242" t="s">
        <v>4970</v>
      </c>
      <c r="F384" s="242" t="s">
        <v>4971</v>
      </c>
      <c r="G384" s="253">
        <v>2882710</v>
      </c>
      <c r="H384" s="254" t="s">
        <v>4972</v>
      </c>
      <c r="J384" s="245"/>
    </row>
    <row r="385" spans="1:10" ht="15" customHeight="1">
      <c r="A385" s="251">
        <v>382</v>
      </c>
      <c r="B385" s="252">
        <v>6769</v>
      </c>
      <c r="C385" s="242" t="s">
        <v>4973</v>
      </c>
      <c r="D385" s="242" t="s">
        <v>4974</v>
      </c>
      <c r="E385" s="242" t="s">
        <v>4975</v>
      </c>
      <c r="F385" s="242" t="s">
        <v>3601</v>
      </c>
      <c r="G385" s="253">
        <v>2883236</v>
      </c>
      <c r="H385" s="254" t="s">
        <v>4976</v>
      </c>
      <c r="J385" s="245"/>
    </row>
    <row r="386" spans="1:10" ht="15" customHeight="1">
      <c r="A386" s="251">
        <v>383</v>
      </c>
      <c r="B386" s="252">
        <v>6689</v>
      </c>
      <c r="C386" s="242" t="s">
        <v>4977</v>
      </c>
      <c r="D386" s="242" t="s">
        <v>4978</v>
      </c>
      <c r="E386" s="242" t="s">
        <v>4979</v>
      </c>
      <c r="F386" s="242" t="s">
        <v>4980</v>
      </c>
      <c r="G386" s="253">
        <v>2873028</v>
      </c>
      <c r="H386" s="254" t="s">
        <v>4981</v>
      </c>
      <c r="J386" s="245"/>
    </row>
    <row r="387" spans="1:10" ht="15" customHeight="1">
      <c r="A387" s="251">
        <v>384</v>
      </c>
      <c r="B387" s="252">
        <v>6785</v>
      </c>
      <c r="C387" s="242" t="s">
        <v>4982</v>
      </c>
      <c r="D387" s="242" t="s">
        <v>4983</v>
      </c>
      <c r="E387" s="242" t="s">
        <v>4984</v>
      </c>
      <c r="F387" s="242" t="s">
        <v>3606</v>
      </c>
      <c r="G387" s="253">
        <v>2872412</v>
      </c>
      <c r="H387" s="254" t="s">
        <v>4985</v>
      </c>
      <c r="J387" s="245"/>
    </row>
    <row r="388" spans="1:10" ht="15" customHeight="1">
      <c r="A388" s="251">
        <v>385</v>
      </c>
      <c r="B388" s="252">
        <v>19931</v>
      </c>
      <c r="C388" s="242" t="s">
        <v>4986</v>
      </c>
      <c r="D388" s="242" t="s">
        <v>4987</v>
      </c>
      <c r="E388" s="242" t="s">
        <v>4988</v>
      </c>
      <c r="F388" s="242" t="s">
        <v>4989</v>
      </c>
      <c r="G388" s="253">
        <v>2882990</v>
      </c>
      <c r="H388" s="254" t="s">
        <v>4990</v>
      </c>
      <c r="J388" s="245"/>
    </row>
    <row r="389" spans="1:10" ht="15" customHeight="1">
      <c r="A389" s="251">
        <v>386</v>
      </c>
      <c r="B389" s="252">
        <v>6890</v>
      </c>
      <c r="C389" s="242" t="s">
        <v>4991</v>
      </c>
      <c r="D389" s="242" t="s">
        <v>4992</v>
      </c>
      <c r="E389" s="242" t="s">
        <v>4993</v>
      </c>
      <c r="F389" s="242" t="s">
        <v>3611</v>
      </c>
      <c r="G389" s="253">
        <v>2882752</v>
      </c>
      <c r="H389" s="254" t="s">
        <v>4994</v>
      </c>
      <c r="J389" s="245"/>
    </row>
    <row r="390" spans="1:10" ht="15" customHeight="1">
      <c r="A390" s="251">
        <v>387</v>
      </c>
      <c r="B390" s="252">
        <v>6937</v>
      </c>
      <c r="C390" s="242" t="s">
        <v>4995</v>
      </c>
      <c r="D390" s="242" t="s">
        <v>4996</v>
      </c>
      <c r="E390" s="242" t="s">
        <v>4997</v>
      </c>
      <c r="F390" s="242" t="s">
        <v>4998</v>
      </c>
      <c r="G390" s="253">
        <v>2873052</v>
      </c>
      <c r="H390" s="254" t="s">
        <v>4999</v>
      </c>
      <c r="J390" s="245"/>
    </row>
    <row r="391" spans="1:10" ht="15" customHeight="1">
      <c r="A391" s="251">
        <v>388</v>
      </c>
      <c r="B391" s="252">
        <v>6793</v>
      </c>
      <c r="C391" s="242" t="s">
        <v>5000</v>
      </c>
      <c r="D391" s="242" t="s">
        <v>5001</v>
      </c>
      <c r="E391" s="242" t="s">
        <v>5002</v>
      </c>
      <c r="F391" s="242" t="s">
        <v>3616</v>
      </c>
      <c r="G391" s="253">
        <v>2882019</v>
      </c>
      <c r="H391" s="254" t="s">
        <v>5003</v>
      </c>
      <c r="J391" s="245"/>
    </row>
    <row r="392" spans="1:10" ht="15" customHeight="1">
      <c r="A392" s="251">
        <v>389</v>
      </c>
      <c r="B392" s="252">
        <v>6808</v>
      </c>
      <c r="C392" s="242" t="s">
        <v>5004</v>
      </c>
      <c r="D392" s="242" t="s">
        <v>5005</v>
      </c>
      <c r="E392" s="242" t="s">
        <v>5006</v>
      </c>
      <c r="F392" s="242" t="s">
        <v>5007</v>
      </c>
      <c r="G392" s="253">
        <v>2882701</v>
      </c>
      <c r="H392" s="254" t="s">
        <v>5008</v>
      </c>
      <c r="J392" s="245"/>
    </row>
    <row r="393" spans="1:10" ht="15" customHeight="1">
      <c r="A393" s="251">
        <v>390</v>
      </c>
      <c r="B393" s="252">
        <v>6816</v>
      </c>
      <c r="C393" s="242" t="s">
        <v>5009</v>
      </c>
      <c r="D393" s="242" t="s">
        <v>5010</v>
      </c>
      <c r="E393" s="242" t="s">
        <v>5011</v>
      </c>
      <c r="F393" s="242" t="s">
        <v>5012</v>
      </c>
      <c r="G393" s="253">
        <v>2872714</v>
      </c>
      <c r="H393" s="254" t="s">
        <v>5013</v>
      </c>
      <c r="J393" s="245"/>
    </row>
    <row r="394" spans="1:10" ht="15" customHeight="1">
      <c r="A394" s="251">
        <v>391</v>
      </c>
      <c r="B394" s="252">
        <v>21981</v>
      </c>
      <c r="C394" s="242" t="s">
        <v>5014</v>
      </c>
      <c r="D394" s="242" t="s">
        <v>5015</v>
      </c>
      <c r="E394" s="242" t="s">
        <v>5016</v>
      </c>
      <c r="F394" s="242" t="s">
        <v>3621</v>
      </c>
      <c r="G394" s="253">
        <v>2872617</v>
      </c>
      <c r="H394" s="254" t="s">
        <v>5017</v>
      </c>
      <c r="J394" s="245"/>
    </row>
    <row r="395" spans="1:10" ht="15" customHeight="1">
      <c r="A395" s="251">
        <v>392</v>
      </c>
      <c r="B395" s="252">
        <v>6832</v>
      </c>
      <c r="C395" s="242" t="s">
        <v>5018</v>
      </c>
      <c r="D395" s="242" t="s">
        <v>5019</v>
      </c>
      <c r="E395" s="242" t="s">
        <v>5020</v>
      </c>
      <c r="F395" s="242" t="s">
        <v>3470</v>
      </c>
      <c r="G395" s="253">
        <v>2873117</v>
      </c>
      <c r="H395" s="254" t="s">
        <v>5021</v>
      </c>
      <c r="J395" s="245"/>
    </row>
    <row r="396" spans="1:10" ht="15" customHeight="1">
      <c r="A396" s="251">
        <v>393</v>
      </c>
      <c r="B396" s="252">
        <v>6849</v>
      </c>
      <c r="C396" s="242" t="s">
        <v>5022</v>
      </c>
      <c r="D396" s="242" t="s">
        <v>5023</v>
      </c>
      <c r="E396" s="242" t="s">
        <v>5024</v>
      </c>
      <c r="F396" s="242" t="s">
        <v>5025</v>
      </c>
      <c r="G396" s="253">
        <v>2872803</v>
      </c>
      <c r="H396" s="254" t="s">
        <v>5026</v>
      </c>
      <c r="J396" s="245"/>
    </row>
    <row r="397" spans="1:10" ht="15" customHeight="1">
      <c r="A397" s="251">
        <v>394</v>
      </c>
      <c r="B397" s="252">
        <v>6857</v>
      </c>
      <c r="C397" s="242" t="s">
        <v>5027</v>
      </c>
      <c r="D397" s="242" t="s">
        <v>5028</v>
      </c>
      <c r="E397" s="242" t="s">
        <v>5029</v>
      </c>
      <c r="F397" s="242" t="s">
        <v>3626</v>
      </c>
      <c r="G397" s="253">
        <v>2873010</v>
      </c>
      <c r="H397" s="254" t="s">
        <v>5030</v>
      </c>
      <c r="J397" s="245"/>
    </row>
    <row r="398" spans="1:10" ht="15" customHeight="1">
      <c r="A398" s="251">
        <v>395</v>
      </c>
      <c r="B398" s="252">
        <v>6873</v>
      </c>
      <c r="C398" s="242" t="s">
        <v>5031</v>
      </c>
      <c r="D398" s="242" t="s">
        <v>5032</v>
      </c>
      <c r="E398" s="242" t="s">
        <v>5033</v>
      </c>
      <c r="F398" s="242" t="s">
        <v>5034</v>
      </c>
      <c r="G398" s="253">
        <v>2873044</v>
      </c>
      <c r="H398" s="254" t="s">
        <v>5035</v>
      </c>
      <c r="J398" s="245"/>
    </row>
    <row r="399" spans="1:10" ht="15" customHeight="1">
      <c r="A399" s="251">
        <v>396</v>
      </c>
      <c r="B399" s="252">
        <v>22259</v>
      </c>
      <c r="C399" s="242" t="s">
        <v>5036</v>
      </c>
      <c r="D399" s="242" t="s">
        <v>5037</v>
      </c>
      <c r="E399" s="242" t="s">
        <v>5038</v>
      </c>
      <c r="F399" s="242" t="s">
        <v>3543</v>
      </c>
      <c r="G399" s="253">
        <v>2872820</v>
      </c>
      <c r="H399" s="254" t="s">
        <v>5039</v>
      </c>
      <c r="J399" s="245"/>
    </row>
    <row r="400" spans="1:10" ht="15" customHeight="1">
      <c r="A400" s="251">
        <v>397</v>
      </c>
      <c r="B400" s="252">
        <v>6881</v>
      </c>
      <c r="C400" s="242" t="s">
        <v>5040</v>
      </c>
      <c r="D400" s="242" t="s">
        <v>5041</v>
      </c>
      <c r="E400" s="242" t="s">
        <v>5042</v>
      </c>
      <c r="F400" s="242" t="s">
        <v>5043</v>
      </c>
      <c r="G400" s="253">
        <v>2877473</v>
      </c>
      <c r="H400" s="254" t="s">
        <v>5044</v>
      </c>
      <c r="J400" s="245"/>
    </row>
    <row r="401" spans="1:10" ht="15" customHeight="1">
      <c r="A401" s="251">
        <v>398</v>
      </c>
      <c r="B401" s="252">
        <v>6912</v>
      </c>
      <c r="C401" s="242" t="s">
        <v>5045</v>
      </c>
      <c r="D401" s="242" t="s">
        <v>5046</v>
      </c>
      <c r="E401" s="242" t="s">
        <v>3713</v>
      </c>
      <c r="F401" s="242" t="s">
        <v>3635</v>
      </c>
      <c r="G401" s="253">
        <v>2884313</v>
      </c>
      <c r="H401" s="254" t="s">
        <v>5047</v>
      </c>
      <c r="J401" s="245"/>
    </row>
    <row r="402" spans="1:10" ht="15" customHeight="1">
      <c r="A402" s="251">
        <v>399</v>
      </c>
      <c r="B402" s="252">
        <v>22550</v>
      </c>
      <c r="C402" s="242" t="s">
        <v>5048</v>
      </c>
      <c r="D402" s="242" t="s">
        <v>5049</v>
      </c>
      <c r="E402" s="242" t="s">
        <v>5050</v>
      </c>
      <c r="F402" s="242" t="s">
        <v>3405</v>
      </c>
      <c r="G402" s="253">
        <v>2874440</v>
      </c>
      <c r="H402" s="254" t="s">
        <v>5051</v>
      </c>
      <c r="J402" s="245"/>
    </row>
    <row r="403" spans="1:10" ht="15" customHeight="1">
      <c r="A403" s="251">
        <v>400</v>
      </c>
      <c r="B403" s="252">
        <v>6929</v>
      </c>
      <c r="C403" s="242" t="s">
        <v>5052</v>
      </c>
      <c r="D403" s="242" t="s">
        <v>5053</v>
      </c>
      <c r="E403" s="242" t="s">
        <v>5054</v>
      </c>
      <c r="F403" s="242" t="s">
        <v>5055</v>
      </c>
      <c r="G403" s="253">
        <v>2873095</v>
      </c>
      <c r="H403" s="254" t="s">
        <v>5056</v>
      </c>
      <c r="J403" s="245"/>
    </row>
    <row r="404" spans="1:10" ht="15" customHeight="1">
      <c r="A404" s="251">
        <v>401</v>
      </c>
      <c r="B404" s="252">
        <v>6945</v>
      </c>
      <c r="C404" s="242" t="s">
        <v>5057</v>
      </c>
      <c r="D404" s="242" t="s">
        <v>5058</v>
      </c>
      <c r="E404" s="242" t="s">
        <v>5059</v>
      </c>
      <c r="F404" s="242" t="s">
        <v>5060</v>
      </c>
      <c r="G404" s="253">
        <v>2877449</v>
      </c>
      <c r="H404" s="254" t="s">
        <v>5061</v>
      </c>
      <c r="J404" s="245"/>
    </row>
    <row r="405" spans="1:10" ht="15" customHeight="1">
      <c r="A405" s="251">
        <v>402</v>
      </c>
      <c r="B405" s="252">
        <v>6953</v>
      </c>
      <c r="C405" s="242" t="s">
        <v>5062</v>
      </c>
      <c r="D405" s="242" t="s">
        <v>5063</v>
      </c>
      <c r="E405" s="242" t="s">
        <v>5064</v>
      </c>
      <c r="F405" s="242" t="s">
        <v>5065</v>
      </c>
      <c r="G405" s="253">
        <v>2872811</v>
      </c>
      <c r="H405" s="254" t="s">
        <v>5066</v>
      </c>
      <c r="J405" s="245"/>
    </row>
    <row r="406" spans="1:10" ht="15" customHeight="1">
      <c r="A406" s="251">
        <v>403</v>
      </c>
      <c r="B406" s="252">
        <v>7122</v>
      </c>
      <c r="C406" s="242" t="s">
        <v>5067</v>
      </c>
      <c r="D406" s="242" t="s">
        <v>5068</v>
      </c>
      <c r="E406" s="242" t="s">
        <v>5069</v>
      </c>
      <c r="F406" s="242" t="s">
        <v>3982</v>
      </c>
      <c r="G406" s="253">
        <v>3090353</v>
      </c>
      <c r="H406" s="254" t="s">
        <v>5070</v>
      </c>
      <c r="J406" s="245"/>
    </row>
    <row r="407" spans="1:10" ht="15" customHeight="1">
      <c r="A407" s="251">
        <v>404</v>
      </c>
      <c r="B407" s="252">
        <v>7202</v>
      </c>
      <c r="C407" s="242" t="s">
        <v>5071</v>
      </c>
      <c r="D407" s="242" t="s">
        <v>5072</v>
      </c>
      <c r="E407" s="242" t="s">
        <v>5073</v>
      </c>
      <c r="F407" s="242" t="s">
        <v>5074</v>
      </c>
      <c r="G407" s="253">
        <v>3367819</v>
      </c>
      <c r="H407" s="254" t="s">
        <v>5075</v>
      </c>
      <c r="J407" s="245"/>
    </row>
    <row r="408" spans="1:10" ht="15" customHeight="1">
      <c r="A408" s="251">
        <v>405</v>
      </c>
      <c r="B408" s="252">
        <v>7171</v>
      </c>
      <c r="C408" s="242" t="s">
        <v>5076</v>
      </c>
      <c r="D408" s="242" t="s">
        <v>5077</v>
      </c>
      <c r="E408" s="242" t="s">
        <v>5078</v>
      </c>
      <c r="F408" s="242" t="s">
        <v>3601</v>
      </c>
      <c r="G408" s="253">
        <v>3313964</v>
      </c>
      <c r="H408" s="254" t="s">
        <v>5079</v>
      </c>
      <c r="J408" s="245"/>
    </row>
    <row r="409" spans="1:10" ht="15" customHeight="1">
      <c r="A409" s="251">
        <v>406</v>
      </c>
      <c r="B409" s="252">
        <v>7376</v>
      </c>
      <c r="C409" s="242" t="s">
        <v>5080</v>
      </c>
      <c r="D409" s="242" t="s">
        <v>5081</v>
      </c>
      <c r="E409" s="242" t="s">
        <v>5082</v>
      </c>
      <c r="F409" s="242" t="s">
        <v>22</v>
      </c>
      <c r="G409" s="253">
        <v>3321266</v>
      </c>
      <c r="H409" s="254" t="s">
        <v>5083</v>
      </c>
      <c r="J409" s="245"/>
    </row>
    <row r="410" spans="1:10" ht="15" customHeight="1">
      <c r="A410" s="251">
        <v>407</v>
      </c>
      <c r="B410" s="252">
        <v>7665</v>
      </c>
      <c r="C410" s="242" t="s">
        <v>5084</v>
      </c>
      <c r="D410" s="242" t="s">
        <v>5085</v>
      </c>
      <c r="E410" s="242" t="s">
        <v>5086</v>
      </c>
      <c r="F410" s="242" t="s">
        <v>5087</v>
      </c>
      <c r="G410" s="253">
        <v>3126889</v>
      </c>
      <c r="H410" s="254" t="s">
        <v>5088</v>
      </c>
      <c r="J410" s="245"/>
    </row>
    <row r="411" spans="1:10" ht="15" customHeight="1">
      <c r="A411" s="251">
        <v>408</v>
      </c>
      <c r="B411" s="252">
        <v>7083</v>
      </c>
      <c r="C411" s="242" t="s">
        <v>5089</v>
      </c>
      <c r="D411" s="242" t="s">
        <v>5090</v>
      </c>
      <c r="E411" s="242" t="s">
        <v>5091</v>
      </c>
      <c r="F411" s="242" t="s">
        <v>3572</v>
      </c>
      <c r="G411" s="253">
        <v>3304167</v>
      </c>
      <c r="H411" s="254" t="s">
        <v>5092</v>
      </c>
      <c r="J411" s="245"/>
    </row>
    <row r="412" spans="1:10" ht="15" customHeight="1">
      <c r="A412" s="251">
        <v>409</v>
      </c>
      <c r="B412" s="252">
        <v>7198</v>
      </c>
      <c r="C412" s="242" t="s">
        <v>5093</v>
      </c>
      <c r="D412" s="242" t="s">
        <v>5094</v>
      </c>
      <c r="E412" s="242" t="s">
        <v>5095</v>
      </c>
      <c r="F412" s="242" t="s">
        <v>3611</v>
      </c>
      <c r="G412" s="253">
        <v>3118606</v>
      </c>
      <c r="H412" s="254" t="s">
        <v>5096</v>
      </c>
      <c r="J412" s="245"/>
    </row>
    <row r="413" spans="1:10" ht="15" customHeight="1">
      <c r="A413" s="251">
        <v>410</v>
      </c>
      <c r="B413" s="252">
        <v>7155</v>
      </c>
      <c r="C413" s="242" t="s">
        <v>5097</v>
      </c>
      <c r="D413" s="242" t="s">
        <v>5098</v>
      </c>
      <c r="E413" s="242" t="s">
        <v>5099</v>
      </c>
      <c r="F413" s="242" t="s">
        <v>3657</v>
      </c>
      <c r="G413" s="253">
        <v>3203824</v>
      </c>
      <c r="H413" s="254" t="s">
        <v>5100</v>
      </c>
      <c r="J413" s="245"/>
    </row>
    <row r="414" spans="1:10" ht="15" customHeight="1">
      <c r="A414" s="251">
        <v>411</v>
      </c>
      <c r="B414" s="252">
        <v>7219</v>
      </c>
      <c r="C414" s="242" t="s">
        <v>5101</v>
      </c>
      <c r="D414" s="242" t="s">
        <v>5102</v>
      </c>
      <c r="E414" s="242" t="s">
        <v>5103</v>
      </c>
      <c r="F414" s="242" t="s">
        <v>3405</v>
      </c>
      <c r="G414" s="253">
        <v>3289745</v>
      </c>
      <c r="H414" s="254" t="s">
        <v>5104</v>
      </c>
      <c r="J414" s="245"/>
    </row>
    <row r="415" spans="1:10" ht="15" customHeight="1">
      <c r="A415" s="251">
        <v>412</v>
      </c>
      <c r="B415" s="252">
        <v>7227</v>
      </c>
      <c r="C415" s="242" t="s">
        <v>5105</v>
      </c>
      <c r="D415" s="242" t="s">
        <v>5106</v>
      </c>
      <c r="E415" s="242" t="s">
        <v>5107</v>
      </c>
      <c r="F415" s="242" t="s">
        <v>5108</v>
      </c>
      <c r="G415" s="253">
        <v>3016692</v>
      </c>
      <c r="H415" s="254" t="s">
        <v>5109</v>
      </c>
      <c r="J415" s="245"/>
    </row>
    <row r="416" spans="1:10" ht="15" customHeight="1">
      <c r="A416" s="251">
        <v>413</v>
      </c>
      <c r="B416" s="252">
        <v>7251</v>
      </c>
      <c r="C416" s="242" t="s">
        <v>5110</v>
      </c>
      <c r="D416" s="242" t="s">
        <v>5111</v>
      </c>
      <c r="E416" s="242" t="s">
        <v>5112</v>
      </c>
      <c r="F416" s="242" t="s">
        <v>3582</v>
      </c>
      <c r="G416" s="253">
        <v>3130576</v>
      </c>
      <c r="H416" s="254" t="s">
        <v>5113</v>
      </c>
      <c r="J416" s="245"/>
    </row>
    <row r="417" spans="1:10" ht="15" customHeight="1">
      <c r="A417" s="251">
        <v>414</v>
      </c>
      <c r="B417" s="252">
        <v>7278</v>
      </c>
      <c r="C417" s="242" t="s">
        <v>5114</v>
      </c>
      <c r="D417" s="242" t="s">
        <v>5115</v>
      </c>
      <c r="E417" s="242" t="s">
        <v>5116</v>
      </c>
      <c r="F417" s="242" t="s">
        <v>3587</v>
      </c>
      <c r="G417" s="253">
        <v>3014428</v>
      </c>
      <c r="H417" s="254" t="s">
        <v>5117</v>
      </c>
      <c r="J417" s="245"/>
    </row>
    <row r="418" spans="1:10" ht="15" customHeight="1">
      <c r="A418" s="251">
        <v>415</v>
      </c>
      <c r="B418" s="252">
        <v>7286</v>
      </c>
      <c r="C418" s="242" t="s">
        <v>5118</v>
      </c>
      <c r="D418" s="242" t="s">
        <v>5119</v>
      </c>
      <c r="E418" s="242" t="s">
        <v>5120</v>
      </c>
      <c r="F418" s="242" t="s">
        <v>3657</v>
      </c>
      <c r="G418" s="253">
        <v>3203832</v>
      </c>
      <c r="H418" s="254" t="s">
        <v>5121</v>
      </c>
      <c r="J418" s="245"/>
    </row>
    <row r="419" spans="1:10" ht="15" customHeight="1">
      <c r="A419" s="251">
        <v>416</v>
      </c>
      <c r="B419" s="252">
        <v>7294</v>
      </c>
      <c r="C419" s="242" t="s">
        <v>5122</v>
      </c>
      <c r="D419" s="242" t="s">
        <v>5123</v>
      </c>
      <c r="E419" s="242" t="s">
        <v>5124</v>
      </c>
      <c r="F419" s="242" t="s">
        <v>22</v>
      </c>
      <c r="G419" s="253">
        <v>3321282</v>
      </c>
      <c r="H419" s="254" t="s">
        <v>5125</v>
      </c>
      <c r="J419" s="245"/>
    </row>
    <row r="420" spans="1:10" ht="15" customHeight="1">
      <c r="A420" s="251">
        <v>417</v>
      </c>
      <c r="B420" s="252">
        <v>7317</v>
      </c>
      <c r="C420" s="242" t="s">
        <v>5126</v>
      </c>
      <c r="D420" s="242" t="s">
        <v>5127</v>
      </c>
      <c r="E420" s="242" t="s">
        <v>5128</v>
      </c>
      <c r="F420" s="242" t="s">
        <v>3635</v>
      </c>
      <c r="G420" s="253">
        <v>3153037</v>
      </c>
      <c r="H420" s="254" t="s">
        <v>5129</v>
      </c>
      <c r="J420" s="245"/>
    </row>
    <row r="421" spans="1:10" ht="15" customHeight="1">
      <c r="A421" s="251">
        <v>418</v>
      </c>
      <c r="B421" s="252">
        <v>7325</v>
      </c>
      <c r="C421" s="242" t="s">
        <v>5130</v>
      </c>
      <c r="D421" s="242" t="s">
        <v>5131</v>
      </c>
      <c r="E421" s="242" t="s">
        <v>5132</v>
      </c>
      <c r="F421" s="242" t="s">
        <v>5133</v>
      </c>
      <c r="G421" s="253">
        <v>3207536</v>
      </c>
      <c r="H421" s="254" t="s">
        <v>5134</v>
      </c>
      <c r="J421" s="245"/>
    </row>
    <row r="422" spans="1:10" ht="15" customHeight="1">
      <c r="A422" s="251">
        <v>419</v>
      </c>
      <c r="B422" s="252">
        <v>22283</v>
      </c>
      <c r="C422" s="242" t="s">
        <v>5135</v>
      </c>
      <c r="D422" s="242" t="s">
        <v>5136</v>
      </c>
      <c r="E422" s="242" t="s">
        <v>5137</v>
      </c>
      <c r="F422" s="242" t="s">
        <v>5138</v>
      </c>
      <c r="G422" s="253">
        <v>1354248</v>
      </c>
      <c r="H422" s="254" t="s">
        <v>5139</v>
      </c>
      <c r="J422" s="245"/>
    </row>
    <row r="423" spans="1:10" ht="15" customHeight="1">
      <c r="A423" s="251">
        <v>420</v>
      </c>
      <c r="B423" s="252">
        <v>7840</v>
      </c>
      <c r="C423" s="242" t="s">
        <v>5140</v>
      </c>
      <c r="D423" s="242" t="s">
        <v>5141</v>
      </c>
      <c r="E423" s="242" t="s">
        <v>5142</v>
      </c>
      <c r="F423" s="242" t="s">
        <v>5143</v>
      </c>
      <c r="G423" s="253">
        <v>3105407</v>
      </c>
      <c r="H423" s="254" t="s">
        <v>5144</v>
      </c>
      <c r="J423" s="245"/>
    </row>
    <row r="424" spans="1:10" ht="15" customHeight="1">
      <c r="A424" s="251">
        <v>421</v>
      </c>
      <c r="B424" s="252">
        <v>26547</v>
      </c>
      <c r="C424" s="242" t="s">
        <v>5145</v>
      </c>
      <c r="D424" s="242" t="s">
        <v>5146</v>
      </c>
      <c r="E424" s="242" t="s">
        <v>4874</v>
      </c>
      <c r="F424" s="242" t="s">
        <v>4875</v>
      </c>
      <c r="G424" s="253">
        <v>1831976</v>
      </c>
      <c r="H424" s="254" t="s">
        <v>5147</v>
      </c>
      <c r="J424" s="245"/>
    </row>
    <row r="425" spans="1:10" ht="15" customHeight="1">
      <c r="A425" s="251">
        <v>422</v>
      </c>
      <c r="B425" s="252">
        <v>7673</v>
      </c>
      <c r="C425" s="242" t="s">
        <v>5148</v>
      </c>
      <c r="D425" s="242" t="s">
        <v>5149</v>
      </c>
      <c r="E425" s="242" t="s">
        <v>5150</v>
      </c>
      <c r="F425" s="242" t="s">
        <v>5151</v>
      </c>
      <c r="G425" s="253">
        <v>3346366</v>
      </c>
      <c r="H425" s="254" t="s">
        <v>5152</v>
      </c>
      <c r="J425" s="245"/>
    </row>
    <row r="426" spans="1:10" ht="15" customHeight="1">
      <c r="A426" s="251">
        <v>423</v>
      </c>
      <c r="B426" s="252">
        <v>7729</v>
      </c>
      <c r="C426" s="242" t="s">
        <v>5153</v>
      </c>
      <c r="D426" s="242" t="s">
        <v>5154</v>
      </c>
      <c r="E426" s="242" t="s">
        <v>5155</v>
      </c>
      <c r="F426" s="242" t="s">
        <v>5156</v>
      </c>
      <c r="G426" s="253">
        <v>3301451</v>
      </c>
      <c r="H426" s="254" t="s">
        <v>5157</v>
      </c>
      <c r="J426" s="245"/>
    </row>
    <row r="427" spans="1:10" ht="15" customHeight="1">
      <c r="A427" s="251">
        <v>424</v>
      </c>
      <c r="B427" s="252">
        <v>7745</v>
      </c>
      <c r="C427" s="242" t="s">
        <v>5158</v>
      </c>
      <c r="D427" s="242" t="s">
        <v>5159</v>
      </c>
      <c r="E427" s="242" t="s">
        <v>5160</v>
      </c>
      <c r="F427" s="242" t="s">
        <v>5161</v>
      </c>
      <c r="G427" s="253">
        <v>3110150</v>
      </c>
      <c r="H427" s="254" t="s">
        <v>5162</v>
      </c>
      <c r="J427" s="245"/>
    </row>
    <row r="428" spans="1:10" ht="15" customHeight="1">
      <c r="A428" s="251">
        <v>425</v>
      </c>
      <c r="B428" s="252">
        <v>23569</v>
      </c>
      <c r="C428" s="242" t="s">
        <v>5163</v>
      </c>
      <c r="D428" s="242" t="s">
        <v>5164</v>
      </c>
      <c r="E428" s="242" t="s">
        <v>5165</v>
      </c>
      <c r="F428" s="242" t="s">
        <v>22</v>
      </c>
      <c r="G428" s="253">
        <v>2848317</v>
      </c>
      <c r="H428" s="254" t="s">
        <v>5166</v>
      </c>
      <c r="J428" s="245"/>
    </row>
    <row r="429" spans="1:10" ht="15" customHeight="1">
      <c r="A429" s="251">
        <v>426</v>
      </c>
      <c r="B429" s="252">
        <v>7544</v>
      </c>
      <c r="C429" s="242" t="s">
        <v>5167</v>
      </c>
      <c r="D429" s="242" t="s">
        <v>5168</v>
      </c>
      <c r="E429" s="242" t="s">
        <v>5169</v>
      </c>
      <c r="F429" s="242" t="s">
        <v>3567</v>
      </c>
      <c r="G429" s="253">
        <v>3316998</v>
      </c>
      <c r="H429" s="254" t="s">
        <v>5170</v>
      </c>
      <c r="J429" s="245"/>
    </row>
    <row r="430" spans="1:10" ht="15" customHeight="1">
      <c r="A430" s="251">
        <v>427</v>
      </c>
      <c r="B430" s="252">
        <v>7569</v>
      </c>
      <c r="C430" s="242" t="s">
        <v>5171</v>
      </c>
      <c r="D430" s="242" t="s">
        <v>5172</v>
      </c>
      <c r="E430" s="242" t="s">
        <v>5173</v>
      </c>
      <c r="F430" s="242" t="s">
        <v>5174</v>
      </c>
      <c r="G430" s="253">
        <v>3081192</v>
      </c>
      <c r="H430" s="254" t="s">
        <v>5175</v>
      </c>
      <c r="J430" s="245"/>
    </row>
    <row r="431" spans="1:10" ht="15" customHeight="1">
      <c r="A431" s="251">
        <v>428</v>
      </c>
      <c r="B431" s="252">
        <v>7624</v>
      </c>
      <c r="C431" s="242" t="s">
        <v>5176</v>
      </c>
      <c r="D431" s="242" t="s">
        <v>5177</v>
      </c>
      <c r="E431" s="242" t="s">
        <v>5178</v>
      </c>
      <c r="F431" s="242" t="s">
        <v>5179</v>
      </c>
      <c r="G431" s="253">
        <v>3006441</v>
      </c>
      <c r="H431" s="254" t="s">
        <v>5180</v>
      </c>
      <c r="J431" s="245"/>
    </row>
    <row r="432" spans="1:10" ht="15" customHeight="1">
      <c r="A432" s="251">
        <v>429</v>
      </c>
      <c r="B432" s="252">
        <v>7690</v>
      </c>
      <c r="C432" s="242" t="s">
        <v>5181</v>
      </c>
      <c r="D432" s="242" t="s">
        <v>5182</v>
      </c>
      <c r="E432" s="242" t="s">
        <v>5183</v>
      </c>
      <c r="F432" s="242" t="s">
        <v>5184</v>
      </c>
      <c r="G432" s="253">
        <v>3089304</v>
      </c>
      <c r="H432" s="254" t="s">
        <v>5185</v>
      </c>
      <c r="J432" s="245"/>
    </row>
    <row r="433" spans="1:10" ht="15" customHeight="1">
      <c r="A433" s="251">
        <v>430</v>
      </c>
      <c r="B433" s="252">
        <v>7938</v>
      </c>
      <c r="C433" s="242" t="s">
        <v>5186</v>
      </c>
      <c r="D433" s="242" t="s">
        <v>5187</v>
      </c>
      <c r="E433" s="242" t="s">
        <v>5188</v>
      </c>
      <c r="F433" s="242" t="s">
        <v>3635</v>
      </c>
      <c r="G433" s="253">
        <v>3132226</v>
      </c>
      <c r="H433" s="254" t="s">
        <v>5189</v>
      </c>
      <c r="J433" s="245"/>
    </row>
    <row r="434" spans="1:10" ht="15" customHeight="1">
      <c r="A434" s="251">
        <v>431</v>
      </c>
      <c r="B434" s="252">
        <v>7704</v>
      </c>
      <c r="C434" s="242" t="s">
        <v>5190</v>
      </c>
      <c r="D434" s="242" t="s">
        <v>5191</v>
      </c>
      <c r="E434" s="242" t="s">
        <v>5192</v>
      </c>
      <c r="F434" s="242" t="s">
        <v>5193</v>
      </c>
      <c r="G434" s="253">
        <v>3075184</v>
      </c>
      <c r="H434" s="254" t="s">
        <v>5194</v>
      </c>
      <c r="J434" s="245"/>
    </row>
    <row r="435" spans="1:10" ht="15" customHeight="1">
      <c r="A435" s="251">
        <v>432</v>
      </c>
      <c r="B435" s="252">
        <v>7866</v>
      </c>
      <c r="C435" s="242" t="s">
        <v>5195</v>
      </c>
      <c r="D435" s="242" t="s">
        <v>5196</v>
      </c>
      <c r="E435" s="242" t="s">
        <v>5197</v>
      </c>
      <c r="F435" s="242" t="s">
        <v>5198</v>
      </c>
      <c r="G435" s="253">
        <v>3039200</v>
      </c>
      <c r="H435" s="254" t="s">
        <v>5199</v>
      </c>
      <c r="J435" s="245"/>
    </row>
    <row r="436" spans="1:10" ht="15" customHeight="1">
      <c r="A436" s="251">
        <v>433</v>
      </c>
      <c r="B436" s="252">
        <v>23657</v>
      </c>
      <c r="C436" s="242" t="s">
        <v>5200</v>
      </c>
      <c r="D436" s="242" t="s">
        <v>5201</v>
      </c>
      <c r="E436" s="242" t="s">
        <v>5202</v>
      </c>
      <c r="F436" s="242" t="s">
        <v>3657</v>
      </c>
      <c r="G436" s="253">
        <v>1599585</v>
      </c>
      <c r="H436" s="254" t="s">
        <v>5203</v>
      </c>
      <c r="J436" s="245"/>
    </row>
    <row r="437" spans="1:10" ht="15" customHeight="1">
      <c r="A437" s="251">
        <v>434</v>
      </c>
      <c r="B437" s="252">
        <v>8051</v>
      </c>
      <c r="C437" s="242" t="s">
        <v>5204</v>
      </c>
      <c r="D437" s="242" t="s">
        <v>5205</v>
      </c>
      <c r="E437" s="242" t="s">
        <v>5206</v>
      </c>
      <c r="F437" s="242" t="s">
        <v>3405</v>
      </c>
      <c r="G437" s="253">
        <v>1354256</v>
      </c>
      <c r="H437" s="254" t="s">
        <v>5207</v>
      </c>
      <c r="J437" s="245"/>
    </row>
    <row r="438" spans="1:10" ht="15" customHeight="1">
      <c r="A438" s="251">
        <v>435</v>
      </c>
      <c r="B438" s="252">
        <v>22322</v>
      </c>
      <c r="C438" s="242" t="s">
        <v>5208</v>
      </c>
      <c r="D438" s="242" t="s">
        <v>5209</v>
      </c>
      <c r="E438" s="242" t="s">
        <v>5210</v>
      </c>
      <c r="F438" s="242" t="s">
        <v>5211</v>
      </c>
      <c r="G438" s="253">
        <v>1364464</v>
      </c>
      <c r="H438" s="254" t="s">
        <v>5212</v>
      </c>
      <c r="J438" s="245"/>
    </row>
    <row r="439" spans="1:10" ht="15" customHeight="1">
      <c r="A439" s="251">
        <v>436</v>
      </c>
      <c r="B439" s="252">
        <v>43327</v>
      </c>
      <c r="C439" s="269" t="s">
        <v>5213</v>
      </c>
      <c r="D439" s="242" t="s">
        <v>5214</v>
      </c>
      <c r="E439" s="269" t="s">
        <v>5215</v>
      </c>
      <c r="F439" s="269" t="s">
        <v>5174</v>
      </c>
      <c r="G439" s="264" t="s">
        <v>5216</v>
      </c>
      <c r="H439" s="272" t="s">
        <v>5217</v>
      </c>
      <c r="J439" s="245"/>
    </row>
    <row r="440" spans="1:10" ht="15" customHeight="1">
      <c r="A440" s="251">
        <v>437</v>
      </c>
      <c r="B440" s="252">
        <v>46052</v>
      </c>
      <c r="C440" s="242" t="s">
        <v>5218</v>
      </c>
      <c r="D440" s="242" t="s">
        <v>5219</v>
      </c>
      <c r="E440" s="242" t="s">
        <v>5220</v>
      </c>
      <c r="F440" s="242" t="s">
        <v>5221</v>
      </c>
      <c r="G440" s="253">
        <v>1917790</v>
      </c>
      <c r="H440" s="254" t="s">
        <v>5222</v>
      </c>
      <c r="J440" s="245"/>
    </row>
    <row r="441" spans="1:10" ht="15" customHeight="1">
      <c r="A441" s="251">
        <v>438</v>
      </c>
      <c r="B441" s="252">
        <v>7243</v>
      </c>
      <c r="C441" s="242" t="s">
        <v>5223</v>
      </c>
      <c r="D441" s="242" t="s">
        <v>5224</v>
      </c>
      <c r="E441" s="242" t="s">
        <v>5225</v>
      </c>
      <c r="F441" s="242" t="s">
        <v>4812</v>
      </c>
      <c r="G441" s="253">
        <v>3126013</v>
      </c>
      <c r="H441" s="254" t="s">
        <v>5226</v>
      </c>
      <c r="J441" s="245"/>
    </row>
    <row r="442" spans="1:10" ht="15" customHeight="1">
      <c r="A442" s="251">
        <v>439</v>
      </c>
      <c r="B442" s="252">
        <v>7260</v>
      </c>
      <c r="C442" s="242" t="s">
        <v>5227</v>
      </c>
      <c r="D442" s="242" t="s">
        <v>5228</v>
      </c>
      <c r="E442" s="242" t="s">
        <v>5229</v>
      </c>
      <c r="F442" s="242" t="s">
        <v>4722</v>
      </c>
      <c r="G442" s="253">
        <v>3040216</v>
      </c>
      <c r="H442" s="254" t="s">
        <v>5230</v>
      </c>
      <c r="J442" s="245"/>
    </row>
    <row r="443" spans="1:10" s="245" customFormat="1" ht="15" customHeight="1">
      <c r="A443" s="239">
        <v>440</v>
      </c>
      <c r="B443" s="247">
        <v>43214</v>
      </c>
      <c r="C443" s="248" t="s">
        <v>5231</v>
      </c>
      <c r="D443" s="242" t="s">
        <v>5232</v>
      </c>
      <c r="E443" s="248" t="s">
        <v>3807</v>
      </c>
      <c r="F443" s="248" t="s">
        <v>3405</v>
      </c>
      <c r="G443" s="249">
        <v>2323427</v>
      </c>
      <c r="H443" s="250" t="s">
        <v>5233</v>
      </c>
    </row>
    <row r="444" spans="1:10" ht="15" customHeight="1">
      <c r="A444" s="239">
        <v>441</v>
      </c>
      <c r="B444" s="247" t="s">
        <v>5234</v>
      </c>
      <c r="C444" s="248" t="s">
        <v>5235</v>
      </c>
      <c r="D444" s="242" t="s">
        <v>5236</v>
      </c>
      <c r="E444" s="248" t="s">
        <v>5237</v>
      </c>
      <c r="F444" s="248" t="s">
        <v>3405</v>
      </c>
      <c r="G444" s="249">
        <v>2830396</v>
      </c>
      <c r="H444" s="250" t="s">
        <v>5238</v>
      </c>
      <c r="J444" s="245"/>
    </row>
    <row r="445" spans="1:10" ht="15" customHeight="1">
      <c r="A445" s="251">
        <v>442</v>
      </c>
      <c r="B445" s="252">
        <v>26571</v>
      </c>
      <c r="C445" s="242" t="s">
        <v>5239</v>
      </c>
      <c r="D445" s="242" t="s">
        <v>5240</v>
      </c>
      <c r="E445" s="242" t="s">
        <v>5241</v>
      </c>
      <c r="F445" s="242" t="s">
        <v>3405</v>
      </c>
      <c r="G445" s="253">
        <v>3799913</v>
      </c>
      <c r="H445" s="254" t="s">
        <v>5242</v>
      </c>
      <c r="J445" s="245"/>
    </row>
    <row r="446" spans="1:10" ht="15" customHeight="1">
      <c r="A446" s="251">
        <v>443</v>
      </c>
      <c r="B446" s="252">
        <v>26387</v>
      </c>
      <c r="C446" s="242" t="s">
        <v>5243</v>
      </c>
      <c r="D446" s="242" t="s">
        <v>5244</v>
      </c>
      <c r="E446" s="242" t="s">
        <v>5245</v>
      </c>
      <c r="F446" s="242" t="s">
        <v>3405</v>
      </c>
      <c r="G446" s="253">
        <v>3279057</v>
      </c>
      <c r="H446" s="254" t="s">
        <v>5246</v>
      </c>
      <c r="J446" s="245"/>
    </row>
    <row r="447" spans="1:10" ht="15" customHeight="1">
      <c r="A447" s="251">
        <v>444</v>
      </c>
      <c r="B447" s="252">
        <v>26400</v>
      </c>
      <c r="C447" s="262" t="s">
        <v>5247</v>
      </c>
      <c r="D447" s="242" t="s">
        <v>5248</v>
      </c>
      <c r="E447" s="242" t="s">
        <v>5249</v>
      </c>
      <c r="F447" s="242" t="s">
        <v>3587</v>
      </c>
      <c r="G447" s="253">
        <v>3018822</v>
      </c>
      <c r="H447" s="254" t="s">
        <v>5250</v>
      </c>
      <c r="J447" s="245"/>
    </row>
    <row r="448" spans="1:10" ht="15" customHeight="1">
      <c r="A448" s="251">
        <v>445</v>
      </c>
      <c r="B448" s="252">
        <v>26379</v>
      </c>
      <c r="C448" s="242" t="s">
        <v>5251</v>
      </c>
      <c r="D448" s="242" t="s">
        <v>5252</v>
      </c>
      <c r="E448" s="242" t="s">
        <v>5253</v>
      </c>
      <c r="F448" s="242" t="s">
        <v>22</v>
      </c>
      <c r="G448" s="253">
        <v>3368041</v>
      </c>
      <c r="H448" s="254" t="s">
        <v>5254</v>
      </c>
      <c r="J448" s="245"/>
    </row>
    <row r="449" spans="1:10" ht="15" customHeight="1">
      <c r="A449" s="251">
        <v>446</v>
      </c>
      <c r="B449" s="252">
        <v>26395</v>
      </c>
      <c r="C449" s="242" t="s">
        <v>5255</v>
      </c>
      <c r="D449" s="242" t="s">
        <v>5256</v>
      </c>
      <c r="E449" s="242" t="s">
        <v>5257</v>
      </c>
      <c r="F449" s="242" t="s">
        <v>3405</v>
      </c>
      <c r="G449" s="253">
        <v>3208036</v>
      </c>
      <c r="H449" s="254" t="s">
        <v>5258</v>
      </c>
      <c r="J449" s="245"/>
    </row>
    <row r="450" spans="1:10" ht="15" customHeight="1">
      <c r="A450" s="251">
        <v>447</v>
      </c>
      <c r="B450" s="252">
        <v>26418</v>
      </c>
      <c r="C450" s="262" t="s">
        <v>5259</v>
      </c>
      <c r="D450" s="242" t="s">
        <v>5260</v>
      </c>
      <c r="E450" s="242" t="s">
        <v>5261</v>
      </c>
      <c r="F450" s="242" t="s">
        <v>3611</v>
      </c>
      <c r="G450" s="253">
        <v>242870</v>
      </c>
      <c r="H450" s="254" t="s">
        <v>5262</v>
      </c>
      <c r="J450" s="245"/>
    </row>
    <row r="451" spans="1:10" ht="15" customHeight="1">
      <c r="A451" s="251">
        <v>448</v>
      </c>
      <c r="B451" s="252">
        <v>38069</v>
      </c>
      <c r="C451" s="242" t="s">
        <v>5263</v>
      </c>
      <c r="D451" s="242" t="s">
        <v>5264</v>
      </c>
      <c r="E451" s="242" t="s">
        <v>5265</v>
      </c>
      <c r="F451" s="242" t="s">
        <v>3405</v>
      </c>
      <c r="G451" s="253">
        <v>3270777</v>
      </c>
      <c r="H451" s="254" t="s">
        <v>5266</v>
      </c>
      <c r="J451" s="245"/>
    </row>
    <row r="452" spans="1:10" ht="15" customHeight="1">
      <c r="A452" s="251">
        <v>449</v>
      </c>
      <c r="B452" s="252">
        <v>47893</v>
      </c>
      <c r="C452" s="242" t="s">
        <v>5267</v>
      </c>
      <c r="D452" s="242" t="s">
        <v>5268</v>
      </c>
      <c r="E452" s="242" t="s">
        <v>5269</v>
      </c>
      <c r="F452" s="242" t="s">
        <v>3405</v>
      </c>
      <c r="G452" s="253">
        <v>2874989</v>
      </c>
      <c r="H452" s="254" t="s">
        <v>5270</v>
      </c>
      <c r="J452" s="245"/>
    </row>
    <row r="453" spans="1:10" ht="15" customHeight="1">
      <c r="A453" s="251">
        <v>450</v>
      </c>
      <c r="B453" s="252">
        <v>26459</v>
      </c>
      <c r="C453" s="242" t="s">
        <v>5271</v>
      </c>
      <c r="D453" s="242" t="s">
        <v>5272</v>
      </c>
      <c r="E453" s="242" t="s">
        <v>5273</v>
      </c>
      <c r="F453" s="242" t="s">
        <v>3405</v>
      </c>
      <c r="G453" s="253">
        <v>3270793</v>
      </c>
      <c r="H453" s="254" t="s">
        <v>5274</v>
      </c>
      <c r="J453" s="245"/>
    </row>
    <row r="454" spans="1:10" ht="15" customHeight="1">
      <c r="A454" s="251">
        <v>451</v>
      </c>
      <c r="B454" s="252">
        <v>26426</v>
      </c>
      <c r="C454" s="262" t="s">
        <v>5275</v>
      </c>
      <c r="D454" s="242" t="s">
        <v>5276</v>
      </c>
      <c r="E454" s="242" t="s">
        <v>5277</v>
      </c>
      <c r="F454" s="242" t="s">
        <v>3982</v>
      </c>
      <c r="G454" s="253">
        <v>3090302</v>
      </c>
      <c r="H454" s="254" t="s">
        <v>5278</v>
      </c>
      <c r="J454" s="245"/>
    </row>
    <row r="455" spans="1:10" ht="15" customHeight="1">
      <c r="A455" s="251">
        <v>452</v>
      </c>
      <c r="B455" s="252">
        <v>38028</v>
      </c>
      <c r="C455" s="262" t="s">
        <v>5279</v>
      </c>
      <c r="D455" s="242" t="s">
        <v>5280</v>
      </c>
      <c r="E455" s="269" t="s">
        <v>5281</v>
      </c>
      <c r="F455" s="269" t="s">
        <v>3543</v>
      </c>
      <c r="G455" s="264" t="s">
        <v>5282</v>
      </c>
      <c r="H455" s="270">
        <v>54896856295</v>
      </c>
      <c r="J455" s="245"/>
    </row>
    <row r="456" spans="1:10" ht="15" customHeight="1">
      <c r="A456" s="251">
        <v>453</v>
      </c>
      <c r="B456" s="252">
        <v>38655</v>
      </c>
      <c r="C456" s="242" t="s">
        <v>5283</v>
      </c>
      <c r="D456" s="242" t="s">
        <v>5284</v>
      </c>
      <c r="E456" s="242" t="s">
        <v>5285</v>
      </c>
      <c r="F456" s="242" t="s">
        <v>3405</v>
      </c>
      <c r="G456" s="253">
        <v>3274314</v>
      </c>
      <c r="H456" s="254" t="s">
        <v>5286</v>
      </c>
      <c r="J456" s="245"/>
    </row>
    <row r="457" spans="1:10" ht="15" customHeight="1">
      <c r="A457" s="251">
        <v>454</v>
      </c>
      <c r="B457" s="252">
        <v>44573</v>
      </c>
      <c r="C457" s="242" t="s">
        <v>5287</v>
      </c>
      <c r="D457" s="242" t="s">
        <v>5288</v>
      </c>
      <c r="E457" s="242" t="s">
        <v>5289</v>
      </c>
      <c r="F457" s="242" t="s">
        <v>3405</v>
      </c>
      <c r="G457" s="253">
        <v>2536145</v>
      </c>
      <c r="H457" s="254" t="s">
        <v>5290</v>
      </c>
      <c r="J457" s="245"/>
    </row>
    <row r="458" spans="1:10" ht="15" customHeight="1">
      <c r="A458" s="251">
        <v>455</v>
      </c>
      <c r="B458" s="252">
        <v>26346</v>
      </c>
      <c r="C458" s="242" t="s">
        <v>5291</v>
      </c>
      <c r="D458" s="242" t="s">
        <v>5292</v>
      </c>
      <c r="E458" s="242" t="s">
        <v>5293</v>
      </c>
      <c r="F458" s="242" t="s">
        <v>3405</v>
      </c>
      <c r="G458" s="253">
        <v>3270963</v>
      </c>
      <c r="H458" s="254" t="s">
        <v>5294</v>
      </c>
      <c r="J458" s="245"/>
    </row>
    <row r="459" spans="1:10" ht="15" customHeight="1">
      <c r="A459" s="251">
        <v>456</v>
      </c>
      <c r="B459" s="252">
        <v>26354</v>
      </c>
      <c r="C459" s="242" t="s">
        <v>5295</v>
      </c>
      <c r="D459" s="242" t="s">
        <v>5296</v>
      </c>
      <c r="E459" s="242" t="s">
        <v>5297</v>
      </c>
      <c r="F459" s="242" t="s">
        <v>3405</v>
      </c>
      <c r="G459" s="253">
        <v>3281973</v>
      </c>
      <c r="H459" s="254" t="s">
        <v>5298</v>
      </c>
      <c r="J459" s="245"/>
    </row>
    <row r="460" spans="1:10" ht="15" customHeight="1">
      <c r="A460" s="251">
        <v>457</v>
      </c>
      <c r="B460" s="252">
        <v>23616</v>
      </c>
      <c r="C460" s="242" t="s">
        <v>5299</v>
      </c>
      <c r="D460" s="242" t="s">
        <v>5300</v>
      </c>
      <c r="E460" s="242" t="s">
        <v>5301</v>
      </c>
      <c r="F460" s="242" t="s">
        <v>3405</v>
      </c>
      <c r="G460" s="255" t="s">
        <v>5302</v>
      </c>
      <c r="H460" s="273" t="s">
        <v>5303</v>
      </c>
      <c r="J460" s="245"/>
    </row>
    <row r="461" spans="1:10" ht="15" customHeight="1">
      <c r="A461" s="239">
        <v>458</v>
      </c>
      <c r="B461" s="247">
        <v>21828</v>
      </c>
      <c r="C461" s="248" t="s">
        <v>5304</v>
      </c>
      <c r="D461" s="242" t="s">
        <v>5305</v>
      </c>
      <c r="E461" s="248" t="s">
        <v>5306</v>
      </c>
      <c r="F461" s="248" t="s">
        <v>3405</v>
      </c>
      <c r="G461" s="249">
        <v>3205207</v>
      </c>
      <c r="H461" s="250" t="s">
        <v>5307</v>
      </c>
      <c r="J461" s="245"/>
    </row>
    <row r="462" spans="1:10" ht="15" customHeight="1">
      <c r="A462" s="239">
        <v>459</v>
      </c>
      <c r="B462" s="247">
        <v>51441</v>
      </c>
      <c r="C462" s="248" t="s">
        <v>5308</v>
      </c>
      <c r="D462" s="242" t="s">
        <v>5309</v>
      </c>
      <c r="E462" s="248" t="s">
        <v>5310</v>
      </c>
      <c r="F462" s="248" t="s">
        <v>3405</v>
      </c>
      <c r="G462" s="249">
        <v>5287260</v>
      </c>
      <c r="H462" s="250" t="s">
        <v>5311</v>
      </c>
      <c r="I462" s="274"/>
      <c r="J462" s="245"/>
    </row>
    <row r="463" spans="1:10" ht="15" customHeight="1">
      <c r="A463" s="251">
        <v>460</v>
      </c>
      <c r="B463" s="252">
        <v>45978</v>
      </c>
      <c r="C463" s="242" t="s">
        <v>5312</v>
      </c>
      <c r="D463" s="242" t="s">
        <v>5313</v>
      </c>
      <c r="E463" s="242" t="s">
        <v>5310</v>
      </c>
      <c r="F463" s="242" t="s">
        <v>3405</v>
      </c>
      <c r="G463" s="253" t="s">
        <v>5314</v>
      </c>
      <c r="H463" s="275" t="s">
        <v>5315</v>
      </c>
      <c r="J463" s="245"/>
    </row>
    <row r="464" spans="1:10" ht="15" customHeight="1">
      <c r="A464" s="251">
        <v>461</v>
      </c>
      <c r="B464" s="252">
        <v>47668</v>
      </c>
      <c r="C464" s="242" t="s">
        <v>5316</v>
      </c>
      <c r="D464" s="242" t="s">
        <v>5317</v>
      </c>
      <c r="E464" s="242" t="s">
        <v>5318</v>
      </c>
      <c r="F464" s="242" t="s">
        <v>4505</v>
      </c>
      <c r="G464" s="253" t="s">
        <v>5319</v>
      </c>
      <c r="H464" s="275">
        <v>95770301332</v>
      </c>
      <c r="J464" s="245"/>
    </row>
    <row r="465" spans="1:10" ht="15" customHeight="1">
      <c r="A465" s="251">
        <v>462</v>
      </c>
      <c r="B465" s="252">
        <v>24086</v>
      </c>
      <c r="C465" s="242" t="s">
        <v>5320</v>
      </c>
      <c r="D465" s="242" t="s">
        <v>5321</v>
      </c>
      <c r="E465" s="242" t="s">
        <v>5318</v>
      </c>
      <c r="F465" s="242" t="s">
        <v>3405</v>
      </c>
      <c r="G465" s="253">
        <v>1740024</v>
      </c>
      <c r="H465" s="254" t="s">
        <v>5322</v>
      </c>
      <c r="J465" s="245"/>
    </row>
    <row r="466" spans="1:10" ht="15" customHeight="1">
      <c r="A466" s="251">
        <v>463</v>
      </c>
      <c r="B466" s="252">
        <v>20727</v>
      </c>
      <c r="C466" s="242" t="s">
        <v>5323</v>
      </c>
      <c r="D466" s="242" t="s">
        <v>5324</v>
      </c>
      <c r="E466" s="242" t="s">
        <v>5325</v>
      </c>
      <c r="F466" s="242" t="s">
        <v>4788</v>
      </c>
      <c r="G466" s="253">
        <v>1149695</v>
      </c>
      <c r="H466" s="254" t="s">
        <v>5326</v>
      </c>
      <c r="J466" s="245"/>
    </row>
    <row r="467" spans="1:10" ht="15" customHeight="1">
      <c r="A467" s="251">
        <v>464</v>
      </c>
      <c r="B467" s="252">
        <v>3164</v>
      </c>
      <c r="C467" s="242" t="s">
        <v>5327</v>
      </c>
      <c r="D467" s="242" t="s">
        <v>5328</v>
      </c>
      <c r="E467" s="242" t="s">
        <v>5329</v>
      </c>
      <c r="F467" s="242" t="s">
        <v>5330</v>
      </c>
      <c r="G467" s="253">
        <v>3125971</v>
      </c>
      <c r="H467" s="254" t="s">
        <v>5331</v>
      </c>
      <c r="J467" s="245"/>
    </row>
    <row r="468" spans="1:10" ht="15" customHeight="1">
      <c r="A468" s="251">
        <v>465</v>
      </c>
      <c r="B468" s="252">
        <v>3172</v>
      </c>
      <c r="C468" s="242" t="s">
        <v>5332</v>
      </c>
      <c r="D468" s="242" t="s">
        <v>5333</v>
      </c>
      <c r="E468" s="242" t="s">
        <v>5334</v>
      </c>
      <c r="F468" s="242" t="s">
        <v>5335</v>
      </c>
      <c r="G468" s="253">
        <v>3331482</v>
      </c>
      <c r="H468" s="254" t="s">
        <v>5336</v>
      </c>
      <c r="J468" s="245"/>
    </row>
    <row r="469" spans="1:10" ht="15" customHeight="1">
      <c r="A469" s="251">
        <v>466</v>
      </c>
      <c r="B469" s="252">
        <v>50395</v>
      </c>
      <c r="C469" s="242" t="s">
        <v>5337</v>
      </c>
      <c r="D469" s="242" t="s">
        <v>5338</v>
      </c>
      <c r="E469" s="242" t="s">
        <v>5339</v>
      </c>
      <c r="F469" s="242" t="s">
        <v>4349</v>
      </c>
      <c r="G469" s="253">
        <v>4982495</v>
      </c>
      <c r="H469" s="254" t="s">
        <v>5340</v>
      </c>
      <c r="J469" s="245"/>
    </row>
    <row r="470" spans="1:10" ht="15" customHeight="1">
      <c r="A470" s="251">
        <v>467</v>
      </c>
      <c r="B470" s="252">
        <v>3197</v>
      </c>
      <c r="C470" s="242" t="s">
        <v>5341</v>
      </c>
      <c r="D470" s="242" t="s">
        <v>5342</v>
      </c>
      <c r="E470" s="242" t="s">
        <v>5343</v>
      </c>
      <c r="F470" s="242" t="s">
        <v>3470</v>
      </c>
      <c r="G470" s="253">
        <v>3230015</v>
      </c>
      <c r="H470" s="254" t="s">
        <v>5344</v>
      </c>
      <c r="J470" s="245"/>
    </row>
    <row r="471" spans="1:10" ht="15" customHeight="1">
      <c r="A471" s="251">
        <v>468</v>
      </c>
      <c r="B471" s="252">
        <v>3201</v>
      </c>
      <c r="C471" s="242" t="s">
        <v>5345</v>
      </c>
      <c r="D471" s="242" t="s">
        <v>5346</v>
      </c>
      <c r="E471" s="242" t="s">
        <v>5347</v>
      </c>
      <c r="F471" s="242" t="s">
        <v>3657</v>
      </c>
      <c r="G471" s="253">
        <v>3221784</v>
      </c>
      <c r="H471" s="254" t="s">
        <v>5348</v>
      </c>
      <c r="J471" s="245"/>
    </row>
    <row r="472" spans="1:10" ht="15" customHeight="1">
      <c r="A472" s="251">
        <v>469</v>
      </c>
      <c r="B472" s="252">
        <v>3156</v>
      </c>
      <c r="C472" s="242" t="s">
        <v>5349</v>
      </c>
      <c r="D472" s="242" t="s">
        <v>5350</v>
      </c>
      <c r="E472" s="242" t="s">
        <v>5351</v>
      </c>
      <c r="F472" s="242" t="s">
        <v>3470</v>
      </c>
      <c r="G472" s="253">
        <v>3126498</v>
      </c>
      <c r="H472" s="254" t="s">
        <v>5352</v>
      </c>
      <c r="J472" s="245"/>
    </row>
    <row r="473" spans="1:10" ht="15" customHeight="1">
      <c r="A473" s="251">
        <v>470</v>
      </c>
      <c r="B473" s="252">
        <v>46614</v>
      </c>
      <c r="C473" s="242" t="s">
        <v>5353</v>
      </c>
      <c r="D473" s="242" t="s">
        <v>5354</v>
      </c>
      <c r="E473" s="242" t="s">
        <v>5339</v>
      </c>
      <c r="F473" s="242" t="s">
        <v>4349</v>
      </c>
      <c r="G473" s="253">
        <v>3342719</v>
      </c>
      <c r="H473" s="254" t="s">
        <v>5355</v>
      </c>
      <c r="J473" s="245"/>
    </row>
    <row r="474" spans="1:10" ht="15" customHeight="1">
      <c r="A474" s="251">
        <v>471</v>
      </c>
      <c r="B474" s="252">
        <v>3210</v>
      </c>
      <c r="C474" s="242" t="s">
        <v>5356</v>
      </c>
      <c r="D474" s="242" t="s">
        <v>5357</v>
      </c>
      <c r="E474" s="242" t="s">
        <v>5358</v>
      </c>
      <c r="F474" s="242" t="s">
        <v>3567</v>
      </c>
      <c r="G474" s="253">
        <v>3331369</v>
      </c>
      <c r="H474" s="254" t="s">
        <v>5359</v>
      </c>
      <c r="J474" s="245"/>
    </row>
    <row r="475" spans="1:10" ht="15" customHeight="1">
      <c r="A475" s="251">
        <v>472</v>
      </c>
      <c r="B475" s="252">
        <v>3228</v>
      </c>
      <c r="C475" s="242" t="s">
        <v>5360</v>
      </c>
      <c r="D475" s="242" t="s">
        <v>5361</v>
      </c>
      <c r="E475" s="242" t="s">
        <v>5362</v>
      </c>
      <c r="F475" s="242" t="s">
        <v>3572</v>
      </c>
      <c r="G475" s="253">
        <v>3312062</v>
      </c>
      <c r="H475" s="254" t="s">
        <v>5363</v>
      </c>
      <c r="J475" s="245"/>
    </row>
    <row r="476" spans="1:10" ht="15" customHeight="1">
      <c r="A476" s="251">
        <v>473</v>
      </c>
      <c r="B476" s="252">
        <v>3236</v>
      </c>
      <c r="C476" s="242" t="s">
        <v>5364</v>
      </c>
      <c r="D476" s="242" t="s">
        <v>5365</v>
      </c>
      <c r="E476" s="242" t="s">
        <v>5366</v>
      </c>
      <c r="F476" s="242" t="s">
        <v>3577</v>
      </c>
      <c r="G476" s="253">
        <v>3345971</v>
      </c>
      <c r="H476" s="254" t="s">
        <v>5367</v>
      </c>
      <c r="J476" s="245"/>
    </row>
    <row r="477" spans="1:10" ht="15" customHeight="1">
      <c r="A477" s="251">
        <v>474</v>
      </c>
      <c r="B477" s="252">
        <v>3244</v>
      </c>
      <c r="C477" s="242" t="s">
        <v>5368</v>
      </c>
      <c r="D477" s="242" t="s">
        <v>5369</v>
      </c>
      <c r="E477" s="242" t="s">
        <v>5370</v>
      </c>
      <c r="F477" s="242" t="s">
        <v>3582</v>
      </c>
      <c r="G477" s="253">
        <v>3141667</v>
      </c>
      <c r="H477" s="254" t="s">
        <v>5371</v>
      </c>
      <c r="J477" s="245"/>
    </row>
    <row r="478" spans="1:10" ht="15" customHeight="1">
      <c r="A478" s="251">
        <v>475</v>
      </c>
      <c r="B478" s="252">
        <v>3252</v>
      </c>
      <c r="C478" s="242" t="s">
        <v>5372</v>
      </c>
      <c r="D478" s="242" t="s">
        <v>5373</v>
      </c>
      <c r="E478" s="242" t="s">
        <v>5374</v>
      </c>
      <c r="F478" s="242" t="s">
        <v>3587</v>
      </c>
      <c r="G478" s="253">
        <v>3055264</v>
      </c>
      <c r="H478" s="254" t="s">
        <v>5375</v>
      </c>
      <c r="J478" s="245"/>
    </row>
    <row r="479" spans="1:10" ht="15" customHeight="1">
      <c r="A479" s="251">
        <v>476</v>
      </c>
      <c r="B479" s="252">
        <v>50400</v>
      </c>
      <c r="C479" s="242" t="s">
        <v>5376</v>
      </c>
      <c r="D479" s="242" t="s">
        <v>5377</v>
      </c>
      <c r="E479" s="242" t="s">
        <v>5378</v>
      </c>
      <c r="F479" s="242" t="s">
        <v>4349</v>
      </c>
      <c r="G479" s="253">
        <v>4982533</v>
      </c>
      <c r="H479" s="254" t="s">
        <v>5379</v>
      </c>
      <c r="J479" s="245"/>
    </row>
    <row r="480" spans="1:10" ht="15" customHeight="1">
      <c r="A480" s="251">
        <v>477</v>
      </c>
      <c r="B480" s="252">
        <v>3277</v>
      </c>
      <c r="C480" s="242" t="s">
        <v>5380</v>
      </c>
      <c r="D480" s="242" t="s">
        <v>5381</v>
      </c>
      <c r="E480" s="242" t="s">
        <v>5382</v>
      </c>
      <c r="F480" s="242" t="s">
        <v>3657</v>
      </c>
      <c r="G480" s="253">
        <v>3227693</v>
      </c>
      <c r="H480" s="254" t="s">
        <v>5383</v>
      </c>
      <c r="J480" s="245"/>
    </row>
    <row r="481" spans="1:10" ht="15" customHeight="1">
      <c r="A481" s="251">
        <v>478</v>
      </c>
      <c r="B481" s="252">
        <v>3285</v>
      </c>
      <c r="C481" s="242" t="s">
        <v>5384</v>
      </c>
      <c r="D481" s="242" t="s">
        <v>5385</v>
      </c>
      <c r="E481" s="242" t="s">
        <v>5386</v>
      </c>
      <c r="F481" s="242" t="s">
        <v>22</v>
      </c>
      <c r="G481" s="253">
        <v>3341640</v>
      </c>
      <c r="H481" s="254" t="s">
        <v>5387</v>
      </c>
      <c r="J481" s="245"/>
    </row>
    <row r="482" spans="1:10" ht="15" customHeight="1">
      <c r="A482" s="251">
        <v>479</v>
      </c>
      <c r="B482" s="252">
        <v>3293</v>
      </c>
      <c r="C482" s="242" t="s">
        <v>5388</v>
      </c>
      <c r="D482" s="242" t="s">
        <v>5389</v>
      </c>
      <c r="E482" s="242" t="s">
        <v>5390</v>
      </c>
      <c r="F482" s="242" t="s">
        <v>3601</v>
      </c>
      <c r="G482" s="253">
        <v>3314707</v>
      </c>
      <c r="H482" s="254" t="s">
        <v>5391</v>
      </c>
      <c r="J482" s="245"/>
    </row>
    <row r="483" spans="1:10" ht="15" customHeight="1">
      <c r="A483" s="251">
        <v>480</v>
      </c>
      <c r="B483" s="252">
        <v>3308</v>
      </c>
      <c r="C483" s="242" t="s">
        <v>5392</v>
      </c>
      <c r="D483" s="242" t="s">
        <v>5393</v>
      </c>
      <c r="E483" s="242" t="s">
        <v>5394</v>
      </c>
      <c r="F483" s="242" t="s">
        <v>3611</v>
      </c>
      <c r="G483" s="253">
        <v>3148262</v>
      </c>
      <c r="H483" s="254" t="s">
        <v>5395</v>
      </c>
      <c r="J483" s="245"/>
    </row>
    <row r="484" spans="1:10" ht="15" customHeight="1">
      <c r="A484" s="251">
        <v>481</v>
      </c>
      <c r="B484" s="252">
        <v>3316</v>
      </c>
      <c r="C484" s="242" t="s">
        <v>5396</v>
      </c>
      <c r="D484" s="242" t="s">
        <v>5397</v>
      </c>
      <c r="E484" s="242" t="s">
        <v>5398</v>
      </c>
      <c r="F484" s="242" t="s">
        <v>3616</v>
      </c>
      <c r="G484" s="253">
        <v>3060870</v>
      </c>
      <c r="H484" s="254" t="s">
        <v>5399</v>
      </c>
      <c r="J484" s="245"/>
    </row>
    <row r="485" spans="1:10" ht="15" customHeight="1">
      <c r="A485" s="251">
        <v>482</v>
      </c>
      <c r="B485" s="252">
        <v>3324</v>
      </c>
      <c r="C485" s="242" t="s">
        <v>5400</v>
      </c>
      <c r="D485" s="242" t="s">
        <v>5401</v>
      </c>
      <c r="E485" s="242" t="s">
        <v>5402</v>
      </c>
      <c r="F485" s="242" t="s">
        <v>3621</v>
      </c>
      <c r="G485" s="253">
        <v>3048560</v>
      </c>
      <c r="H485" s="254" t="s">
        <v>5403</v>
      </c>
      <c r="J485" s="245"/>
    </row>
    <row r="486" spans="1:10" ht="15" customHeight="1">
      <c r="A486" s="251">
        <v>483</v>
      </c>
      <c r="B486" s="252">
        <v>3332</v>
      </c>
      <c r="C486" s="242" t="s">
        <v>5404</v>
      </c>
      <c r="D486" s="242" t="s">
        <v>5405</v>
      </c>
      <c r="E486" s="242" t="s">
        <v>5406</v>
      </c>
      <c r="F486" s="242" t="s">
        <v>3635</v>
      </c>
      <c r="G486" s="253">
        <v>3159973</v>
      </c>
      <c r="H486" s="254" t="s">
        <v>5407</v>
      </c>
      <c r="J486" s="245"/>
    </row>
    <row r="487" spans="1:10" ht="15" customHeight="1">
      <c r="A487" s="251">
        <v>484</v>
      </c>
      <c r="B487" s="252">
        <v>3349</v>
      </c>
      <c r="C487" s="242" t="s">
        <v>5408</v>
      </c>
      <c r="D487" s="242" t="s">
        <v>5409</v>
      </c>
      <c r="E487" s="242" t="s">
        <v>5318</v>
      </c>
      <c r="F487" s="242" t="s">
        <v>3405</v>
      </c>
      <c r="G487" s="253">
        <v>3226476</v>
      </c>
      <c r="H487" s="254" t="s">
        <v>5410</v>
      </c>
      <c r="J487" s="245"/>
    </row>
    <row r="488" spans="1:10" ht="15" customHeight="1">
      <c r="A488" s="251">
        <v>485</v>
      </c>
      <c r="B488" s="252">
        <v>3148</v>
      </c>
      <c r="C488" s="242" t="s">
        <v>5411</v>
      </c>
      <c r="D488" s="242" t="s">
        <v>5412</v>
      </c>
      <c r="E488" s="242" t="s">
        <v>5413</v>
      </c>
      <c r="F488" s="242" t="s">
        <v>3405</v>
      </c>
      <c r="G488" s="253">
        <v>3283089</v>
      </c>
      <c r="H488" s="254" t="s">
        <v>5414</v>
      </c>
      <c r="J488" s="245"/>
    </row>
    <row r="489" spans="1:10" ht="15" customHeight="1">
      <c r="A489" s="251">
        <v>486</v>
      </c>
      <c r="B489" s="252">
        <v>3357</v>
      </c>
      <c r="C489" s="242" t="s">
        <v>5415</v>
      </c>
      <c r="D489" s="242" t="s">
        <v>5416</v>
      </c>
      <c r="E489" s="242" t="s">
        <v>5417</v>
      </c>
      <c r="F489" s="242" t="s">
        <v>3405</v>
      </c>
      <c r="G489" s="253">
        <v>3206050</v>
      </c>
      <c r="H489" s="254" t="s">
        <v>5418</v>
      </c>
      <c r="J489" s="245"/>
    </row>
    <row r="490" spans="1:10" ht="15" customHeight="1">
      <c r="A490" s="251">
        <v>487</v>
      </c>
      <c r="B490" s="252">
        <v>3582</v>
      </c>
      <c r="C490" s="242" t="s">
        <v>5419</v>
      </c>
      <c r="D490" s="242" t="s">
        <v>5420</v>
      </c>
      <c r="E490" s="242" t="s">
        <v>5421</v>
      </c>
      <c r="F490" s="242" t="s">
        <v>3405</v>
      </c>
      <c r="G490" s="253">
        <v>3271064</v>
      </c>
      <c r="H490" s="254" t="s">
        <v>5422</v>
      </c>
      <c r="J490" s="245"/>
    </row>
    <row r="491" spans="1:10" ht="15" customHeight="1">
      <c r="A491" s="251">
        <v>488</v>
      </c>
      <c r="B491" s="252">
        <v>20639</v>
      </c>
      <c r="C491" s="242" t="s">
        <v>5423</v>
      </c>
      <c r="D491" s="242" t="s">
        <v>5424</v>
      </c>
      <c r="E491" s="242" t="s">
        <v>5425</v>
      </c>
      <c r="F491" s="242" t="s">
        <v>3405</v>
      </c>
      <c r="G491" s="253">
        <v>3232719</v>
      </c>
      <c r="H491" s="254" t="s">
        <v>5426</v>
      </c>
      <c r="J491" s="245"/>
    </row>
    <row r="492" spans="1:10" ht="15" customHeight="1">
      <c r="A492" s="251">
        <v>489</v>
      </c>
      <c r="B492" s="252">
        <v>47140</v>
      </c>
      <c r="C492" s="242" t="s">
        <v>5427</v>
      </c>
      <c r="D492" s="242" t="s">
        <v>5428</v>
      </c>
      <c r="E492" s="242" t="s">
        <v>5429</v>
      </c>
      <c r="F492" s="242" t="s">
        <v>3587</v>
      </c>
      <c r="G492" s="253">
        <v>2790416</v>
      </c>
      <c r="H492" s="254" t="s">
        <v>5430</v>
      </c>
      <c r="J492" s="245"/>
    </row>
    <row r="493" spans="1:10" ht="15" customHeight="1">
      <c r="A493" s="251">
        <v>490</v>
      </c>
      <c r="B493" s="252">
        <v>47158</v>
      </c>
      <c r="C493" s="242" t="s">
        <v>5431</v>
      </c>
      <c r="D493" s="242" t="s">
        <v>5432</v>
      </c>
      <c r="E493" s="242" t="s">
        <v>5433</v>
      </c>
      <c r="F493" s="242" t="s">
        <v>22</v>
      </c>
      <c r="G493" s="253">
        <v>2790424</v>
      </c>
      <c r="H493" s="254" t="s">
        <v>5434</v>
      </c>
      <c r="J493" s="245"/>
    </row>
    <row r="494" spans="1:10" ht="15" customHeight="1">
      <c r="A494" s="251">
        <v>491</v>
      </c>
      <c r="B494" s="252">
        <v>47203</v>
      </c>
      <c r="C494" s="242" t="s">
        <v>5435</v>
      </c>
      <c r="D494" s="242" t="s">
        <v>5436</v>
      </c>
      <c r="E494" s="242" t="s">
        <v>5437</v>
      </c>
      <c r="F494" s="242" t="s">
        <v>3611</v>
      </c>
      <c r="G494" s="253">
        <v>2790432</v>
      </c>
      <c r="H494" s="254" t="s">
        <v>5438</v>
      </c>
      <c r="J494" s="245"/>
    </row>
    <row r="495" spans="1:10" ht="15" customHeight="1">
      <c r="A495" s="251">
        <v>492</v>
      </c>
      <c r="B495" s="252">
        <v>47199</v>
      </c>
      <c r="C495" s="242" t="s">
        <v>5439</v>
      </c>
      <c r="D495" s="242" t="s">
        <v>5440</v>
      </c>
      <c r="E495" s="242" t="s">
        <v>5441</v>
      </c>
      <c r="F495" s="242" t="s">
        <v>3405</v>
      </c>
      <c r="G495" s="253">
        <v>2790467</v>
      </c>
      <c r="H495" s="254" t="s">
        <v>5442</v>
      </c>
      <c r="J495" s="245"/>
    </row>
    <row r="496" spans="1:10" ht="15" customHeight="1">
      <c r="A496" s="251">
        <v>493</v>
      </c>
      <c r="B496" s="252">
        <v>3365</v>
      </c>
      <c r="C496" s="242" t="s">
        <v>5443</v>
      </c>
      <c r="D496" s="242" t="s">
        <v>5444</v>
      </c>
      <c r="E496" s="242" t="s">
        <v>5445</v>
      </c>
      <c r="F496" s="242" t="s">
        <v>3405</v>
      </c>
      <c r="G496" s="253">
        <v>3277151</v>
      </c>
      <c r="H496" s="254" t="s">
        <v>5446</v>
      </c>
      <c r="J496" s="245"/>
    </row>
    <row r="497" spans="1:10" ht="15" customHeight="1">
      <c r="A497" s="251">
        <v>494</v>
      </c>
      <c r="B497" s="252">
        <v>47287</v>
      </c>
      <c r="C497" s="242" t="s">
        <v>5447</v>
      </c>
      <c r="D497" s="242" t="s">
        <v>5448</v>
      </c>
      <c r="E497" s="242" t="s">
        <v>5310</v>
      </c>
      <c r="F497" s="242" t="s">
        <v>3405</v>
      </c>
      <c r="G497" s="253">
        <v>2797712</v>
      </c>
      <c r="H497" s="254" t="s">
        <v>5449</v>
      </c>
      <c r="J497" s="245"/>
    </row>
    <row r="498" spans="1:10" ht="15" customHeight="1">
      <c r="A498" s="251">
        <v>495</v>
      </c>
      <c r="B498" s="252">
        <v>47295</v>
      </c>
      <c r="C498" s="242" t="s">
        <v>5450</v>
      </c>
      <c r="D498" s="242" t="s">
        <v>5451</v>
      </c>
      <c r="E498" s="242" t="s">
        <v>5452</v>
      </c>
      <c r="F498" s="242" t="s">
        <v>3405</v>
      </c>
      <c r="G498" s="253">
        <v>2747987</v>
      </c>
      <c r="H498" s="254" t="s">
        <v>5453</v>
      </c>
      <c r="J498" s="245"/>
    </row>
    <row r="499" spans="1:10" ht="15" customHeight="1">
      <c r="A499" s="251">
        <v>496</v>
      </c>
      <c r="B499" s="252">
        <v>3381</v>
      </c>
      <c r="C499" s="242" t="s">
        <v>5454</v>
      </c>
      <c r="D499" s="242" t="s">
        <v>5455</v>
      </c>
      <c r="E499" s="242" t="s">
        <v>5456</v>
      </c>
      <c r="F499" s="242" t="s">
        <v>3405</v>
      </c>
      <c r="G499" s="253">
        <v>3206068</v>
      </c>
      <c r="H499" s="254" t="s">
        <v>5457</v>
      </c>
      <c r="J499" s="245"/>
    </row>
    <row r="500" spans="1:10" ht="15" customHeight="1">
      <c r="A500" s="251">
        <v>497</v>
      </c>
      <c r="B500" s="252">
        <v>50928</v>
      </c>
      <c r="C500" s="242" t="s">
        <v>5458</v>
      </c>
      <c r="D500" s="242" t="s">
        <v>5459</v>
      </c>
      <c r="E500" s="242" t="s">
        <v>5460</v>
      </c>
      <c r="F500" s="242" t="s">
        <v>3405</v>
      </c>
      <c r="G500" s="253">
        <v>5090890</v>
      </c>
      <c r="H500" s="254" t="s">
        <v>5461</v>
      </c>
      <c r="J500" s="245"/>
    </row>
    <row r="501" spans="1:10" ht="15" customHeight="1">
      <c r="A501" s="251">
        <v>498</v>
      </c>
      <c r="B501" s="252">
        <v>20743</v>
      </c>
      <c r="C501" s="242" t="s">
        <v>5462</v>
      </c>
      <c r="D501" s="242" t="s">
        <v>5463</v>
      </c>
      <c r="E501" s="242" t="s">
        <v>5464</v>
      </c>
      <c r="F501" s="242" t="s">
        <v>3567</v>
      </c>
      <c r="G501" s="253">
        <v>3308677</v>
      </c>
      <c r="H501" s="254" t="s">
        <v>5465</v>
      </c>
      <c r="J501" s="245"/>
    </row>
    <row r="502" spans="1:10" ht="15" customHeight="1">
      <c r="A502" s="251">
        <v>499</v>
      </c>
      <c r="B502" s="252">
        <v>3390</v>
      </c>
      <c r="C502" s="242" t="s">
        <v>5466</v>
      </c>
      <c r="D502" s="242" t="s">
        <v>5467</v>
      </c>
      <c r="E502" s="242" t="s">
        <v>5468</v>
      </c>
      <c r="F502" s="242" t="s">
        <v>3572</v>
      </c>
      <c r="G502" s="253">
        <v>3304680</v>
      </c>
      <c r="H502" s="254" t="s">
        <v>5469</v>
      </c>
      <c r="J502" s="245"/>
    </row>
    <row r="503" spans="1:10" ht="15" customHeight="1">
      <c r="A503" s="251">
        <v>500</v>
      </c>
      <c r="B503" s="252">
        <v>3412</v>
      </c>
      <c r="C503" s="242" t="s">
        <v>5470</v>
      </c>
      <c r="D503" s="242" t="s">
        <v>5471</v>
      </c>
      <c r="E503" s="242" t="s">
        <v>5472</v>
      </c>
      <c r="F503" s="242" t="s">
        <v>3582</v>
      </c>
      <c r="G503" s="253">
        <v>3123502</v>
      </c>
      <c r="H503" s="254" t="s">
        <v>5473</v>
      </c>
      <c r="J503" s="245"/>
    </row>
    <row r="504" spans="1:10" ht="15" customHeight="1">
      <c r="A504" s="251">
        <v>501</v>
      </c>
      <c r="B504" s="252">
        <v>3429</v>
      </c>
      <c r="C504" s="242" t="s">
        <v>5474</v>
      </c>
      <c r="D504" s="242" t="s">
        <v>5475</v>
      </c>
      <c r="E504" s="242" t="s">
        <v>5476</v>
      </c>
      <c r="F504" s="242" t="s">
        <v>3587</v>
      </c>
      <c r="G504" s="253">
        <v>3014819</v>
      </c>
      <c r="H504" s="254" t="s">
        <v>5477</v>
      </c>
      <c r="J504" s="245"/>
    </row>
    <row r="505" spans="1:10" ht="15" customHeight="1">
      <c r="A505" s="251">
        <v>502</v>
      </c>
      <c r="B505" s="252">
        <v>3445</v>
      </c>
      <c r="C505" s="242" t="s">
        <v>5478</v>
      </c>
      <c r="D505" s="242" t="s">
        <v>5479</v>
      </c>
      <c r="E505" s="242" t="s">
        <v>5480</v>
      </c>
      <c r="F505" s="242" t="s">
        <v>5481</v>
      </c>
      <c r="G505" s="253">
        <v>3204138</v>
      </c>
      <c r="H505" s="254" t="s">
        <v>5482</v>
      </c>
      <c r="J505" s="245"/>
    </row>
    <row r="506" spans="1:10" ht="15" customHeight="1">
      <c r="A506" s="251">
        <v>503</v>
      </c>
      <c r="B506" s="252">
        <v>3453</v>
      </c>
      <c r="C506" s="242" t="s">
        <v>5483</v>
      </c>
      <c r="D506" s="242" t="s">
        <v>5484</v>
      </c>
      <c r="E506" s="242" t="s">
        <v>5485</v>
      </c>
      <c r="F506" s="242" t="s">
        <v>22</v>
      </c>
      <c r="G506" s="253">
        <v>3321401</v>
      </c>
      <c r="H506" s="254" t="s">
        <v>5486</v>
      </c>
      <c r="J506" s="245"/>
    </row>
    <row r="507" spans="1:10" ht="15" customHeight="1">
      <c r="A507" s="251">
        <v>504</v>
      </c>
      <c r="B507" s="252">
        <v>3461</v>
      </c>
      <c r="C507" s="242" t="s">
        <v>5487</v>
      </c>
      <c r="D507" s="242" t="s">
        <v>5488</v>
      </c>
      <c r="E507" s="242" t="s">
        <v>5489</v>
      </c>
      <c r="F507" s="242" t="s">
        <v>3601</v>
      </c>
      <c r="G507" s="253">
        <v>3314731</v>
      </c>
      <c r="H507" s="254" t="s">
        <v>5490</v>
      </c>
      <c r="J507" s="245"/>
    </row>
    <row r="508" spans="1:10" ht="15" customHeight="1">
      <c r="A508" s="251">
        <v>505</v>
      </c>
      <c r="B508" s="252">
        <v>20778</v>
      </c>
      <c r="C508" s="242" t="s">
        <v>5491</v>
      </c>
      <c r="D508" s="242" t="s">
        <v>5492</v>
      </c>
      <c r="E508" s="242" t="s">
        <v>5493</v>
      </c>
      <c r="F508" s="242" t="s">
        <v>3606</v>
      </c>
      <c r="G508" s="253">
        <v>1228226</v>
      </c>
      <c r="H508" s="254" t="s">
        <v>5494</v>
      </c>
      <c r="J508" s="245"/>
    </row>
    <row r="509" spans="1:10" ht="15" customHeight="1">
      <c r="A509" s="251">
        <v>506</v>
      </c>
      <c r="B509" s="252">
        <v>3470</v>
      </c>
      <c r="C509" s="242" t="s">
        <v>5495</v>
      </c>
      <c r="D509" s="242" t="s">
        <v>5496</v>
      </c>
      <c r="E509" s="242" t="s">
        <v>5497</v>
      </c>
      <c r="F509" s="242" t="s">
        <v>3611</v>
      </c>
      <c r="G509" s="253">
        <v>3118673</v>
      </c>
      <c r="H509" s="254" t="s">
        <v>5498</v>
      </c>
      <c r="J509" s="245"/>
    </row>
    <row r="510" spans="1:10" ht="15" customHeight="1">
      <c r="A510" s="251">
        <v>507</v>
      </c>
      <c r="B510" s="252">
        <v>20786</v>
      </c>
      <c r="C510" s="242" t="s">
        <v>5499</v>
      </c>
      <c r="D510" s="242" t="s">
        <v>5500</v>
      </c>
      <c r="E510" s="242" t="s">
        <v>5501</v>
      </c>
      <c r="F510" s="242" t="s">
        <v>3616</v>
      </c>
      <c r="G510" s="253">
        <v>3019799</v>
      </c>
      <c r="H510" s="254" t="s">
        <v>5502</v>
      </c>
      <c r="J510" s="245"/>
    </row>
    <row r="511" spans="1:10" ht="15" customHeight="1">
      <c r="A511" s="251">
        <v>508</v>
      </c>
      <c r="B511" s="252">
        <v>3488</v>
      </c>
      <c r="C511" s="242" t="s">
        <v>5503</v>
      </c>
      <c r="D511" s="242" t="s">
        <v>5504</v>
      </c>
      <c r="E511" s="242" t="s">
        <v>4997</v>
      </c>
      <c r="F511" s="242" t="s">
        <v>3621</v>
      </c>
      <c r="G511" s="253">
        <v>3006719</v>
      </c>
      <c r="H511" s="254" t="s">
        <v>5505</v>
      </c>
      <c r="J511" s="245"/>
    </row>
    <row r="512" spans="1:10" ht="15" customHeight="1">
      <c r="A512" s="251">
        <v>509</v>
      </c>
      <c r="B512" s="252">
        <v>23421</v>
      </c>
      <c r="C512" s="242" t="s">
        <v>5506</v>
      </c>
      <c r="D512" s="242" t="s">
        <v>5507</v>
      </c>
      <c r="E512" s="242" t="s">
        <v>5508</v>
      </c>
      <c r="F512" s="242" t="s">
        <v>3470</v>
      </c>
      <c r="G512" s="253">
        <v>1476351</v>
      </c>
      <c r="H512" s="254" t="s">
        <v>5509</v>
      </c>
      <c r="J512" s="245"/>
    </row>
    <row r="513" spans="1:10" ht="15" customHeight="1">
      <c r="A513" s="251">
        <v>510</v>
      </c>
      <c r="B513" s="252">
        <v>20809</v>
      </c>
      <c r="C513" s="242" t="s">
        <v>5510</v>
      </c>
      <c r="D513" s="242" t="s">
        <v>5511</v>
      </c>
      <c r="E513" s="242" t="s">
        <v>5512</v>
      </c>
      <c r="F513" s="242" t="s">
        <v>3543</v>
      </c>
      <c r="G513" s="253">
        <v>1210696</v>
      </c>
      <c r="H513" s="254" t="s">
        <v>5513</v>
      </c>
      <c r="J513" s="245"/>
    </row>
    <row r="514" spans="1:10" ht="15" customHeight="1">
      <c r="A514" s="251">
        <v>511</v>
      </c>
      <c r="B514" s="252">
        <v>3496</v>
      </c>
      <c r="C514" s="242" t="s">
        <v>5514</v>
      </c>
      <c r="D514" s="242" t="s">
        <v>5515</v>
      </c>
      <c r="E514" s="242" t="s">
        <v>5516</v>
      </c>
      <c r="F514" s="242" t="s">
        <v>3635</v>
      </c>
      <c r="G514" s="253">
        <v>3142434</v>
      </c>
      <c r="H514" s="254" t="s">
        <v>5517</v>
      </c>
      <c r="J514" s="245"/>
    </row>
    <row r="515" spans="1:10" ht="15" customHeight="1">
      <c r="A515" s="251">
        <v>512</v>
      </c>
      <c r="B515" s="252">
        <v>3507</v>
      </c>
      <c r="C515" s="242" t="s">
        <v>5518</v>
      </c>
      <c r="D515" s="242" t="s">
        <v>5519</v>
      </c>
      <c r="E515" s="242" t="s">
        <v>5460</v>
      </c>
      <c r="F515" s="242" t="s">
        <v>3405</v>
      </c>
      <c r="G515" s="253">
        <v>3206076</v>
      </c>
      <c r="H515" s="254" t="s">
        <v>5520</v>
      </c>
      <c r="J515" s="245"/>
    </row>
    <row r="516" spans="1:10" ht="15" customHeight="1">
      <c r="A516" s="251">
        <v>513</v>
      </c>
      <c r="B516" s="252">
        <v>3515</v>
      </c>
      <c r="C516" s="242" t="s">
        <v>5521</v>
      </c>
      <c r="D516" s="242" t="s">
        <v>5522</v>
      </c>
      <c r="E516" s="242" t="s">
        <v>5523</v>
      </c>
      <c r="F516" s="242" t="s">
        <v>3567</v>
      </c>
      <c r="G516" s="253">
        <v>3333299</v>
      </c>
      <c r="H516" s="254" t="s">
        <v>5524</v>
      </c>
      <c r="J516" s="245"/>
    </row>
    <row r="517" spans="1:10" ht="15" customHeight="1">
      <c r="A517" s="251">
        <v>514</v>
      </c>
      <c r="B517" s="252">
        <v>50598</v>
      </c>
      <c r="C517" s="242" t="s">
        <v>5525</v>
      </c>
      <c r="D517" s="242" t="s">
        <v>5526</v>
      </c>
      <c r="E517" s="242" t="s">
        <v>5527</v>
      </c>
      <c r="F517" s="242" t="s">
        <v>3572</v>
      </c>
      <c r="G517" s="255" t="s">
        <v>5528</v>
      </c>
      <c r="H517" s="254" t="s">
        <v>5529</v>
      </c>
      <c r="J517" s="245"/>
    </row>
    <row r="518" spans="1:10" ht="15" customHeight="1">
      <c r="A518" s="251">
        <v>515</v>
      </c>
      <c r="B518" s="252">
        <v>3531</v>
      </c>
      <c r="C518" s="242" t="s">
        <v>5530</v>
      </c>
      <c r="D518" s="242" t="s">
        <v>5531</v>
      </c>
      <c r="E518" s="242" t="s">
        <v>5532</v>
      </c>
      <c r="F518" s="242" t="s">
        <v>3587</v>
      </c>
      <c r="G518" s="253">
        <v>3014797</v>
      </c>
      <c r="H518" s="254" t="s">
        <v>5533</v>
      </c>
      <c r="J518" s="245"/>
    </row>
    <row r="519" spans="1:10" ht="15" customHeight="1">
      <c r="A519" s="251">
        <v>516</v>
      </c>
      <c r="B519" s="252">
        <v>48752</v>
      </c>
      <c r="C519" s="242" t="s">
        <v>5534</v>
      </c>
      <c r="D519" s="242" t="s">
        <v>5535</v>
      </c>
      <c r="E519" s="242" t="s">
        <v>5536</v>
      </c>
      <c r="F519" s="242" t="s">
        <v>3592</v>
      </c>
      <c r="G519" s="253">
        <v>4344677</v>
      </c>
      <c r="H519" s="254" t="s">
        <v>5537</v>
      </c>
      <c r="J519" s="245"/>
    </row>
    <row r="520" spans="1:10" ht="15" customHeight="1">
      <c r="A520" s="251">
        <v>517</v>
      </c>
      <c r="B520" s="252">
        <v>3540</v>
      </c>
      <c r="C520" s="242" t="s">
        <v>5538</v>
      </c>
      <c r="D520" s="242" t="s">
        <v>5539</v>
      </c>
      <c r="E520" s="242" t="s">
        <v>5540</v>
      </c>
      <c r="F520" s="242" t="s">
        <v>22</v>
      </c>
      <c r="G520" s="253">
        <v>3321410</v>
      </c>
      <c r="H520" s="254" t="s">
        <v>5541</v>
      </c>
      <c r="J520" s="245"/>
    </row>
    <row r="521" spans="1:10" ht="15" customHeight="1">
      <c r="A521" s="251">
        <v>518</v>
      </c>
      <c r="B521" s="252">
        <v>3566</v>
      </c>
      <c r="C521" s="242" t="s">
        <v>5542</v>
      </c>
      <c r="D521" s="242" t="s">
        <v>5543</v>
      </c>
      <c r="E521" s="242" t="s">
        <v>5544</v>
      </c>
      <c r="F521" s="242" t="s">
        <v>3611</v>
      </c>
      <c r="G521" s="253">
        <v>3119505</v>
      </c>
      <c r="H521" s="254" t="s">
        <v>5545</v>
      </c>
      <c r="J521" s="245"/>
    </row>
    <row r="522" spans="1:10" ht="15" customHeight="1">
      <c r="A522" s="251">
        <v>519</v>
      </c>
      <c r="B522" s="252">
        <v>3574</v>
      </c>
      <c r="C522" s="242" t="s">
        <v>5546</v>
      </c>
      <c r="D522" s="242" t="s">
        <v>5547</v>
      </c>
      <c r="E522" s="242" t="s">
        <v>4997</v>
      </c>
      <c r="F522" s="242" t="s">
        <v>5548</v>
      </c>
      <c r="G522" s="253">
        <v>3365042</v>
      </c>
      <c r="H522" s="254" t="s">
        <v>5549</v>
      </c>
      <c r="J522" s="245"/>
    </row>
    <row r="523" spans="1:10" ht="15" customHeight="1">
      <c r="A523" s="251">
        <v>520</v>
      </c>
      <c r="B523" s="252">
        <v>23405</v>
      </c>
      <c r="C523" s="242" t="s">
        <v>5550</v>
      </c>
      <c r="D523" s="242" t="s">
        <v>5551</v>
      </c>
      <c r="E523" s="242" t="s">
        <v>5552</v>
      </c>
      <c r="F523" s="242" t="s">
        <v>3635</v>
      </c>
      <c r="G523" s="253">
        <v>1476793</v>
      </c>
      <c r="H523" s="254" t="s">
        <v>5553</v>
      </c>
      <c r="J523" s="245"/>
    </row>
    <row r="524" spans="1:10" ht="15" customHeight="1">
      <c r="A524" s="251">
        <v>521</v>
      </c>
      <c r="B524" s="252">
        <v>20735</v>
      </c>
      <c r="C524" s="242" t="s">
        <v>5554</v>
      </c>
      <c r="D524" s="242" t="s">
        <v>5555</v>
      </c>
      <c r="E524" s="242" t="s">
        <v>5556</v>
      </c>
      <c r="F524" s="242" t="s">
        <v>3405</v>
      </c>
      <c r="G524" s="253">
        <v>3206092</v>
      </c>
      <c r="H524" s="254" t="s">
        <v>5557</v>
      </c>
      <c r="J524" s="245"/>
    </row>
    <row r="525" spans="1:10" ht="15" customHeight="1">
      <c r="A525" s="251">
        <v>522</v>
      </c>
      <c r="B525" s="252">
        <v>20647</v>
      </c>
      <c r="C525" s="242" t="s">
        <v>5558</v>
      </c>
      <c r="D525" s="242" t="s">
        <v>5559</v>
      </c>
      <c r="E525" s="242" t="s">
        <v>5560</v>
      </c>
      <c r="F525" s="242" t="s">
        <v>3567</v>
      </c>
      <c r="G525" s="253">
        <v>3308685</v>
      </c>
      <c r="H525" s="254" t="s">
        <v>5561</v>
      </c>
      <c r="J525" s="245"/>
    </row>
    <row r="526" spans="1:10" ht="15" customHeight="1">
      <c r="A526" s="251">
        <v>523</v>
      </c>
      <c r="B526" s="252">
        <v>3599</v>
      </c>
      <c r="C526" s="242" t="s">
        <v>5562</v>
      </c>
      <c r="D526" s="242" t="s">
        <v>5563</v>
      </c>
      <c r="E526" s="242" t="s">
        <v>5527</v>
      </c>
      <c r="F526" s="242" t="s">
        <v>3572</v>
      </c>
      <c r="G526" s="253">
        <v>3304698</v>
      </c>
      <c r="H526" s="254" t="s">
        <v>5564</v>
      </c>
      <c r="J526" s="245"/>
    </row>
    <row r="527" spans="1:10" ht="15" customHeight="1">
      <c r="A527" s="251">
        <v>524</v>
      </c>
      <c r="B527" s="252">
        <v>3611</v>
      </c>
      <c r="C527" s="242" t="s">
        <v>5565</v>
      </c>
      <c r="D527" s="242" t="s">
        <v>5566</v>
      </c>
      <c r="E527" s="242" t="s">
        <v>5472</v>
      </c>
      <c r="F527" s="242" t="s">
        <v>3582</v>
      </c>
      <c r="G527" s="253">
        <v>3123545</v>
      </c>
      <c r="H527" s="254" t="s">
        <v>5567</v>
      </c>
      <c r="J527" s="245"/>
    </row>
    <row r="528" spans="1:10" ht="15" customHeight="1">
      <c r="A528" s="251">
        <v>525</v>
      </c>
      <c r="B528" s="252">
        <v>3620</v>
      </c>
      <c r="C528" s="242" t="s">
        <v>5568</v>
      </c>
      <c r="D528" s="242" t="s">
        <v>5569</v>
      </c>
      <c r="E528" s="242" t="s">
        <v>5570</v>
      </c>
      <c r="F528" s="242" t="s">
        <v>3587</v>
      </c>
      <c r="G528" s="253">
        <v>3014835</v>
      </c>
      <c r="H528" s="254" t="s">
        <v>5571</v>
      </c>
      <c r="J528" s="245"/>
    </row>
    <row r="529" spans="1:10" ht="15" customHeight="1">
      <c r="A529" s="251">
        <v>526</v>
      </c>
      <c r="B529" s="252">
        <v>3646</v>
      </c>
      <c r="C529" s="242" t="s">
        <v>5572</v>
      </c>
      <c r="D529" s="242" t="s">
        <v>5573</v>
      </c>
      <c r="E529" s="242" t="s">
        <v>5574</v>
      </c>
      <c r="F529" s="242" t="s">
        <v>3657</v>
      </c>
      <c r="G529" s="253">
        <v>3204154</v>
      </c>
      <c r="H529" s="254" t="s">
        <v>5575</v>
      </c>
      <c r="J529" s="245"/>
    </row>
    <row r="530" spans="1:10" ht="15" customHeight="1">
      <c r="A530" s="251">
        <v>527</v>
      </c>
      <c r="B530" s="252">
        <v>3654</v>
      </c>
      <c r="C530" s="242" t="s">
        <v>5576</v>
      </c>
      <c r="D530" s="242" t="s">
        <v>5577</v>
      </c>
      <c r="E530" s="242" t="s">
        <v>5578</v>
      </c>
      <c r="F530" s="242" t="s">
        <v>22</v>
      </c>
      <c r="G530" s="253">
        <v>3332101</v>
      </c>
      <c r="H530" s="254" t="s">
        <v>5579</v>
      </c>
      <c r="J530" s="245"/>
    </row>
    <row r="531" spans="1:10" ht="15" customHeight="1">
      <c r="A531" s="251">
        <v>528</v>
      </c>
      <c r="B531" s="252">
        <v>3662</v>
      </c>
      <c r="C531" s="242" t="s">
        <v>5580</v>
      </c>
      <c r="D531" s="242" t="s">
        <v>5581</v>
      </c>
      <c r="E531" s="242" t="s">
        <v>5582</v>
      </c>
      <c r="F531" s="242" t="s">
        <v>3601</v>
      </c>
      <c r="G531" s="253">
        <v>3314758</v>
      </c>
      <c r="H531" s="254" t="s">
        <v>5583</v>
      </c>
      <c r="J531" s="245"/>
    </row>
    <row r="532" spans="1:10" ht="15" customHeight="1">
      <c r="A532" s="251">
        <v>529</v>
      </c>
      <c r="B532" s="252">
        <v>23456</v>
      </c>
      <c r="C532" s="242" t="s">
        <v>5584</v>
      </c>
      <c r="D532" s="242" t="s">
        <v>5585</v>
      </c>
      <c r="E532" s="242" t="s">
        <v>5586</v>
      </c>
      <c r="F532" s="242" t="s">
        <v>3606</v>
      </c>
      <c r="G532" s="253">
        <v>1490141</v>
      </c>
      <c r="H532" s="254" t="s">
        <v>5587</v>
      </c>
      <c r="J532" s="245"/>
    </row>
    <row r="533" spans="1:10" ht="15" customHeight="1">
      <c r="A533" s="251">
        <v>530</v>
      </c>
      <c r="B533" s="252">
        <v>3679</v>
      </c>
      <c r="C533" s="242" t="s">
        <v>5588</v>
      </c>
      <c r="D533" s="242" t="s">
        <v>5589</v>
      </c>
      <c r="E533" s="242" t="s">
        <v>5590</v>
      </c>
      <c r="F533" s="242" t="s">
        <v>3611</v>
      </c>
      <c r="G533" s="253">
        <v>3118681</v>
      </c>
      <c r="H533" s="254" t="s">
        <v>5591</v>
      </c>
      <c r="J533" s="245"/>
    </row>
    <row r="534" spans="1:10" ht="15" customHeight="1">
      <c r="A534" s="251">
        <v>531</v>
      </c>
      <c r="B534" s="252">
        <v>3687</v>
      </c>
      <c r="C534" s="242" t="s">
        <v>5592</v>
      </c>
      <c r="D534" s="242" t="s">
        <v>5593</v>
      </c>
      <c r="E534" s="242" t="s">
        <v>5501</v>
      </c>
      <c r="F534" s="242" t="s">
        <v>3616</v>
      </c>
      <c r="G534" s="253">
        <v>3023508</v>
      </c>
      <c r="H534" s="254" t="s">
        <v>5594</v>
      </c>
      <c r="J534" s="245"/>
    </row>
    <row r="535" spans="1:10" ht="15" customHeight="1">
      <c r="A535" s="251">
        <v>532</v>
      </c>
      <c r="B535" s="252">
        <v>3695</v>
      </c>
      <c r="C535" s="242" t="s">
        <v>5595</v>
      </c>
      <c r="D535" s="242" t="s">
        <v>5596</v>
      </c>
      <c r="E535" s="242" t="s">
        <v>4997</v>
      </c>
      <c r="F535" s="242" t="s">
        <v>3621</v>
      </c>
      <c r="G535" s="253">
        <v>3006743</v>
      </c>
      <c r="H535" s="254" t="s">
        <v>5597</v>
      </c>
      <c r="J535" s="245"/>
    </row>
    <row r="536" spans="1:10" ht="15" customHeight="1">
      <c r="A536" s="251">
        <v>533</v>
      </c>
      <c r="B536" s="252">
        <v>23807</v>
      </c>
      <c r="C536" s="242" t="s">
        <v>5598</v>
      </c>
      <c r="D536" s="242" t="s">
        <v>5599</v>
      </c>
      <c r="E536" s="242" t="s">
        <v>5600</v>
      </c>
      <c r="F536" s="242" t="s">
        <v>3470</v>
      </c>
      <c r="G536" s="253">
        <v>1693646</v>
      </c>
      <c r="H536" s="254" t="s">
        <v>5601</v>
      </c>
      <c r="J536" s="245"/>
    </row>
    <row r="537" spans="1:10" ht="15" customHeight="1">
      <c r="A537" s="251">
        <v>534</v>
      </c>
      <c r="B537" s="252">
        <v>21949</v>
      </c>
      <c r="C537" s="242" t="s">
        <v>5602</v>
      </c>
      <c r="D537" s="242" t="s">
        <v>5603</v>
      </c>
      <c r="E537" s="242" t="s">
        <v>5604</v>
      </c>
      <c r="F537" s="242" t="s">
        <v>3543</v>
      </c>
      <c r="G537" s="253">
        <v>1312278</v>
      </c>
      <c r="H537" s="254" t="s">
        <v>5605</v>
      </c>
      <c r="J537" s="245"/>
    </row>
    <row r="538" spans="1:10" ht="15" customHeight="1">
      <c r="A538" s="251">
        <v>535</v>
      </c>
      <c r="B538" s="252">
        <v>3700</v>
      </c>
      <c r="C538" s="242" t="s">
        <v>5606</v>
      </c>
      <c r="D538" s="242" t="s">
        <v>5607</v>
      </c>
      <c r="E538" s="242" t="s">
        <v>5516</v>
      </c>
      <c r="F538" s="242" t="s">
        <v>3635</v>
      </c>
      <c r="G538" s="253">
        <v>3142469</v>
      </c>
      <c r="H538" s="254" t="s">
        <v>5608</v>
      </c>
      <c r="J538" s="245"/>
    </row>
    <row r="539" spans="1:10" ht="15" customHeight="1">
      <c r="A539" s="251">
        <v>536</v>
      </c>
      <c r="B539" s="252">
        <v>3718</v>
      </c>
      <c r="C539" s="242" t="s">
        <v>5609</v>
      </c>
      <c r="D539" s="242" t="s">
        <v>5610</v>
      </c>
      <c r="E539" s="242" t="s">
        <v>5611</v>
      </c>
      <c r="F539" s="242" t="s">
        <v>3405</v>
      </c>
      <c r="G539" s="253">
        <v>3277143</v>
      </c>
      <c r="H539" s="254" t="s">
        <v>5612</v>
      </c>
      <c r="J539" s="245"/>
    </row>
    <row r="540" spans="1:10" ht="15" customHeight="1">
      <c r="A540" s="251">
        <v>537</v>
      </c>
      <c r="B540" s="252">
        <v>42910</v>
      </c>
      <c r="C540" s="242" t="s">
        <v>5613</v>
      </c>
      <c r="D540" s="242" t="s">
        <v>5614</v>
      </c>
      <c r="E540" s="242" t="s">
        <v>5615</v>
      </c>
      <c r="F540" s="242" t="s">
        <v>3405</v>
      </c>
      <c r="G540" s="253">
        <v>2279215</v>
      </c>
      <c r="H540" s="254" t="s">
        <v>5616</v>
      </c>
      <c r="J540" s="245"/>
    </row>
    <row r="541" spans="1:10" ht="15" customHeight="1">
      <c r="A541" s="251">
        <v>538</v>
      </c>
      <c r="B541" s="252">
        <v>42928</v>
      </c>
      <c r="C541" s="242" t="s">
        <v>5617</v>
      </c>
      <c r="D541" s="242" t="s">
        <v>5618</v>
      </c>
      <c r="E541" s="242" t="s">
        <v>5619</v>
      </c>
      <c r="F541" s="242" t="s">
        <v>3405</v>
      </c>
      <c r="G541" s="253">
        <v>2279223</v>
      </c>
      <c r="H541" s="254" t="s">
        <v>5620</v>
      </c>
      <c r="J541" s="245"/>
    </row>
    <row r="542" spans="1:10" ht="15" customHeight="1">
      <c r="A542" s="251">
        <v>539</v>
      </c>
      <c r="B542" s="252">
        <v>20622</v>
      </c>
      <c r="C542" s="242" t="s">
        <v>5621</v>
      </c>
      <c r="D542" s="242" t="s">
        <v>5622</v>
      </c>
      <c r="E542" s="242" t="s">
        <v>5623</v>
      </c>
      <c r="F542" s="242" t="s">
        <v>3611</v>
      </c>
      <c r="G542" s="253">
        <v>3133800</v>
      </c>
      <c r="H542" s="254" t="s">
        <v>5624</v>
      </c>
      <c r="J542" s="245"/>
    </row>
    <row r="543" spans="1:10" ht="15" customHeight="1">
      <c r="A543" s="251">
        <v>540</v>
      </c>
      <c r="B543" s="252">
        <v>20454</v>
      </c>
      <c r="C543" s="242" t="s">
        <v>5625</v>
      </c>
      <c r="D543" s="242" t="s">
        <v>5626</v>
      </c>
      <c r="E543" s="242" t="s">
        <v>5627</v>
      </c>
      <c r="F543" s="242" t="s">
        <v>3405</v>
      </c>
      <c r="G543" s="253">
        <v>3206041</v>
      </c>
      <c r="H543" s="254" t="s">
        <v>5628</v>
      </c>
      <c r="J543" s="245"/>
    </row>
    <row r="544" spans="1:10" s="245" customFormat="1" ht="15" customHeight="1">
      <c r="A544" s="251">
        <v>541</v>
      </c>
      <c r="B544" s="252">
        <v>46841</v>
      </c>
      <c r="C544" s="242" t="s">
        <v>5629</v>
      </c>
      <c r="D544" s="242" t="s">
        <v>5630</v>
      </c>
      <c r="E544" s="242" t="s">
        <v>5615</v>
      </c>
      <c r="F544" s="242" t="s">
        <v>3405</v>
      </c>
      <c r="G544" s="253">
        <v>2808285</v>
      </c>
      <c r="H544" s="254" t="s">
        <v>5631</v>
      </c>
    </row>
    <row r="545" spans="1:10" ht="15" customHeight="1">
      <c r="A545" s="251">
        <v>542</v>
      </c>
      <c r="B545" s="252">
        <v>3742</v>
      </c>
      <c r="C545" s="242" t="s">
        <v>5632</v>
      </c>
      <c r="D545" s="242" t="s">
        <v>5633</v>
      </c>
      <c r="E545" s="242" t="s">
        <v>5634</v>
      </c>
      <c r="F545" s="242" t="s">
        <v>3567</v>
      </c>
      <c r="G545" s="253">
        <v>3317072</v>
      </c>
      <c r="H545" s="254" t="s">
        <v>5635</v>
      </c>
      <c r="J545" s="245"/>
    </row>
    <row r="546" spans="1:10" ht="15" customHeight="1">
      <c r="A546" s="251">
        <v>543</v>
      </c>
      <c r="B546" s="252">
        <v>50514</v>
      </c>
      <c r="C546" s="242" t="s">
        <v>5636</v>
      </c>
      <c r="D546" s="242" t="s">
        <v>5637</v>
      </c>
      <c r="E546" s="242" t="s">
        <v>5638</v>
      </c>
      <c r="F546" s="242" t="s">
        <v>4599</v>
      </c>
      <c r="G546" s="255" t="s">
        <v>5639</v>
      </c>
      <c r="H546" s="254" t="s">
        <v>5640</v>
      </c>
      <c r="J546" s="245"/>
    </row>
    <row r="547" spans="1:10" ht="15" customHeight="1">
      <c r="A547" s="251">
        <v>544</v>
      </c>
      <c r="B547" s="252">
        <v>3783</v>
      </c>
      <c r="C547" s="242" t="s">
        <v>5641</v>
      </c>
      <c r="D547" s="242" t="s">
        <v>5642</v>
      </c>
      <c r="E547" s="242" t="s">
        <v>5643</v>
      </c>
      <c r="F547" s="242" t="s">
        <v>4039</v>
      </c>
      <c r="G547" s="253">
        <v>3110761</v>
      </c>
      <c r="H547" s="254" t="s">
        <v>5644</v>
      </c>
      <c r="J547" s="245"/>
    </row>
    <row r="548" spans="1:10" ht="15" customHeight="1">
      <c r="A548" s="251">
        <v>545</v>
      </c>
      <c r="B548" s="252">
        <v>3847</v>
      </c>
      <c r="C548" s="242" t="s">
        <v>5645</v>
      </c>
      <c r="D548" s="242" t="s">
        <v>5646</v>
      </c>
      <c r="E548" s="242" t="s">
        <v>5527</v>
      </c>
      <c r="F548" s="242" t="s">
        <v>3572</v>
      </c>
      <c r="G548" s="253">
        <v>3304671</v>
      </c>
      <c r="H548" s="254" t="s">
        <v>5647</v>
      </c>
      <c r="J548" s="245"/>
    </row>
    <row r="549" spans="1:10" ht="15" customHeight="1">
      <c r="A549" s="251">
        <v>546</v>
      </c>
      <c r="B549" s="252">
        <v>50522</v>
      </c>
      <c r="C549" s="242" t="s">
        <v>5648</v>
      </c>
      <c r="D549" s="242" t="s">
        <v>5649</v>
      </c>
      <c r="E549" s="242" t="s">
        <v>5650</v>
      </c>
      <c r="F549" s="242" t="s">
        <v>3792</v>
      </c>
      <c r="G549" s="255" t="s">
        <v>5651</v>
      </c>
      <c r="H549" s="254" t="s">
        <v>5652</v>
      </c>
      <c r="J549" s="245"/>
    </row>
    <row r="550" spans="1:10" ht="15" customHeight="1">
      <c r="A550" s="251">
        <v>547</v>
      </c>
      <c r="B550" s="252">
        <v>3919</v>
      </c>
      <c r="C550" s="242" t="s">
        <v>5653</v>
      </c>
      <c r="D550" s="242" t="s">
        <v>5654</v>
      </c>
      <c r="E550" s="242" t="s">
        <v>5655</v>
      </c>
      <c r="F550" s="242" t="s">
        <v>3577</v>
      </c>
      <c r="G550" s="253">
        <v>3315886</v>
      </c>
      <c r="H550" s="254" t="s">
        <v>5656</v>
      </c>
      <c r="J550" s="245"/>
    </row>
    <row r="551" spans="1:10" ht="15" customHeight="1">
      <c r="A551" s="251">
        <v>548</v>
      </c>
      <c r="B551" s="252">
        <v>20892</v>
      </c>
      <c r="C551" s="242" t="s">
        <v>5657</v>
      </c>
      <c r="D551" s="242" t="s">
        <v>5658</v>
      </c>
      <c r="E551" s="242" t="s">
        <v>5472</v>
      </c>
      <c r="F551" s="242" t="s">
        <v>3582</v>
      </c>
      <c r="G551" s="253">
        <v>3123499</v>
      </c>
      <c r="H551" s="254" t="s">
        <v>5659</v>
      </c>
      <c r="J551" s="245"/>
    </row>
    <row r="552" spans="1:10" ht="15" customHeight="1">
      <c r="A552" s="251">
        <v>549</v>
      </c>
      <c r="B552" s="252">
        <v>3994</v>
      </c>
      <c r="C552" s="242" t="s">
        <v>5660</v>
      </c>
      <c r="D552" s="242" t="s">
        <v>5661</v>
      </c>
      <c r="E552" s="242" t="s">
        <v>5662</v>
      </c>
      <c r="F552" s="242" t="s">
        <v>4108</v>
      </c>
      <c r="G552" s="253">
        <v>3010805</v>
      </c>
      <c r="H552" s="254" t="s">
        <v>5663</v>
      </c>
      <c r="J552" s="245"/>
    </row>
    <row r="553" spans="1:10" ht="15" customHeight="1">
      <c r="A553" s="251">
        <v>550</v>
      </c>
      <c r="B553" s="252">
        <v>50539</v>
      </c>
      <c r="C553" s="242" t="s">
        <v>5664</v>
      </c>
      <c r="D553" s="242" t="s">
        <v>5665</v>
      </c>
      <c r="E553" s="242" t="s">
        <v>5666</v>
      </c>
      <c r="F553" s="242" t="s">
        <v>4856</v>
      </c>
      <c r="G553" s="255" t="s">
        <v>5667</v>
      </c>
      <c r="H553" s="254" t="s">
        <v>5668</v>
      </c>
      <c r="J553" s="245"/>
    </row>
    <row r="554" spans="1:10" ht="15" customHeight="1">
      <c r="A554" s="251">
        <v>551</v>
      </c>
      <c r="B554" s="252">
        <v>50547</v>
      </c>
      <c r="C554" s="242" t="s">
        <v>5669</v>
      </c>
      <c r="D554" s="242" t="s">
        <v>5670</v>
      </c>
      <c r="E554" s="242" t="s">
        <v>5671</v>
      </c>
      <c r="F554" s="242" t="s">
        <v>3948</v>
      </c>
      <c r="G554" s="255" t="s">
        <v>5672</v>
      </c>
      <c r="H554" s="254" t="s">
        <v>5673</v>
      </c>
      <c r="J554" s="245"/>
    </row>
    <row r="555" spans="1:10" ht="15" customHeight="1">
      <c r="A555" s="251">
        <v>552</v>
      </c>
      <c r="B555" s="252">
        <v>50555</v>
      </c>
      <c r="C555" s="242" t="s">
        <v>5674</v>
      </c>
      <c r="D555" s="242" t="s">
        <v>5675</v>
      </c>
      <c r="E555" s="242" t="s">
        <v>5676</v>
      </c>
      <c r="F555" s="242" t="s">
        <v>4875</v>
      </c>
      <c r="G555" s="255" t="s">
        <v>5677</v>
      </c>
      <c r="H555" s="254" t="s">
        <v>5678</v>
      </c>
      <c r="J555" s="245"/>
    </row>
    <row r="556" spans="1:10" ht="15" customHeight="1">
      <c r="A556" s="251">
        <v>553</v>
      </c>
      <c r="B556" s="252">
        <v>48769</v>
      </c>
      <c r="C556" s="242" t="s">
        <v>5679</v>
      </c>
      <c r="D556" s="242" t="s">
        <v>5680</v>
      </c>
      <c r="E556" s="242" t="s">
        <v>5681</v>
      </c>
      <c r="F556" s="242" t="s">
        <v>3405</v>
      </c>
      <c r="G556" s="253">
        <v>4341872</v>
      </c>
      <c r="H556" s="254" t="s">
        <v>5682</v>
      </c>
      <c r="J556" s="245"/>
    </row>
    <row r="557" spans="1:10" ht="15" customHeight="1">
      <c r="A557" s="251">
        <v>554</v>
      </c>
      <c r="B557" s="252">
        <v>4132</v>
      </c>
      <c r="C557" s="242" t="s">
        <v>5683</v>
      </c>
      <c r="D557" s="242" t="s">
        <v>5684</v>
      </c>
      <c r="E557" s="242" t="s">
        <v>5685</v>
      </c>
      <c r="F557" s="242" t="s">
        <v>3587</v>
      </c>
      <c r="G557" s="253">
        <v>3014789</v>
      </c>
      <c r="H557" s="254" t="s">
        <v>5686</v>
      </c>
      <c r="J557" s="245"/>
    </row>
    <row r="558" spans="1:10" ht="15" customHeight="1">
      <c r="A558" s="251">
        <v>555</v>
      </c>
      <c r="B558" s="252">
        <v>50563</v>
      </c>
      <c r="C558" s="242" t="s">
        <v>5687</v>
      </c>
      <c r="D558" s="242" t="s">
        <v>5688</v>
      </c>
      <c r="E558" s="242" t="s">
        <v>5689</v>
      </c>
      <c r="F558" s="242" t="s">
        <v>3592</v>
      </c>
      <c r="G558" s="255" t="s">
        <v>5690</v>
      </c>
      <c r="H558" s="254" t="s">
        <v>5691</v>
      </c>
      <c r="J558" s="245"/>
    </row>
    <row r="559" spans="1:10" ht="15" customHeight="1">
      <c r="A559" s="251">
        <v>556</v>
      </c>
      <c r="B559" s="252">
        <v>4212</v>
      </c>
      <c r="C559" s="242" t="s">
        <v>5692</v>
      </c>
      <c r="D559" s="242" t="s">
        <v>5693</v>
      </c>
      <c r="E559" s="242" t="s">
        <v>5694</v>
      </c>
      <c r="F559" s="242" t="s">
        <v>4349</v>
      </c>
      <c r="G559" s="253">
        <v>3310302</v>
      </c>
      <c r="H559" s="254" t="s">
        <v>5695</v>
      </c>
      <c r="J559" s="245"/>
    </row>
    <row r="560" spans="1:10" ht="15" customHeight="1">
      <c r="A560" s="251">
        <v>557</v>
      </c>
      <c r="B560" s="252">
        <v>4237</v>
      </c>
      <c r="C560" s="242" t="s">
        <v>5696</v>
      </c>
      <c r="D560" s="242" t="s">
        <v>5697</v>
      </c>
      <c r="E560" s="242" t="s">
        <v>5698</v>
      </c>
      <c r="F560" s="242" t="s">
        <v>3657</v>
      </c>
      <c r="G560" s="253">
        <v>3204120</v>
      </c>
      <c r="H560" s="254" t="s">
        <v>5699</v>
      </c>
      <c r="J560" s="245"/>
    </row>
    <row r="561" spans="1:10" ht="15" customHeight="1">
      <c r="A561" s="251">
        <v>558</v>
      </c>
      <c r="B561" s="252">
        <v>4253</v>
      </c>
      <c r="C561" s="242" t="s">
        <v>5700</v>
      </c>
      <c r="D561" s="242" t="s">
        <v>5701</v>
      </c>
      <c r="E561" s="242" t="s">
        <v>5485</v>
      </c>
      <c r="F561" s="242" t="s">
        <v>22</v>
      </c>
      <c r="G561" s="253">
        <v>3321428</v>
      </c>
      <c r="H561" s="254" t="s">
        <v>5702</v>
      </c>
      <c r="J561" s="245"/>
    </row>
    <row r="562" spans="1:10" ht="15" customHeight="1">
      <c r="A562" s="251">
        <v>559</v>
      </c>
      <c r="B562" s="252">
        <v>50571</v>
      </c>
      <c r="C562" s="242" t="s">
        <v>5703</v>
      </c>
      <c r="D562" s="242" t="s">
        <v>5704</v>
      </c>
      <c r="E562" s="242" t="s">
        <v>5705</v>
      </c>
      <c r="F562" s="242" t="s">
        <v>5706</v>
      </c>
      <c r="G562" s="255" t="s">
        <v>5707</v>
      </c>
      <c r="H562" s="254" t="s">
        <v>5708</v>
      </c>
      <c r="J562" s="245"/>
    </row>
    <row r="563" spans="1:10" ht="15" customHeight="1">
      <c r="A563" s="251">
        <v>560</v>
      </c>
      <c r="B563" s="252">
        <v>4307</v>
      </c>
      <c r="C563" s="242" t="s">
        <v>5709</v>
      </c>
      <c r="D563" s="242" t="s">
        <v>5710</v>
      </c>
      <c r="E563" s="242" t="s">
        <v>5489</v>
      </c>
      <c r="F563" s="242" t="s">
        <v>3601</v>
      </c>
      <c r="G563" s="253">
        <v>3314723</v>
      </c>
      <c r="H563" s="254" t="s">
        <v>5711</v>
      </c>
      <c r="J563" s="245"/>
    </row>
    <row r="564" spans="1:10" ht="15" customHeight="1">
      <c r="A564" s="251">
        <v>561</v>
      </c>
      <c r="B564" s="252">
        <v>4323</v>
      </c>
      <c r="C564" s="242" t="s">
        <v>5712</v>
      </c>
      <c r="D564" s="242" t="s">
        <v>5713</v>
      </c>
      <c r="E564" s="242" t="s">
        <v>5714</v>
      </c>
      <c r="F564" s="242" t="s">
        <v>3606</v>
      </c>
      <c r="G564" s="253">
        <v>3071456</v>
      </c>
      <c r="H564" s="254" t="s">
        <v>5715</v>
      </c>
      <c r="J564" s="245"/>
    </row>
    <row r="565" spans="1:10" ht="15" customHeight="1">
      <c r="A565" s="251">
        <v>562</v>
      </c>
      <c r="B565" s="252">
        <v>21004</v>
      </c>
      <c r="C565" s="242" t="s">
        <v>5716</v>
      </c>
      <c r="D565" s="242" t="s">
        <v>5717</v>
      </c>
      <c r="E565" s="242" t="s">
        <v>5718</v>
      </c>
      <c r="F565" s="242" t="s">
        <v>3611</v>
      </c>
      <c r="G565" s="253">
        <v>3118665</v>
      </c>
      <c r="H565" s="254" t="s">
        <v>5719</v>
      </c>
      <c r="J565" s="245"/>
    </row>
    <row r="566" spans="1:10" ht="15" customHeight="1">
      <c r="A566" s="251">
        <v>563</v>
      </c>
      <c r="B566" s="252">
        <v>4340</v>
      </c>
      <c r="C566" s="242" t="s">
        <v>5720</v>
      </c>
      <c r="D566" s="242" t="s">
        <v>5721</v>
      </c>
      <c r="E566" s="242" t="s">
        <v>5501</v>
      </c>
      <c r="F566" s="242" t="s">
        <v>3616</v>
      </c>
      <c r="G566" s="253">
        <v>3019772</v>
      </c>
      <c r="H566" s="254" t="s">
        <v>5722</v>
      </c>
      <c r="J566" s="245"/>
    </row>
    <row r="567" spans="1:10" ht="15" customHeight="1">
      <c r="A567" s="251">
        <v>564</v>
      </c>
      <c r="B567" s="252">
        <v>4366</v>
      </c>
      <c r="C567" s="242" t="s">
        <v>5723</v>
      </c>
      <c r="D567" s="242" t="s">
        <v>5724</v>
      </c>
      <c r="E567" s="242" t="s">
        <v>4997</v>
      </c>
      <c r="F567" s="242" t="s">
        <v>3621</v>
      </c>
      <c r="G567" s="253">
        <v>3006697</v>
      </c>
      <c r="H567" s="254" t="s">
        <v>5725</v>
      </c>
      <c r="J567" s="245"/>
    </row>
    <row r="568" spans="1:10" ht="15" customHeight="1">
      <c r="A568" s="251">
        <v>565</v>
      </c>
      <c r="B568" s="252">
        <v>4374</v>
      </c>
      <c r="C568" s="242" t="s">
        <v>5726</v>
      </c>
      <c r="D568" s="242" t="s">
        <v>5727</v>
      </c>
      <c r="E568" s="242" t="s">
        <v>5728</v>
      </c>
      <c r="F568" s="242" t="s">
        <v>3470</v>
      </c>
      <c r="G568" s="253">
        <v>3216365</v>
      </c>
      <c r="H568" s="254" t="s">
        <v>5729</v>
      </c>
      <c r="J568" s="245"/>
    </row>
    <row r="569" spans="1:10" ht="15" customHeight="1">
      <c r="A569" s="251">
        <v>566</v>
      </c>
      <c r="B569" s="252">
        <v>50580</v>
      </c>
      <c r="C569" s="242" t="s">
        <v>5730</v>
      </c>
      <c r="D569" s="242" t="s">
        <v>5731</v>
      </c>
      <c r="E569" s="242" t="s">
        <v>5732</v>
      </c>
      <c r="F569" s="242" t="s">
        <v>5074</v>
      </c>
      <c r="G569" s="255" t="s">
        <v>5733</v>
      </c>
      <c r="H569" s="254" t="s">
        <v>5734</v>
      </c>
      <c r="J569" s="245"/>
    </row>
    <row r="570" spans="1:10" ht="15" customHeight="1">
      <c r="A570" s="251">
        <v>567</v>
      </c>
      <c r="B570" s="252">
        <v>4399</v>
      </c>
      <c r="C570" s="242" t="s">
        <v>5735</v>
      </c>
      <c r="D570" s="242" t="s">
        <v>5736</v>
      </c>
      <c r="E570" s="242" t="s">
        <v>5737</v>
      </c>
      <c r="F570" s="242" t="s">
        <v>3626</v>
      </c>
      <c r="G570" s="253">
        <v>3106071</v>
      </c>
      <c r="H570" s="254" t="s">
        <v>5738</v>
      </c>
      <c r="J570" s="245"/>
    </row>
    <row r="571" spans="1:10" ht="15" customHeight="1">
      <c r="A571" s="251">
        <v>568</v>
      </c>
      <c r="B571" s="252">
        <v>4420</v>
      </c>
      <c r="C571" s="242" t="s">
        <v>5739</v>
      </c>
      <c r="D571" s="242" t="s">
        <v>5740</v>
      </c>
      <c r="E571" s="242" t="s">
        <v>5741</v>
      </c>
      <c r="F571" s="242" t="s">
        <v>3543</v>
      </c>
      <c r="G571" s="253">
        <v>3008886</v>
      </c>
      <c r="H571" s="254" t="s">
        <v>5742</v>
      </c>
      <c r="J571" s="245"/>
    </row>
    <row r="572" spans="1:10" ht="15" customHeight="1">
      <c r="A572" s="251">
        <v>569</v>
      </c>
      <c r="B572" s="252">
        <v>4446</v>
      </c>
      <c r="C572" s="242" t="s">
        <v>5743</v>
      </c>
      <c r="D572" s="242" t="s">
        <v>5744</v>
      </c>
      <c r="E572" s="242" t="s">
        <v>5516</v>
      </c>
      <c r="F572" s="242" t="s">
        <v>3635</v>
      </c>
      <c r="G572" s="253">
        <v>3142442</v>
      </c>
      <c r="H572" s="254" t="s">
        <v>5745</v>
      </c>
      <c r="J572" s="245"/>
    </row>
    <row r="573" spans="1:10" ht="15" customHeight="1">
      <c r="A573" s="251">
        <v>570</v>
      </c>
      <c r="B573" s="252">
        <v>4462</v>
      </c>
      <c r="C573" s="242" t="s">
        <v>5746</v>
      </c>
      <c r="D573" s="242" t="s">
        <v>5747</v>
      </c>
      <c r="E573" s="242" t="s">
        <v>5748</v>
      </c>
      <c r="F573" s="242" t="s">
        <v>5749</v>
      </c>
      <c r="G573" s="253">
        <v>3100952</v>
      </c>
      <c r="H573" s="254" t="s">
        <v>5750</v>
      </c>
      <c r="J573" s="245"/>
    </row>
    <row r="574" spans="1:10" ht="15" customHeight="1">
      <c r="A574" s="251">
        <v>571</v>
      </c>
      <c r="B574" s="252">
        <v>4500</v>
      </c>
      <c r="C574" s="242" t="s">
        <v>5751</v>
      </c>
      <c r="D574" s="242" t="s">
        <v>5752</v>
      </c>
      <c r="E574" s="242" t="s">
        <v>5464</v>
      </c>
      <c r="F574" s="242" t="s">
        <v>3567</v>
      </c>
      <c r="G574" s="253">
        <v>3308693</v>
      </c>
      <c r="H574" s="254" t="s">
        <v>5753</v>
      </c>
      <c r="J574" s="245"/>
    </row>
    <row r="575" spans="1:10" ht="15" customHeight="1">
      <c r="A575" s="251">
        <v>572</v>
      </c>
      <c r="B575" s="252">
        <v>4526</v>
      </c>
      <c r="C575" s="242" t="s">
        <v>5754</v>
      </c>
      <c r="D575" s="242" t="s">
        <v>5755</v>
      </c>
      <c r="E575" s="242" t="s">
        <v>5643</v>
      </c>
      <c r="F575" s="242" t="s">
        <v>4039</v>
      </c>
      <c r="G575" s="253">
        <v>3110770</v>
      </c>
      <c r="H575" s="254" t="s">
        <v>5756</v>
      </c>
      <c r="J575" s="245"/>
    </row>
    <row r="576" spans="1:10" ht="15" customHeight="1">
      <c r="A576" s="251">
        <v>573</v>
      </c>
      <c r="B576" s="252">
        <v>4567</v>
      </c>
      <c r="C576" s="242" t="s">
        <v>5757</v>
      </c>
      <c r="D576" s="242" t="s">
        <v>5758</v>
      </c>
      <c r="E576" s="242" t="s">
        <v>5527</v>
      </c>
      <c r="F576" s="242" t="s">
        <v>3572</v>
      </c>
      <c r="G576" s="253">
        <v>3364968</v>
      </c>
      <c r="H576" s="254" t="s">
        <v>5759</v>
      </c>
      <c r="J576" s="245"/>
    </row>
    <row r="577" spans="1:10" ht="15" customHeight="1">
      <c r="A577" s="251">
        <v>574</v>
      </c>
      <c r="B577" s="252">
        <v>4606</v>
      </c>
      <c r="C577" s="242" t="s">
        <v>5760</v>
      </c>
      <c r="D577" s="242" t="s">
        <v>5761</v>
      </c>
      <c r="E577" s="242" t="s">
        <v>5655</v>
      </c>
      <c r="F577" s="242" t="s">
        <v>3577</v>
      </c>
      <c r="G577" s="253">
        <v>3315908</v>
      </c>
      <c r="H577" s="254" t="s">
        <v>5762</v>
      </c>
      <c r="J577" s="245"/>
    </row>
    <row r="578" spans="1:10" ht="15" customHeight="1">
      <c r="A578" s="251">
        <v>575</v>
      </c>
      <c r="B578" s="252">
        <v>20270</v>
      </c>
      <c r="C578" s="242" t="s">
        <v>5763</v>
      </c>
      <c r="D578" s="242" t="s">
        <v>5764</v>
      </c>
      <c r="E578" s="242" t="s">
        <v>5472</v>
      </c>
      <c r="F578" s="242" t="s">
        <v>3582</v>
      </c>
      <c r="G578" s="253">
        <v>3123537</v>
      </c>
      <c r="H578" s="254" t="s">
        <v>5765</v>
      </c>
      <c r="J578" s="245"/>
    </row>
    <row r="579" spans="1:10" ht="15" customHeight="1">
      <c r="A579" s="251">
        <v>576</v>
      </c>
      <c r="B579" s="252">
        <v>4655</v>
      </c>
      <c r="C579" s="242" t="s">
        <v>5766</v>
      </c>
      <c r="D579" s="242" t="s">
        <v>5767</v>
      </c>
      <c r="E579" s="242" t="s">
        <v>5768</v>
      </c>
      <c r="F579" s="242" t="s">
        <v>4108</v>
      </c>
      <c r="G579" s="253">
        <v>3010813</v>
      </c>
      <c r="H579" s="254" t="s">
        <v>5769</v>
      </c>
      <c r="J579" s="245"/>
    </row>
    <row r="580" spans="1:10" ht="15" customHeight="1">
      <c r="A580" s="251">
        <v>577</v>
      </c>
      <c r="B580" s="252">
        <v>50483</v>
      </c>
      <c r="C580" s="242" t="s">
        <v>5770</v>
      </c>
      <c r="D580" s="242" t="s">
        <v>5771</v>
      </c>
      <c r="E580" s="242" t="s">
        <v>5676</v>
      </c>
      <c r="F580" s="242" t="s">
        <v>4875</v>
      </c>
      <c r="G580" s="255" t="s">
        <v>5772</v>
      </c>
      <c r="H580" s="254" t="s">
        <v>5773</v>
      </c>
      <c r="J580" s="245"/>
    </row>
    <row r="581" spans="1:10" ht="15" customHeight="1">
      <c r="A581" s="251">
        <v>578</v>
      </c>
      <c r="B581" s="252">
        <v>48785</v>
      </c>
      <c r="C581" s="242" t="s">
        <v>5774</v>
      </c>
      <c r="D581" s="242" t="s">
        <v>5775</v>
      </c>
      <c r="E581" s="242" t="s">
        <v>5681</v>
      </c>
      <c r="F581" s="242" t="s">
        <v>3405</v>
      </c>
      <c r="G581" s="253">
        <v>4355784</v>
      </c>
      <c r="H581" s="254" t="s">
        <v>5776</v>
      </c>
      <c r="J581" s="245"/>
    </row>
    <row r="582" spans="1:10" ht="15" customHeight="1">
      <c r="A582" s="251">
        <v>579</v>
      </c>
      <c r="B582" s="252">
        <v>4760</v>
      </c>
      <c r="C582" s="242" t="s">
        <v>5777</v>
      </c>
      <c r="D582" s="242" t="s">
        <v>5778</v>
      </c>
      <c r="E582" s="242" t="s">
        <v>5779</v>
      </c>
      <c r="F582" s="242" t="s">
        <v>3587</v>
      </c>
      <c r="G582" s="253">
        <v>3014827</v>
      </c>
      <c r="H582" s="254" t="s">
        <v>5780</v>
      </c>
      <c r="J582" s="245"/>
    </row>
    <row r="583" spans="1:10" ht="15" customHeight="1">
      <c r="A583" s="251">
        <v>580</v>
      </c>
      <c r="B583" s="252">
        <v>50491</v>
      </c>
      <c r="C583" s="242" t="s">
        <v>5781</v>
      </c>
      <c r="D583" s="242" t="s">
        <v>5782</v>
      </c>
      <c r="E583" s="242" t="s">
        <v>5783</v>
      </c>
      <c r="F583" s="242" t="s">
        <v>3592</v>
      </c>
      <c r="G583" s="255" t="s">
        <v>5784</v>
      </c>
      <c r="H583" s="273" t="s">
        <v>5785</v>
      </c>
      <c r="J583" s="245"/>
    </row>
    <row r="584" spans="1:10" ht="15" customHeight="1">
      <c r="A584" s="251">
        <v>581</v>
      </c>
      <c r="B584" s="252">
        <v>4809</v>
      </c>
      <c r="C584" s="242" t="s">
        <v>5786</v>
      </c>
      <c r="D584" s="242" t="s">
        <v>5787</v>
      </c>
      <c r="E584" s="242" t="s">
        <v>5694</v>
      </c>
      <c r="F584" s="242" t="s">
        <v>4349</v>
      </c>
      <c r="G584" s="253">
        <v>3310744</v>
      </c>
      <c r="H584" s="254" t="s">
        <v>5788</v>
      </c>
      <c r="J584" s="245"/>
    </row>
    <row r="585" spans="1:10" ht="15" customHeight="1">
      <c r="A585" s="251">
        <v>582</v>
      </c>
      <c r="B585" s="252">
        <v>4817</v>
      </c>
      <c r="C585" s="242" t="s">
        <v>5789</v>
      </c>
      <c r="D585" s="242" t="s">
        <v>5790</v>
      </c>
      <c r="E585" s="242" t="s">
        <v>5574</v>
      </c>
      <c r="F585" s="242" t="s">
        <v>3657</v>
      </c>
      <c r="G585" s="253">
        <v>3204146</v>
      </c>
      <c r="H585" s="254" t="s">
        <v>5791</v>
      </c>
      <c r="J585" s="245"/>
    </row>
    <row r="586" spans="1:10" ht="15" customHeight="1">
      <c r="A586" s="251">
        <v>583</v>
      </c>
      <c r="B586" s="252">
        <v>4825</v>
      </c>
      <c r="C586" s="242" t="s">
        <v>5792</v>
      </c>
      <c r="D586" s="242" t="s">
        <v>5793</v>
      </c>
      <c r="E586" s="242" t="s">
        <v>5794</v>
      </c>
      <c r="F586" s="242" t="s">
        <v>22</v>
      </c>
      <c r="G586" s="253">
        <v>3321436</v>
      </c>
      <c r="H586" s="254" t="s">
        <v>5795</v>
      </c>
      <c r="J586" s="245"/>
    </row>
    <row r="587" spans="1:10" ht="15" customHeight="1">
      <c r="A587" s="251">
        <v>584</v>
      </c>
      <c r="B587" s="252">
        <v>4868</v>
      </c>
      <c r="C587" s="242" t="s">
        <v>5796</v>
      </c>
      <c r="D587" s="242" t="s">
        <v>5797</v>
      </c>
      <c r="E587" s="242" t="s">
        <v>5582</v>
      </c>
      <c r="F587" s="242" t="s">
        <v>3601</v>
      </c>
      <c r="G587" s="253">
        <v>3314740</v>
      </c>
      <c r="H587" s="254" t="s">
        <v>5798</v>
      </c>
      <c r="J587" s="245"/>
    </row>
    <row r="588" spans="1:10" ht="15" customHeight="1">
      <c r="A588" s="251">
        <v>585</v>
      </c>
      <c r="B588" s="252">
        <v>4876</v>
      </c>
      <c r="C588" s="242" t="s">
        <v>5799</v>
      </c>
      <c r="D588" s="242" t="s">
        <v>5800</v>
      </c>
      <c r="E588" s="242" t="s">
        <v>5801</v>
      </c>
      <c r="F588" s="242" t="s">
        <v>3606</v>
      </c>
      <c r="G588" s="253">
        <v>3071472</v>
      </c>
      <c r="H588" s="254" t="s">
        <v>5802</v>
      </c>
      <c r="J588" s="245"/>
    </row>
    <row r="589" spans="1:10" ht="15" customHeight="1">
      <c r="A589" s="251">
        <v>586</v>
      </c>
      <c r="B589" s="252">
        <v>4884</v>
      </c>
      <c r="C589" s="242" t="s">
        <v>5803</v>
      </c>
      <c r="D589" s="242" t="s">
        <v>5804</v>
      </c>
      <c r="E589" s="242" t="s">
        <v>5805</v>
      </c>
      <c r="F589" s="242" t="s">
        <v>3611</v>
      </c>
      <c r="G589" s="253">
        <v>3161242</v>
      </c>
      <c r="H589" s="254" t="s">
        <v>5806</v>
      </c>
      <c r="J589" s="245"/>
    </row>
    <row r="590" spans="1:10" ht="15" customHeight="1">
      <c r="A590" s="251">
        <v>587</v>
      </c>
      <c r="B590" s="252">
        <v>4892</v>
      </c>
      <c r="C590" s="242" t="s">
        <v>5807</v>
      </c>
      <c r="D590" s="242" t="s">
        <v>5808</v>
      </c>
      <c r="E590" s="242" t="s">
        <v>5809</v>
      </c>
      <c r="F590" s="242" t="s">
        <v>3616</v>
      </c>
      <c r="G590" s="253">
        <v>3019829</v>
      </c>
      <c r="H590" s="254" t="s">
        <v>5810</v>
      </c>
      <c r="J590" s="245"/>
    </row>
    <row r="591" spans="1:10" ht="15" customHeight="1">
      <c r="A591" s="251">
        <v>588</v>
      </c>
      <c r="B591" s="252">
        <v>4913</v>
      </c>
      <c r="C591" s="242" t="s">
        <v>5811</v>
      </c>
      <c r="D591" s="242" t="s">
        <v>5812</v>
      </c>
      <c r="E591" s="242" t="s">
        <v>5813</v>
      </c>
      <c r="F591" s="242" t="s">
        <v>5548</v>
      </c>
      <c r="G591" s="253">
        <v>3006735</v>
      </c>
      <c r="H591" s="254" t="s">
        <v>5814</v>
      </c>
      <c r="J591" s="245"/>
    </row>
    <row r="592" spans="1:10" ht="15" customHeight="1">
      <c r="A592" s="251">
        <v>589</v>
      </c>
      <c r="B592" s="252">
        <v>4921</v>
      </c>
      <c r="C592" s="242" t="s">
        <v>5815</v>
      </c>
      <c r="D592" s="242" t="s">
        <v>5816</v>
      </c>
      <c r="E592" s="242" t="s">
        <v>5728</v>
      </c>
      <c r="F592" s="242" t="s">
        <v>3470</v>
      </c>
      <c r="G592" s="253">
        <v>3216373</v>
      </c>
      <c r="H592" s="254" t="s">
        <v>5817</v>
      </c>
      <c r="J592" s="245"/>
    </row>
    <row r="593" spans="1:10" ht="15" customHeight="1">
      <c r="A593" s="251">
        <v>590</v>
      </c>
      <c r="B593" s="252">
        <v>50506</v>
      </c>
      <c r="C593" s="242" t="s">
        <v>5818</v>
      </c>
      <c r="D593" s="242" t="s">
        <v>5819</v>
      </c>
      <c r="E593" s="242" t="s">
        <v>5650</v>
      </c>
      <c r="F593" s="242" t="s">
        <v>5074</v>
      </c>
      <c r="G593" s="255" t="s">
        <v>5820</v>
      </c>
      <c r="H593" s="254" t="s">
        <v>5821</v>
      </c>
      <c r="J593" s="245"/>
    </row>
    <row r="594" spans="1:10" ht="15" customHeight="1">
      <c r="A594" s="251">
        <v>591</v>
      </c>
      <c r="B594" s="252">
        <v>4948</v>
      </c>
      <c r="C594" s="242" t="s">
        <v>5822</v>
      </c>
      <c r="D594" s="242" t="s">
        <v>5823</v>
      </c>
      <c r="E594" s="242" t="s">
        <v>5824</v>
      </c>
      <c r="F594" s="242" t="s">
        <v>3626</v>
      </c>
      <c r="G594" s="253">
        <v>3149625</v>
      </c>
      <c r="H594" s="254" t="s">
        <v>5825</v>
      </c>
      <c r="J594" s="245"/>
    </row>
    <row r="595" spans="1:10" ht="15" customHeight="1">
      <c r="A595" s="251">
        <v>592</v>
      </c>
      <c r="B595" s="252">
        <v>4956</v>
      </c>
      <c r="C595" s="242" t="s">
        <v>5826</v>
      </c>
      <c r="D595" s="242" t="s">
        <v>5827</v>
      </c>
      <c r="E595" s="242" t="s">
        <v>5604</v>
      </c>
      <c r="F595" s="242" t="s">
        <v>3543</v>
      </c>
      <c r="G595" s="253">
        <v>3008894</v>
      </c>
      <c r="H595" s="254" t="s">
        <v>5828</v>
      </c>
      <c r="J595" s="245"/>
    </row>
    <row r="596" spans="1:10" ht="15" customHeight="1">
      <c r="A596" s="251">
        <v>593</v>
      </c>
      <c r="B596" s="252">
        <v>4972</v>
      </c>
      <c r="C596" s="242" t="s">
        <v>5829</v>
      </c>
      <c r="D596" s="242" t="s">
        <v>5830</v>
      </c>
      <c r="E596" s="242" t="s">
        <v>5831</v>
      </c>
      <c r="F596" s="242" t="s">
        <v>3635</v>
      </c>
      <c r="G596" s="253">
        <v>3174786</v>
      </c>
      <c r="H596" s="254" t="s">
        <v>5832</v>
      </c>
      <c r="J596" s="245"/>
    </row>
    <row r="597" spans="1:10" ht="15" customHeight="1">
      <c r="A597" s="251">
        <v>594</v>
      </c>
      <c r="B597" s="252">
        <v>4989</v>
      </c>
      <c r="C597" s="242" t="s">
        <v>5833</v>
      </c>
      <c r="D597" s="242" t="s">
        <v>5834</v>
      </c>
      <c r="E597" s="242" t="s">
        <v>5835</v>
      </c>
      <c r="F597" s="242" t="s">
        <v>3405</v>
      </c>
      <c r="G597" s="253">
        <v>3277135</v>
      </c>
      <c r="H597" s="254" t="s">
        <v>5836</v>
      </c>
      <c r="J597" s="245"/>
    </row>
    <row r="598" spans="1:10" ht="15" customHeight="1">
      <c r="A598" s="251">
        <v>595</v>
      </c>
      <c r="B598" s="252">
        <v>4997</v>
      </c>
      <c r="C598" s="242" t="s">
        <v>5837</v>
      </c>
      <c r="D598" s="242" t="s">
        <v>5838</v>
      </c>
      <c r="E598" s="242" t="s">
        <v>5748</v>
      </c>
      <c r="F598" s="242" t="s">
        <v>5749</v>
      </c>
      <c r="G598" s="253">
        <v>3433811</v>
      </c>
      <c r="H598" s="254" t="s">
        <v>5839</v>
      </c>
      <c r="J598" s="245"/>
    </row>
    <row r="599" spans="1:10" ht="15" customHeight="1">
      <c r="A599" s="251">
        <v>596</v>
      </c>
      <c r="B599" s="252">
        <v>52356</v>
      </c>
      <c r="C599" s="242" t="s">
        <v>5840</v>
      </c>
      <c r="D599" s="242" t="s">
        <v>5841</v>
      </c>
      <c r="E599" s="242" t="s">
        <v>5842</v>
      </c>
      <c r="F599" s="242" t="s">
        <v>3405</v>
      </c>
      <c r="G599" s="253">
        <v>5545471</v>
      </c>
      <c r="H599" s="254" t="s">
        <v>5843</v>
      </c>
      <c r="J599" s="245"/>
    </row>
    <row r="600" spans="1:10" ht="15" customHeight="1">
      <c r="A600" s="251">
        <v>597</v>
      </c>
      <c r="B600" s="252">
        <v>23649</v>
      </c>
      <c r="C600" s="242" t="s">
        <v>5844</v>
      </c>
      <c r="D600" s="242" t="s">
        <v>5845</v>
      </c>
      <c r="E600" s="242" t="s">
        <v>5846</v>
      </c>
      <c r="F600" s="242" t="s">
        <v>3405</v>
      </c>
      <c r="G600" s="253">
        <v>1597965</v>
      </c>
      <c r="H600" s="254" t="s">
        <v>5847</v>
      </c>
      <c r="J600" s="245"/>
    </row>
    <row r="601" spans="1:10" ht="15" customHeight="1">
      <c r="A601" s="251">
        <v>598</v>
      </c>
      <c r="B601" s="252">
        <v>46420</v>
      </c>
      <c r="C601" s="276" t="s">
        <v>5848</v>
      </c>
      <c r="D601" s="242" t="s">
        <v>5849</v>
      </c>
      <c r="E601" s="242" t="s">
        <v>5850</v>
      </c>
      <c r="F601" s="242" t="s">
        <v>3405</v>
      </c>
      <c r="G601" s="253">
        <v>2720736</v>
      </c>
      <c r="H601" s="254" t="s">
        <v>5851</v>
      </c>
      <c r="J601" s="245"/>
    </row>
    <row r="602" spans="1:10" ht="15" customHeight="1">
      <c r="A602" s="239">
        <v>599</v>
      </c>
      <c r="B602" s="247">
        <v>6040</v>
      </c>
      <c r="C602" s="248" t="s">
        <v>5852</v>
      </c>
      <c r="D602" s="242" t="s">
        <v>5853</v>
      </c>
      <c r="E602" s="248" t="s">
        <v>5854</v>
      </c>
      <c r="F602" s="248" t="s">
        <v>3405</v>
      </c>
      <c r="G602" s="249">
        <v>515655</v>
      </c>
      <c r="H602" s="250" t="s">
        <v>5855</v>
      </c>
      <c r="J602" s="245"/>
    </row>
    <row r="603" spans="1:10" ht="15" customHeight="1">
      <c r="A603" s="239">
        <v>600</v>
      </c>
      <c r="B603" s="247">
        <v>24027</v>
      </c>
      <c r="C603" s="248" t="s">
        <v>5856</v>
      </c>
      <c r="D603" s="242" t="s">
        <v>5857</v>
      </c>
      <c r="E603" s="248" t="s">
        <v>5858</v>
      </c>
      <c r="F603" s="248" t="s">
        <v>3405</v>
      </c>
      <c r="G603" s="249">
        <v>1748068</v>
      </c>
      <c r="H603" s="250" t="s">
        <v>5859</v>
      </c>
      <c r="J603" s="245"/>
    </row>
    <row r="604" spans="1:10" ht="15" customHeight="1">
      <c r="A604" s="239">
        <v>601</v>
      </c>
      <c r="B604" s="247">
        <v>24060</v>
      </c>
      <c r="C604" s="248" t="s">
        <v>5860</v>
      </c>
      <c r="D604" s="242" t="s">
        <v>5861</v>
      </c>
      <c r="E604" s="248" t="s">
        <v>5862</v>
      </c>
      <c r="F604" s="248" t="s">
        <v>3405</v>
      </c>
      <c r="G604" s="249">
        <v>1768832</v>
      </c>
      <c r="H604" s="250" t="s">
        <v>5863</v>
      </c>
      <c r="J604" s="245"/>
    </row>
    <row r="605" spans="1:10" ht="15" customHeight="1">
      <c r="A605" s="239">
        <v>602</v>
      </c>
      <c r="B605" s="247">
        <v>43564</v>
      </c>
      <c r="C605" s="248" t="s">
        <v>5864</v>
      </c>
      <c r="D605" s="242" t="s">
        <v>5865</v>
      </c>
      <c r="E605" s="248" t="s">
        <v>5866</v>
      </c>
      <c r="F605" s="248" t="s">
        <v>3405</v>
      </c>
      <c r="G605" s="249">
        <v>2397161</v>
      </c>
      <c r="H605" s="250" t="s">
        <v>5867</v>
      </c>
      <c r="J605" s="245"/>
    </row>
    <row r="606" spans="1:10" ht="15" customHeight="1">
      <c r="A606" s="239">
        <v>603</v>
      </c>
      <c r="B606" s="247">
        <v>6099</v>
      </c>
      <c r="C606" s="248" t="s">
        <v>5868</v>
      </c>
      <c r="D606" s="242" t="s">
        <v>5869</v>
      </c>
      <c r="E606" s="248" t="s">
        <v>5870</v>
      </c>
      <c r="F606" s="248" t="s">
        <v>3405</v>
      </c>
      <c r="G606" s="249">
        <v>3220338</v>
      </c>
      <c r="H606" s="250" t="s">
        <v>5871</v>
      </c>
      <c r="J606" s="245"/>
    </row>
    <row r="607" spans="1:10" ht="15" customHeight="1">
      <c r="A607" s="239">
        <v>604</v>
      </c>
      <c r="B607" s="247">
        <v>6138</v>
      </c>
      <c r="C607" s="248" t="s">
        <v>5872</v>
      </c>
      <c r="D607" s="242" t="s">
        <v>5873</v>
      </c>
      <c r="E607" s="248" t="s">
        <v>5874</v>
      </c>
      <c r="F607" s="248" t="s">
        <v>3405</v>
      </c>
      <c r="G607" s="249">
        <v>687979</v>
      </c>
      <c r="H607" s="250" t="s">
        <v>5875</v>
      </c>
      <c r="J607" s="245"/>
    </row>
    <row r="608" spans="1:10" ht="15" customHeight="1">
      <c r="A608" s="239">
        <v>605</v>
      </c>
      <c r="B608" s="247">
        <v>24094</v>
      </c>
      <c r="C608" s="248" t="s">
        <v>5876</v>
      </c>
      <c r="D608" s="242" t="s">
        <v>5877</v>
      </c>
      <c r="E608" s="248" t="s">
        <v>5878</v>
      </c>
      <c r="F608" s="248" t="s">
        <v>3405</v>
      </c>
      <c r="G608" s="249">
        <v>1777831</v>
      </c>
      <c r="H608" s="250" t="s">
        <v>5879</v>
      </c>
      <c r="J608" s="245"/>
    </row>
    <row r="609" spans="1:10" ht="15" customHeight="1">
      <c r="A609" s="239">
        <v>606</v>
      </c>
      <c r="B609" s="247">
        <v>50709</v>
      </c>
      <c r="C609" s="248" t="s">
        <v>5880</v>
      </c>
      <c r="D609" s="242" t="s">
        <v>5881</v>
      </c>
      <c r="E609" s="248" t="s">
        <v>5882</v>
      </c>
      <c r="F609" s="248" t="s">
        <v>3405</v>
      </c>
      <c r="G609" s="249">
        <v>5068711</v>
      </c>
      <c r="H609" s="250" t="s">
        <v>5883</v>
      </c>
      <c r="J609" s="245"/>
    </row>
    <row r="610" spans="1:10" ht="15" customHeight="1">
      <c r="A610" s="239">
        <v>607</v>
      </c>
      <c r="B610" s="247">
        <v>23987</v>
      </c>
      <c r="C610" s="248" t="s">
        <v>5884</v>
      </c>
      <c r="D610" s="242" t="s">
        <v>5885</v>
      </c>
      <c r="E610" s="248" t="s">
        <v>5886</v>
      </c>
      <c r="F610" s="248" t="s">
        <v>3405</v>
      </c>
      <c r="G610" s="249">
        <v>1730100</v>
      </c>
      <c r="H610" s="250" t="s">
        <v>5887</v>
      </c>
      <c r="J610" s="245"/>
    </row>
    <row r="611" spans="1:10" ht="15" customHeight="1">
      <c r="A611" s="239">
        <v>608</v>
      </c>
      <c r="B611" s="247">
        <v>42750</v>
      </c>
      <c r="C611" s="248" t="s">
        <v>5888</v>
      </c>
      <c r="D611" s="242" t="s">
        <v>5889</v>
      </c>
      <c r="E611" s="248" t="s">
        <v>5890</v>
      </c>
      <c r="F611" s="248" t="s">
        <v>3405</v>
      </c>
      <c r="G611" s="249">
        <v>2255308</v>
      </c>
      <c r="H611" s="250" t="s">
        <v>5891</v>
      </c>
      <c r="J611" s="245"/>
    </row>
    <row r="612" spans="1:10" ht="15" customHeight="1">
      <c r="A612" s="239">
        <v>609</v>
      </c>
      <c r="B612" s="247">
        <v>42768</v>
      </c>
      <c r="C612" s="248" t="s">
        <v>5892</v>
      </c>
      <c r="D612" s="242" t="s">
        <v>5893</v>
      </c>
      <c r="E612" s="248" t="s">
        <v>5894</v>
      </c>
      <c r="F612" s="248" t="s">
        <v>3405</v>
      </c>
      <c r="G612" s="249">
        <v>2255294</v>
      </c>
      <c r="H612" s="250" t="s">
        <v>5895</v>
      </c>
      <c r="J612" s="245"/>
    </row>
    <row r="613" spans="1:10" ht="15" customHeight="1">
      <c r="A613" s="239">
        <v>610</v>
      </c>
      <c r="B613" s="247">
        <v>25860</v>
      </c>
      <c r="C613" s="248" t="s">
        <v>5896</v>
      </c>
      <c r="D613" s="242" t="s">
        <v>5897</v>
      </c>
      <c r="E613" s="248" t="s">
        <v>5898</v>
      </c>
      <c r="F613" s="248" t="s">
        <v>3405</v>
      </c>
      <c r="G613" s="249">
        <v>1837907</v>
      </c>
      <c r="H613" s="250" t="s">
        <v>5899</v>
      </c>
      <c r="J613" s="245"/>
    </row>
    <row r="614" spans="1:10" ht="15" customHeight="1" thickBot="1">
      <c r="A614" s="239">
        <v>611</v>
      </c>
      <c r="B614" s="247">
        <v>48226</v>
      </c>
      <c r="C614" s="277" t="s">
        <v>5900</v>
      </c>
      <c r="D614" s="242" t="s">
        <v>5901</v>
      </c>
      <c r="E614" s="277" t="s">
        <v>5902</v>
      </c>
      <c r="F614" s="277" t="s">
        <v>3405</v>
      </c>
      <c r="G614" s="278">
        <v>4126904</v>
      </c>
      <c r="H614" s="279">
        <v>68011638990</v>
      </c>
      <c r="J614" s="245"/>
    </row>
    <row r="615" spans="1:10" ht="29.25" customHeight="1" thickTop="1">
      <c r="A615" s="314" t="s">
        <v>5903</v>
      </c>
      <c r="B615" s="314"/>
      <c r="C615" s="314"/>
      <c r="D615" s="314"/>
      <c r="E615" s="314"/>
      <c r="F615" s="314"/>
      <c r="G615" s="314"/>
      <c r="H615" s="314"/>
    </row>
    <row r="616" spans="1:10" ht="15" customHeight="1">
      <c r="B616" s="281"/>
      <c r="H616" s="283"/>
    </row>
    <row r="617" spans="1:10" ht="15" customHeight="1">
      <c r="B617" s="281"/>
      <c r="H617" s="283"/>
    </row>
    <row r="618" spans="1:10" ht="15" customHeight="1">
      <c r="B618" s="281"/>
      <c r="H618" s="283"/>
    </row>
    <row r="619" spans="1:10" ht="15" customHeight="1">
      <c r="B619" s="281"/>
      <c r="H619" s="283"/>
    </row>
    <row r="620" spans="1:10" ht="15" customHeight="1">
      <c r="B620" s="281"/>
      <c r="H620" s="283"/>
    </row>
    <row r="621" spans="1:10" ht="15" customHeight="1">
      <c r="A621" s="229"/>
      <c r="B621" s="281"/>
      <c r="H621" s="283"/>
    </row>
    <row r="622" spans="1:10" ht="15" customHeight="1">
      <c r="A622" s="229"/>
      <c r="B622" s="281"/>
      <c r="H622" s="283"/>
    </row>
    <row r="623" spans="1:10" ht="15" customHeight="1">
      <c r="A623" s="229"/>
      <c r="B623" s="281"/>
      <c r="H623" s="283"/>
    </row>
    <row r="624" spans="1:10" ht="15" customHeight="1">
      <c r="A624" s="229"/>
      <c r="B624" s="281"/>
      <c r="H624" s="283"/>
    </row>
    <row r="625" spans="1:8" ht="15" customHeight="1">
      <c r="A625" s="229"/>
      <c r="B625" s="281"/>
      <c r="H625" s="283"/>
    </row>
    <row r="626" spans="1:8" ht="15" customHeight="1">
      <c r="A626" s="229"/>
      <c r="B626" s="281"/>
      <c r="H626" s="283"/>
    </row>
    <row r="627" spans="1:8" ht="15" customHeight="1">
      <c r="A627" s="229"/>
      <c r="B627" s="281"/>
      <c r="H627" s="283"/>
    </row>
    <row r="628" spans="1:8" ht="15" customHeight="1">
      <c r="A628" s="229"/>
      <c r="B628" s="281"/>
      <c r="H628" s="283"/>
    </row>
    <row r="629" spans="1:8" ht="15" customHeight="1">
      <c r="A629" s="229"/>
      <c r="B629" s="281"/>
      <c r="H629" s="283"/>
    </row>
    <row r="630" spans="1:8" ht="15" customHeight="1">
      <c r="A630" s="229"/>
      <c r="B630" s="281"/>
      <c r="H630" s="283"/>
    </row>
    <row r="631" spans="1:8" ht="15" customHeight="1">
      <c r="A631" s="229"/>
      <c r="B631" s="281"/>
      <c r="H631" s="283"/>
    </row>
    <row r="632" spans="1:8" ht="15" customHeight="1">
      <c r="A632" s="229"/>
      <c r="B632" s="281"/>
      <c r="H632" s="283"/>
    </row>
    <row r="633" spans="1:8" ht="15" customHeight="1">
      <c r="A633" s="229"/>
      <c r="B633" s="281"/>
      <c r="H633" s="283"/>
    </row>
    <row r="634" spans="1:8" ht="15" customHeight="1">
      <c r="A634" s="229"/>
      <c r="B634" s="281"/>
      <c r="H634" s="283"/>
    </row>
    <row r="635" spans="1:8" ht="15" customHeight="1">
      <c r="A635" s="229"/>
      <c r="B635" s="281"/>
      <c r="H635" s="283"/>
    </row>
    <row r="636" spans="1:8" ht="15" customHeight="1">
      <c r="A636" s="229"/>
      <c r="B636" s="281"/>
      <c r="H636" s="283"/>
    </row>
    <row r="637" spans="1:8" ht="15" customHeight="1">
      <c r="A637" s="229"/>
      <c r="B637" s="281"/>
      <c r="H637" s="283"/>
    </row>
    <row r="638" spans="1:8" ht="15" customHeight="1">
      <c r="A638" s="229"/>
      <c r="B638" s="281"/>
      <c r="H638" s="283"/>
    </row>
    <row r="639" spans="1:8" ht="15" customHeight="1">
      <c r="A639" s="229"/>
      <c r="B639" s="281"/>
      <c r="H639" s="283"/>
    </row>
    <row r="640" spans="1:8" ht="15" customHeight="1">
      <c r="A640" s="229"/>
      <c r="B640" s="281"/>
      <c r="H640" s="283"/>
    </row>
    <row r="641" spans="1:8" ht="15" customHeight="1">
      <c r="A641" s="229"/>
      <c r="B641" s="281"/>
      <c r="H641" s="283"/>
    </row>
    <row r="642" spans="1:8" ht="15" customHeight="1">
      <c r="A642" s="229"/>
      <c r="B642" s="281"/>
      <c r="H642" s="283"/>
    </row>
    <row r="643" spans="1:8" ht="15" customHeight="1">
      <c r="A643" s="229"/>
      <c r="B643" s="281"/>
      <c r="H643" s="283"/>
    </row>
    <row r="644" spans="1:8" ht="15" customHeight="1">
      <c r="A644" s="229"/>
      <c r="B644" s="281"/>
      <c r="H644" s="283"/>
    </row>
    <row r="645" spans="1:8" ht="15" customHeight="1">
      <c r="A645" s="229"/>
      <c r="B645" s="281"/>
      <c r="H645" s="283"/>
    </row>
    <row r="646" spans="1:8" ht="15" customHeight="1">
      <c r="A646" s="229"/>
      <c r="B646" s="281"/>
      <c r="H646" s="283"/>
    </row>
    <row r="647" spans="1:8" ht="15" customHeight="1">
      <c r="A647" s="229"/>
      <c r="B647" s="281"/>
      <c r="H647" s="283"/>
    </row>
    <row r="648" spans="1:8" ht="15" customHeight="1">
      <c r="A648" s="229"/>
      <c r="B648" s="281"/>
      <c r="H648" s="283"/>
    </row>
    <row r="649" spans="1:8" ht="15" customHeight="1">
      <c r="A649" s="229"/>
      <c r="B649" s="281"/>
      <c r="H649" s="283"/>
    </row>
    <row r="650" spans="1:8" ht="15" customHeight="1">
      <c r="A650" s="229"/>
      <c r="B650" s="281"/>
      <c r="H650" s="283"/>
    </row>
    <row r="651" spans="1:8" ht="15" customHeight="1">
      <c r="A651" s="229"/>
      <c r="B651" s="281"/>
      <c r="H651" s="283"/>
    </row>
    <row r="652" spans="1:8" ht="15" customHeight="1">
      <c r="A652" s="229"/>
      <c r="B652" s="281"/>
      <c r="H652" s="283"/>
    </row>
    <row r="653" spans="1:8" ht="15" customHeight="1">
      <c r="A653" s="229"/>
      <c r="B653" s="281"/>
      <c r="H653" s="283"/>
    </row>
    <row r="654" spans="1:8" ht="15" customHeight="1">
      <c r="A654" s="229"/>
      <c r="B654" s="281"/>
      <c r="H654" s="283"/>
    </row>
    <row r="655" spans="1:8" ht="15" customHeight="1">
      <c r="A655" s="229"/>
      <c r="B655" s="281"/>
      <c r="H655" s="283"/>
    </row>
    <row r="656" spans="1:8" ht="15" customHeight="1">
      <c r="A656" s="229"/>
      <c r="B656" s="281"/>
      <c r="H656" s="283"/>
    </row>
    <row r="657" spans="1:8" ht="15" customHeight="1">
      <c r="A657" s="229"/>
      <c r="B657" s="281"/>
      <c r="H657" s="283"/>
    </row>
    <row r="658" spans="1:8" ht="15" customHeight="1">
      <c r="A658" s="229"/>
      <c r="B658" s="281"/>
      <c r="H658" s="283"/>
    </row>
    <row r="659" spans="1:8" ht="15" customHeight="1">
      <c r="A659" s="229"/>
      <c r="B659" s="281"/>
      <c r="H659" s="283"/>
    </row>
    <row r="660" spans="1:8" ht="15" customHeight="1">
      <c r="A660" s="229"/>
      <c r="B660" s="281"/>
      <c r="H660" s="283"/>
    </row>
    <row r="661" spans="1:8" ht="15" customHeight="1">
      <c r="A661" s="229"/>
      <c r="B661" s="281"/>
      <c r="H661" s="283"/>
    </row>
    <row r="662" spans="1:8" ht="15" customHeight="1">
      <c r="A662" s="229"/>
      <c r="B662" s="281"/>
      <c r="H662" s="283"/>
    </row>
    <row r="663" spans="1:8" ht="15" customHeight="1">
      <c r="A663" s="229"/>
      <c r="B663" s="281"/>
      <c r="H663" s="283"/>
    </row>
    <row r="664" spans="1:8" ht="15" customHeight="1">
      <c r="A664" s="229"/>
      <c r="B664" s="281"/>
      <c r="H664" s="283"/>
    </row>
    <row r="665" spans="1:8" ht="15" customHeight="1">
      <c r="A665" s="229"/>
      <c r="B665" s="281"/>
      <c r="H665" s="283"/>
    </row>
    <row r="666" spans="1:8" ht="15" customHeight="1">
      <c r="A666" s="229"/>
      <c r="B666" s="281"/>
      <c r="H666" s="283"/>
    </row>
    <row r="667" spans="1:8" ht="15" customHeight="1">
      <c r="A667" s="229"/>
      <c r="B667" s="281"/>
      <c r="H667" s="283"/>
    </row>
    <row r="668" spans="1:8" ht="15" customHeight="1">
      <c r="A668" s="229"/>
      <c r="B668" s="281"/>
      <c r="H668" s="283"/>
    </row>
    <row r="669" spans="1:8" ht="15" customHeight="1">
      <c r="A669" s="229"/>
      <c r="B669" s="281"/>
      <c r="H669" s="283"/>
    </row>
    <row r="670" spans="1:8" ht="15" customHeight="1">
      <c r="A670" s="229"/>
      <c r="B670" s="281"/>
      <c r="H670" s="283"/>
    </row>
    <row r="671" spans="1:8" ht="15" customHeight="1">
      <c r="A671" s="229"/>
      <c r="B671" s="281"/>
      <c r="H671" s="283"/>
    </row>
    <row r="672" spans="1:8" ht="15" customHeight="1">
      <c r="A672" s="229"/>
      <c r="B672" s="281"/>
      <c r="H672" s="283"/>
    </row>
    <row r="673" spans="1:8" ht="15" customHeight="1">
      <c r="A673" s="229"/>
      <c r="B673" s="281"/>
      <c r="H673" s="283"/>
    </row>
    <row r="674" spans="1:8" ht="15" customHeight="1">
      <c r="A674" s="229"/>
      <c r="B674" s="281"/>
      <c r="H674" s="283"/>
    </row>
    <row r="675" spans="1:8" ht="15" customHeight="1">
      <c r="A675" s="229"/>
      <c r="B675" s="281"/>
      <c r="H675" s="283"/>
    </row>
    <row r="676" spans="1:8" ht="15" customHeight="1">
      <c r="A676" s="229"/>
      <c r="B676" s="281"/>
      <c r="H676" s="283"/>
    </row>
    <row r="677" spans="1:8" ht="15" customHeight="1">
      <c r="A677" s="229"/>
      <c r="B677" s="281"/>
      <c r="H677" s="283"/>
    </row>
    <row r="678" spans="1:8" ht="15" customHeight="1">
      <c r="A678" s="229"/>
      <c r="B678" s="281"/>
      <c r="H678" s="283"/>
    </row>
    <row r="679" spans="1:8" ht="15" customHeight="1">
      <c r="A679" s="229"/>
      <c r="B679" s="281"/>
      <c r="H679" s="283"/>
    </row>
    <row r="680" spans="1:8" ht="15" customHeight="1">
      <c r="A680" s="229"/>
      <c r="B680" s="281"/>
      <c r="H680" s="283"/>
    </row>
    <row r="681" spans="1:8" ht="15" customHeight="1">
      <c r="A681" s="229"/>
      <c r="B681" s="281"/>
      <c r="H681" s="283"/>
    </row>
    <row r="682" spans="1:8" ht="15" customHeight="1">
      <c r="A682" s="229"/>
      <c r="B682" s="281"/>
      <c r="H682" s="283"/>
    </row>
    <row r="683" spans="1:8" ht="15" customHeight="1">
      <c r="A683" s="229"/>
      <c r="B683" s="281"/>
      <c r="H683" s="283"/>
    </row>
    <row r="684" spans="1:8" ht="15" customHeight="1">
      <c r="A684" s="229"/>
      <c r="B684" s="281"/>
      <c r="H684" s="283"/>
    </row>
    <row r="685" spans="1:8" ht="15" customHeight="1">
      <c r="B685" s="281"/>
      <c r="H685" s="283"/>
    </row>
    <row r="686" spans="1:8" s="245" customFormat="1" ht="15" customHeight="1">
      <c r="A686" s="280"/>
      <c r="B686" s="281"/>
      <c r="C686" s="281"/>
      <c r="D686" s="281"/>
      <c r="E686" s="281"/>
      <c r="F686" s="282"/>
      <c r="G686" s="281"/>
      <c r="H686" s="283"/>
    </row>
    <row r="687" spans="1:8" s="245" customFormat="1" ht="15" customHeight="1">
      <c r="A687" s="280"/>
      <c r="B687" s="281"/>
      <c r="C687" s="281"/>
      <c r="D687" s="281"/>
      <c r="E687" s="281"/>
      <c r="F687" s="282"/>
      <c r="G687" s="281"/>
      <c r="H687" s="284"/>
    </row>
    <row r="688" spans="1:8" s="245" customFormat="1" ht="15" customHeight="1">
      <c r="A688" s="280"/>
      <c r="B688" s="281"/>
      <c r="C688" s="281"/>
      <c r="D688" s="281"/>
      <c r="E688" s="281"/>
      <c r="F688" s="282"/>
      <c r="G688" s="281"/>
      <c r="H688" s="284"/>
    </row>
    <row r="689" spans="1:8" s="245" customFormat="1" ht="15" customHeight="1">
      <c r="A689" s="280"/>
      <c r="B689" s="281"/>
      <c r="C689" s="281"/>
      <c r="D689" s="281"/>
      <c r="E689" s="281"/>
      <c r="F689" s="282"/>
      <c r="G689" s="281"/>
      <c r="H689" s="284"/>
    </row>
    <row r="690" spans="1:8" s="245" customFormat="1" ht="15" customHeight="1">
      <c r="A690" s="280"/>
      <c r="B690" s="281"/>
      <c r="C690" s="281"/>
      <c r="D690" s="281"/>
      <c r="E690" s="281"/>
      <c r="F690" s="282"/>
      <c r="G690" s="281"/>
      <c r="H690" s="284"/>
    </row>
    <row r="691" spans="1:8" s="245" customFormat="1" ht="15" customHeight="1">
      <c r="A691" s="280"/>
      <c r="B691" s="281"/>
      <c r="C691" s="281"/>
      <c r="D691" s="281"/>
      <c r="E691" s="281"/>
      <c r="F691" s="282"/>
      <c r="G691" s="281"/>
      <c r="H691" s="284"/>
    </row>
    <row r="692" spans="1:8" s="245" customFormat="1" ht="15" customHeight="1">
      <c r="A692" s="280"/>
      <c r="B692" s="281"/>
      <c r="C692" s="281"/>
      <c r="D692" s="281"/>
      <c r="E692" s="281"/>
      <c r="F692" s="282"/>
      <c r="G692" s="281"/>
      <c r="H692" s="284"/>
    </row>
    <row r="693" spans="1:8" s="245" customFormat="1" ht="15" customHeight="1">
      <c r="A693" s="280"/>
      <c r="B693" s="281"/>
      <c r="C693" s="281"/>
      <c r="D693" s="281"/>
      <c r="E693" s="281"/>
      <c r="F693" s="282"/>
      <c r="G693" s="281"/>
      <c r="H693" s="284"/>
    </row>
    <row r="694" spans="1:8" s="245" customFormat="1" ht="15" customHeight="1">
      <c r="A694" s="280"/>
      <c r="B694" s="281"/>
      <c r="C694" s="281"/>
      <c r="D694" s="281"/>
      <c r="E694" s="281"/>
      <c r="F694" s="282"/>
      <c r="G694" s="281"/>
      <c r="H694" s="284"/>
    </row>
    <row r="695" spans="1:8" s="245" customFormat="1" ht="15" customHeight="1">
      <c r="A695" s="280"/>
      <c r="B695" s="281"/>
      <c r="C695" s="281"/>
      <c r="D695" s="281"/>
      <c r="E695" s="281"/>
      <c r="F695" s="282"/>
      <c r="G695" s="281"/>
      <c r="H695" s="284"/>
    </row>
    <row r="696" spans="1:8" s="245" customFormat="1" ht="15" customHeight="1">
      <c r="A696" s="280"/>
      <c r="B696" s="281"/>
      <c r="C696" s="281"/>
      <c r="D696" s="281"/>
      <c r="E696" s="281"/>
      <c r="F696" s="282"/>
      <c r="G696" s="281"/>
      <c r="H696" s="284"/>
    </row>
    <row r="697" spans="1:8" s="245" customFormat="1" ht="15" customHeight="1">
      <c r="A697" s="280"/>
      <c r="B697" s="281"/>
      <c r="C697" s="281"/>
      <c r="D697" s="281"/>
      <c r="E697" s="281"/>
      <c r="F697" s="282"/>
      <c r="G697" s="281"/>
      <c r="H697" s="284"/>
    </row>
    <row r="698" spans="1:8" s="245" customFormat="1" ht="15" customHeight="1">
      <c r="A698" s="280"/>
      <c r="B698" s="281"/>
      <c r="C698" s="281"/>
      <c r="D698" s="281"/>
      <c r="E698" s="281"/>
      <c r="F698" s="282"/>
      <c r="G698" s="281"/>
      <c r="H698" s="284"/>
    </row>
    <row r="699" spans="1:8" ht="15" customHeight="1">
      <c r="B699" s="281"/>
      <c r="H699" s="284"/>
    </row>
    <row r="700" spans="1:8" s="245" customFormat="1" ht="15" customHeight="1">
      <c r="A700" s="280"/>
      <c r="B700" s="281"/>
      <c r="C700" s="281"/>
      <c r="D700" s="281"/>
      <c r="E700" s="281"/>
      <c r="F700" s="282"/>
      <c r="G700" s="281"/>
      <c r="H700" s="283"/>
    </row>
    <row r="701" spans="1:8" s="245" customFormat="1" ht="15" customHeight="1">
      <c r="A701" s="280"/>
      <c r="B701" s="281"/>
      <c r="C701" s="281"/>
      <c r="D701" s="281"/>
      <c r="E701" s="281"/>
      <c r="F701" s="282"/>
      <c r="G701" s="281"/>
      <c r="H701" s="284"/>
    </row>
    <row r="702" spans="1:8" s="245" customFormat="1" ht="15" customHeight="1">
      <c r="A702" s="280"/>
      <c r="B702" s="281"/>
      <c r="C702" s="281"/>
      <c r="D702" s="281"/>
      <c r="E702" s="281"/>
      <c r="F702" s="282"/>
      <c r="G702" s="281"/>
      <c r="H702" s="284"/>
    </row>
    <row r="703" spans="1:8" s="245" customFormat="1" ht="15" customHeight="1">
      <c r="A703" s="280"/>
      <c r="B703" s="281"/>
      <c r="C703" s="281"/>
      <c r="D703" s="281"/>
      <c r="E703" s="281"/>
      <c r="F703" s="282"/>
      <c r="G703" s="281"/>
      <c r="H703" s="284"/>
    </row>
    <row r="704" spans="1:8" s="245" customFormat="1" ht="15" customHeight="1">
      <c r="A704" s="280"/>
      <c r="B704" s="281"/>
      <c r="C704" s="281"/>
      <c r="D704" s="281"/>
      <c r="E704" s="281"/>
      <c r="F704" s="282"/>
      <c r="G704" s="281"/>
      <c r="H704" s="284"/>
    </row>
    <row r="705" spans="1:8" s="245" customFormat="1" ht="15" customHeight="1">
      <c r="A705" s="280"/>
      <c r="B705" s="281"/>
      <c r="C705" s="281"/>
      <c r="D705" s="281"/>
      <c r="E705" s="281"/>
      <c r="F705" s="282"/>
      <c r="G705" s="281"/>
      <c r="H705" s="284"/>
    </row>
    <row r="706" spans="1:8" s="245" customFormat="1" ht="15" customHeight="1">
      <c r="A706" s="280"/>
      <c r="B706" s="281"/>
      <c r="C706" s="281"/>
      <c r="D706" s="281"/>
      <c r="E706" s="281"/>
      <c r="F706" s="282"/>
      <c r="G706" s="281"/>
      <c r="H706" s="284"/>
    </row>
    <row r="707" spans="1:8" s="245" customFormat="1" ht="15" customHeight="1">
      <c r="A707" s="280"/>
      <c r="B707" s="280"/>
      <c r="C707" s="281"/>
      <c r="D707" s="281"/>
      <c r="E707" s="281"/>
      <c r="F707" s="282"/>
      <c r="G707" s="281"/>
      <c r="H707" s="284"/>
    </row>
    <row r="708" spans="1:8" s="245" customFormat="1" ht="15" customHeight="1">
      <c r="A708" s="280"/>
      <c r="B708" s="280"/>
      <c r="C708" s="281"/>
      <c r="D708" s="281"/>
      <c r="E708" s="281"/>
      <c r="F708" s="282"/>
      <c r="G708" s="281"/>
      <c r="H708" s="284"/>
    </row>
    <row r="709" spans="1:8" s="245" customFormat="1" ht="15" customHeight="1">
      <c r="A709" s="280"/>
      <c r="B709" s="280"/>
      <c r="C709" s="281"/>
      <c r="D709" s="281"/>
      <c r="E709" s="281"/>
      <c r="F709" s="282"/>
      <c r="G709" s="281"/>
      <c r="H709" s="284"/>
    </row>
    <row r="710" spans="1:8" s="245" customFormat="1" ht="15" customHeight="1">
      <c r="A710" s="280"/>
      <c r="B710" s="280"/>
      <c r="C710" s="281"/>
      <c r="D710" s="281"/>
      <c r="E710" s="281"/>
      <c r="F710" s="282"/>
      <c r="G710" s="281"/>
      <c r="H710" s="284"/>
    </row>
    <row r="711" spans="1:8" s="245" customFormat="1" ht="15" customHeight="1">
      <c r="A711" s="280"/>
      <c r="B711" s="280"/>
      <c r="C711" s="281"/>
      <c r="D711" s="281"/>
      <c r="E711" s="281"/>
      <c r="F711" s="282"/>
      <c r="G711" s="281"/>
      <c r="H711" s="284"/>
    </row>
    <row r="712" spans="1:8" ht="15" customHeight="1">
      <c r="H712" s="284"/>
    </row>
    <row r="713" spans="1:8" ht="15" customHeight="1">
      <c r="H713" s="283"/>
    </row>
  </sheetData>
  <mergeCells count="2">
    <mergeCell ref="A1:H1"/>
    <mergeCell ref="A615:H6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CCA65-851A-42A1-926D-E05104F89782}">
  <sheetPr codeName="Sheet2"/>
  <dimension ref="A1:W502"/>
  <sheetViews>
    <sheetView showGridLines="0" workbookViewId="0">
      <selection activeCell="H5" sqref="H5"/>
    </sheetView>
  </sheetViews>
  <sheetFormatPr defaultColWidth="0" defaultRowHeight="14.4" zeroHeight="1"/>
  <cols>
    <col min="1" max="1" width="7.88671875" bestFit="1" customWidth="1"/>
    <col min="2" max="2" width="33.6640625" customWidth="1"/>
    <col min="3" max="3" width="7" bestFit="1" customWidth="1"/>
    <col min="4" max="4" width="19" customWidth="1"/>
    <col min="5" max="5" width="13.109375" customWidth="1"/>
    <col min="6" max="6" width="46" customWidth="1"/>
    <col min="7" max="7" width="16.44140625" style="58" customWidth="1"/>
    <col min="8" max="8" width="17" style="58" customWidth="1"/>
    <col min="9" max="9" width="16.44140625" style="58" customWidth="1"/>
    <col min="10" max="10" width="47.109375" bestFit="1" customWidth="1"/>
    <col min="11" max="11" width="9.109375" customWidth="1"/>
    <col min="12" max="17" width="9.109375" hidden="1" customWidth="1"/>
    <col min="18" max="18" width="12.33203125" hidden="1" customWidth="1"/>
    <col min="19" max="16384" width="9.109375" hidden="1"/>
  </cols>
  <sheetData>
    <row r="1" spans="1:23" ht="37.5" customHeight="1">
      <c r="A1" s="305" t="s">
        <v>105</v>
      </c>
      <c r="B1" s="305"/>
      <c r="C1" s="305"/>
      <c r="D1" s="305"/>
      <c r="E1" s="57" t="str">
        <f>IF(OR('OPĆI DIO'!C3="odaberite -",'OPĆI DIO'!C3=""),"Molimo odaberite proračunskog korisnika na radnom listu Opći podaci!","")</f>
        <v/>
      </c>
      <c r="I1" s="23" t="s">
        <v>38</v>
      </c>
    </row>
    <row r="2" spans="1:23" ht="57.6">
      <c r="A2" s="59" t="s">
        <v>106</v>
      </c>
      <c r="B2" s="59" t="s">
        <v>107</v>
      </c>
      <c r="C2" s="59" t="s">
        <v>108</v>
      </c>
      <c r="D2" s="59" t="s">
        <v>109</v>
      </c>
      <c r="E2" s="60" t="s">
        <v>110</v>
      </c>
      <c r="F2" s="59" t="s">
        <v>111</v>
      </c>
      <c r="G2" s="24" t="s">
        <v>43</v>
      </c>
      <c r="H2" s="24" t="s">
        <v>44</v>
      </c>
      <c r="I2" s="24" t="s">
        <v>45</v>
      </c>
      <c r="J2" s="61" t="s">
        <v>112</v>
      </c>
      <c r="L2" s="62" t="s">
        <v>113</v>
      </c>
      <c r="M2" s="62" t="s">
        <v>114</v>
      </c>
      <c r="R2" s="63" t="s">
        <v>115</v>
      </c>
    </row>
    <row r="3" spans="1:23">
      <c r="A3" s="64" t="str">
        <f>IF(E3="","",VLOOKUP('OPĆI DIO'!$C$3,'OPĆI DIO'!$L$6:$U$138,10,FALSE))</f>
        <v>08006</v>
      </c>
      <c r="B3" s="64" t="str">
        <f>IF(E3="","",VLOOKUP('OPĆI DIO'!$C$3,'OPĆI DIO'!$L$6:$U$138,9,FALSE))</f>
        <v>Sveučilišta i veleučilišta u Republici Hrvatskoj</v>
      </c>
      <c r="C3" s="65">
        <f t="shared" ref="C3:C37" si="0">IFERROR(VLOOKUP(E3,$R$6:$U$108,3,FALSE),"")</f>
        <v>11</v>
      </c>
      <c r="D3" s="66" t="str">
        <f t="shared" ref="D3:D37" si="1">IFERROR(VLOOKUP(E3,$R$6:$U$108,4,FALSE),"")</f>
        <v>Opći prihodi i primici</v>
      </c>
      <c r="E3" s="286" t="s">
        <v>115</v>
      </c>
      <c r="F3" s="68" t="str">
        <f t="shared" ref="F3:F36" si="2">IFERROR(VLOOKUP(E3,$R$6:$U$108,2,FALSE),"")</f>
        <v>Prihodi iz nadležnog proračuna za financiranje redovne djelatnosti proračunskih korisnika</v>
      </c>
      <c r="G3" s="78">
        <v>3908697</v>
      </c>
      <c r="H3" s="69">
        <v>3747508</v>
      </c>
      <c r="I3" s="78">
        <f>H3-G3</f>
        <v>-161189</v>
      </c>
      <c r="J3" s="286"/>
      <c r="L3" t="str">
        <f>LEFT(E3,2)</f>
        <v>67</v>
      </c>
      <c r="M3" t="str">
        <f>LEFT(E3,3)</f>
        <v>671</v>
      </c>
      <c r="N3" t="s">
        <v>116</v>
      </c>
      <c r="R3" s="63" t="s">
        <v>117</v>
      </c>
    </row>
    <row r="4" spans="1:23">
      <c r="A4" s="64" t="str">
        <f>IF(E4="","",VLOOKUP('OPĆI DIO'!$C$3,'OPĆI DIO'!$L$6:$U$138,10,FALSE))</f>
        <v>08006</v>
      </c>
      <c r="B4" s="64" t="str">
        <f>IF(E4="","",VLOOKUP('OPĆI DIO'!$C$3,'OPĆI DIO'!$L$6:$U$138,9,FALSE))</f>
        <v>Sveučilišta i veleučilišta u Republici Hrvatskoj</v>
      </c>
      <c r="C4" s="65">
        <f t="shared" si="0"/>
        <v>11</v>
      </c>
      <c r="D4" s="66" t="str">
        <f t="shared" si="1"/>
        <v>Opći prihodi i primici</v>
      </c>
      <c r="E4" s="286" t="s">
        <v>115</v>
      </c>
      <c r="F4" s="68" t="str">
        <f t="shared" si="2"/>
        <v>Prihodi iz nadležnog proračuna za financiranje redovne djelatnosti proračunskih korisnika</v>
      </c>
      <c r="G4" s="78">
        <v>150210</v>
      </c>
      <c r="H4" s="69">
        <v>10558</v>
      </c>
      <c r="I4" s="78">
        <f t="shared" ref="I4:I67" si="3">H4-G4</f>
        <v>-139652</v>
      </c>
      <c r="J4" s="286"/>
      <c r="L4" t="str">
        <f t="shared" ref="L4:L67" si="4">LEFT(E4,2)</f>
        <v>67</v>
      </c>
      <c r="M4" t="str">
        <f t="shared" ref="M4:M67" si="5">LEFT(E4,3)</f>
        <v>671</v>
      </c>
    </row>
    <row r="5" spans="1:23">
      <c r="A5" s="64" t="str">
        <f>IF(E5="","",VLOOKUP('OPĆI DIO'!$C$3,'OPĆI DIO'!$L$6:$U$138,10,FALSE))</f>
        <v/>
      </c>
      <c r="B5" s="64" t="str">
        <f>IF(E5="","",VLOOKUP('OPĆI DIO'!$C$3,'OPĆI DIO'!$L$6:$U$138,9,FALSE))</f>
        <v/>
      </c>
      <c r="C5" s="65" t="str">
        <f t="shared" si="0"/>
        <v/>
      </c>
      <c r="D5" s="66" t="str">
        <f t="shared" si="1"/>
        <v/>
      </c>
      <c r="E5" s="286"/>
      <c r="F5" s="68" t="str">
        <f t="shared" si="2"/>
        <v/>
      </c>
      <c r="G5" s="78"/>
      <c r="H5" s="69"/>
      <c r="I5" s="78">
        <f t="shared" si="3"/>
        <v>0</v>
      </c>
      <c r="J5" s="286"/>
      <c r="L5" t="str">
        <f t="shared" si="4"/>
        <v/>
      </c>
      <c r="M5" t="str">
        <f t="shared" si="5"/>
        <v/>
      </c>
      <c r="N5" t="s">
        <v>108</v>
      </c>
      <c r="O5" t="s">
        <v>109</v>
      </c>
      <c r="R5" s="70" t="s">
        <v>118</v>
      </c>
      <c r="S5" s="59" t="s">
        <v>119</v>
      </c>
      <c r="T5" s="59" t="s">
        <v>120</v>
      </c>
      <c r="U5" s="59" t="s">
        <v>109</v>
      </c>
      <c r="V5" s="71" t="s">
        <v>121</v>
      </c>
      <c r="W5" s="71" t="s">
        <v>122</v>
      </c>
    </row>
    <row r="6" spans="1:23">
      <c r="A6" s="64" t="str">
        <f>IF(E6="","",VLOOKUP('OPĆI DIO'!$C$3,'OPĆI DIO'!$L$6:$U$138,10,FALSE))</f>
        <v>08006</v>
      </c>
      <c r="B6" s="64" t="str">
        <f>IF(E6="","",VLOOKUP('OPĆI DIO'!$C$3,'OPĆI DIO'!$L$6:$U$138,9,FALSE))</f>
        <v>Sveučilišta i veleučilišta u Republici Hrvatskoj</v>
      </c>
      <c r="C6" s="65">
        <f t="shared" si="0"/>
        <v>12</v>
      </c>
      <c r="D6" s="66" t="str">
        <f t="shared" si="1"/>
        <v>Sredstva učešća za pomoći</v>
      </c>
      <c r="E6" s="286" t="s">
        <v>117</v>
      </c>
      <c r="F6" s="68" t="str">
        <f t="shared" si="2"/>
        <v>Prihodi iz nadležnog proračuna za financiranje redovne djelatnosti proračunskih korisnika</v>
      </c>
      <c r="G6" s="78">
        <v>2903</v>
      </c>
      <c r="H6" s="69">
        <v>19147</v>
      </c>
      <c r="I6" s="78">
        <f t="shared" si="3"/>
        <v>16244</v>
      </c>
      <c r="J6" s="286"/>
      <c r="L6" t="str">
        <f t="shared" si="4"/>
        <v>67</v>
      </c>
      <c r="M6" t="str">
        <f t="shared" si="5"/>
        <v>671</v>
      </c>
      <c r="N6">
        <v>11</v>
      </c>
      <c r="O6" t="s">
        <v>123</v>
      </c>
      <c r="R6" s="72" t="s">
        <v>115</v>
      </c>
      <c r="S6" s="72" t="s">
        <v>124</v>
      </c>
      <c r="T6" s="72">
        <v>11</v>
      </c>
      <c r="U6" s="72" t="s">
        <v>123</v>
      </c>
      <c r="V6">
        <v>671</v>
      </c>
      <c r="W6">
        <v>67</v>
      </c>
    </row>
    <row r="7" spans="1:23">
      <c r="A7" s="64" t="str">
        <f>IF(E7="","",VLOOKUP('OPĆI DIO'!$C$3,'OPĆI DIO'!$L$6:$U$138,10,FALSE))</f>
        <v/>
      </c>
      <c r="B7" s="64" t="str">
        <f>IF(E7="","",VLOOKUP('OPĆI DIO'!$C$3,'OPĆI DIO'!$L$6:$U$138,9,FALSE))</f>
        <v/>
      </c>
      <c r="C7" s="65" t="str">
        <f t="shared" si="0"/>
        <v/>
      </c>
      <c r="D7" s="66" t="str">
        <f t="shared" si="1"/>
        <v/>
      </c>
      <c r="E7" s="286"/>
      <c r="F7" s="68" t="str">
        <f t="shared" si="2"/>
        <v/>
      </c>
      <c r="G7" s="78"/>
      <c r="H7" s="69"/>
      <c r="I7" s="78">
        <f t="shared" si="3"/>
        <v>0</v>
      </c>
      <c r="J7" s="286"/>
      <c r="L7" t="str">
        <f t="shared" si="4"/>
        <v/>
      </c>
      <c r="M7" t="str">
        <f t="shared" si="5"/>
        <v/>
      </c>
      <c r="N7">
        <v>12</v>
      </c>
      <c r="O7" t="s">
        <v>125</v>
      </c>
      <c r="R7" s="72" t="s">
        <v>117</v>
      </c>
      <c r="S7" s="72" t="s">
        <v>124</v>
      </c>
      <c r="T7" s="72">
        <v>12</v>
      </c>
      <c r="U7" s="72" t="s">
        <v>125</v>
      </c>
      <c r="V7">
        <v>671</v>
      </c>
      <c r="W7">
        <v>67</v>
      </c>
    </row>
    <row r="8" spans="1:23">
      <c r="A8" s="64" t="str">
        <f>IF(E8="","",VLOOKUP('OPĆI DIO'!$C$3,'OPĆI DIO'!$L$6:$U$138,10,FALSE))</f>
        <v>08006</v>
      </c>
      <c r="B8" s="64" t="str">
        <f>IF(E8="","",VLOOKUP('OPĆI DIO'!$C$3,'OPĆI DIO'!$L$6:$U$138,9,FALSE))</f>
        <v>Sveučilišta i veleučilišta u Republici Hrvatskoj</v>
      </c>
      <c r="C8" s="65">
        <f t="shared" si="0"/>
        <v>31</v>
      </c>
      <c r="D8" s="66" t="str">
        <f t="shared" si="1"/>
        <v>Vlastiti prihodi</v>
      </c>
      <c r="E8" s="286">
        <v>6614</v>
      </c>
      <c r="F8" s="68" t="str">
        <f t="shared" si="2"/>
        <v>Prihodi od prodanih proizvoda i robe</v>
      </c>
      <c r="G8" s="78">
        <v>1991</v>
      </c>
      <c r="H8" s="69">
        <v>1000</v>
      </c>
      <c r="I8" s="78">
        <f t="shared" si="3"/>
        <v>-991</v>
      </c>
      <c r="J8" s="286"/>
      <c r="L8" t="str">
        <f t="shared" si="4"/>
        <v>66</v>
      </c>
      <c r="M8" t="str">
        <f t="shared" si="5"/>
        <v>661</v>
      </c>
      <c r="N8">
        <v>31</v>
      </c>
      <c r="O8" t="s">
        <v>126</v>
      </c>
      <c r="R8" s="72">
        <v>614810041</v>
      </c>
      <c r="S8" s="72" t="s">
        <v>127</v>
      </c>
      <c r="T8" s="72">
        <v>41</v>
      </c>
      <c r="U8" s="72" t="s">
        <v>128</v>
      </c>
      <c r="V8">
        <v>614</v>
      </c>
      <c r="W8">
        <v>61</v>
      </c>
    </row>
    <row r="9" spans="1:23">
      <c r="A9" s="64" t="str">
        <f>IF(E9="","",VLOOKUP('OPĆI DIO'!$C$3,'OPĆI DIO'!$L$6:$U$138,10,FALSE))</f>
        <v>08006</v>
      </c>
      <c r="B9" s="64" t="str">
        <f>IF(E9="","",VLOOKUP('OPĆI DIO'!$C$3,'OPĆI DIO'!$L$6:$U$138,9,FALSE))</f>
        <v>Sveučilišta i veleučilišta u Republici Hrvatskoj</v>
      </c>
      <c r="C9" s="65">
        <f t="shared" si="0"/>
        <v>31</v>
      </c>
      <c r="D9" s="66" t="str">
        <f t="shared" si="1"/>
        <v>Vlastiti prihodi</v>
      </c>
      <c r="E9" s="286">
        <v>6615</v>
      </c>
      <c r="F9" s="68" t="str">
        <f t="shared" si="2"/>
        <v>Prihodi od pruženih usluga</v>
      </c>
      <c r="G9" s="78">
        <v>798062</v>
      </c>
      <c r="H9" s="69">
        <v>900000</v>
      </c>
      <c r="I9" s="78">
        <f t="shared" si="3"/>
        <v>101938</v>
      </c>
      <c r="J9" s="286"/>
      <c r="L9" t="str">
        <f t="shared" si="4"/>
        <v>66</v>
      </c>
      <c r="M9" t="str">
        <f t="shared" si="5"/>
        <v>661</v>
      </c>
      <c r="N9">
        <v>41</v>
      </c>
      <c r="O9" t="s">
        <v>128</v>
      </c>
      <c r="R9" s="72">
        <v>614820041</v>
      </c>
      <c r="S9" s="72" t="s">
        <v>129</v>
      </c>
      <c r="T9" s="72">
        <v>41</v>
      </c>
      <c r="U9" s="72" t="s">
        <v>128</v>
      </c>
      <c r="V9">
        <v>614</v>
      </c>
      <c r="W9">
        <v>61</v>
      </c>
    </row>
    <row r="10" spans="1:23">
      <c r="A10" s="64" t="str">
        <f>IF(E10="","",VLOOKUP('OPĆI DIO'!$C$3,'OPĆI DIO'!$L$6:$U$138,10,FALSE))</f>
        <v/>
      </c>
      <c r="B10" s="64" t="str">
        <f>IF(E10="","",VLOOKUP('OPĆI DIO'!$C$3,'OPĆI DIO'!$L$6:$U$138,9,FALSE))</f>
        <v/>
      </c>
      <c r="C10" s="65" t="str">
        <f t="shared" si="0"/>
        <v/>
      </c>
      <c r="D10" s="66" t="str">
        <f t="shared" si="1"/>
        <v/>
      </c>
      <c r="E10" s="286"/>
      <c r="F10" s="68" t="str">
        <f t="shared" si="2"/>
        <v/>
      </c>
      <c r="G10" s="78"/>
      <c r="H10" s="69"/>
      <c r="I10" s="78">
        <f t="shared" si="3"/>
        <v>0</v>
      </c>
      <c r="J10" s="286"/>
      <c r="L10" t="str">
        <f t="shared" si="4"/>
        <v/>
      </c>
      <c r="M10" t="str">
        <f t="shared" si="5"/>
        <v/>
      </c>
      <c r="N10">
        <v>43</v>
      </c>
      <c r="O10" t="s">
        <v>130</v>
      </c>
      <c r="R10" s="72">
        <v>614830041</v>
      </c>
      <c r="S10" s="72" t="s">
        <v>131</v>
      </c>
      <c r="T10" s="72">
        <v>41</v>
      </c>
      <c r="U10" s="72" t="s">
        <v>128</v>
      </c>
      <c r="V10">
        <v>614</v>
      </c>
      <c r="W10">
        <v>61</v>
      </c>
    </row>
    <row r="11" spans="1:23">
      <c r="A11" s="64" t="str">
        <f>IF(E11="","",VLOOKUP('OPĆI DIO'!$C$3,'OPĆI DIO'!$L$6:$U$138,10,FALSE))</f>
        <v>08006</v>
      </c>
      <c r="B11" s="64" t="str">
        <f>IF(E11="","",VLOOKUP('OPĆI DIO'!$C$3,'OPĆI DIO'!$L$6:$U$138,9,FALSE))</f>
        <v>Sveučilišta i veleučilišta u Republici Hrvatskoj</v>
      </c>
      <c r="C11" s="65">
        <f t="shared" si="0"/>
        <v>43</v>
      </c>
      <c r="D11" s="66" t="str">
        <f t="shared" si="1"/>
        <v>Ostali prihodi za posebne namjene</v>
      </c>
      <c r="E11" s="286">
        <v>65264</v>
      </c>
      <c r="F11" s="68" t="str">
        <f t="shared" si="2"/>
        <v>Sufinanciranje cijene usluge, participacije i slično</v>
      </c>
      <c r="G11" s="78">
        <v>862698</v>
      </c>
      <c r="H11" s="69">
        <v>700000</v>
      </c>
      <c r="I11" s="78">
        <f t="shared" si="3"/>
        <v>-162698</v>
      </c>
      <c r="J11" s="286"/>
      <c r="L11" t="str">
        <f t="shared" si="4"/>
        <v>65</v>
      </c>
      <c r="M11" t="str">
        <f t="shared" si="5"/>
        <v>652</v>
      </c>
      <c r="N11">
        <v>51</v>
      </c>
      <c r="O11" t="s">
        <v>132</v>
      </c>
      <c r="R11" s="72">
        <v>614840041</v>
      </c>
      <c r="S11" s="72" t="s">
        <v>133</v>
      </c>
      <c r="T11" s="72">
        <v>41</v>
      </c>
      <c r="U11" s="72" t="s">
        <v>128</v>
      </c>
      <c r="V11">
        <v>614</v>
      </c>
      <c r="W11">
        <v>61</v>
      </c>
    </row>
    <row r="12" spans="1:23">
      <c r="A12" s="64" t="str">
        <f>IF(E12="","",VLOOKUP('OPĆI DIO'!$C$3,'OPĆI DIO'!$L$6:$U$138,10,FALSE))</f>
        <v>08006</v>
      </c>
      <c r="B12" s="64" t="str">
        <f>IF(E12="","",VLOOKUP('OPĆI DIO'!$C$3,'OPĆI DIO'!$L$6:$U$138,9,FALSE))</f>
        <v>Sveučilišta i veleučilišta u Republici Hrvatskoj</v>
      </c>
      <c r="C12" s="65">
        <f t="shared" si="0"/>
        <v>43</v>
      </c>
      <c r="D12" s="66" t="str">
        <f t="shared" si="1"/>
        <v>Ostali prihodi za posebne namjene</v>
      </c>
      <c r="E12" s="286">
        <v>681910043</v>
      </c>
      <c r="F12" s="68" t="str">
        <f t="shared" si="2"/>
        <v>Ostale nespomenute kazne izvor 43</v>
      </c>
      <c r="G12" s="78">
        <v>1593</v>
      </c>
      <c r="H12" s="69">
        <v>600</v>
      </c>
      <c r="I12" s="78">
        <f t="shared" si="3"/>
        <v>-993</v>
      </c>
      <c r="J12" s="286"/>
      <c r="L12" t="str">
        <f t="shared" si="4"/>
        <v>68</v>
      </c>
      <c r="M12" t="str">
        <f t="shared" si="5"/>
        <v>681</v>
      </c>
      <c r="N12">
        <v>52</v>
      </c>
      <c r="O12" t="s">
        <v>134</v>
      </c>
      <c r="R12" s="72">
        <v>631110000</v>
      </c>
      <c r="S12" s="72" t="s">
        <v>135</v>
      </c>
      <c r="T12" s="72">
        <v>52</v>
      </c>
      <c r="U12" s="72" t="s">
        <v>136</v>
      </c>
      <c r="V12">
        <v>631</v>
      </c>
      <c r="W12">
        <v>63</v>
      </c>
    </row>
    <row r="13" spans="1:23">
      <c r="A13" s="64" t="str">
        <f>IF(E13="","",VLOOKUP('OPĆI DIO'!$C$3,'OPĆI DIO'!$L$6:$U$138,10,FALSE))</f>
        <v>08006</v>
      </c>
      <c r="B13" s="64" t="str">
        <f>IF(E13="","",VLOOKUP('OPĆI DIO'!$C$3,'OPĆI DIO'!$L$6:$U$138,9,FALSE))</f>
        <v>Sveučilišta i veleučilišta u Republici Hrvatskoj</v>
      </c>
      <c r="C13" s="65">
        <f t="shared" si="0"/>
        <v>43</v>
      </c>
      <c r="D13" s="66" t="str">
        <f t="shared" si="1"/>
        <v>Ostali prihodi za posebne namjene</v>
      </c>
      <c r="E13" s="286">
        <v>683110043</v>
      </c>
      <c r="F13" s="68" t="str">
        <f t="shared" si="2"/>
        <v>Ostali prihodi izvor 43</v>
      </c>
      <c r="G13" s="78">
        <v>664</v>
      </c>
      <c r="H13" s="69">
        <v>4800</v>
      </c>
      <c r="I13" s="78">
        <f t="shared" si="3"/>
        <v>4136</v>
      </c>
      <c r="J13" s="286"/>
      <c r="L13" t="str">
        <f t="shared" si="4"/>
        <v>68</v>
      </c>
      <c r="M13" t="str">
        <f t="shared" si="5"/>
        <v>683</v>
      </c>
      <c r="N13">
        <v>552</v>
      </c>
      <c r="O13" t="s">
        <v>137</v>
      </c>
      <c r="R13" s="72">
        <v>631120000</v>
      </c>
      <c r="S13" s="72" t="s">
        <v>138</v>
      </c>
      <c r="T13" s="72">
        <v>52</v>
      </c>
      <c r="U13" s="72" t="s">
        <v>136</v>
      </c>
      <c r="V13">
        <v>631</v>
      </c>
      <c r="W13">
        <v>63</v>
      </c>
    </row>
    <row r="14" spans="1:23">
      <c r="A14" s="64" t="str">
        <f>IF(E14="","",VLOOKUP('OPĆI DIO'!$C$3,'OPĆI DIO'!$L$6:$U$138,10,FALSE))</f>
        <v/>
      </c>
      <c r="B14" s="64" t="str">
        <f>IF(E14="","",VLOOKUP('OPĆI DIO'!$C$3,'OPĆI DIO'!$L$6:$U$138,9,FALSE))</f>
        <v/>
      </c>
      <c r="C14" s="65" t="str">
        <f t="shared" si="0"/>
        <v/>
      </c>
      <c r="D14" s="66" t="str">
        <f t="shared" si="1"/>
        <v/>
      </c>
      <c r="E14" s="286"/>
      <c r="F14" s="68" t="str">
        <f t="shared" si="2"/>
        <v/>
      </c>
      <c r="G14" s="78"/>
      <c r="H14" s="69"/>
      <c r="I14" s="78">
        <f t="shared" si="3"/>
        <v>0</v>
      </c>
      <c r="J14" s="286"/>
      <c r="L14" t="str">
        <f t="shared" si="4"/>
        <v/>
      </c>
      <c r="M14" t="str">
        <f t="shared" si="5"/>
        <v/>
      </c>
      <c r="N14">
        <v>559</v>
      </c>
      <c r="O14" t="s">
        <v>139</v>
      </c>
      <c r="R14" s="72">
        <v>631210000</v>
      </c>
      <c r="S14" s="72" t="s">
        <v>140</v>
      </c>
      <c r="T14" s="72">
        <v>52</v>
      </c>
      <c r="U14" s="72" t="s">
        <v>136</v>
      </c>
      <c r="V14">
        <v>631</v>
      </c>
      <c r="W14">
        <v>63</v>
      </c>
    </row>
    <row r="15" spans="1:23">
      <c r="A15" s="64" t="str">
        <f>IF(E15="","",VLOOKUP('OPĆI DIO'!$C$3,'OPĆI DIO'!$L$6:$U$138,10,FALSE))</f>
        <v>08006</v>
      </c>
      <c r="B15" s="64" t="str">
        <f>IF(E15="","",VLOOKUP('OPĆI DIO'!$C$3,'OPĆI DIO'!$L$6:$U$138,9,FALSE))</f>
        <v>Sveučilišta i veleučilišta u Republici Hrvatskoj</v>
      </c>
      <c r="C15" s="65">
        <f t="shared" si="0"/>
        <v>51</v>
      </c>
      <c r="D15" s="66" t="str">
        <f t="shared" si="1"/>
        <v xml:space="preserve">Pomoći EU </v>
      </c>
      <c r="E15" s="286">
        <v>632311700</v>
      </c>
      <c r="F15" s="68" t="str">
        <f t="shared" si="2"/>
        <v>Tekuće pomoći od institucija i tijela EU - ostalo</v>
      </c>
      <c r="G15" s="78">
        <v>530891</v>
      </c>
      <c r="H15" s="69">
        <v>600000</v>
      </c>
      <c r="I15" s="78">
        <f t="shared" si="3"/>
        <v>69109</v>
      </c>
      <c r="J15" s="286"/>
      <c r="L15" t="str">
        <f t="shared" si="4"/>
        <v>63</v>
      </c>
      <c r="M15" t="str">
        <f t="shared" si="5"/>
        <v>632</v>
      </c>
      <c r="N15">
        <v>561</v>
      </c>
      <c r="O15" t="s">
        <v>141</v>
      </c>
      <c r="R15" s="72">
        <v>631220000</v>
      </c>
      <c r="S15" s="72" t="s">
        <v>142</v>
      </c>
      <c r="T15" s="72">
        <v>52</v>
      </c>
      <c r="U15" s="72" t="s">
        <v>136</v>
      </c>
      <c r="V15">
        <v>631</v>
      </c>
      <c r="W15">
        <v>63</v>
      </c>
    </row>
    <row r="16" spans="1:23">
      <c r="A16" s="64" t="str">
        <f>IF(E16="","",VLOOKUP('OPĆI DIO'!$C$3,'OPĆI DIO'!$L$6:$U$138,10,FALSE))</f>
        <v/>
      </c>
      <c r="B16" s="64" t="str">
        <f>IF(E16="","",VLOOKUP('OPĆI DIO'!$C$3,'OPĆI DIO'!$L$6:$U$138,9,FALSE))</f>
        <v/>
      </c>
      <c r="C16" s="65" t="str">
        <f t="shared" si="0"/>
        <v/>
      </c>
      <c r="D16" s="66" t="str">
        <f t="shared" si="1"/>
        <v/>
      </c>
      <c r="E16" s="286"/>
      <c r="F16" s="68" t="str">
        <f t="shared" si="2"/>
        <v/>
      </c>
      <c r="G16" s="78"/>
      <c r="H16" s="69"/>
      <c r="I16" s="78">
        <f t="shared" si="3"/>
        <v>0</v>
      </c>
      <c r="J16" s="286"/>
      <c r="L16" t="str">
        <f t="shared" si="4"/>
        <v/>
      </c>
      <c r="M16" t="str">
        <f t="shared" si="5"/>
        <v/>
      </c>
      <c r="N16">
        <v>563</v>
      </c>
      <c r="O16" t="s">
        <v>143</v>
      </c>
      <c r="R16" s="72">
        <v>632112000</v>
      </c>
      <c r="S16" s="72" t="s">
        <v>144</v>
      </c>
      <c r="T16" s="72">
        <v>52</v>
      </c>
      <c r="U16" s="72" t="s">
        <v>136</v>
      </c>
      <c r="V16">
        <v>632</v>
      </c>
      <c r="W16">
        <v>63</v>
      </c>
    </row>
    <row r="17" spans="1:23">
      <c r="A17" s="64" t="str">
        <f>IF(E17="","",VLOOKUP('OPĆI DIO'!$C$3,'OPĆI DIO'!$L$6:$U$138,10,FALSE))</f>
        <v>08006</v>
      </c>
      <c r="B17" s="64" t="str">
        <f>IF(E17="","",VLOOKUP('OPĆI DIO'!$C$3,'OPĆI DIO'!$L$6:$U$138,9,FALSE))</f>
        <v>Sveučilišta i veleučilišta u Republici Hrvatskoj</v>
      </c>
      <c r="C17" s="65">
        <f t="shared" si="0"/>
        <v>52</v>
      </c>
      <c r="D17" s="66" t="str">
        <f t="shared" si="1"/>
        <v xml:space="preserve">Ostale pomoći i darovnice </v>
      </c>
      <c r="E17" s="286">
        <v>6391</v>
      </c>
      <c r="F17" s="68" t="str">
        <f t="shared" si="2"/>
        <v>Tekući prijenosi između proračunskih korisnika istog proračuna</v>
      </c>
      <c r="G17" s="78">
        <v>32743</v>
      </c>
      <c r="H17" s="69">
        <v>32743</v>
      </c>
      <c r="I17" s="78">
        <f t="shared" si="3"/>
        <v>0</v>
      </c>
      <c r="J17" s="286" t="s">
        <v>145</v>
      </c>
      <c r="L17" t="str">
        <f t="shared" si="4"/>
        <v>63</v>
      </c>
      <c r="M17" t="str">
        <f t="shared" si="5"/>
        <v>639</v>
      </c>
      <c r="N17">
        <v>573</v>
      </c>
      <c r="O17" t="s">
        <v>146</v>
      </c>
      <c r="R17" s="72">
        <v>632212000</v>
      </c>
      <c r="S17" s="72" t="s">
        <v>147</v>
      </c>
      <c r="T17" s="72">
        <v>52</v>
      </c>
      <c r="U17" s="72" t="s">
        <v>136</v>
      </c>
      <c r="V17">
        <v>632</v>
      </c>
      <c r="W17">
        <v>63</v>
      </c>
    </row>
    <row r="18" spans="1:23">
      <c r="A18" s="64" t="str">
        <f>IF(E18="","",VLOOKUP('OPĆI DIO'!$C$3,'OPĆI DIO'!$L$6:$U$138,10,FALSE))</f>
        <v>08006</v>
      </c>
      <c r="B18" s="64" t="str">
        <f>IF(E18="","",VLOOKUP('OPĆI DIO'!$C$3,'OPĆI DIO'!$L$6:$U$138,9,FALSE))</f>
        <v>Sveučilišta i veleučilišta u Republici Hrvatskoj</v>
      </c>
      <c r="C18" s="65">
        <f t="shared" si="0"/>
        <v>52</v>
      </c>
      <c r="D18" s="66" t="str">
        <f t="shared" si="1"/>
        <v xml:space="preserve">Ostale pomoći i darovnice </v>
      </c>
      <c r="E18" s="286">
        <v>6391</v>
      </c>
      <c r="F18" s="68" t="str">
        <f t="shared" si="2"/>
        <v>Tekući prijenosi između proračunskih korisnika istog proračuna</v>
      </c>
      <c r="G18" s="78">
        <v>22231</v>
      </c>
      <c r="H18" s="69">
        <v>19802</v>
      </c>
      <c r="I18" s="78">
        <f t="shared" si="3"/>
        <v>-2429</v>
      </c>
      <c r="J18" s="286" t="s">
        <v>148</v>
      </c>
      <c r="L18" t="str">
        <f t="shared" si="4"/>
        <v>63</v>
      </c>
      <c r="M18" t="str">
        <f t="shared" si="5"/>
        <v>639</v>
      </c>
      <c r="N18">
        <v>575</v>
      </c>
      <c r="O18" t="s">
        <v>149</v>
      </c>
      <c r="R18" s="72">
        <v>632310552</v>
      </c>
      <c r="S18" s="72" t="s">
        <v>150</v>
      </c>
      <c r="T18" s="72">
        <v>552</v>
      </c>
      <c r="U18" s="72" t="s">
        <v>137</v>
      </c>
      <c r="V18">
        <v>632</v>
      </c>
      <c r="W18">
        <v>63</v>
      </c>
    </row>
    <row r="19" spans="1:23">
      <c r="A19" s="64" t="str">
        <f>IF(E19="","",VLOOKUP('OPĆI DIO'!$C$3,'OPĆI DIO'!$L$6:$U$138,10,FALSE))</f>
        <v>08006</v>
      </c>
      <c r="B19" s="64" t="str">
        <f>IF(E19="","",VLOOKUP('OPĆI DIO'!$C$3,'OPĆI DIO'!$L$6:$U$138,9,FALSE))</f>
        <v>Sveučilišta i veleučilišta u Republici Hrvatskoj</v>
      </c>
      <c r="C19" s="65">
        <f t="shared" si="0"/>
        <v>52</v>
      </c>
      <c r="D19" s="66" t="str">
        <f t="shared" si="1"/>
        <v xml:space="preserve">Ostale pomoći i darovnice </v>
      </c>
      <c r="E19" s="286">
        <v>6393</v>
      </c>
      <c r="F19" s="68" t="str">
        <f t="shared" si="2"/>
        <v>Tekući prijenosi između proračunskih korisnika istog proračuna temeljem prijenosa EU sredstava</v>
      </c>
      <c r="G19" s="78">
        <v>13440</v>
      </c>
      <c r="H19" s="69">
        <v>6170</v>
      </c>
      <c r="I19" s="78">
        <f t="shared" si="3"/>
        <v>-7270</v>
      </c>
      <c r="J19" s="286" t="s">
        <v>148</v>
      </c>
      <c r="L19" t="str">
        <f t="shared" si="4"/>
        <v>63</v>
      </c>
      <c r="M19" t="str">
        <f t="shared" si="5"/>
        <v>639</v>
      </c>
      <c r="N19" s="73">
        <v>5761</v>
      </c>
      <c r="O19" s="74" t="s">
        <v>151</v>
      </c>
      <c r="R19" s="72">
        <v>632310559</v>
      </c>
      <c r="S19" s="72" t="s">
        <v>152</v>
      </c>
      <c r="T19" s="72">
        <v>559</v>
      </c>
      <c r="U19" s="72" t="s">
        <v>139</v>
      </c>
      <c r="V19">
        <v>632</v>
      </c>
      <c r="W19">
        <v>63</v>
      </c>
    </row>
    <row r="20" spans="1:23">
      <c r="A20" s="64" t="str">
        <f>IF(E20="","",VLOOKUP('OPĆI DIO'!$C$3,'OPĆI DIO'!$L$6:$U$138,10,FALSE))</f>
        <v>08006</v>
      </c>
      <c r="B20" s="64" t="str">
        <f>IF(E20="","",VLOOKUP('OPĆI DIO'!$C$3,'OPĆI DIO'!$L$6:$U$138,9,FALSE))</f>
        <v>Sveučilišta i veleučilišta u Republici Hrvatskoj</v>
      </c>
      <c r="C20" s="65">
        <f t="shared" si="0"/>
        <v>52</v>
      </c>
      <c r="D20" s="66" t="str">
        <f t="shared" si="1"/>
        <v xml:space="preserve">Ostale pomoći i darovnice </v>
      </c>
      <c r="E20" s="286">
        <v>6393</v>
      </c>
      <c r="F20" s="68" t="str">
        <f t="shared" si="2"/>
        <v>Tekući prijenosi između proračunskih korisnika istog proračuna temeljem prijenosa EU sredstava</v>
      </c>
      <c r="G20" s="78">
        <v>21501</v>
      </c>
      <c r="H20" s="69"/>
      <c r="I20" s="78">
        <f t="shared" si="3"/>
        <v>-21501</v>
      </c>
      <c r="J20" s="286" t="s">
        <v>153</v>
      </c>
      <c r="L20" t="str">
        <f t="shared" si="4"/>
        <v>63</v>
      </c>
      <c r="M20" t="str">
        <f t="shared" si="5"/>
        <v>639</v>
      </c>
      <c r="N20" s="73">
        <v>5762</v>
      </c>
      <c r="O20" s="74" t="s">
        <v>151</v>
      </c>
      <c r="R20" s="72">
        <v>632310561</v>
      </c>
      <c r="S20" s="72" t="s">
        <v>141</v>
      </c>
      <c r="T20" s="72">
        <v>561</v>
      </c>
      <c r="U20" s="72" t="s">
        <v>141</v>
      </c>
      <c r="V20">
        <v>632</v>
      </c>
      <c r="W20">
        <v>63</v>
      </c>
    </row>
    <row r="21" spans="1:23">
      <c r="A21" s="64" t="str">
        <f>IF(E21="","",VLOOKUP('OPĆI DIO'!$C$3,'OPĆI DIO'!$L$6:$U$138,10,FALSE))</f>
        <v>08006</v>
      </c>
      <c r="B21" s="64" t="str">
        <f>IF(E21="","",VLOOKUP('OPĆI DIO'!$C$3,'OPĆI DIO'!$L$6:$U$138,9,FALSE))</f>
        <v>Sveučilišta i veleučilišta u Republici Hrvatskoj</v>
      </c>
      <c r="C21" s="65">
        <f t="shared" si="0"/>
        <v>52</v>
      </c>
      <c r="D21" s="66" t="str">
        <f t="shared" si="1"/>
        <v xml:space="preserve">Ostale pomoći i darovnice </v>
      </c>
      <c r="E21" s="286">
        <v>6393</v>
      </c>
      <c r="F21" s="68" t="str">
        <f t="shared" si="2"/>
        <v>Tekući prijenosi između proračunskih korisnika istog proračuna temeljem prijenosa EU sredstava</v>
      </c>
      <c r="G21" s="78">
        <v>61052</v>
      </c>
      <c r="H21" s="69">
        <v>70000</v>
      </c>
      <c r="I21" s="78">
        <f t="shared" si="3"/>
        <v>8948</v>
      </c>
      <c r="J21" s="286" t="s">
        <v>154</v>
      </c>
      <c r="L21" t="str">
        <f t="shared" si="4"/>
        <v>63</v>
      </c>
      <c r="M21" t="str">
        <f t="shared" si="5"/>
        <v>639</v>
      </c>
      <c r="N21">
        <v>581</v>
      </c>
      <c r="O21" s="75" t="s">
        <v>155</v>
      </c>
      <c r="R21" s="72">
        <v>632310563</v>
      </c>
      <c r="S21" s="72" t="s">
        <v>156</v>
      </c>
      <c r="T21" s="72">
        <v>563</v>
      </c>
      <c r="U21" s="72" t="s">
        <v>143</v>
      </c>
      <c r="V21">
        <v>632</v>
      </c>
      <c r="W21">
        <v>63</v>
      </c>
    </row>
    <row r="22" spans="1:23">
      <c r="A22" s="64" t="str">
        <f>IF(E22="","",VLOOKUP('OPĆI DIO'!$C$3,'OPĆI DIO'!$L$6:$U$138,10,FALSE))</f>
        <v/>
      </c>
      <c r="B22" s="64" t="str">
        <f>IF(E22="","",VLOOKUP('OPĆI DIO'!$C$3,'OPĆI DIO'!$L$6:$U$138,9,FALSE))</f>
        <v/>
      </c>
      <c r="C22" s="65" t="str">
        <f t="shared" si="0"/>
        <v/>
      </c>
      <c r="D22" s="66" t="str">
        <f t="shared" si="1"/>
        <v/>
      </c>
      <c r="E22" s="286"/>
      <c r="F22" s="68" t="str">
        <f t="shared" si="2"/>
        <v/>
      </c>
      <c r="G22" s="78"/>
      <c r="H22" s="69"/>
      <c r="I22" s="78">
        <f t="shared" si="3"/>
        <v>0</v>
      </c>
      <c r="J22" s="67"/>
      <c r="L22" t="str">
        <f t="shared" si="4"/>
        <v/>
      </c>
      <c r="M22" t="str">
        <f t="shared" si="5"/>
        <v/>
      </c>
      <c r="N22">
        <v>61</v>
      </c>
      <c r="O22" t="s">
        <v>157</v>
      </c>
      <c r="R22" s="72">
        <v>632310573</v>
      </c>
      <c r="S22" s="72" t="s">
        <v>158</v>
      </c>
      <c r="T22" s="72">
        <v>573</v>
      </c>
      <c r="U22" s="72" t="s">
        <v>146</v>
      </c>
      <c r="V22">
        <v>632</v>
      </c>
      <c r="W22">
        <v>63</v>
      </c>
    </row>
    <row r="23" spans="1:23">
      <c r="A23" s="64" t="str">
        <f>IF(E23="","",VLOOKUP('OPĆI DIO'!$C$3,'OPĆI DIO'!$L$6:$U$138,10,FALSE))</f>
        <v>08006</v>
      </c>
      <c r="B23" s="64" t="str">
        <f>IF(E23="","",VLOOKUP('OPĆI DIO'!$C$3,'OPĆI DIO'!$L$6:$U$138,9,FALSE))</f>
        <v>Sveučilišta i veleučilišta u Republici Hrvatskoj</v>
      </c>
      <c r="C23" s="65">
        <f t="shared" si="0"/>
        <v>561</v>
      </c>
      <c r="D23" s="66" t="str">
        <f t="shared" si="1"/>
        <v>Europski socijalni fond (ESF)</v>
      </c>
      <c r="E23" s="286">
        <v>632310561</v>
      </c>
      <c r="F23" s="68" t="str">
        <f t="shared" si="2"/>
        <v>Europski socijalni fond (ESF)</v>
      </c>
      <c r="G23" s="78">
        <v>18874</v>
      </c>
      <c r="H23" s="69">
        <v>108497</v>
      </c>
      <c r="I23" s="78">
        <f t="shared" si="3"/>
        <v>89623</v>
      </c>
      <c r="J23" s="67"/>
      <c r="L23" t="str">
        <f t="shared" si="4"/>
        <v>63</v>
      </c>
      <c r="M23" t="str">
        <f t="shared" si="5"/>
        <v>632</v>
      </c>
      <c r="N23" s="23">
        <v>63</v>
      </c>
      <c r="O23" t="s">
        <v>159</v>
      </c>
      <c r="R23" s="72">
        <v>632310575</v>
      </c>
      <c r="S23" s="72" t="s">
        <v>160</v>
      </c>
      <c r="T23" s="72">
        <v>575</v>
      </c>
      <c r="U23" s="72" t="s">
        <v>149</v>
      </c>
      <c r="V23">
        <v>632</v>
      </c>
      <c r="W23">
        <v>63</v>
      </c>
    </row>
    <row r="24" spans="1:23">
      <c r="A24" s="64" t="str">
        <f>IF(E24="","",VLOOKUP('OPĆI DIO'!$C$3,'OPĆI DIO'!$L$6:$U$138,10,FALSE))</f>
        <v/>
      </c>
      <c r="B24" s="64" t="str">
        <f>IF(E24="","",VLOOKUP('OPĆI DIO'!$C$3,'OPĆI DIO'!$L$6:$U$138,9,FALSE))</f>
        <v/>
      </c>
      <c r="C24" s="65" t="str">
        <f t="shared" si="0"/>
        <v/>
      </c>
      <c r="D24" s="66" t="str">
        <f t="shared" si="1"/>
        <v/>
      </c>
      <c r="E24" s="286"/>
      <c r="F24" s="68" t="str">
        <f t="shared" si="2"/>
        <v/>
      </c>
      <c r="G24" s="78"/>
      <c r="H24" s="69"/>
      <c r="I24" s="78">
        <f t="shared" si="3"/>
        <v>0</v>
      </c>
      <c r="J24" s="67"/>
      <c r="L24" t="str">
        <f t="shared" si="4"/>
        <v/>
      </c>
      <c r="M24" t="str">
        <f t="shared" si="5"/>
        <v/>
      </c>
      <c r="N24">
        <v>71</v>
      </c>
      <c r="O24" t="s">
        <v>161</v>
      </c>
      <c r="R24" s="76">
        <v>632315761</v>
      </c>
      <c r="S24" s="76" t="s">
        <v>162</v>
      </c>
      <c r="T24" s="76">
        <v>576</v>
      </c>
      <c r="U24" s="76" t="s">
        <v>163</v>
      </c>
      <c r="V24">
        <v>632</v>
      </c>
      <c r="W24">
        <v>63</v>
      </c>
    </row>
    <row r="25" spans="1:23">
      <c r="A25" s="64" t="str">
        <f>IF(E25="","",VLOOKUP('OPĆI DIO'!$C$3,'OPĆI DIO'!$L$6:$U$138,10,FALSE))</f>
        <v>08006</v>
      </c>
      <c r="B25" s="64" t="str">
        <f>IF(E25="","",VLOOKUP('OPĆI DIO'!$C$3,'OPĆI DIO'!$L$6:$U$138,9,FALSE))</f>
        <v>Sveučilišta i veleučilišta u Republici Hrvatskoj</v>
      </c>
      <c r="C25" s="65">
        <f t="shared" si="0"/>
        <v>61</v>
      </c>
      <c r="D25" s="66" t="str">
        <f t="shared" si="1"/>
        <v xml:space="preserve">Donacije </v>
      </c>
      <c r="E25" s="286">
        <v>663130000</v>
      </c>
      <c r="F25" s="68" t="str">
        <f t="shared" si="2"/>
        <v>Tekuće donacije od trgovačkih društava</v>
      </c>
      <c r="G25" s="78">
        <v>40480</v>
      </c>
      <c r="H25" s="69">
        <v>63144</v>
      </c>
      <c r="I25" s="78">
        <f t="shared" si="3"/>
        <v>22664</v>
      </c>
      <c r="J25" s="67"/>
      <c r="L25" t="str">
        <f t="shared" si="4"/>
        <v>66</v>
      </c>
      <c r="M25" t="str">
        <f t="shared" si="5"/>
        <v>663</v>
      </c>
      <c r="N25">
        <v>81</v>
      </c>
      <c r="O25" t="s">
        <v>164</v>
      </c>
      <c r="R25" s="76">
        <v>632315762</v>
      </c>
      <c r="S25" s="76" t="s">
        <v>165</v>
      </c>
      <c r="T25" s="76">
        <v>576</v>
      </c>
      <c r="U25" s="76" t="s">
        <v>163</v>
      </c>
      <c r="V25">
        <v>632</v>
      </c>
      <c r="W25">
        <v>63</v>
      </c>
    </row>
    <row r="26" spans="1:23">
      <c r="A26" s="64" t="str">
        <f>IF(E26="","",VLOOKUP('OPĆI DIO'!$C$3,'OPĆI DIO'!$L$6:$U$138,10,FALSE))</f>
        <v/>
      </c>
      <c r="B26" s="64" t="str">
        <f>IF(E26="","",VLOOKUP('OPĆI DIO'!$C$3,'OPĆI DIO'!$L$6:$U$138,9,FALSE))</f>
        <v/>
      </c>
      <c r="C26" s="65" t="str">
        <f t="shared" si="0"/>
        <v/>
      </c>
      <c r="D26" s="66" t="str">
        <f t="shared" si="1"/>
        <v/>
      </c>
      <c r="E26" s="286"/>
      <c r="F26" s="68" t="str">
        <f t="shared" si="2"/>
        <v/>
      </c>
      <c r="G26" s="78"/>
      <c r="H26" s="69"/>
      <c r="I26" s="78">
        <f t="shared" si="3"/>
        <v>0</v>
      </c>
      <c r="J26" s="67"/>
      <c r="L26" t="str">
        <f t="shared" si="4"/>
        <v/>
      </c>
      <c r="M26" t="str">
        <f t="shared" si="5"/>
        <v/>
      </c>
      <c r="R26" s="72">
        <v>632310581</v>
      </c>
      <c r="S26" s="72" t="s">
        <v>166</v>
      </c>
      <c r="T26" s="72">
        <v>581</v>
      </c>
      <c r="U26" s="72" t="s">
        <v>155</v>
      </c>
      <c r="V26">
        <v>632</v>
      </c>
      <c r="W26">
        <v>63</v>
      </c>
    </row>
    <row r="27" spans="1:23">
      <c r="A27" s="64" t="str">
        <f>IF(E27="","",VLOOKUP('OPĆI DIO'!$C$3,'OPĆI DIO'!$L$6:$U$138,10,FALSE))</f>
        <v>08006</v>
      </c>
      <c r="B27" s="64" t="str">
        <f>IF(E27="","",VLOOKUP('OPĆI DIO'!$C$3,'OPĆI DIO'!$L$6:$U$138,9,FALSE))</f>
        <v>Sveučilišta i veleučilišta u Republici Hrvatskoj</v>
      </c>
      <c r="C27" s="65">
        <f t="shared" si="0"/>
        <v>71</v>
      </c>
      <c r="D27" s="66" t="str">
        <f t="shared" si="1"/>
        <v>Prihodi od prodaje ili zamjene nefinancijske imovine i naknade s naslova osiguranja</v>
      </c>
      <c r="E27" s="286">
        <v>721110071</v>
      </c>
      <c r="F27" s="68" t="str">
        <f t="shared" si="2"/>
        <v>Stambeni objekti za zaposlene izvor 71</v>
      </c>
      <c r="G27" s="78">
        <v>796</v>
      </c>
      <c r="H27" s="69">
        <v>722</v>
      </c>
      <c r="I27" s="78">
        <f t="shared" si="3"/>
        <v>-74</v>
      </c>
      <c r="J27" s="67"/>
      <c r="L27" t="str">
        <f t="shared" si="4"/>
        <v>72</v>
      </c>
      <c r="M27" t="str">
        <f t="shared" si="5"/>
        <v>721</v>
      </c>
      <c r="R27" s="72">
        <v>632311700</v>
      </c>
      <c r="S27" s="72" t="s">
        <v>167</v>
      </c>
      <c r="T27" s="72">
        <v>51</v>
      </c>
      <c r="U27" s="72" t="s">
        <v>168</v>
      </c>
      <c r="V27">
        <v>632</v>
      </c>
      <c r="W27">
        <v>63</v>
      </c>
    </row>
    <row r="28" spans="1:23">
      <c r="A28" s="64" t="str">
        <f>IF(E28="","",VLOOKUP('OPĆI DIO'!$C$3,'OPĆI DIO'!$L$6:$U$138,10,FALSE))</f>
        <v/>
      </c>
      <c r="B28" s="64" t="str">
        <f>IF(E28="","",VLOOKUP('OPĆI DIO'!$C$3,'OPĆI DIO'!$L$6:$U$138,9,FALSE))</f>
        <v/>
      </c>
      <c r="C28" s="65" t="str">
        <f t="shared" si="0"/>
        <v/>
      </c>
      <c r="D28" s="66" t="str">
        <f t="shared" si="1"/>
        <v/>
      </c>
      <c r="E28" s="67"/>
      <c r="F28" s="68" t="str">
        <f t="shared" si="2"/>
        <v/>
      </c>
      <c r="G28" s="69"/>
      <c r="H28" s="69"/>
      <c r="I28" s="78">
        <f t="shared" si="3"/>
        <v>0</v>
      </c>
      <c r="J28" s="67"/>
      <c r="L28" t="str">
        <f t="shared" si="4"/>
        <v/>
      </c>
      <c r="M28" t="str">
        <f t="shared" si="5"/>
        <v/>
      </c>
      <c r="R28" s="72">
        <v>632311800</v>
      </c>
      <c r="S28" s="72" t="s">
        <v>169</v>
      </c>
      <c r="T28" s="72">
        <v>51</v>
      </c>
      <c r="U28" s="72" t="s">
        <v>168</v>
      </c>
      <c r="V28">
        <v>632</v>
      </c>
      <c r="W28">
        <v>63</v>
      </c>
    </row>
    <row r="29" spans="1:23">
      <c r="A29" s="64" t="str">
        <f>IF(E29="","",VLOOKUP('OPĆI DIO'!$C$3,'OPĆI DIO'!$L$6:$U$138,10,FALSE))</f>
        <v>08006</v>
      </c>
      <c r="B29" s="64" t="str">
        <f>IF(E29="","",VLOOKUP('OPĆI DIO'!$C$3,'OPĆI DIO'!$L$6:$U$138,9,FALSE))</f>
        <v>Sveučilišta i veleučilišta u Republici Hrvatskoj</v>
      </c>
      <c r="C29" s="65">
        <f t="shared" si="0"/>
        <v>52</v>
      </c>
      <c r="D29" s="66" t="str">
        <f t="shared" si="1"/>
        <v xml:space="preserve">Ostale pomoći i darovnice </v>
      </c>
      <c r="E29" s="67">
        <v>6393</v>
      </c>
      <c r="F29" s="68" t="str">
        <f t="shared" si="2"/>
        <v>Tekući prijenosi između proračunskih korisnika istog proračuna temeljem prijenosa EU sredstava</v>
      </c>
      <c r="G29" s="69"/>
      <c r="H29" s="69">
        <v>3751</v>
      </c>
      <c r="I29" s="78">
        <f t="shared" si="3"/>
        <v>3751</v>
      </c>
      <c r="J29" s="67" t="s">
        <v>4217</v>
      </c>
      <c r="L29" t="str">
        <f t="shared" si="4"/>
        <v>63</v>
      </c>
      <c r="M29" t="str">
        <f t="shared" si="5"/>
        <v>639</v>
      </c>
      <c r="R29" s="72">
        <v>632410552</v>
      </c>
      <c r="S29" s="72" t="s">
        <v>170</v>
      </c>
      <c r="T29" s="72">
        <v>552</v>
      </c>
      <c r="U29" s="72" t="s">
        <v>137</v>
      </c>
      <c r="V29">
        <v>632</v>
      </c>
      <c r="W29">
        <v>63</v>
      </c>
    </row>
    <row r="30" spans="1:23">
      <c r="A30" s="64" t="str">
        <f>IF(E30="","",VLOOKUP('OPĆI DIO'!$C$3,'OPĆI DIO'!$L$6:$U$138,10,FALSE))</f>
        <v/>
      </c>
      <c r="B30" s="64" t="str">
        <f>IF(E30="","",VLOOKUP('OPĆI DIO'!$C$3,'OPĆI DIO'!$L$6:$U$138,9,FALSE))</f>
        <v/>
      </c>
      <c r="C30" s="65" t="str">
        <f t="shared" si="0"/>
        <v/>
      </c>
      <c r="D30" s="66" t="str">
        <f t="shared" si="1"/>
        <v/>
      </c>
      <c r="E30" s="67"/>
      <c r="F30" s="68" t="str">
        <f t="shared" si="2"/>
        <v/>
      </c>
      <c r="G30" s="69"/>
      <c r="H30" s="69"/>
      <c r="I30" s="78">
        <f t="shared" si="3"/>
        <v>0</v>
      </c>
      <c r="J30" s="67"/>
      <c r="L30" t="str">
        <f t="shared" si="4"/>
        <v/>
      </c>
      <c r="M30" t="str">
        <f t="shared" si="5"/>
        <v/>
      </c>
      <c r="R30" s="72">
        <v>632410559</v>
      </c>
      <c r="S30" s="72" t="s">
        <v>171</v>
      </c>
      <c r="T30" s="72">
        <v>559</v>
      </c>
      <c r="U30" s="72" t="s">
        <v>139</v>
      </c>
      <c r="V30">
        <v>632</v>
      </c>
      <c r="W30">
        <v>63</v>
      </c>
    </row>
    <row r="31" spans="1:23">
      <c r="A31" s="64" t="str">
        <f>IF(E31="","",VLOOKUP('OPĆI DIO'!$C$3,'OPĆI DIO'!$L$6:$U$138,10,FALSE))</f>
        <v>08006</v>
      </c>
      <c r="B31" s="64" t="str">
        <f>IF(E31="","",VLOOKUP('OPĆI DIO'!$C$3,'OPĆI DIO'!$L$6:$U$138,9,FALSE))</f>
        <v>Sveučilišta i veleučilišta u Republici Hrvatskoj</v>
      </c>
      <c r="C31" s="65">
        <f t="shared" si="0"/>
        <v>52</v>
      </c>
      <c r="D31" s="66" t="str">
        <f t="shared" si="1"/>
        <v xml:space="preserve">Ostale pomoći i darovnice </v>
      </c>
      <c r="E31" s="67">
        <v>632112000</v>
      </c>
      <c r="F31" s="68" t="str">
        <f t="shared" si="2"/>
        <v>Tekuće pomoći od međunarodnih organizacija</v>
      </c>
      <c r="G31" s="69"/>
      <c r="H31" s="69">
        <v>10000</v>
      </c>
      <c r="I31" s="78">
        <f t="shared" si="3"/>
        <v>10000</v>
      </c>
      <c r="J31" s="67"/>
      <c r="L31" t="str">
        <f t="shared" si="4"/>
        <v>63</v>
      </c>
      <c r="M31" t="str">
        <f t="shared" si="5"/>
        <v>632</v>
      </c>
      <c r="R31" s="72">
        <v>632410561</v>
      </c>
      <c r="S31" s="72" t="s">
        <v>141</v>
      </c>
      <c r="T31" s="72">
        <v>561</v>
      </c>
      <c r="U31" s="72" t="s">
        <v>141</v>
      </c>
      <c r="V31">
        <v>632</v>
      </c>
      <c r="W31">
        <v>63</v>
      </c>
    </row>
    <row r="32" spans="1:23">
      <c r="A32" s="64" t="str">
        <f>IF(E32="","",VLOOKUP('OPĆI DIO'!$C$3,'OPĆI DIO'!$L$6:$U$138,10,FALSE))</f>
        <v/>
      </c>
      <c r="B32" s="64" t="str">
        <f>IF(E32="","",VLOOKUP('OPĆI DIO'!$C$3,'OPĆI DIO'!$L$6:$U$138,9,FALSE))</f>
        <v/>
      </c>
      <c r="C32" s="65" t="str">
        <f t="shared" si="0"/>
        <v/>
      </c>
      <c r="D32" s="66" t="str">
        <f t="shared" si="1"/>
        <v/>
      </c>
      <c r="E32" s="67"/>
      <c r="F32" s="68" t="str">
        <f t="shared" si="2"/>
        <v/>
      </c>
      <c r="G32" s="69"/>
      <c r="H32" s="69"/>
      <c r="I32" s="78">
        <f t="shared" si="3"/>
        <v>0</v>
      </c>
      <c r="J32" s="67"/>
      <c r="L32" t="str">
        <f t="shared" si="4"/>
        <v/>
      </c>
      <c r="M32" t="str">
        <f t="shared" si="5"/>
        <v/>
      </c>
      <c r="R32" s="72">
        <v>632410563</v>
      </c>
      <c r="S32" s="72" t="s">
        <v>156</v>
      </c>
      <c r="T32" s="72">
        <v>563</v>
      </c>
      <c r="U32" s="72" t="s">
        <v>143</v>
      </c>
      <c r="V32">
        <v>632</v>
      </c>
      <c r="W32">
        <v>63</v>
      </c>
    </row>
    <row r="33" spans="1:23">
      <c r="A33" s="64" t="str">
        <f>IF(E33="","",VLOOKUP('OPĆI DIO'!$C$3,'OPĆI DIO'!$L$6:$U$138,10,FALSE))</f>
        <v>08006</v>
      </c>
      <c r="B33" s="64" t="str">
        <f>IF(E33="","",VLOOKUP('OPĆI DIO'!$C$3,'OPĆI DIO'!$L$6:$U$138,9,FALSE))</f>
        <v>Sveučilišta i veleučilišta u Republici Hrvatskoj</v>
      </c>
      <c r="C33" s="65">
        <f t="shared" si="0"/>
        <v>52</v>
      </c>
      <c r="D33" s="66" t="str">
        <f t="shared" si="1"/>
        <v xml:space="preserve">Ostale pomoći i darovnice </v>
      </c>
      <c r="E33" s="67">
        <v>6361</v>
      </c>
      <c r="F33" s="68" t="str">
        <f t="shared" si="2"/>
        <v>Tekuće pomoći proračunskim korisnicima iz proračuna JLP(R)S koji im nije nadležan</v>
      </c>
      <c r="G33" s="69"/>
      <c r="H33" s="69">
        <v>500</v>
      </c>
      <c r="I33" s="78">
        <f t="shared" si="3"/>
        <v>500</v>
      </c>
      <c r="J33" s="67"/>
      <c r="L33" t="str">
        <f t="shared" si="4"/>
        <v>63</v>
      </c>
      <c r="M33" t="str">
        <f t="shared" si="5"/>
        <v>636</v>
      </c>
      <c r="R33" s="72">
        <v>632410573</v>
      </c>
      <c r="S33" s="72" t="s">
        <v>172</v>
      </c>
      <c r="T33" s="72">
        <v>573</v>
      </c>
      <c r="U33" s="72" t="s">
        <v>146</v>
      </c>
      <c r="V33">
        <v>632</v>
      </c>
      <c r="W33">
        <v>63</v>
      </c>
    </row>
    <row r="34" spans="1:23">
      <c r="A34" s="64" t="str">
        <f>IF(E34="","",VLOOKUP('OPĆI DIO'!$C$3,'OPĆI DIO'!$L$6:$U$138,10,FALSE))</f>
        <v/>
      </c>
      <c r="B34" s="64" t="str">
        <f>IF(E34="","",VLOOKUP('OPĆI DIO'!$C$3,'OPĆI DIO'!$L$6:$U$138,9,FALSE))</f>
        <v/>
      </c>
      <c r="C34" s="65" t="str">
        <f t="shared" si="0"/>
        <v/>
      </c>
      <c r="D34" s="66" t="str">
        <f t="shared" si="1"/>
        <v/>
      </c>
      <c r="E34" s="67"/>
      <c r="F34" s="68" t="str">
        <f t="shared" si="2"/>
        <v/>
      </c>
      <c r="G34" s="69"/>
      <c r="H34" s="69"/>
      <c r="I34" s="78">
        <f t="shared" si="3"/>
        <v>0</v>
      </c>
      <c r="J34" s="67"/>
      <c r="L34" t="str">
        <f t="shared" si="4"/>
        <v/>
      </c>
      <c r="M34" t="str">
        <f t="shared" si="5"/>
        <v/>
      </c>
      <c r="R34" s="72">
        <v>632410575</v>
      </c>
      <c r="S34" s="72" t="s">
        <v>173</v>
      </c>
      <c r="T34" s="72">
        <v>575</v>
      </c>
      <c r="U34" s="72" t="s">
        <v>149</v>
      </c>
      <c r="V34">
        <v>632</v>
      </c>
      <c r="W34">
        <v>63</v>
      </c>
    </row>
    <row r="35" spans="1:23">
      <c r="A35" s="64" t="str">
        <f>IF(E35="","",VLOOKUP('OPĆI DIO'!$C$3,'OPĆI DIO'!$L$6:$U$138,10,FALSE))</f>
        <v>08006</v>
      </c>
      <c r="B35" s="64" t="str">
        <f>IF(E35="","",VLOOKUP('OPĆI DIO'!$C$3,'OPĆI DIO'!$L$6:$U$138,9,FALSE))</f>
        <v>Sveučilišta i veleučilišta u Republici Hrvatskoj</v>
      </c>
      <c r="C35" s="65">
        <f t="shared" si="0"/>
        <v>61</v>
      </c>
      <c r="D35" s="66" t="str">
        <f t="shared" si="1"/>
        <v xml:space="preserve">Donacije </v>
      </c>
      <c r="E35" s="67">
        <v>663110000</v>
      </c>
      <c r="F35" s="68" t="str">
        <f t="shared" si="2"/>
        <v>Tekuće donacije od fizičkih osoba</v>
      </c>
      <c r="G35" s="69"/>
      <c r="H35" s="69">
        <v>1556</v>
      </c>
      <c r="I35" s="78">
        <f t="shared" si="3"/>
        <v>1556</v>
      </c>
      <c r="J35" s="67"/>
      <c r="L35" t="str">
        <f t="shared" si="4"/>
        <v>66</v>
      </c>
      <c r="M35" t="str">
        <f t="shared" si="5"/>
        <v>663</v>
      </c>
      <c r="R35" s="76">
        <v>632415761</v>
      </c>
      <c r="S35" s="76" t="s">
        <v>174</v>
      </c>
      <c r="T35" s="76">
        <v>576</v>
      </c>
      <c r="U35" s="76" t="s">
        <v>163</v>
      </c>
      <c r="V35">
        <v>632</v>
      </c>
      <c r="W35">
        <v>63</v>
      </c>
    </row>
    <row r="36" spans="1:23">
      <c r="A36" s="64" t="str">
        <f>IF(E36="","",VLOOKUP('OPĆI DIO'!$C$3,'OPĆI DIO'!$L$6:$U$138,10,FALSE))</f>
        <v>08006</v>
      </c>
      <c r="B36" s="64" t="str">
        <f>IF(E36="","",VLOOKUP('OPĆI DIO'!$C$3,'OPĆI DIO'!$L$6:$U$138,9,FALSE))</f>
        <v>Sveučilišta i veleučilišta u Republici Hrvatskoj</v>
      </c>
      <c r="C36" s="65">
        <f t="shared" si="0"/>
        <v>61</v>
      </c>
      <c r="D36" s="66" t="str">
        <f t="shared" si="1"/>
        <v xml:space="preserve">Donacije </v>
      </c>
      <c r="E36" s="67">
        <v>663120000</v>
      </c>
      <c r="F36" s="68" t="str">
        <f t="shared" si="2"/>
        <v>Tekuće donacije od neprofitnih organizacija</v>
      </c>
      <c r="G36" s="69"/>
      <c r="H36" s="69">
        <v>800</v>
      </c>
      <c r="I36" s="78">
        <f t="shared" si="3"/>
        <v>800</v>
      </c>
      <c r="J36" s="67"/>
      <c r="L36" t="str">
        <f t="shared" si="4"/>
        <v>66</v>
      </c>
      <c r="M36" t="str">
        <f t="shared" si="5"/>
        <v>663</v>
      </c>
      <c r="R36" s="76">
        <v>632415762</v>
      </c>
      <c r="S36" s="76" t="s">
        <v>175</v>
      </c>
      <c r="T36" s="76">
        <v>576</v>
      </c>
      <c r="U36" s="76" t="s">
        <v>163</v>
      </c>
      <c r="V36">
        <v>632</v>
      </c>
      <c r="W36">
        <v>63</v>
      </c>
    </row>
    <row r="37" spans="1:23">
      <c r="A37" s="64" t="str">
        <f>IF(E37="","",VLOOKUP('OPĆI DIO'!$C$3,'OPĆI DIO'!$L$6:$U$138,10,FALSE))</f>
        <v/>
      </c>
      <c r="B37" s="64" t="str">
        <f>IF(E37="","",VLOOKUP('OPĆI DIO'!$C$3,'OPĆI DIO'!$L$6:$U$138,9,FALSE))</f>
        <v/>
      </c>
      <c r="C37" s="65" t="str">
        <f t="shared" si="0"/>
        <v/>
      </c>
      <c r="D37" s="66" t="str">
        <f t="shared" si="1"/>
        <v/>
      </c>
      <c r="E37" s="67"/>
      <c r="F37" s="68" t="str">
        <f t="shared" ref="F37" si="6">IFERROR(VLOOKUP(E37,$R$6:$U$108,2,FALSE),"")</f>
        <v/>
      </c>
      <c r="G37" s="69"/>
      <c r="H37" s="69"/>
      <c r="I37" s="78">
        <f t="shared" si="3"/>
        <v>0</v>
      </c>
      <c r="J37" s="67"/>
      <c r="L37" t="str">
        <f t="shared" si="4"/>
        <v/>
      </c>
      <c r="M37" t="str">
        <f t="shared" si="5"/>
        <v/>
      </c>
      <c r="R37" s="72">
        <v>632410581</v>
      </c>
      <c r="S37" s="72" t="s">
        <v>176</v>
      </c>
      <c r="T37" s="72">
        <v>581</v>
      </c>
      <c r="U37" s="72" t="s">
        <v>155</v>
      </c>
      <c r="V37">
        <v>632</v>
      </c>
      <c r="W37">
        <v>63</v>
      </c>
    </row>
    <row r="38" spans="1:23">
      <c r="A38" s="64" t="str">
        <f>IF(E38="","",VLOOKUP('OPĆI DIO'!$C$3,'OPĆI DIO'!$L$6:$U$138,10,FALSE))</f>
        <v>08006</v>
      </c>
      <c r="B38" s="64" t="str">
        <f>IF(E38="","",VLOOKUP('OPĆI DIO'!$C$3,'OPĆI DIO'!$L$6:$U$138,9,FALSE))</f>
        <v>Sveučilišta i veleučilišta u Republici Hrvatskoj</v>
      </c>
      <c r="C38" s="65">
        <f>IFERROR(VLOOKUP(E38,$R$6:$U$109,3,FALSE),"")</f>
        <v>31</v>
      </c>
      <c r="D38" s="66" t="str">
        <f>IFERROR(VLOOKUP(E38,$R$6:$U$109,4,FALSE),"")</f>
        <v>Vlastiti prihodi</v>
      </c>
      <c r="E38" s="67">
        <v>641430031</v>
      </c>
      <c r="F38" s="68" t="str">
        <f>IFERROR(VLOOKUP(E38,$R$6:$U$109,2,FALSE),"")</f>
        <v>Zatezne kamate iz obveznih odnosa - drugo</v>
      </c>
      <c r="G38" s="69"/>
      <c r="H38" s="69">
        <v>100</v>
      </c>
      <c r="I38" s="78">
        <f t="shared" si="3"/>
        <v>100</v>
      </c>
      <c r="J38" s="67"/>
      <c r="L38" t="str">
        <f t="shared" si="4"/>
        <v>64</v>
      </c>
      <c r="M38" t="str">
        <f t="shared" si="5"/>
        <v>641</v>
      </c>
      <c r="R38" s="72">
        <v>632411700</v>
      </c>
      <c r="S38" s="72" t="s">
        <v>177</v>
      </c>
      <c r="T38" s="72">
        <v>51</v>
      </c>
      <c r="U38" s="72" t="s">
        <v>168</v>
      </c>
      <c r="V38">
        <v>632</v>
      </c>
      <c r="W38">
        <v>63</v>
      </c>
    </row>
    <row r="39" spans="1:23">
      <c r="A39" s="64" t="str">
        <f>IF(E39="","",VLOOKUP('OPĆI DIO'!$C$3,'OPĆI DIO'!$L$6:$U$138,10,FALSE))</f>
        <v/>
      </c>
      <c r="B39" s="64" t="str">
        <f>IF(E39="","",VLOOKUP('OPĆI DIO'!$C$3,'OPĆI DIO'!$L$6:$U$138,9,FALSE))</f>
        <v/>
      </c>
      <c r="C39" s="65" t="str">
        <f t="shared" ref="C39:C102" si="7">IFERROR(VLOOKUP(E39,$R$6:$U$109,3,FALSE),"")</f>
        <v/>
      </c>
      <c r="D39" s="66" t="str">
        <f t="shared" ref="D39:D102" si="8">IFERROR(VLOOKUP(E39,$R$6:$U$109,4,FALSE),"")</f>
        <v/>
      </c>
      <c r="E39" s="67"/>
      <c r="F39" s="68" t="str">
        <f t="shared" ref="F39:F102" si="9">IFERROR(VLOOKUP(E39,$R$6:$U$109,2,FALSE),"")</f>
        <v/>
      </c>
      <c r="G39" s="69"/>
      <c r="H39" s="69"/>
      <c r="I39" s="78">
        <f t="shared" si="3"/>
        <v>0</v>
      </c>
      <c r="J39" s="67"/>
      <c r="K39" s="77"/>
      <c r="L39" t="str">
        <f t="shared" si="4"/>
        <v/>
      </c>
      <c r="M39" s="77">
        <f>+G11+G12+G37</f>
        <v>864291</v>
      </c>
      <c r="R39" s="72">
        <v>6341</v>
      </c>
      <c r="S39" s="72" t="s">
        <v>178</v>
      </c>
      <c r="T39" s="72">
        <v>52</v>
      </c>
      <c r="U39" s="72" t="s">
        <v>136</v>
      </c>
      <c r="V39">
        <v>634</v>
      </c>
      <c r="W39">
        <v>63</v>
      </c>
    </row>
    <row r="40" spans="1:23">
      <c r="A40" s="64" t="str">
        <f>IF(E40="","",VLOOKUP('OPĆI DIO'!$C$3,'OPĆI DIO'!$L$6:$U$138,10,FALSE))</f>
        <v/>
      </c>
      <c r="B40" s="64" t="str">
        <f>IF(E40="","",VLOOKUP('OPĆI DIO'!$C$3,'OPĆI DIO'!$L$6:$U$138,9,FALSE))</f>
        <v/>
      </c>
      <c r="C40" s="65" t="str">
        <f t="shared" si="7"/>
        <v/>
      </c>
      <c r="D40" s="66" t="str">
        <f t="shared" si="8"/>
        <v/>
      </c>
      <c r="E40" s="67"/>
      <c r="F40" s="68" t="str">
        <f t="shared" si="9"/>
        <v/>
      </c>
      <c r="G40" s="69"/>
      <c r="H40" s="69"/>
      <c r="I40" s="78">
        <f t="shared" si="3"/>
        <v>0</v>
      </c>
      <c r="J40" s="67"/>
      <c r="L40" t="str">
        <f t="shared" si="4"/>
        <v/>
      </c>
      <c r="M40" t="str">
        <f t="shared" si="5"/>
        <v/>
      </c>
      <c r="R40" s="72">
        <v>6342</v>
      </c>
      <c r="S40" s="72" t="s">
        <v>179</v>
      </c>
      <c r="T40" s="72">
        <v>52</v>
      </c>
      <c r="U40" s="72" t="s">
        <v>136</v>
      </c>
      <c r="V40">
        <v>634</v>
      </c>
      <c r="W40">
        <v>63</v>
      </c>
    </row>
    <row r="41" spans="1:23">
      <c r="A41" s="64" t="str">
        <f>IF(E41="","",VLOOKUP('OPĆI DIO'!$C$3,'OPĆI DIO'!$L$6:$U$138,10,FALSE))</f>
        <v/>
      </c>
      <c r="B41" s="64" t="str">
        <f>IF(E41="","",VLOOKUP('OPĆI DIO'!$C$3,'OPĆI DIO'!$L$6:$U$138,9,FALSE))</f>
        <v/>
      </c>
      <c r="C41" s="65" t="str">
        <f t="shared" si="7"/>
        <v/>
      </c>
      <c r="D41" s="66" t="str">
        <f t="shared" si="8"/>
        <v/>
      </c>
      <c r="E41" s="67"/>
      <c r="F41" s="68" t="str">
        <f t="shared" si="9"/>
        <v/>
      </c>
      <c r="G41" s="69"/>
      <c r="H41" s="69"/>
      <c r="I41" s="78">
        <f t="shared" si="3"/>
        <v>0</v>
      </c>
      <c r="J41" s="67"/>
      <c r="L41" t="str">
        <f t="shared" si="4"/>
        <v/>
      </c>
      <c r="M41" t="str">
        <f t="shared" si="5"/>
        <v/>
      </c>
      <c r="R41" s="72">
        <v>6361</v>
      </c>
      <c r="S41" s="72" t="s">
        <v>180</v>
      </c>
      <c r="T41" s="72">
        <v>52</v>
      </c>
      <c r="U41" s="72" t="s">
        <v>136</v>
      </c>
      <c r="V41">
        <v>636</v>
      </c>
      <c r="W41">
        <v>63</v>
      </c>
    </row>
    <row r="42" spans="1:23">
      <c r="A42" s="64" t="str">
        <f>IF(E42="","",VLOOKUP('OPĆI DIO'!$C$3,'OPĆI DIO'!$L$6:$U$138,10,FALSE))</f>
        <v/>
      </c>
      <c r="B42" s="64" t="str">
        <f>IF(E42="","",VLOOKUP('OPĆI DIO'!$C$3,'OPĆI DIO'!$L$6:$U$138,9,FALSE))</f>
        <v/>
      </c>
      <c r="C42" s="65" t="str">
        <f t="shared" si="7"/>
        <v/>
      </c>
      <c r="D42" s="66" t="str">
        <f t="shared" si="8"/>
        <v/>
      </c>
      <c r="E42" s="67"/>
      <c r="F42" s="68" t="str">
        <f t="shared" si="9"/>
        <v/>
      </c>
      <c r="G42" s="69"/>
      <c r="H42" s="69"/>
      <c r="I42" s="78">
        <f t="shared" si="3"/>
        <v>0</v>
      </c>
      <c r="J42" s="67"/>
      <c r="L42" t="str">
        <f t="shared" si="4"/>
        <v/>
      </c>
      <c r="M42" t="str">
        <f t="shared" si="5"/>
        <v/>
      </c>
      <c r="R42" s="72">
        <v>6362</v>
      </c>
      <c r="S42" s="72" t="s">
        <v>181</v>
      </c>
      <c r="T42" s="72">
        <v>52</v>
      </c>
      <c r="U42" s="72" t="s">
        <v>136</v>
      </c>
      <c r="V42">
        <v>636</v>
      </c>
      <c r="W42">
        <v>63</v>
      </c>
    </row>
    <row r="43" spans="1:23">
      <c r="A43" s="64" t="str">
        <f>IF(E43="","",VLOOKUP('OPĆI DIO'!$C$3,'OPĆI DIO'!$L$6:$U$138,10,FALSE))</f>
        <v/>
      </c>
      <c r="B43" s="64" t="str">
        <f>IF(E43="","",VLOOKUP('OPĆI DIO'!$C$3,'OPĆI DIO'!$L$6:$U$138,9,FALSE))</f>
        <v/>
      </c>
      <c r="C43" s="65" t="str">
        <f t="shared" si="7"/>
        <v/>
      </c>
      <c r="D43" s="66" t="str">
        <f t="shared" si="8"/>
        <v/>
      </c>
      <c r="E43" s="67"/>
      <c r="F43" s="68" t="str">
        <f t="shared" si="9"/>
        <v/>
      </c>
      <c r="G43" s="69"/>
      <c r="H43" s="69"/>
      <c r="I43" s="78">
        <f t="shared" si="3"/>
        <v>0</v>
      </c>
      <c r="J43" s="67"/>
      <c r="L43" t="str">
        <f t="shared" si="4"/>
        <v/>
      </c>
      <c r="M43" t="str">
        <f t="shared" si="5"/>
        <v/>
      </c>
      <c r="R43" s="72">
        <v>6381</v>
      </c>
      <c r="S43" s="72" t="s">
        <v>182</v>
      </c>
      <c r="T43" s="72">
        <v>52</v>
      </c>
      <c r="U43" s="72" t="s">
        <v>136</v>
      </c>
      <c r="V43">
        <v>638</v>
      </c>
      <c r="W43">
        <v>63</v>
      </c>
    </row>
    <row r="44" spans="1:23">
      <c r="A44" s="64" t="str">
        <f>IF(E44="","",VLOOKUP('OPĆI DIO'!$C$3,'OPĆI DIO'!$L$6:$U$138,10,FALSE))</f>
        <v/>
      </c>
      <c r="B44" s="64" t="str">
        <f>IF(E44="","",VLOOKUP('OPĆI DIO'!$C$3,'OPĆI DIO'!$L$6:$U$138,9,FALSE))</f>
        <v/>
      </c>
      <c r="C44" s="65" t="str">
        <f t="shared" si="7"/>
        <v/>
      </c>
      <c r="D44" s="66" t="str">
        <f t="shared" si="8"/>
        <v/>
      </c>
      <c r="E44" s="67"/>
      <c r="F44" s="68" t="str">
        <f t="shared" si="9"/>
        <v/>
      </c>
      <c r="G44" s="69"/>
      <c r="H44" s="69"/>
      <c r="I44" s="78">
        <f t="shared" si="3"/>
        <v>0</v>
      </c>
      <c r="J44" s="67"/>
      <c r="L44" t="str">
        <f t="shared" si="4"/>
        <v/>
      </c>
      <c r="M44" t="str">
        <f t="shared" si="5"/>
        <v/>
      </c>
      <c r="R44" s="72">
        <v>6382</v>
      </c>
      <c r="S44" s="72" t="s">
        <v>183</v>
      </c>
      <c r="T44" s="72">
        <v>52</v>
      </c>
      <c r="U44" s="72" t="s">
        <v>136</v>
      </c>
      <c r="V44">
        <v>638</v>
      </c>
      <c r="W44">
        <v>63</v>
      </c>
    </row>
    <row r="45" spans="1:23">
      <c r="A45" s="64" t="str">
        <f>IF(E45="","",VLOOKUP('OPĆI DIO'!$C$3,'OPĆI DIO'!$L$6:$U$138,10,FALSE))</f>
        <v/>
      </c>
      <c r="B45" s="64" t="str">
        <f>IF(E45="","",VLOOKUP('OPĆI DIO'!$C$3,'OPĆI DIO'!$L$6:$U$138,9,FALSE))</f>
        <v/>
      </c>
      <c r="C45" s="65" t="str">
        <f t="shared" si="7"/>
        <v/>
      </c>
      <c r="D45" s="66" t="str">
        <f t="shared" si="8"/>
        <v/>
      </c>
      <c r="E45" s="67"/>
      <c r="F45" s="68" t="str">
        <f t="shared" si="9"/>
        <v/>
      </c>
      <c r="G45" s="69"/>
      <c r="H45" s="69"/>
      <c r="I45" s="78">
        <f t="shared" si="3"/>
        <v>0</v>
      </c>
      <c r="J45" s="67"/>
      <c r="L45" t="str">
        <f t="shared" si="4"/>
        <v/>
      </c>
      <c r="M45" t="str">
        <f t="shared" si="5"/>
        <v/>
      </c>
      <c r="R45" s="72">
        <v>6391</v>
      </c>
      <c r="S45" s="72" t="s">
        <v>184</v>
      </c>
      <c r="T45" s="72">
        <v>52</v>
      </c>
      <c r="U45" s="72" t="s">
        <v>136</v>
      </c>
      <c r="V45">
        <v>639</v>
      </c>
      <c r="W45">
        <v>63</v>
      </c>
    </row>
    <row r="46" spans="1:23">
      <c r="A46" s="64" t="str">
        <f>IF(E46="","",VLOOKUP('OPĆI DIO'!$C$3,'OPĆI DIO'!$L$6:$U$138,10,FALSE))</f>
        <v/>
      </c>
      <c r="B46" s="64" t="str">
        <f>IF(E46="","",VLOOKUP('OPĆI DIO'!$C$3,'OPĆI DIO'!$L$6:$U$138,9,FALSE))</f>
        <v/>
      </c>
      <c r="C46" s="65" t="str">
        <f t="shared" si="7"/>
        <v/>
      </c>
      <c r="D46" s="66" t="str">
        <f t="shared" si="8"/>
        <v/>
      </c>
      <c r="E46" s="67"/>
      <c r="F46" s="68" t="str">
        <f t="shared" si="9"/>
        <v/>
      </c>
      <c r="G46" s="69"/>
      <c r="H46" s="69"/>
      <c r="I46" s="78">
        <f t="shared" si="3"/>
        <v>0</v>
      </c>
      <c r="J46" s="67"/>
      <c r="L46" t="str">
        <f t="shared" si="4"/>
        <v/>
      </c>
      <c r="M46" t="str">
        <f t="shared" si="5"/>
        <v/>
      </c>
      <c r="R46" s="72">
        <v>6392</v>
      </c>
      <c r="S46" s="72" t="s">
        <v>185</v>
      </c>
      <c r="T46" s="72">
        <v>52</v>
      </c>
      <c r="U46" s="72" t="s">
        <v>136</v>
      </c>
      <c r="V46">
        <v>639</v>
      </c>
      <c r="W46">
        <v>63</v>
      </c>
    </row>
    <row r="47" spans="1:23">
      <c r="A47" s="64" t="str">
        <f>IF(E47="","",VLOOKUP('OPĆI DIO'!$C$3,'OPĆI DIO'!$L$6:$U$138,10,FALSE))</f>
        <v/>
      </c>
      <c r="B47" s="64" t="str">
        <f>IF(E47="","",VLOOKUP('OPĆI DIO'!$C$3,'OPĆI DIO'!$L$6:$U$138,9,FALSE))</f>
        <v/>
      </c>
      <c r="C47" s="65" t="str">
        <f t="shared" si="7"/>
        <v/>
      </c>
      <c r="D47" s="66" t="str">
        <f t="shared" si="8"/>
        <v/>
      </c>
      <c r="E47" s="67"/>
      <c r="F47" s="68" t="str">
        <f t="shared" si="9"/>
        <v/>
      </c>
      <c r="G47" s="69"/>
      <c r="H47" s="69"/>
      <c r="I47" s="78">
        <f t="shared" si="3"/>
        <v>0</v>
      </c>
      <c r="J47" s="67"/>
      <c r="L47" t="str">
        <f t="shared" si="4"/>
        <v/>
      </c>
      <c r="M47" t="str">
        <f t="shared" si="5"/>
        <v/>
      </c>
      <c r="R47" s="72">
        <v>6393</v>
      </c>
      <c r="S47" s="72" t="s">
        <v>186</v>
      </c>
      <c r="T47" s="72">
        <v>52</v>
      </c>
      <c r="U47" s="72" t="s">
        <v>136</v>
      </c>
      <c r="V47">
        <v>639</v>
      </c>
      <c r="W47">
        <v>63</v>
      </c>
    </row>
    <row r="48" spans="1:23">
      <c r="A48" s="64" t="str">
        <f>IF(E48="","",VLOOKUP('OPĆI DIO'!$C$3,'OPĆI DIO'!$L$6:$U$138,10,FALSE))</f>
        <v/>
      </c>
      <c r="B48" s="64" t="str">
        <f>IF(E48="","",VLOOKUP('OPĆI DIO'!$C$3,'OPĆI DIO'!$L$6:$U$138,9,FALSE))</f>
        <v/>
      </c>
      <c r="C48" s="65" t="str">
        <f t="shared" si="7"/>
        <v/>
      </c>
      <c r="D48" s="66" t="str">
        <f t="shared" si="8"/>
        <v/>
      </c>
      <c r="E48" s="67"/>
      <c r="F48" s="68" t="str">
        <f t="shared" si="9"/>
        <v/>
      </c>
      <c r="G48" s="69"/>
      <c r="H48" s="69"/>
      <c r="I48" s="78">
        <f t="shared" si="3"/>
        <v>0</v>
      </c>
      <c r="J48" s="67"/>
      <c r="L48" t="str">
        <f t="shared" si="4"/>
        <v/>
      </c>
      <c r="M48" t="str">
        <f t="shared" si="5"/>
        <v/>
      </c>
      <c r="R48" s="72">
        <v>6394</v>
      </c>
      <c r="S48" s="72" t="s">
        <v>187</v>
      </c>
      <c r="T48" s="72">
        <v>52</v>
      </c>
      <c r="U48" s="72" t="s">
        <v>136</v>
      </c>
      <c r="V48">
        <v>639</v>
      </c>
      <c r="W48">
        <v>63</v>
      </c>
    </row>
    <row r="49" spans="1:23">
      <c r="A49" s="64" t="str">
        <f>IF(E49="","",VLOOKUP('OPĆI DIO'!$C$3,'OPĆI DIO'!$L$6:$U$138,10,FALSE))</f>
        <v/>
      </c>
      <c r="B49" s="64" t="str">
        <f>IF(E49="","",VLOOKUP('OPĆI DIO'!$C$3,'OPĆI DIO'!$L$6:$U$138,9,FALSE))</f>
        <v/>
      </c>
      <c r="C49" s="65" t="str">
        <f t="shared" si="7"/>
        <v/>
      </c>
      <c r="D49" s="66" t="str">
        <f t="shared" si="8"/>
        <v/>
      </c>
      <c r="E49" s="67"/>
      <c r="F49" s="68" t="str">
        <f t="shared" si="9"/>
        <v/>
      </c>
      <c r="G49" s="69"/>
      <c r="H49" s="69"/>
      <c r="I49" s="78">
        <f t="shared" si="3"/>
        <v>0</v>
      </c>
      <c r="J49" s="67"/>
      <c r="L49" t="str">
        <f t="shared" si="4"/>
        <v/>
      </c>
      <c r="M49" t="str">
        <f t="shared" si="5"/>
        <v/>
      </c>
      <c r="R49" s="72">
        <v>641290031</v>
      </c>
      <c r="S49" s="72" t="s">
        <v>188</v>
      </c>
      <c r="T49" s="72">
        <v>31</v>
      </c>
      <c r="U49" s="72" t="s">
        <v>126</v>
      </c>
      <c r="V49">
        <v>641</v>
      </c>
      <c r="W49">
        <v>64</v>
      </c>
    </row>
    <row r="50" spans="1:23">
      <c r="A50" s="64" t="str">
        <f>IF(E50="","",VLOOKUP('OPĆI DIO'!$C$3,'OPĆI DIO'!$L$6:$U$138,10,FALSE))</f>
        <v/>
      </c>
      <c r="B50" s="64" t="str">
        <f>IF(E50="","",VLOOKUP('OPĆI DIO'!$C$3,'OPĆI DIO'!$L$6:$U$138,9,FALSE))</f>
        <v/>
      </c>
      <c r="C50" s="65" t="str">
        <f t="shared" si="7"/>
        <v/>
      </c>
      <c r="D50" s="66" t="str">
        <f t="shared" si="8"/>
        <v/>
      </c>
      <c r="E50" s="67"/>
      <c r="F50" s="68" t="str">
        <f t="shared" si="9"/>
        <v/>
      </c>
      <c r="G50" s="69"/>
      <c r="H50" s="69"/>
      <c r="I50" s="78">
        <f t="shared" si="3"/>
        <v>0</v>
      </c>
      <c r="J50" s="67"/>
      <c r="L50" t="str">
        <f t="shared" si="4"/>
        <v/>
      </c>
      <c r="M50" t="str">
        <f t="shared" si="5"/>
        <v/>
      </c>
      <c r="R50" s="72">
        <v>641310031</v>
      </c>
      <c r="S50" s="72" t="s">
        <v>189</v>
      </c>
      <c r="T50" s="72">
        <v>31</v>
      </c>
      <c r="U50" s="72" t="s">
        <v>126</v>
      </c>
      <c r="V50">
        <v>641</v>
      </c>
      <c r="W50">
        <v>64</v>
      </c>
    </row>
    <row r="51" spans="1:23">
      <c r="A51" s="64" t="str">
        <f>IF(E51="","",VLOOKUP('OPĆI DIO'!$C$3,'OPĆI DIO'!$L$6:$U$138,10,FALSE))</f>
        <v/>
      </c>
      <c r="B51" s="64" t="str">
        <f>IF(E51="","",VLOOKUP('OPĆI DIO'!$C$3,'OPĆI DIO'!$L$6:$U$138,9,FALSE))</f>
        <v/>
      </c>
      <c r="C51" s="65" t="str">
        <f t="shared" si="7"/>
        <v/>
      </c>
      <c r="D51" s="66" t="str">
        <f t="shared" si="8"/>
        <v/>
      </c>
      <c r="E51" s="67"/>
      <c r="F51" s="68" t="str">
        <f t="shared" si="9"/>
        <v/>
      </c>
      <c r="G51" s="69"/>
      <c r="H51" s="69"/>
      <c r="I51" s="78">
        <f t="shared" si="3"/>
        <v>0</v>
      </c>
      <c r="J51" s="67"/>
      <c r="L51" t="str">
        <f t="shared" si="4"/>
        <v/>
      </c>
      <c r="M51" t="str">
        <f t="shared" si="5"/>
        <v/>
      </c>
      <c r="R51" s="72">
        <v>641320031</v>
      </c>
      <c r="S51" s="72" t="s">
        <v>190</v>
      </c>
      <c r="T51" s="72">
        <v>31</v>
      </c>
      <c r="U51" s="72" t="s">
        <v>126</v>
      </c>
      <c r="V51">
        <v>641</v>
      </c>
      <c r="W51">
        <v>64</v>
      </c>
    </row>
    <row r="52" spans="1:23">
      <c r="A52" s="64" t="str">
        <f>IF(E52="","",VLOOKUP('OPĆI DIO'!$C$3,'OPĆI DIO'!$L$6:$U$138,10,FALSE))</f>
        <v/>
      </c>
      <c r="B52" s="64" t="str">
        <f>IF(E52="","",VLOOKUP('OPĆI DIO'!$C$3,'OPĆI DIO'!$L$6:$U$138,9,FALSE))</f>
        <v/>
      </c>
      <c r="C52" s="65" t="str">
        <f t="shared" si="7"/>
        <v/>
      </c>
      <c r="D52" s="66" t="str">
        <f t="shared" si="8"/>
        <v/>
      </c>
      <c r="E52" s="67"/>
      <c r="F52" s="68" t="str">
        <f t="shared" si="9"/>
        <v/>
      </c>
      <c r="G52" s="69"/>
      <c r="H52" s="69"/>
      <c r="I52" s="78">
        <f t="shared" si="3"/>
        <v>0</v>
      </c>
      <c r="J52" s="67"/>
      <c r="L52" t="str">
        <f t="shared" si="4"/>
        <v/>
      </c>
      <c r="M52" t="str">
        <f t="shared" si="5"/>
        <v/>
      </c>
      <c r="R52" s="72">
        <v>641320043</v>
      </c>
      <c r="S52" s="72" t="s">
        <v>191</v>
      </c>
      <c r="T52" s="72">
        <v>43</v>
      </c>
      <c r="U52" s="72" t="s">
        <v>130</v>
      </c>
      <c r="V52">
        <v>641</v>
      </c>
      <c r="W52">
        <v>64</v>
      </c>
    </row>
    <row r="53" spans="1:23">
      <c r="A53" s="64" t="str">
        <f>IF(E53="","",VLOOKUP('OPĆI DIO'!$C$3,'OPĆI DIO'!$L$6:$U$138,10,FALSE))</f>
        <v/>
      </c>
      <c r="B53" s="64" t="str">
        <f>IF(E53="","",VLOOKUP('OPĆI DIO'!$C$3,'OPĆI DIO'!$L$6:$U$138,9,FALSE))</f>
        <v/>
      </c>
      <c r="C53" s="65" t="str">
        <f t="shared" si="7"/>
        <v/>
      </c>
      <c r="D53" s="66" t="str">
        <f t="shared" si="8"/>
        <v/>
      </c>
      <c r="E53" s="67"/>
      <c r="F53" s="68" t="str">
        <f t="shared" si="9"/>
        <v/>
      </c>
      <c r="G53" s="69"/>
      <c r="H53" s="69"/>
      <c r="I53" s="78">
        <f t="shared" si="3"/>
        <v>0</v>
      </c>
      <c r="J53" s="67"/>
      <c r="L53" t="str">
        <f t="shared" si="4"/>
        <v/>
      </c>
      <c r="M53" t="str">
        <f t="shared" si="5"/>
        <v/>
      </c>
      <c r="R53" s="72">
        <v>641510031</v>
      </c>
      <c r="S53" s="72" t="s">
        <v>192</v>
      </c>
      <c r="T53" s="72">
        <v>31</v>
      </c>
      <c r="U53" s="72" t="s">
        <v>126</v>
      </c>
      <c r="V53">
        <v>641</v>
      </c>
      <c r="W53">
        <v>64</v>
      </c>
    </row>
    <row r="54" spans="1:23">
      <c r="A54" s="64" t="str">
        <f>IF(E54="","",VLOOKUP('OPĆI DIO'!$C$3,'OPĆI DIO'!$L$6:$U$138,10,FALSE))</f>
        <v/>
      </c>
      <c r="B54" s="64" t="str">
        <f>IF(E54="","",VLOOKUP('OPĆI DIO'!$C$3,'OPĆI DIO'!$L$6:$U$138,9,FALSE))</f>
        <v/>
      </c>
      <c r="C54" s="65" t="str">
        <f t="shared" si="7"/>
        <v/>
      </c>
      <c r="D54" s="66" t="str">
        <f t="shared" si="8"/>
        <v/>
      </c>
      <c r="E54" s="67"/>
      <c r="F54" s="68" t="str">
        <f t="shared" si="9"/>
        <v/>
      </c>
      <c r="G54" s="69"/>
      <c r="H54" s="69"/>
      <c r="I54" s="78">
        <f t="shared" si="3"/>
        <v>0</v>
      </c>
      <c r="J54" s="67"/>
      <c r="L54" t="str">
        <f t="shared" si="4"/>
        <v/>
      </c>
      <c r="M54" t="str">
        <f t="shared" si="5"/>
        <v/>
      </c>
      <c r="R54" s="72">
        <v>641510043</v>
      </c>
      <c r="S54" s="72" t="s">
        <v>193</v>
      </c>
      <c r="T54" s="72">
        <v>43</v>
      </c>
      <c r="U54" s="72" t="s">
        <v>130</v>
      </c>
      <c r="V54">
        <v>641</v>
      </c>
      <c r="W54">
        <v>64</v>
      </c>
    </row>
    <row r="55" spans="1:23">
      <c r="A55" s="64" t="str">
        <f>IF(E55="","",VLOOKUP('OPĆI DIO'!$C$3,'OPĆI DIO'!$L$6:$U$138,10,FALSE))</f>
        <v/>
      </c>
      <c r="B55" s="64" t="str">
        <f>IF(E55="","",VLOOKUP('OPĆI DIO'!$C$3,'OPĆI DIO'!$L$6:$U$138,9,FALSE))</f>
        <v/>
      </c>
      <c r="C55" s="65" t="str">
        <f t="shared" si="7"/>
        <v/>
      </c>
      <c r="D55" s="66" t="str">
        <f t="shared" si="8"/>
        <v/>
      </c>
      <c r="E55" s="67"/>
      <c r="F55" s="68" t="str">
        <f t="shared" si="9"/>
        <v/>
      </c>
      <c r="G55" s="69"/>
      <c r="H55" s="69"/>
      <c r="I55" s="78">
        <f t="shared" si="3"/>
        <v>0</v>
      </c>
      <c r="J55" s="67"/>
      <c r="L55" t="str">
        <f t="shared" si="4"/>
        <v/>
      </c>
      <c r="M55" t="str">
        <f t="shared" si="5"/>
        <v/>
      </c>
      <c r="R55" s="72">
        <v>641630031</v>
      </c>
      <c r="S55" s="72" t="s">
        <v>194</v>
      </c>
      <c r="T55" s="72">
        <v>31</v>
      </c>
      <c r="U55" s="72" t="s">
        <v>126</v>
      </c>
      <c r="V55">
        <v>641</v>
      </c>
      <c r="W55">
        <v>64</v>
      </c>
    </row>
    <row r="56" spans="1:23">
      <c r="A56" s="64" t="str">
        <f>IF(E56="","",VLOOKUP('OPĆI DIO'!$C$3,'OPĆI DIO'!$L$6:$U$138,10,FALSE))</f>
        <v/>
      </c>
      <c r="B56" s="64" t="str">
        <f>IF(E56="","",VLOOKUP('OPĆI DIO'!$C$3,'OPĆI DIO'!$L$6:$U$138,9,FALSE))</f>
        <v/>
      </c>
      <c r="C56" s="65" t="str">
        <f t="shared" si="7"/>
        <v/>
      </c>
      <c r="D56" s="66" t="str">
        <f t="shared" si="8"/>
        <v/>
      </c>
      <c r="E56" s="67"/>
      <c r="F56" s="68" t="str">
        <f t="shared" si="9"/>
        <v/>
      </c>
      <c r="G56" s="69"/>
      <c r="H56" s="69"/>
      <c r="I56" s="78">
        <f t="shared" si="3"/>
        <v>0</v>
      </c>
      <c r="J56" s="67"/>
      <c r="L56" t="str">
        <f t="shared" si="4"/>
        <v/>
      </c>
      <c r="M56" t="str">
        <f t="shared" si="5"/>
        <v/>
      </c>
      <c r="R56" s="72">
        <v>641720043</v>
      </c>
      <c r="S56" s="72" t="s">
        <v>195</v>
      </c>
      <c r="T56" s="72">
        <v>43</v>
      </c>
      <c r="U56" s="72" t="s">
        <v>130</v>
      </c>
      <c r="V56">
        <v>641</v>
      </c>
      <c r="W56">
        <v>64</v>
      </c>
    </row>
    <row r="57" spans="1:23">
      <c r="A57" s="64" t="str">
        <f>IF(E57="","",VLOOKUP('OPĆI DIO'!$C$3,'OPĆI DIO'!$L$6:$U$138,10,FALSE))</f>
        <v/>
      </c>
      <c r="B57" s="64" t="str">
        <f>IF(E57="","",VLOOKUP('OPĆI DIO'!$C$3,'OPĆI DIO'!$L$6:$U$138,9,FALSE))</f>
        <v/>
      </c>
      <c r="C57" s="65" t="str">
        <f t="shared" si="7"/>
        <v/>
      </c>
      <c r="D57" s="66" t="str">
        <f t="shared" si="8"/>
        <v/>
      </c>
      <c r="E57" s="67"/>
      <c r="F57" s="68" t="str">
        <f t="shared" si="9"/>
        <v/>
      </c>
      <c r="G57" s="69"/>
      <c r="H57" s="69"/>
      <c r="I57" s="78">
        <f t="shared" si="3"/>
        <v>0</v>
      </c>
      <c r="J57" s="67"/>
      <c r="L57" t="str">
        <f t="shared" si="4"/>
        <v/>
      </c>
      <c r="M57" t="str">
        <f t="shared" si="5"/>
        <v/>
      </c>
      <c r="R57" s="72">
        <v>641770041</v>
      </c>
      <c r="S57" s="72" t="s">
        <v>196</v>
      </c>
      <c r="T57" s="72">
        <v>41</v>
      </c>
      <c r="U57" s="72" t="s">
        <v>128</v>
      </c>
      <c r="V57">
        <v>641</v>
      </c>
      <c r="W57">
        <v>64</v>
      </c>
    </row>
    <row r="58" spans="1:23">
      <c r="A58" s="64" t="str">
        <f>IF(E58="","",VLOOKUP('OPĆI DIO'!$C$3,'OPĆI DIO'!$L$6:$U$138,10,FALSE))</f>
        <v/>
      </c>
      <c r="B58" s="64" t="str">
        <f>IF(E58="","",VLOOKUP('OPĆI DIO'!$C$3,'OPĆI DIO'!$L$6:$U$138,9,FALSE))</f>
        <v/>
      </c>
      <c r="C58" s="65" t="str">
        <f t="shared" si="7"/>
        <v/>
      </c>
      <c r="D58" s="66" t="str">
        <f t="shared" si="8"/>
        <v/>
      </c>
      <c r="E58" s="67"/>
      <c r="F58" s="68" t="str">
        <f t="shared" si="9"/>
        <v/>
      </c>
      <c r="G58" s="69"/>
      <c r="H58" s="69"/>
      <c r="I58" s="78">
        <f t="shared" si="3"/>
        <v>0</v>
      </c>
      <c r="J58" s="67"/>
      <c r="L58" t="str">
        <f t="shared" si="4"/>
        <v/>
      </c>
      <c r="M58" t="str">
        <f t="shared" si="5"/>
        <v/>
      </c>
      <c r="R58" s="72">
        <v>641990043</v>
      </c>
      <c r="S58" s="72" t="s">
        <v>197</v>
      </c>
      <c r="T58" s="72">
        <v>43</v>
      </c>
      <c r="U58" s="72" t="s">
        <v>130</v>
      </c>
      <c r="V58">
        <v>641</v>
      </c>
      <c r="W58">
        <v>64</v>
      </c>
    </row>
    <row r="59" spans="1:23">
      <c r="A59" s="64" t="str">
        <f>IF(E59="","",VLOOKUP('OPĆI DIO'!$C$3,'OPĆI DIO'!$L$6:$U$138,10,FALSE))</f>
        <v/>
      </c>
      <c r="B59" s="64" t="str">
        <f>IF(E59="","",VLOOKUP('OPĆI DIO'!$C$3,'OPĆI DIO'!$L$6:$U$138,9,FALSE))</f>
        <v/>
      </c>
      <c r="C59" s="65" t="str">
        <f t="shared" si="7"/>
        <v/>
      </c>
      <c r="D59" s="66" t="str">
        <f t="shared" si="8"/>
        <v/>
      </c>
      <c r="E59" s="67"/>
      <c r="F59" s="68" t="str">
        <f t="shared" si="9"/>
        <v/>
      </c>
      <c r="G59" s="69"/>
      <c r="H59" s="69"/>
      <c r="I59" s="78">
        <f t="shared" si="3"/>
        <v>0</v>
      </c>
      <c r="J59" s="67"/>
      <c r="L59" t="str">
        <f t="shared" si="4"/>
        <v/>
      </c>
      <c r="M59" t="str">
        <f t="shared" si="5"/>
        <v/>
      </c>
      <c r="R59" s="72">
        <v>642510031</v>
      </c>
      <c r="S59" s="72" t="s">
        <v>198</v>
      </c>
      <c r="T59" s="72">
        <v>31</v>
      </c>
      <c r="U59" s="72" t="s">
        <v>126</v>
      </c>
      <c r="V59">
        <v>642</v>
      </c>
      <c r="W59">
        <v>64</v>
      </c>
    </row>
    <row r="60" spans="1:23">
      <c r="A60" s="64" t="str">
        <f>IF(E60="","",VLOOKUP('OPĆI DIO'!$C$3,'OPĆI DIO'!$L$6:$U$138,10,FALSE))</f>
        <v/>
      </c>
      <c r="B60" s="64" t="str">
        <f>IF(E60="","",VLOOKUP('OPĆI DIO'!$C$3,'OPĆI DIO'!$L$6:$U$138,9,FALSE))</f>
        <v/>
      </c>
      <c r="C60" s="65" t="str">
        <f t="shared" si="7"/>
        <v/>
      </c>
      <c r="D60" s="66" t="str">
        <f t="shared" si="8"/>
        <v/>
      </c>
      <c r="E60" s="67"/>
      <c r="F60" s="68" t="str">
        <f t="shared" si="9"/>
        <v/>
      </c>
      <c r="G60" s="69"/>
      <c r="H60" s="69"/>
      <c r="I60" s="78">
        <f t="shared" si="3"/>
        <v>0</v>
      </c>
      <c r="J60" s="67"/>
      <c r="L60" t="str">
        <f t="shared" si="4"/>
        <v/>
      </c>
      <c r="M60" t="str">
        <f t="shared" si="5"/>
        <v/>
      </c>
      <c r="R60" s="72">
        <v>642990031</v>
      </c>
      <c r="S60" s="72" t="s">
        <v>199</v>
      </c>
      <c r="T60" s="72">
        <v>31</v>
      </c>
      <c r="U60" s="72" t="s">
        <v>126</v>
      </c>
      <c r="V60">
        <v>642</v>
      </c>
      <c r="W60">
        <v>64</v>
      </c>
    </row>
    <row r="61" spans="1:23">
      <c r="A61" s="64" t="str">
        <f>IF(E61="","",VLOOKUP('OPĆI DIO'!$C$3,'OPĆI DIO'!$L$6:$U$138,10,FALSE))</f>
        <v/>
      </c>
      <c r="B61" s="64" t="str">
        <f>IF(E61="","",VLOOKUP('OPĆI DIO'!$C$3,'OPĆI DIO'!$L$6:$U$138,9,FALSE))</f>
        <v/>
      </c>
      <c r="C61" s="65" t="str">
        <f t="shared" si="7"/>
        <v/>
      </c>
      <c r="D61" s="66" t="str">
        <f t="shared" si="8"/>
        <v/>
      </c>
      <c r="E61" s="67"/>
      <c r="F61" s="68" t="str">
        <f t="shared" si="9"/>
        <v/>
      </c>
      <c r="G61" s="69"/>
      <c r="H61" s="69"/>
      <c r="I61" s="78">
        <f t="shared" si="3"/>
        <v>0</v>
      </c>
      <c r="J61" s="67"/>
      <c r="L61" t="str">
        <f t="shared" si="4"/>
        <v/>
      </c>
      <c r="M61" t="str">
        <f t="shared" si="5"/>
        <v/>
      </c>
      <c r="R61" s="72">
        <v>65148</v>
      </c>
      <c r="S61" s="72" t="s">
        <v>200</v>
      </c>
      <c r="T61" s="72">
        <v>43</v>
      </c>
      <c r="U61" s="72" t="s">
        <v>130</v>
      </c>
      <c r="V61">
        <v>651</v>
      </c>
      <c r="W61">
        <v>65</v>
      </c>
    </row>
    <row r="62" spans="1:23">
      <c r="A62" s="64" t="str">
        <f>IF(E62="","",VLOOKUP('OPĆI DIO'!$C$3,'OPĆI DIO'!$L$6:$U$138,10,FALSE))</f>
        <v/>
      </c>
      <c r="B62" s="64" t="str">
        <f>IF(E62="","",VLOOKUP('OPĆI DIO'!$C$3,'OPĆI DIO'!$L$6:$U$138,9,FALSE))</f>
        <v/>
      </c>
      <c r="C62" s="65" t="str">
        <f t="shared" si="7"/>
        <v/>
      </c>
      <c r="D62" s="66" t="str">
        <f t="shared" si="8"/>
        <v/>
      </c>
      <c r="E62" s="67"/>
      <c r="F62" s="68" t="str">
        <f t="shared" si="9"/>
        <v/>
      </c>
      <c r="G62" s="69"/>
      <c r="H62" s="69"/>
      <c r="I62" s="78">
        <f t="shared" si="3"/>
        <v>0</v>
      </c>
      <c r="J62" s="67"/>
      <c r="L62" t="str">
        <f t="shared" si="4"/>
        <v/>
      </c>
      <c r="M62" t="str">
        <f t="shared" si="5"/>
        <v/>
      </c>
      <c r="R62" s="72">
        <v>65218</v>
      </c>
      <c r="S62" s="72" t="s">
        <v>201</v>
      </c>
      <c r="T62" s="72">
        <v>43</v>
      </c>
      <c r="U62" s="72" t="s">
        <v>130</v>
      </c>
      <c r="V62">
        <v>652</v>
      </c>
      <c r="W62">
        <v>65</v>
      </c>
    </row>
    <row r="63" spans="1:23">
      <c r="A63" s="64" t="str">
        <f>IF(E63="","",VLOOKUP('OPĆI DIO'!$C$3,'OPĆI DIO'!$L$6:$U$138,10,FALSE))</f>
        <v/>
      </c>
      <c r="B63" s="64" t="str">
        <f>IF(E63="","",VLOOKUP('OPĆI DIO'!$C$3,'OPĆI DIO'!$L$6:$U$138,9,FALSE))</f>
        <v/>
      </c>
      <c r="C63" s="65" t="str">
        <f t="shared" si="7"/>
        <v/>
      </c>
      <c r="D63" s="66" t="str">
        <f t="shared" si="8"/>
        <v/>
      </c>
      <c r="E63" s="67"/>
      <c r="F63" s="68" t="str">
        <f t="shared" si="9"/>
        <v/>
      </c>
      <c r="G63" s="69"/>
      <c r="H63" s="69"/>
      <c r="I63" s="78">
        <f t="shared" si="3"/>
        <v>0</v>
      </c>
      <c r="J63" s="67"/>
      <c r="L63" t="str">
        <f t="shared" si="4"/>
        <v/>
      </c>
      <c r="M63" t="str">
        <f t="shared" si="5"/>
        <v/>
      </c>
      <c r="R63" s="72">
        <v>65264</v>
      </c>
      <c r="S63" s="72" t="s">
        <v>202</v>
      </c>
      <c r="T63" s="72">
        <v>43</v>
      </c>
      <c r="U63" s="72" t="s">
        <v>130</v>
      </c>
      <c r="V63">
        <v>652</v>
      </c>
      <c r="W63">
        <v>65</v>
      </c>
    </row>
    <row r="64" spans="1:23">
      <c r="A64" s="64" t="str">
        <f>IF(E64="","",VLOOKUP('OPĆI DIO'!$C$3,'OPĆI DIO'!$L$6:$U$138,10,FALSE))</f>
        <v/>
      </c>
      <c r="B64" s="64" t="str">
        <f>IF(E64="","",VLOOKUP('OPĆI DIO'!$C$3,'OPĆI DIO'!$L$6:$U$138,9,FALSE))</f>
        <v/>
      </c>
      <c r="C64" s="65" t="str">
        <f t="shared" si="7"/>
        <v/>
      </c>
      <c r="D64" s="66" t="str">
        <f t="shared" si="8"/>
        <v/>
      </c>
      <c r="E64" s="67"/>
      <c r="F64" s="68" t="str">
        <f t="shared" si="9"/>
        <v/>
      </c>
      <c r="G64" s="69"/>
      <c r="H64" s="69"/>
      <c r="I64" s="78">
        <f t="shared" si="3"/>
        <v>0</v>
      </c>
      <c r="J64" s="67"/>
      <c r="L64" t="str">
        <f t="shared" si="4"/>
        <v/>
      </c>
      <c r="M64" t="str">
        <f t="shared" si="5"/>
        <v/>
      </c>
      <c r="R64" s="72">
        <v>652670043</v>
      </c>
      <c r="S64" s="72" t="s">
        <v>203</v>
      </c>
      <c r="T64" s="72">
        <v>43</v>
      </c>
      <c r="U64" s="72" t="s">
        <v>130</v>
      </c>
      <c r="V64">
        <v>652</v>
      </c>
      <c r="W64">
        <v>65</v>
      </c>
    </row>
    <row r="65" spans="1:23">
      <c r="A65" s="64" t="str">
        <f>IF(E65="","",VLOOKUP('OPĆI DIO'!$C$3,'OPĆI DIO'!$L$6:$U$138,10,FALSE))</f>
        <v/>
      </c>
      <c r="B65" s="64" t="str">
        <f>IF(E65="","",VLOOKUP('OPĆI DIO'!$C$3,'OPĆI DIO'!$L$6:$U$138,9,FALSE))</f>
        <v/>
      </c>
      <c r="C65" s="65" t="str">
        <f t="shared" si="7"/>
        <v/>
      </c>
      <c r="D65" s="66" t="str">
        <f t="shared" si="8"/>
        <v/>
      </c>
      <c r="E65" s="67"/>
      <c r="F65" s="68" t="str">
        <f t="shared" si="9"/>
        <v/>
      </c>
      <c r="G65" s="69"/>
      <c r="H65" s="69"/>
      <c r="I65" s="78">
        <f t="shared" si="3"/>
        <v>0</v>
      </c>
      <c r="J65" s="67"/>
      <c r="L65" t="str">
        <f t="shared" si="4"/>
        <v/>
      </c>
      <c r="M65" t="str">
        <f t="shared" si="5"/>
        <v/>
      </c>
      <c r="R65" s="72">
        <v>652670071</v>
      </c>
      <c r="S65" s="72" t="s">
        <v>204</v>
      </c>
      <c r="T65" s="72">
        <v>71</v>
      </c>
      <c r="U65" s="72" t="s">
        <v>161</v>
      </c>
      <c r="V65">
        <v>652</v>
      </c>
      <c r="W65">
        <v>65</v>
      </c>
    </row>
    <row r="66" spans="1:23">
      <c r="A66" s="64" t="str">
        <f>IF(E66="","",VLOOKUP('OPĆI DIO'!$C$3,'OPĆI DIO'!$L$6:$U$138,10,FALSE))</f>
        <v/>
      </c>
      <c r="B66" s="64" t="str">
        <f>IF(E66="","",VLOOKUP('OPĆI DIO'!$C$3,'OPĆI DIO'!$L$6:$U$138,9,FALSE))</f>
        <v/>
      </c>
      <c r="C66" s="65" t="str">
        <f t="shared" si="7"/>
        <v/>
      </c>
      <c r="D66" s="66" t="str">
        <f t="shared" si="8"/>
        <v/>
      </c>
      <c r="E66" s="67"/>
      <c r="F66" s="68" t="str">
        <f t="shared" si="9"/>
        <v/>
      </c>
      <c r="G66" s="69"/>
      <c r="H66" s="69"/>
      <c r="I66" s="78">
        <f t="shared" si="3"/>
        <v>0</v>
      </c>
      <c r="J66" s="67"/>
      <c r="L66" t="str">
        <f t="shared" si="4"/>
        <v/>
      </c>
      <c r="M66" t="str">
        <f t="shared" si="5"/>
        <v/>
      </c>
      <c r="R66" s="72">
        <v>65268</v>
      </c>
      <c r="S66" s="72" t="s">
        <v>205</v>
      </c>
      <c r="T66" s="72">
        <v>43</v>
      </c>
      <c r="U66" s="72" t="s">
        <v>130</v>
      </c>
      <c r="V66">
        <v>652</v>
      </c>
      <c r="W66">
        <v>65</v>
      </c>
    </row>
    <row r="67" spans="1:23">
      <c r="A67" s="64" t="str">
        <f>IF(E67="","",VLOOKUP('OPĆI DIO'!$C$3,'OPĆI DIO'!$L$6:$U$138,10,FALSE))</f>
        <v/>
      </c>
      <c r="B67" s="64" t="str">
        <f>IF(E67="","",VLOOKUP('OPĆI DIO'!$C$3,'OPĆI DIO'!$L$6:$U$138,9,FALSE))</f>
        <v/>
      </c>
      <c r="C67" s="65" t="str">
        <f t="shared" si="7"/>
        <v/>
      </c>
      <c r="D67" s="66" t="str">
        <f t="shared" si="8"/>
        <v/>
      </c>
      <c r="E67" s="67"/>
      <c r="F67" s="68" t="str">
        <f t="shared" si="9"/>
        <v/>
      </c>
      <c r="G67" s="69"/>
      <c r="H67" s="69"/>
      <c r="I67" s="78">
        <f t="shared" si="3"/>
        <v>0</v>
      </c>
      <c r="J67" s="67"/>
      <c r="L67" t="str">
        <f t="shared" si="4"/>
        <v/>
      </c>
      <c r="M67" t="str">
        <f t="shared" si="5"/>
        <v/>
      </c>
      <c r="R67" s="72">
        <v>6614</v>
      </c>
      <c r="S67" s="72" t="s">
        <v>206</v>
      </c>
      <c r="T67" s="72">
        <v>31</v>
      </c>
      <c r="U67" s="72" t="s">
        <v>126</v>
      </c>
      <c r="V67">
        <v>661</v>
      </c>
      <c r="W67">
        <v>66</v>
      </c>
    </row>
    <row r="68" spans="1:23">
      <c r="A68" s="64" t="str">
        <f>IF(E68="","",VLOOKUP('OPĆI DIO'!$C$3,'OPĆI DIO'!$L$6:$U$138,10,FALSE))</f>
        <v/>
      </c>
      <c r="B68" s="64" t="str">
        <f>IF(E68="","",VLOOKUP('OPĆI DIO'!$C$3,'OPĆI DIO'!$L$6:$U$138,9,FALSE))</f>
        <v/>
      </c>
      <c r="C68" s="65" t="str">
        <f t="shared" si="7"/>
        <v/>
      </c>
      <c r="D68" s="66" t="str">
        <f t="shared" si="8"/>
        <v/>
      </c>
      <c r="E68" s="67"/>
      <c r="F68" s="68" t="str">
        <f t="shared" si="9"/>
        <v/>
      </c>
      <c r="G68" s="69"/>
      <c r="H68" s="69"/>
      <c r="I68" s="78">
        <f t="shared" ref="I68:I131" si="10">H68-G68</f>
        <v>0</v>
      </c>
      <c r="J68" s="67"/>
      <c r="L68" t="str">
        <f t="shared" ref="L68:L131" si="11">LEFT(E68,2)</f>
        <v/>
      </c>
      <c r="M68" t="str">
        <f t="shared" ref="M68:M131" si="12">LEFT(E68,3)</f>
        <v/>
      </c>
      <c r="R68" s="72">
        <v>6615</v>
      </c>
      <c r="S68" s="72" t="s">
        <v>207</v>
      </c>
      <c r="T68" s="72">
        <v>31</v>
      </c>
      <c r="U68" s="72" t="s">
        <v>126</v>
      </c>
      <c r="V68">
        <v>661</v>
      </c>
      <c r="W68">
        <v>66</v>
      </c>
    </row>
    <row r="69" spans="1:23">
      <c r="A69" s="64" t="str">
        <f>IF(E69="","",VLOOKUP('OPĆI DIO'!$C$3,'OPĆI DIO'!$L$6:$U$138,10,FALSE))</f>
        <v/>
      </c>
      <c r="B69" s="64" t="str">
        <f>IF(E69="","",VLOOKUP('OPĆI DIO'!$C$3,'OPĆI DIO'!$L$6:$U$138,9,FALSE))</f>
        <v/>
      </c>
      <c r="C69" s="65" t="str">
        <f t="shared" si="7"/>
        <v/>
      </c>
      <c r="D69" s="66" t="str">
        <f t="shared" si="8"/>
        <v/>
      </c>
      <c r="E69" s="67"/>
      <c r="F69" s="68" t="str">
        <f t="shared" si="9"/>
        <v/>
      </c>
      <c r="G69" s="69"/>
      <c r="H69" s="69"/>
      <c r="I69" s="78">
        <f t="shared" si="10"/>
        <v>0</v>
      </c>
      <c r="J69" s="67"/>
      <c r="L69" t="str">
        <f t="shared" si="11"/>
        <v/>
      </c>
      <c r="M69" t="str">
        <f t="shared" si="12"/>
        <v/>
      </c>
      <c r="R69" s="72">
        <v>663110000</v>
      </c>
      <c r="S69" s="72" t="s">
        <v>208</v>
      </c>
      <c r="T69" s="72">
        <v>61</v>
      </c>
      <c r="U69" s="72" t="s">
        <v>209</v>
      </c>
      <c r="V69">
        <v>663</v>
      </c>
      <c r="W69">
        <v>66</v>
      </c>
    </row>
    <row r="70" spans="1:23">
      <c r="A70" s="64" t="str">
        <f>IF(E70="","",VLOOKUP('OPĆI DIO'!$C$3,'OPĆI DIO'!$L$6:$U$138,10,FALSE))</f>
        <v/>
      </c>
      <c r="B70" s="64" t="str">
        <f>IF(E70="","",VLOOKUP('OPĆI DIO'!$C$3,'OPĆI DIO'!$L$6:$U$138,9,FALSE))</f>
        <v/>
      </c>
      <c r="C70" s="65" t="str">
        <f t="shared" si="7"/>
        <v/>
      </c>
      <c r="D70" s="66" t="str">
        <f t="shared" si="8"/>
        <v/>
      </c>
      <c r="E70" s="67"/>
      <c r="F70" s="68" t="str">
        <f t="shared" si="9"/>
        <v/>
      </c>
      <c r="G70" s="69"/>
      <c r="H70" s="69"/>
      <c r="I70" s="78">
        <f t="shared" si="10"/>
        <v>0</v>
      </c>
      <c r="J70" s="67"/>
      <c r="L70" t="str">
        <f t="shared" si="11"/>
        <v/>
      </c>
      <c r="M70" t="str">
        <f t="shared" si="12"/>
        <v/>
      </c>
      <c r="R70" s="72">
        <v>663120000</v>
      </c>
      <c r="S70" s="72" t="s">
        <v>210</v>
      </c>
      <c r="T70" s="72">
        <v>61</v>
      </c>
      <c r="U70" s="72" t="s">
        <v>209</v>
      </c>
      <c r="V70">
        <v>663</v>
      </c>
      <c r="W70">
        <v>66</v>
      </c>
    </row>
    <row r="71" spans="1:23">
      <c r="A71" s="64" t="str">
        <f>IF(E71="","",VLOOKUP('OPĆI DIO'!$C$3,'OPĆI DIO'!$L$6:$U$138,10,FALSE))</f>
        <v/>
      </c>
      <c r="B71" s="64" t="str">
        <f>IF(E71="","",VLOOKUP('OPĆI DIO'!$C$3,'OPĆI DIO'!$L$6:$U$138,9,FALSE))</f>
        <v/>
      </c>
      <c r="C71" s="65" t="str">
        <f t="shared" si="7"/>
        <v/>
      </c>
      <c r="D71" s="66" t="str">
        <f t="shared" si="8"/>
        <v/>
      </c>
      <c r="E71" s="67"/>
      <c r="F71" s="68" t="str">
        <f t="shared" si="9"/>
        <v/>
      </c>
      <c r="G71" s="69"/>
      <c r="H71" s="69"/>
      <c r="I71" s="78">
        <f t="shared" si="10"/>
        <v>0</v>
      </c>
      <c r="J71" s="67"/>
      <c r="L71" t="str">
        <f t="shared" si="11"/>
        <v/>
      </c>
      <c r="M71" t="str">
        <f t="shared" si="12"/>
        <v/>
      </c>
      <c r="R71" s="72">
        <v>663130000</v>
      </c>
      <c r="S71" s="72" t="s">
        <v>211</v>
      </c>
      <c r="T71" s="72">
        <v>61</v>
      </c>
      <c r="U71" s="72" t="s">
        <v>209</v>
      </c>
      <c r="V71">
        <v>663</v>
      </c>
      <c r="W71">
        <v>66</v>
      </c>
    </row>
    <row r="72" spans="1:23">
      <c r="A72" s="64" t="str">
        <f>IF(E72="","",VLOOKUP('OPĆI DIO'!$C$3,'OPĆI DIO'!$L$6:$U$138,10,FALSE))</f>
        <v/>
      </c>
      <c r="B72" s="64" t="str">
        <f>IF(E72="","",VLOOKUP('OPĆI DIO'!$C$3,'OPĆI DIO'!$L$6:$U$138,9,FALSE))</f>
        <v/>
      </c>
      <c r="C72" s="65" t="str">
        <f t="shared" si="7"/>
        <v/>
      </c>
      <c r="D72" s="66" t="str">
        <f t="shared" si="8"/>
        <v/>
      </c>
      <c r="E72" s="67"/>
      <c r="F72" s="68" t="str">
        <f t="shared" si="9"/>
        <v/>
      </c>
      <c r="G72" s="69"/>
      <c r="H72" s="69"/>
      <c r="I72" s="78">
        <f t="shared" si="10"/>
        <v>0</v>
      </c>
      <c r="J72" s="67"/>
      <c r="L72" t="str">
        <f t="shared" si="11"/>
        <v/>
      </c>
      <c r="M72" t="str">
        <f t="shared" si="12"/>
        <v/>
      </c>
      <c r="R72" s="72">
        <v>663140000</v>
      </c>
      <c r="S72" s="72" t="s">
        <v>212</v>
      </c>
      <c r="T72" s="72">
        <v>61</v>
      </c>
      <c r="U72" s="72" t="s">
        <v>209</v>
      </c>
      <c r="V72">
        <v>663</v>
      </c>
      <c r="W72">
        <v>66</v>
      </c>
    </row>
    <row r="73" spans="1:23">
      <c r="A73" s="64" t="str">
        <f>IF(E73="","",VLOOKUP('OPĆI DIO'!$C$3,'OPĆI DIO'!$L$6:$U$138,10,FALSE))</f>
        <v/>
      </c>
      <c r="B73" s="64" t="str">
        <f>IF(E73="","",VLOOKUP('OPĆI DIO'!$C$3,'OPĆI DIO'!$L$6:$U$138,9,FALSE))</f>
        <v/>
      </c>
      <c r="C73" s="65" t="str">
        <f t="shared" si="7"/>
        <v/>
      </c>
      <c r="D73" s="66" t="str">
        <f t="shared" si="8"/>
        <v/>
      </c>
      <c r="E73" s="67"/>
      <c r="F73" s="68" t="str">
        <f t="shared" si="9"/>
        <v/>
      </c>
      <c r="G73" s="69"/>
      <c r="H73" s="69"/>
      <c r="I73" s="78">
        <f t="shared" si="10"/>
        <v>0</v>
      </c>
      <c r="J73" s="67"/>
      <c r="L73" t="str">
        <f t="shared" si="11"/>
        <v/>
      </c>
      <c r="M73" t="str">
        <f t="shared" si="12"/>
        <v/>
      </c>
      <c r="R73" s="72">
        <v>663210000</v>
      </c>
      <c r="S73" s="72" t="s">
        <v>213</v>
      </c>
      <c r="T73" s="72">
        <v>61</v>
      </c>
      <c r="U73" s="72" t="s">
        <v>209</v>
      </c>
      <c r="V73">
        <v>663</v>
      </c>
      <c r="W73">
        <v>66</v>
      </c>
    </row>
    <row r="74" spans="1:23">
      <c r="A74" s="64" t="str">
        <f>IF(E74="","",VLOOKUP('OPĆI DIO'!$C$3,'OPĆI DIO'!$L$6:$U$138,10,FALSE))</f>
        <v/>
      </c>
      <c r="B74" s="64" t="str">
        <f>IF(E74="","",VLOOKUP('OPĆI DIO'!$C$3,'OPĆI DIO'!$L$6:$U$138,9,FALSE))</f>
        <v/>
      </c>
      <c r="C74" s="65" t="str">
        <f t="shared" si="7"/>
        <v/>
      </c>
      <c r="D74" s="66" t="str">
        <f t="shared" si="8"/>
        <v/>
      </c>
      <c r="E74" s="67"/>
      <c r="F74" s="68" t="str">
        <f t="shared" si="9"/>
        <v/>
      </c>
      <c r="G74" s="69"/>
      <c r="H74" s="69"/>
      <c r="I74" s="78">
        <f t="shared" si="10"/>
        <v>0</v>
      </c>
      <c r="J74" s="67"/>
      <c r="L74" t="str">
        <f t="shared" si="11"/>
        <v/>
      </c>
      <c r="M74" t="str">
        <f t="shared" si="12"/>
        <v/>
      </c>
      <c r="R74" s="72">
        <v>663220000</v>
      </c>
      <c r="S74" s="72" t="s">
        <v>214</v>
      </c>
      <c r="T74" s="72">
        <v>61</v>
      </c>
      <c r="U74" s="72" t="s">
        <v>209</v>
      </c>
      <c r="V74">
        <v>663</v>
      </c>
      <c r="W74">
        <v>66</v>
      </c>
    </row>
    <row r="75" spans="1:23">
      <c r="A75" s="64" t="str">
        <f>IF(E75="","",VLOOKUP('OPĆI DIO'!$C$3,'OPĆI DIO'!$L$6:$U$138,10,FALSE))</f>
        <v/>
      </c>
      <c r="B75" s="64" t="str">
        <f>IF(E75="","",VLOOKUP('OPĆI DIO'!$C$3,'OPĆI DIO'!$L$6:$U$138,9,FALSE))</f>
        <v/>
      </c>
      <c r="C75" s="65" t="str">
        <f t="shared" si="7"/>
        <v/>
      </c>
      <c r="D75" s="66" t="str">
        <f t="shared" si="8"/>
        <v/>
      </c>
      <c r="E75" s="67"/>
      <c r="F75" s="68" t="str">
        <f t="shared" si="9"/>
        <v/>
      </c>
      <c r="G75" s="69"/>
      <c r="H75" s="69"/>
      <c r="I75" s="78">
        <f t="shared" si="10"/>
        <v>0</v>
      </c>
      <c r="J75" s="67"/>
      <c r="L75" t="str">
        <f t="shared" si="11"/>
        <v/>
      </c>
      <c r="M75" t="str">
        <f t="shared" si="12"/>
        <v/>
      </c>
      <c r="R75" s="72">
        <v>663230000</v>
      </c>
      <c r="S75" s="72" t="s">
        <v>215</v>
      </c>
      <c r="T75" s="72">
        <v>61</v>
      </c>
      <c r="U75" s="72" t="s">
        <v>209</v>
      </c>
      <c r="V75">
        <v>663</v>
      </c>
      <c r="W75">
        <v>66</v>
      </c>
    </row>
    <row r="76" spans="1:23">
      <c r="A76" s="64" t="str">
        <f>IF(E76="","",VLOOKUP('OPĆI DIO'!$C$3,'OPĆI DIO'!$L$6:$U$138,10,FALSE))</f>
        <v/>
      </c>
      <c r="B76" s="64" t="str">
        <f>IF(E76="","",VLOOKUP('OPĆI DIO'!$C$3,'OPĆI DIO'!$L$6:$U$138,9,FALSE))</f>
        <v/>
      </c>
      <c r="C76" s="65" t="str">
        <f t="shared" si="7"/>
        <v/>
      </c>
      <c r="D76" s="66" t="str">
        <f t="shared" si="8"/>
        <v/>
      </c>
      <c r="E76" s="67"/>
      <c r="F76" s="68" t="str">
        <f t="shared" si="9"/>
        <v/>
      </c>
      <c r="G76" s="69"/>
      <c r="H76" s="69"/>
      <c r="I76" s="78">
        <f t="shared" si="10"/>
        <v>0</v>
      </c>
      <c r="J76" s="67"/>
      <c r="L76" t="str">
        <f t="shared" si="11"/>
        <v/>
      </c>
      <c r="M76" t="str">
        <f t="shared" si="12"/>
        <v/>
      </c>
      <c r="R76" s="72">
        <v>663240000</v>
      </c>
      <c r="S76" s="72" t="s">
        <v>216</v>
      </c>
      <c r="T76" s="72">
        <v>61</v>
      </c>
      <c r="U76" s="72" t="s">
        <v>209</v>
      </c>
      <c r="V76">
        <v>663</v>
      </c>
      <c r="W76">
        <v>66</v>
      </c>
    </row>
    <row r="77" spans="1:23">
      <c r="A77" s="64" t="str">
        <f>IF(E77="","",VLOOKUP('OPĆI DIO'!$C$3,'OPĆI DIO'!$L$6:$U$138,10,FALSE))</f>
        <v/>
      </c>
      <c r="B77" s="64" t="str">
        <f>IF(E77="","",VLOOKUP('OPĆI DIO'!$C$3,'OPĆI DIO'!$L$6:$U$138,9,FALSE))</f>
        <v/>
      </c>
      <c r="C77" s="65" t="str">
        <f t="shared" si="7"/>
        <v/>
      </c>
      <c r="D77" s="66" t="str">
        <f t="shared" si="8"/>
        <v/>
      </c>
      <c r="E77" s="67"/>
      <c r="F77" s="68" t="str">
        <f t="shared" si="9"/>
        <v/>
      </c>
      <c r="G77" s="69"/>
      <c r="H77" s="69"/>
      <c r="I77" s="78">
        <f t="shared" si="10"/>
        <v>0</v>
      </c>
      <c r="J77" s="67"/>
      <c r="L77" t="str">
        <f t="shared" si="11"/>
        <v/>
      </c>
      <c r="M77" t="str">
        <f t="shared" si="12"/>
        <v/>
      </c>
      <c r="R77" s="72">
        <v>681910043</v>
      </c>
      <c r="S77" s="72" t="s">
        <v>217</v>
      </c>
      <c r="T77" s="72">
        <v>43</v>
      </c>
      <c r="U77" s="72" t="s">
        <v>130</v>
      </c>
      <c r="V77">
        <v>681</v>
      </c>
      <c r="W77">
        <v>68</v>
      </c>
    </row>
    <row r="78" spans="1:23">
      <c r="A78" s="64" t="str">
        <f>IF(E78="","",VLOOKUP('OPĆI DIO'!$C$3,'OPĆI DIO'!$L$6:$U$138,10,FALSE))</f>
        <v/>
      </c>
      <c r="B78" s="64" t="str">
        <f>IF(E78="","",VLOOKUP('OPĆI DIO'!$C$3,'OPĆI DIO'!$L$6:$U$138,9,FALSE))</f>
        <v/>
      </c>
      <c r="C78" s="65" t="str">
        <f t="shared" si="7"/>
        <v/>
      </c>
      <c r="D78" s="66" t="str">
        <f t="shared" si="8"/>
        <v/>
      </c>
      <c r="E78" s="67"/>
      <c r="F78" s="68" t="str">
        <f t="shared" si="9"/>
        <v/>
      </c>
      <c r="G78" s="69"/>
      <c r="H78" s="69"/>
      <c r="I78" s="78">
        <f t="shared" si="10"/>
        <v>0</v>
      </c>
      <c r="J78" s="67"/>
      <c r="L78" t="str">
        <f t="shared" si="11"/>
        <v/>
      </c>
      <c r="M78" t="str">
        <f t="shared" si="12"/>
        <v/>
      </c>
      <c r="R78" s="72">
        <v>683110031</v>
      </c>
      <c r="S78" s="72" t="s">
        <v>218</v>
      </c>
      <c r="T78" s="72">
        <v>31</v>
      </c>
      <c r="U78" s="72" t="s">
        <v>126</v>
      </c>
      <c r="V78">
        <v>683</v>
      </c>
      <c r="W78">
        <v>68</v>
      </c>
    </row>
    <row r="79" spans="1:23">
      <c r="A79" s="64" t="str">
        <f>IF(E79="","",VLOOKUP('OPĆI DIO'!$C$3,'OPĆI DIO'!$L$6:$U$138,10,FALSE))</f>
        <v/>
      </c>
      <c r="B79" s="64" t="str">
        <f>IF(E79="","",VLOOKUP('OPĆI DIO'!$C$3,'OPĆI DIO'!$L$6:$U$138,9,FALSE))</f>
        <v/>
      </c>
      <c r="C79" s="65" t="str">
        <f t="shared" si="7"/>
        <v/>
      </c>
      <c r="D79" s="66" t="str">
        <f t="shared" si="8"/>
        <v/>
      </c>
      <c r="E79" s="67"/>
      <c r="F79" s="68" t="str">
        <f t="shared" si="9"/>
        <v/>
      </c>
      <c r="G79" s="69"/>
      <c r="H79" s="69"/>
      <c r="I79" s="78">
        <f t="shared" si="10"/>
        <v>0</v>
      </c>
      <c r="J79" s="67"/>
      <c r="L79" t="str">
        <f t="shared" si="11"/>
        <v/>
      </c>
      <c r="M79" t="str">
        <f t="shared" si="12"/>
        <v/>
      </c>
      <c r="R79" s="72">
        <v>683110043</v>
      </c>
      <c r="S79" s="72" t="s">
        <v>219</v>
      </c>
      <c r="T79" s="72">
        <v>43</v>
      </c>
      <c r="U79" s="72" t="s">
        <v>130</v>
      </c>
      <c r="V79">
        <v>683</v>
      </c>
      <c r="W79">
        <v>68</v>
      </c>
    </row>
    <row r="80" spans="1:23">
      <c r="A80" s="64" t="str">
        <f>IF(E80="","",VLOOKUP('OPĆI DIO'!$C$3,'OPĆI DIO'!$L$6:$U$138,10,FALSE))</f>
        <v/>
      </c>
      <c r="B80" s="64" t="str">
        <f>IF(E80="","",VLOOKUP('OPĆI DIO'!$C$3,'OPĆI DIO'!$L$6:$U$138,9,FALSE))</f>
        <v/>
      </c>
      <c r="C80" s="65" t="str">
        <f t="shared" si="7"/>
        <v/>
      </c>
      <c r="D80" s="66" t="str">
        <f t="shared" si="8"/>
        <v/>
      </c>
      <c r="E80" s="67"/>
      <c r="F80" s="68" t="str">
        <f t="shared" si="9"/>
        <v/>
      </c>
      <c r="G80" s="69"/>
      <c r="H80" s="69"/>
      <c r="I80" s="78">
        <f t="shared" si="10"/>
        <v>0</v>
      </c>
      <c r="J80" s="67"/>
      <c r="L80" t="str">
        <f t="shared" si="11"/>
        <v/>
      </c>
      <c r="M80" t="str">
        <f t="shared" si="12"/>
        <v/>
      </c>
      <c r="R80" s="72">
        <v>711110071</v>
      </c>
      <c r="S80" s="72" t="s">
        <v>220</v>
      </c>
      <c r="T80" s="72">
        <v>71</v>
      </c>
      <c r="U80" s="72" t="s">
        <v>221</v>
      </c>
      <c r="V80">
        <v>711</v>
      </c>
      <c r="W80">
        <v>71</v>
      </c>
    </row>
    <row r="81" spans="1:23">
      <c r="A81" s="64" t="str">
        <f>IF(E81="","",VLOOKUP('OPĆI DIO'!$C$3,'OPĆI DIO'!$L$6:$U$138,10,FALSE))</f>
        <v/>
      </c>
      <c r="B81" s="64" t="str">
        <f>IF(E81="","",VLOOKUP('OPĆI DIO'!$C$3,'OPĆI DIO'!$L$6:$U$138,9,FALSE))</f>
        <v/>
      </c>
      <c r="C81" s="65" t="str">
        <f t="shared" si="7"/>
        <v/>
      </c>
      <c r="D81" s="66" t="str">
        <f t="shared" si="8"/>
        <v/>
      </c>
      <c r="E81" s="67"/>
      <c r="F81" s="68" t="str">
        <f t="shared" si="9"/>
        <v/>
      </c>
      <c r="G81" s="69"/>
      <c r="H81" s="69"/>
      <c r="I81" s="78">
        <f t="shared" si="10"/>
        <v>0</v>
      </c>
      <c r="J81" s="67"/>
      <c r="L81" t="str">
        <f t="shared" si="11"/>
        <v/>
      </c>
      <c r="M81" t="str">
        <f t="shared" si="12"/>
        <v/>
      </c>
      <c r="R81" s="72">
        <v>711120071</v>
      </c>
      <c r="S81" s="72" t="s">
        <v>222</v>
      </c>
      <c r="T81" s="72">
        <v>71</v>
      </c>
      <c r="U81" s="72" t="s">
        <v>221</v>
      </c>
      <c r="V81">
        <v>711</v>
      </c>
      <c r="W81">
        <v>71</v>
      </c>
    </row>
    <row r="82" spans="1:23">
      <c r="A82" s="64" t="str">
        <f>IF(E82="","",VLOOKUP('OPĆI DIO'!$C$3,'OPĆI DIO'!$L$6:$U$138,10,FALSE))</f>
        <v/>
      </c>
      <c r="B82" s="64" t="str">
        <f>IF(E82="","",VLOOKUP('OPĆI DIO'!$C$3,'OPĆI DIO'!$L$6:$U$138,9,FALSE))</f>
        <v/>
      </c>
      <c r="C82" s="65" t="str">
        <f t="shared" si="7"/>
        <v/>
      </c>
      <c r="D82" s="66" t="str">
        <f t="shared" si="8"/>
        <v/>
      </c>
      <c r="E82" s="67"/>
      <c r="F82" s="68" t="str">
        <f t="shared" si="9"/>
        <v/>
      </c>
      <c r="G82" s="69"/>
      <c r="H82" s="69"/>
      <c r="I82" s="78">
        <f t="shared" si="10"/>
        <v>0</v>
      </c>
      <c r="J82" s="67"/>
      <c r="L82" t="str">
        <f t="shared" si="11"/>
        <v/>
      </c>
      <c r="M82" t="str">
        <f t="shared" si="12"/>
        <v/>
      </c>
      <c r="R82" s="72">
        <v>712410071</v>
      </c>
      <c r="S82" s="72" t="s">
        <v>223</v>
      </c>
      <c r="T82" s="72">
        <v>71</v>
      </c>
      <c r="U82" s="72" t="s">
        <v>221</v>
      </c>
      <c r="V82">
        <v>712</v>
      </c>
      <c r="W82">
        <v>71</v>
      </c>
    </row>
    <row r="83" spans="1:23">
      <c r="A83" s="64" t="str">
        <f>IF(E83="","",VLOOKUP('OPĆI DIO'!$C$3,'OPĆI DIO'!$L$6:$U$138,10,FALSE))</f>
        <v/>
      </c>
      <c r="B83" s="64" t="str">
        <f>IF(E83="","",VLOOKUP('OPĆI DIO'!$C$3,'OPĆI DIO'!$L$6:$U$138,9,FALSE))</f>
        <v/>
      </c>
      <c r="C83" s="65" t="str">
        <f t="shared" si="7"/>
        <v/>
      </c>
      <c r="D83" s="66" t="str">
        <f t="shared" si="8"/>
        <v/>
      </c>
      <c r="E83" s="67"/>
      <c r="F83" s="68" t="str">
        <f t="shared" si="9"/>
        <v/>
      </c>
      <c r="G83" s="69"/>
      <c r="H83" s="69"/>
      <c r="I83" s="78">
        <f t="shared" si="10"/>
        <v>0</v>
      </c>
      <c r="J83" s="67"/>
      <c r="L83" t="str">
        <f t="shared" si="11"/>
        <v/>
      </c>
      <c r="M83" t="str">
        <f t="shared" si="12"/>
        <v/>
      </c>
      <c r="R83" s="72">
        <v>712490071</v>
      </c>
      <c r="S83" s="72" t="s">
        <v>224</v>
      </c>
      <c r="T83" s="72">
        <v>71</v>
      </c>
      <c r="U83" s="72" t="s">
        <v>221</v>
      </c>
      <c r="V83">
        <v>712</v>
      </c>
      <c r="W83">
        <v>71</v>
      </c>
    </row>
    <row r="84" spans="1:23">
      <c r="A84" s="64" t="str">
        <f>IF(E84="","",VLOOKUP('OPĆI DIO'!$C$3,'OPĆI DIO'!$L$6:$U$138,10,FALSE))</f>
        <v/>
      </c>
      <c r="B84" s="64" t="str">
        <f>IF(E84="","",VLOOKUP('OPĆI DIO'!$C$3,'OPĆI DIO'!$L$6:$U$138,9,FALSE))</f>
        <v/>
      </c>
      <c r="C84" s="65" t="str">
        <f t="shared" si="7"/>
        <v/>
      </c>
      <c r="D84" s="66" t="str">
        <f t="shared" si="8"/>
        <v/>
      </c>
      <c r="E84" s="67"/>
      <c r="F84" s="68" t="str">
        <f t="shared" si="9"/>
        <v/>
      </c>
      <c r="G84" s="69"/>
      <c r="H84" s="69"/>
      <c r="I84" s="78">
        <f t="shared" si="10"/>
        <v>0</v>
      </c>
      <c r="J84" s="67"/>
      <c r="L84" t="str">
        <f t="shared" si="11"/>
        <v/>
      </c>
      <c r="M84" t="str">
        <f t="shared" si="12"/>
        <v/>
      </c>
      <c r="R84" s="72">
        <v>721110071</v>
      </c>
      <c r="S84" s="72" t="s">
        <v>225</v>
      </c>
      <c r="T84" s="72">
        <v>71</v>
      </c>
      <c r="U84" s="72" t="s">
        <v>221</v>
      </c>
      <c r="V84">
        <v>721</v>
      </c>
      <c r="W84">
        <v>72</v>
      </c>
    </row>
    <row r="85" spans="1:23">
      <c r="A85" s="64" t="str">
        <f>IF(E85="","",VLOOKUP('OPĆI DIO'!$C$3,'OPĆI DIO'!$L$6:$U$138,10,FALSE))</f>
        <v/>
      </c>
      <c r="B85" s="64" t="str">
        <f>IF(E85="","",VLOOKUP('OPĆI DIO'!$C$3,'OPĆI DIO'!$L$6:$U$138,9,FALSE))</f>
        <v/>
      </c>
      <c r="C85" s="65" t="str">
        <f t="shared" si="7"/>
        <v/>
      </c>
      <c r="D85" s="66" t="str">
        <f t="shared" si="8"/>
        <v/>
      </c>
      <c r="E85" s="67"/>
      <c r="F85" s="68" t="str">
        <f t="shared" si="9"/>
        <v/>
      </c>
      <c r="G85" s="69"/>
      <c r="H85" s="69"/>
      <c r="I85" s="78">
        <f t="shared" si="10"/>
        <v>0</v>
      </c>
      <c r="J85" s="67"/>
      <c r="L85" t="str">
        <f t="shared" si="11"/>
        <v/>
      </c>
      <c r="M85" t="str">
        <f t="shared" si="12"/>
        <v/>
      </c>
      <c r="R85" s="72">
        <v>721190071</v>
      </c>
      <c r="S85" s="72" t="s">
        <v>226</v>
      </c>
      <c r="T85" s="72">
        <v>71</v>
      </c>
      <c r="U85" s="72" t="s">
        <v>221</v>
      </c>
      <c r="V85">
        <v>721</v>
      </c>
      <c r="W85">
        <v>72</v>
      </c>
    </row>
    <row r="86" spans="1:23">
      <c r="A86" s="64" t="str">
        <f>IF(E86="","",VLOOKUP('OPĆI DIO'!$C$3,'OPĆI DIO'!$L$6:$U$138,10,FALSE))</f>
        <v/>
      </c>
      <c r="B86" s="64" t="str">
        <f>IF(E86="","",VLOOKUP('OPĆI DIO'!$C$3,'OPĆI DIO'!$L$6:$U$138,9,FALSE))</f>
        <v/>
      </c>
      <c r="C86" s="65" t="str">
        <f t="shared" si="7"/>
        <v/>
      </c>
      <c r="D86" s="66" t="str">
        <f t="shared" si="8"/>
        <v/>
      </c>
      <c r="E86" s="67"/>
      <c r="F86" s="68" t="str">
        <f t="shared" si="9"/>
        <v/>
      </c>
      <c r="G86" s="69"/>
      <c r="H86" s="69"/>
      <c r="I86" s="78">
        <f t="shared" si="10"/>
        <v>0</v>
      </c>
      <c r="J86" s="67"/>
      <c r="L86" t="str">
        <f t="shared" si="11"/>
        <v/>
      </c>
      <c r="M86" t="str">
        <f t="shared" si="12"/>
        <v/>
      </c>
      <c r="R86" s="72">
        <v>721230071</v>
      </c>
      <c r="S86" s="72" t="s">
        <v>227</v>
      </c>
      <c r="T86" s="72">
        <v>71</v>
      </c>
      <c r="U86" s="72" t="s">
        <v>221</v>
      </c>
      <c r="V86">
        <v>721</v>
      </c>
      <c r="W86">
        <v>72</v>
      </c>
    </row>
    <row r="87" spans="1:23">
      <c r="A87" s="64" t="str">
        <f>IF(E87="","",VLOOKUP('OPĆI DIO'!$C$3,'OPĆI DIO'!$L$6:$U$138,10,FALSE))</f>
        <v/>
      </c>
      <c r="B87" s="64" t="str">
        <f>IF(E87="","",VLOOKUP('OPĆI DIO'!$C$3,'OPĆI DIO'!$L$6:$U$138,9,FALSE))</f>
        <v/>
      </c>
      <c r="C87" s="65" t="str">
        <f t="shared" si="7"/>
        <v/>
      </c>
      <c r="D87" s="66" t="str">
        <f t="shared" si="8"/>
        <v/>
      </c>
      <c r="E87" s="67"/>
      <c r="F87" s="68" t="str">
        <f t="shared" si="9"/>
        <v/>
      </c>
      <c r="G87" s="69"/>
      <c r="H87" s="69"/>
      <c r="I87" s="78">
        <f t="shared" si="10"/>
        <v>0</v>
      </c>
      <c r="J87" s="67"/>
      <c r="L87" t="str">
        <f t="shared" si="11"/>
        <v/>
      </c>
      <c r="M87" t="str">
        <f t="shared" si="12"/>
        <v/>
      </c>
      <c r="R87" s="72">
        <v>721290071</v>
      </c>
      <c r="S87" s="72" t="s">
        <v>228</v>
      </c>
      <c r="T87" s="72">
        <v>71</v>
      </c>
      <c r="U87" s="72" t="s">
        <v>221</v>
      </c>
      <c r="V87">
        <v>721</v>
      </c>
      <c r="W87">
        <v>72</v>
      </c>
    </row>
    <row r="88" spans="1:23">
      <c r="A88" s="64" t="str">
        <f>IF(E88="","",VLOOKUP('OPĆI DIO'!$C$3,'OPĆI DIO'!$L$6:$U$138,10,FALSE))</f>
        <v/>
      </c>
      <c r="B88" s="64" t="str">
        <f>IF(E88="","",VLOOKUP('OPĆI DIO'!$C$3,'OPĆI DIO'!$L$6:$U$138,9,FALSE))</f>
        <v/>
      </c>
      <c r="C88" s="65" t="str">
        <f t="shared" si="7"/>
        <v/>
      </c>
      <c r="D88" s="66" t="str">
        <f t="shared" si="8"/>
        <v/>
      </c>
      <c r="E88" s="67"/>
      <c r="F88" s="68" t="str">
        <f t="shared" si="9"/>
        <v/>
      </c>
      <c r="G88" s="69"/>
      <c r="H88" s="69"/>
      <c r="I88" s="78">
        <f t="shared" si="10"/>
        <v>0</v>
      </c>
      <c r="J88" s="67"/>
      <c r="L88" t="str">
        <f t="shared" si="11"/>
        <v/>
      </c>
      <c r="M88" t="str">
        <f t="shared" si="12"/>
        <v/>
      </c>
      <c r="R88" s="72">
        <v>722110071</v>
      </c>
      <c r="S88" s="72" t="s">
        <v>229</v>
      </c>
      <c r="T88" s="72">
        <v>71</v>
      </c>
      <c r="U88" s="72" t="s">
        <v>221</v>
      </c>
      <c r="V88">
        <v>722</v>
      </c>
      <c r="W88">
        <v>72</v>
      </c>
    </row>
    <row r="89" spans="1:23">
      <c r="A89" s="64" t="str">
        <f>IF(E89="","",VLOOKUP('OPĆI DIO'!$C$3,'OPĆI DIO'!$L$6:$U$138,10,FALSE))</f>
        <v/>
      </c>
      <c r="B89" s="64" t="str">
        <f>IF(E89="","",VLOOKUP('OPĆI DIO'!$C$3,'OPĆI DIO'!$L$6:$U$138,9,FALSE))</f>
        <v/>
      </c>
      <c r="C89" s="65" t="str">
        <f t="shared" si="7"/>
        <v/>
      </c>
      <c r="D89" s="66" t="str">
        <f t="shared" si="8"/>
        <v/>
      </c>
      <c r="E89" s="67"/>
      <c r="F89" s="68" t="str">
        <f t="shared" si="9"/>
        <v/>
      </c>
      <c r="G89" s="69"/>
      <c r="H89" s="69"/>
      <c r="I89" s="78">
        <f t="shared" si="10"/>
        <v>0</v>
      </c>
      <c r="J89" s="67"/>
      <c r="L89" t="str">
        <f t="shared" si="11"/>
        <v/>
      </c>
      <c r="M89" t="str">
        <f t="shared" si="12"/>
        <v/>
      </c>
      <c r="R89" s="72">
        <v>722120071</v>
      </c>
      <c r="S89" s="72" t="s">
        <v>230</v>
      </c>
      <c r="T89" s="72">
        <v>71</v>
      </c>
      <c r="U89" s="72" t="s">
        <v>221</v>
      </c>
      <c r="V89">
        <v>722</v>
      </c>
      <c r="W89">
        <v>72</v>
      </c>
    </row>
    <row r="90" spans="1:23">
      <c r="A90" s="64" t="str">
        <f>IF(E90="","",VLOOKUP('OPĆI DIO'!$C$3,'OPĆI DIO'!$L$6:$U$138,10,FALSE))</f>
        <v/>
      </c>
      <c r="B90" s="64" t="str">
        <f>IF(E90="","",VLOOKUP('OPĆI DIO'!$C$3,'OPĆI DIO'!$L$6:$U$138,9,FALSE))</f>
        <v/>
      </c>
      <c r="C90" s="65" t="str">
        <f t="shared" si="7"/>
        <v/>
      </c>
      <c r="D90" s="66" t="str">
        <f t="shared" si="8"/>
        <v/>
      </c>
      <c r="E90" s="67"/>
      <c r="F90" s="68" t="str">
        <f t="shared" si="9"/>
        <v/>
      </c>
      <c r="G90" s="69"/>
      <c r="H90" s="69"/>
      <c r="I90" s="78">
        <f t="shared" si="10"/>
        <v>0</v>
      </c>
      <c r="J90" s="67"/>
      <c r="L90" t="str">
        <f t="shared" si="11"/>
        <v/>
      </c>
      <c r="M90" t="str">
        <f t="shared" si="12"/>
        <v/>
      </c>
      <c r="R90" s="72">
        <v>722190071</v>
      </c>
      <c r="S90" s="72" t="s">
        <v>231</v>
      </c>
      <c r="T90" s="72">
        <v>71</v>
      </c>
      <c r="U90" s="72" t="s">
        <v>221</v>
      </c>
      <c r="V90">
        <v>722</v>
      </c>
      <c r="W90">
        <v>72</v>
      </c>
    </row>
    <row r="91" spans="1:23">
      <c r="A91" s="64" t="str">
        <f>IF(E91="","",VLOOKUP('OPĆI DIO'!$C$3,'OPĆI DIO'!$L$6:$U$138,10,FALSE))</f>
        <v/>
      </c>
      <c r="B91" s="64" t="str">
        <f>IF(E91="","",VLOOKUP('OPĆI DIO'!$C$3,'OPĆI DIO'!$L$6:$U$138,9,FALSE))</f>
        <v/>
      </c>
      <c r="C91" s="65" t="str">
        <f t="shared" si="7"/>
        <v/>
      </c>
      <c r="D91" s="66" t="str">
        <f t="shared" si="8"/>
        <v/>
      </c>
      <c r="E91" s="67"/>
      <c r="F91" s="68" t="str">
        <f t="shared" si="9"/>
        <v/>
      </c>
      <c r="G91" s="69"/>
      <c r="H91" s="69"/>
      <c r="I91" s="78">
        <f t="shared" si="10"/>
        <v>0</v>
      </c>
      <c r="J91" s="67"/>
      <c r="L91" t="str">
        <f t="shared" si="11"/>
        <v/>
      </c>
      <c r="M91" t="str">
        <f t="shared" si="12"/>
        <v/>
      </c>
      <c r="R91" s="72">
        <v>722620071</v>
      </c>
      <c r="S91" s="72" t="s">
        <v>232</v>
      </c>
      <c r="T91" s="72">
        <v>71</v>
      </c>
      <c r="U91" s="72" t="s">
        <v>221</v>
      </c>
      <c r="V91">
        <v>722</v>
      </c>
      <c r="W91">
        <v>72</v>
      </c>
    </row>
    <row r="92" spans="1:23">
      <c r="A92" s="64" t="str">
        <f>IF(E92="","",VLOOKUP('OPĆI DIO'!$C$3,'OPĆI DIO'!$L$6:$U$138,10,FALSE))</f>
        <v/>
      </c>
      <c r="B92" s="64" t="str">
        <f>IF(E92="","",VLOOKUP('OPĆI DIO'!$C$3,'OPĆI DIO'!$L$6:$U$138,9,FALSE))</f>
        <v/>
      </c>
      <c r="C92" s="65" t="str">
        <f t="shared" si="7"/>
        <v/>
      </c>
      <c r="D92" s="66" t="str">
        <f t="shared" si="8"/>
        <v/>
      </c>
      <c r="E92" s="67"/>
      <c r="F92" s="68" t="str">
        <f t="shared" si="9"/>
        <v/>
      </c>
      <c r="G92" s="69"/>
      <c r="H92" s="69"/>
      <c r="I92" s="78">
        <f t="shared" si="10"/>
        <v>0</v>
      </c>
      <c r="J92" s="67"/>
      <c r="L92" t="str">
        <f t="shared" si="11"/>
        <v/>
      </c>
      <c r="M92" t="str">
        <f t="shared" si="12"/>
        <v/>
      </c>
      <c r="R92" s="72">
        <v>722720071</v>
      </c>
      <c r="S92" s="72" t="s">
        <v>233</v>
      </c>
      <c r="T92" s="72">
        <v>71</v>
      </c>
      <c r="U92" s="72" t="s">
        <v>161</v>
      </c>
      <c r="V92">
        <v>722</v>
      </c>
      <c r="W92">
        <v>72</v>
      </c>
    </row>
    <row r="93" spans="1:23">
      <c r="A93" s="64" t="str">
        <f>IF(E93="","",VLOOKUP('OPĆI DIO'!$C$3,'OPĆI DIO'!$L$6:$U$138,10,FALSE))</f>
        <v/>
      </c>
      <c r="B93" s="64" t="str">
        <f>IF(E93="","",VLOOKUP('OPĆI DIO'!$C$3,'OPĆI DIO'!$L$6:$U$138,9,FALSE))</f>
        <v/>
      </c>
      <c r="C93" s="65" t="str">
        <f t="shared" si="7"/>
        <v/>
      </c>
      <c r="D93" s="66" t="str">
        <f t="shared" si="8"/>
        <v/>
      </c>
      <c r="E93" s="67"/>
      <c r="F93" s="68" t="str">
        <f t="shared" si="9"/>
        <v/>
      </c>
      <c r="G93" s="69"/>
      <c r="H93" s="69"/>
      <c r="I93" s="78">
        <f t="shared" si="10"/>
        <v>0</v>
      </c>
      <c r="J93" s="67"/>
      <c r="L93" t="str">
        <f t="shared" si="11"/>
        <v/>
      </c>
      <c r="M93" t="str">
        <f t="shared" si="12"/>
        <v/>
      </c>
      <c r="R93" s="72">
        <v>722730071</v>
      </c>
      <c r="S93" s="72" t="s">
        <v>234</v>
      </c>
      <c r="T93" s="72">
        <v>71</v>
      </c>
      <c r="U93" s="72" t="s">
        <v>221</v>
      </c>
      <c r="V93">
        <v>722</v>
      </c>
      <c r="W93">
        <v>72</v>
      </c>
    </row>
    <row r="94" spans="1:23">
      <c r="A94" s="64" t="str">
        <f>IF(E94="","",VLOOKUP('OPĆI DIO'!$C$3,'OPĆI DIO'!$L$6:$U$138,10,FALSE))</f>
        <v/>
      </c>
      <c r="B94" s="64" t="str">
        <f>IF(E94="","",VLOOKUP('OPĆI DIO'!$C$3,'OPĆI DIO'!$L$6:$U$138,9,FALSE))</f>
        <v/>
      </c>
      <c r="C94" s="65" t="str">
        <f t="shared" si="7"/>
        <v/>
      </c>
      <c r="D94" s="66" t="str">
        <f t="shared" si="8"/>
        <v/>
      </c>
      <c r="E94" s="67"/>
      <c r="F94" s="68" t="str">
        <f t="shared" si="9"/>
        <v/>
      </c>
      <c r="G94" s="69"/>
      <c r="H94" s="69"/>
      <c r="I94" s="78">
        <f t="shared" si="10"/>
        <v>0</v>
      </c>
      <c r="J94" s="67"/>
      <c r="L94" t="str">
        <f t="shared" si="11"/>
        <v/>
      </c>
      <c r="M94" t="str">
        <f t="shared" si="12"/>
        <v/>
      </c>
      <c r="R94" s="72">
        <v>723110071</v>
      </c>
      <c r="S94" s="72" t="s">
        <v>235</v>
      </c>
      <c r="T94" s="72">
        <v>71</v>
      </c>
      <c r="U94" s="72" t="s">
        <v>221</v>
      </c>
      <c r="V94">
        <v>723</v>
      </c>
      <c r="W94">
        <v>72</v>
      </c>
    </row>
    <row r="95" spans="1:23">
      <c r="A95" s="64" t="str">
        <f>IF(E95="","",VLOOKUP('OPĆI DIO'!$C$3,'OPĆI DIO'!$L$6:$U$138,10,FALSE))</f>
        <v/>
      </c>
      <c r="B95" s="64" t="str">
        <f>IF(E95="","",VLOOKUP('OPĆI DIO'!$C$3,'OPĆI DIO'!$L$6:$U$138,9,FALSE))</f>
        <v/>
      </c>
      <c r="C95" s="65" t="str">
        <f t="shared" si="7"/>
        <v/>
      </c>
      <c r="D95" s="66" t="str">
        <f t="shared" si="8"/>
        <v/>
      </c>
      <c r="E95" s="67"/>
      <c r="F95" s="68" t="str">
        <f t="shared" si="9"/>
        <v/>
      </c>
      <c r="G95" s="69"/>
      <c r="H95" s="69"/>
      <c r="I95" s="78">
        <f t="shared" si="10"/>
        <v>0</v>
      </c>
      <c r="J95" s="67"/>
      <c r="L95" t="str">
        <f t="shared" si="11"/>
        <v/>
      </c>
      <c r="M95" t="str">
        <f t="shared" si="12"/>
        <v/>
      </c>
      <c r="R95" s="72">
        <v>723130071</v>
      </c>
      <c r="S95" s="72" t="s">
        <v>236</v>
      </c>
      <c r="T95" s="72">
        <v>71</v>
      </c>
      <c r="U95" s="72" t="s">
        <v>221</v>
      </c>
      <c r="V95">
        <v>723</v>
      </c>
      <c r="W95">
        <v>72</v>
      </c>
    </row>
    <row r="96" spans="1:23">
      <c r="A96" s="64" t="str">
        <f>IF(E96="","",VLOOKUP('OPĆI DIO'!$C$3,'OPĆI DIO'!$L$6:$U$138,10,FALSE))</f>
        <v/>
      </c>
      <c r="B96" s="64" t="str">
        <f>IF(E96="","",VLOOKUP('OPĆI DIO'!$C$3,'OPĆI DIO'!$L$6:$U$138,9,FALSE))</f>
        <v/>
      </c>
      <c r="C96" s="65" t="str">
        <f t="shared" si="7"/>
        <v/>
      </c>
      <c r="D96" s="66" t="str">
        <f t="shared" si="8"/>
        <v/>
      </c>
      <c r="E96" s="67"/>
      <c r="F96" s="68" t="str">
        <f t="shared" si="9"/>
        <v/>
      </c>
      <c r="G96" s="69"/>
      <c r="H96" s="69"/>
      <c r="I96" s="78">
        <f t="shared" si="10"/>
        <v>0</v>
      </c>
      <c r="J96" s="67"/>
      <c r="L96" t="str">
        <f t="shared" si="11"/>
        <v/>
      </c>
      <c r="M96" t="str">
        <f t="shared" si="12"/>
        <v/>
      </c>
      <c r="R96" s="72">
        <v>723140071</v>
      </c>
      <c r="S96" s="72" t="s">
        <v>237</v>
      </c>
      <c r="T96" s="72">
        <v>71</v>
      </c>
      <c r="U96" s="72" t="s">
        <v>221</v>
      </c>
      <c r="V96">
        <v>723</v>
      </c>
      <c r="W96">
        <v>72</v>
      </c>
    </row>
    <row r="97" spans="1:23">
      <c r="A97" s="64" t="str">
        <f>IF(E97="","",VLOOKUP('OPĆI DIO'!$C$3,'OPĆI DIO'!$L$6:$U$138,10,FALSE))</f>
        <v/>
      </c>
      <c r="B97" s="64" t="str">
        <f>IF(E97="","",VLOOKUP('OPĆI DIO'!$C$3,'OPĆI DIO'!$L$6:$U$138,9,FALSE))</f>
        <v/>
      </c>
      <c r="C97" s="65" t="str">
        <f t="shared" si="7"/>
        <v/>
      </c>
      <c r="D97" s="66" t="str">
        <f t="shared" si="8"/>
        <v/>
      </c>
      <c r="E97" s="67"/>
      <c r="F97" s="68" t="str">
        <f t="shared" si="9"/>
        <v/>
      </c>
      <c r="G97" s="69"/>
      <c r="H97" s="69"/>
      <c r="I97" s="78">
        <f t="shared" si="10"/>
        <v>0</v>
      </c>
      <c r="J97" s="67"/>
      <c r="L97" t="str">
        <f t="shared" si="11"/>
        <v/>
      </c>
      <c r="M97" t="str">
        <f t="shared" si="12"/>
        <v/>
      </c>
      <c r="R97" s="72">
        <v>723150071</v>
      </c>
      <c r="S97" s="72" t="s">
        <v>238</v>
      </c>
      <c r="T97" s="72">
        <v>71</v>
      </c>
      <c r="U97" s="72" t="s">
        <v>221</v>
      </c>
      <c r="V97">
        <v>723</v>
      </c>
      <c r="W97">
        <v>72</v>
      </c>
    </row>
    <row r="98" spans="1:23">
      <c r="A98" s="64" t="str">
        <f>IF(E98="","",VLOOKUP('OPĆI DIO'!$C$3,'OPĆI DIO'!$L$6:$U$138,10,FALSE))</f>
        <v/>
      </c>
      <c r="B98" s="64" t="str">
        <f>IF(E98="","",VLOOKUP('OPĆI DIO'!$C$3,'OPĆI DIO'!$L$6:$U$138,9,FALSE))</f>
        <v/>
      </c>
      <c r="C98" s="65" t="str">
        <f t="shared" si="7"/>
        <v/>
      </c>
      <c r="D98" s="66" t="str">
        <f t="shared" si="8"/>
        <v/>
      </c>
      <c r="E98" s="67"/>
      <c r="F98" s="68" t="str">
        <f t="shared" si="9"/>
        <v/>
      </c>
      <c r="G98" s="69"/>
      <c r="H98" s="69"/>
      <c r="I98" s="78">
        <f t="shared" si="10"/>
        <v>0</v>
      </c>
      <c r="J98" s="67"/>
      <c r="L98" t="str">
        <f t="shared" si="11"/>
        <v/>
      </c>
      <c r="M98" t="str">
        <f t="shared" si="12"/>
        <v/>
      </c>
      <c r="R98" s="72">
        <v>723160071</v>
      </c>
      <c r="S98" s="72" t="s">
        <v>239</v>
      </c>
      <c r="T98" s="72">
        <v>71</v>
      </c>
      <c r="U98" s="72" t="s">
        <v>221</v>
      </c>
      <c r="V98">
        <v>723</v>
      </c>
      <c r="W98">
        <v>72</v>
      </c>
    </row>
    <row r="99" spans="1:23">
      <c r="A99" s="64" t="str">
        <f>IF(E99="","",VLOOKUP('OPĆI DIO'!$C$3,'OPĆI DIO'!$L$6:$U$138,10,FALSE))</f>
        <v/>
      </c>
      <c r="B99" s="64" t="str">
        <f>IF(E99="","",VLOOKUP('OPĆI DIO'!$C$3,'OPĆI DIO'!$L$6:$U$138,9,FALSE))</f>
        <v/>
      </c>
      <c r="C99" s="65" t="str">
        <f t="shared" si="7"/>
        <v/>
      </c>
      <c r="D99" s="66" t="str">
        <f t="shared" si="8"/>
        <v/>
      </c>
      <c r="E99" s="67"/>
      <c r="F99" s="68" t="str">
        <f t="shared" si="9"/>
        <v/>
      </c>
      <c r="G99" s="69"/>
      <c r="H99" s="69"/>
      <c r="I99" s="78">
        <f t="shared" si="10"/>
        <v>0</v>
      </c>
      <c r="J99" s="67"/>
      <c r="L99" t="str">
        <f t="shared" si="11"/>
        <v/>
      </c>
      <c r="M99" t="str">
        <f t="shared" si="12"/>
        <v/>
      </c>
      <c r="R99" s="72">
        <v>723190071</v>
      </c>
      <c r="S99" s="72" t="s">
        <v>240</v>
      </c>
      <c r="T99" s="72">
        <v>71</v>
      </c>
      <c r="U99" s="72" t="s">
        <v>161</v>
      </c>
      <c r="V99">
        <v>723</v>
      </c>
      <c r="W99">
        <v>72</v>
      </c>
    </row>
    <row r="100" spans="1:23">
      <c r="A100" s="64" t="str">
        <f>IF(E100="","",VLOOKUP('OPĆI DIO'!$C$3,'OPĆI DIO'!$L$6:$U$138,10,FALSE))</f>
        <v/>
      </c>
      <c r="B100" s="64" t="str">
        <f>IF(E100="","",VLOOKUP('OPĆI DIO'!$C$3,'OPĆI DIO'!$L$6:$U$138,9,FALSE))</f>
        <v/>
      </c>
      <c r="C100" s="65" t="str">
        <f t="shared" si="7"/>
        <v/>
      </c>
      <c r="D100" s="66" t="str">
        <f t="shared" si="8"/>
        <v/>
      </c>
      <c r="E100" s="67"/>
      <c r="F100" s="68" t="str">
        <f t="shared" si="9"/>
        <v/>
      </c>
      <c r="G100" s="69"/>
      <c r="H100" s="69"/>
      <c r="I100" s="78">
        <f t="shared" si="10"/>
        <v>0</v>
      </c>
      <c r="J100" s="67"/>
      <c r="L100" t="str">
        <f t="shared" si="11"/>
        <v/>
      </c>
      <c r="M100" t="str">
        <f t="shared" si="12"/>
        <v/>
      </c>
      <c r="R100" s="72">
        <v>723310071</v>
      </c>
      <c r="S100" s="72" t="s">
        <v>241</v>
      </c>
      <c r="T100" s="72">
        <v>71</v>
      </c>
      <c r="U100" s="72" t="s">
        <v>221</v>
      </c>
      <c r="V100">
        <v>723</v>
      </c>
      <c r="W100">
        <v>72</v>
      </c>
    </row>
    <row r="101" spans="1:23">
      <c r="A101" s="64" t="str">
        <f>IF(E101="","",VLOOKUP('OPĆI DIO'!$C$3,'OPĆI DIO'!$L$6:$U$138,10,FALSE))</f>
        <v/>
      </c>
      <c r="B101" s="64" t="str">
        <f>IF(E101="","",VLOOKUP('OPĆI DIO'!$C$3,'OPĆI DIO'!$L$6:$U$138,9,FALSE))</f>
        <v/>
      </c>
      <c r="C101" s="65" t="str">
        <f t="shared" si="7"/>
        <v/>
      </c>
      <c r="D101" s="66" t="str">
        <f t="shared" si="8"/>
        <v/>
      </c>
      <c r="E101" s="67"/>
      <c r="F101" s="68" t="str">
        <f t="shared" si="9"/>
        <v/>
      </c>
      <c r="G101" s="69"/>
      <c r="H101" s="69"/>
      <c r="I101" s="78">
        <f t="shared" si="10"/>
        <v>0</v>
      </c>
      <c r="J101" s="67"/>
      <c r="L101" t="str">
        <f t="shared" si="11"/>
        <v/>
      </c>
      <c r="M101" t="str">
        <f t="shared" si="12"/>
        <v/>
      </c>
      <c r="R101" s="72">
        <v>725210071</v>
      </c>
      <c r="S101" s="72" t="s">
        <v>242</v>
      </c>
      <c r="T101" s="72">
        <v>71</v>
      </c>
      <c r="U101" s="72" t="s">
        <v>221</v>
      </c>
      <c r="V101">
        <v>725</v>
      </c>
      <c r="W101">
        <v>72</v>
      </c>
    </row>
    <row r="102" spans="1:23">
      <c r="A102" s="64" t="str">
        <f>IF(E102="","",VLOOKUP('OPĆI DIO'!$C$3,'OPĆI DIO'!$L$6:$U$138,10,FALSE))</f>
        <v/>
      </c>
      <c r="B102" s="64" t="str">
        <f>IF(E102="","",VLOOKUP('OPĆI DIO'!$C$3,'OPĆI DIO'!$L$6:$U$138,9,FALSE))</f>
        <v/>
      </c>
      <c r="C102" s="65" t="str">
        <f t="shared" si="7"/>
        <v/>
      </c>
      <c r="D102" s="66" t="str">
        <f t="shared" si="8"/>
        <v/>
      </c>
      <c r="E102" s="67"/>
      <c r="F102" s="68" t="str">
        <f t="shared" si="9"/>
        <v/>
      </c>
      <c r="G102" s="69"/>
      <c r="H102" s="69"/>
      <c r="I102" s="78">
        <f t="shared" si="10"/>
        <v>0</v>
      </c>
      <c r="J102" s="67"/>
      <c r="L102" t="str">
        <f t="shared" si="11"/>
        <v/>
      </c>
      <c r="M102" t="str">
        <f t="shared" si="12"/>
        <v/>
      </c>
      <c r="R102" s="72">
        <v>818110043</v>
      </c>
      <c r="S102" s="72" t="s">
        <v>243</v>
      </c>
      <c r="T102" s="72">
        <v>43</v>
      </c>
      <c r="U102" s="72" t="s">
        <v>130</v>
      </c>
      <c r="V102">
        <v>818</v>
      </c>
      <c r="W102">
        <v>81</v>
      </c>
    </row>
    <row r="103" spans="1:23">
      <c r="A103" s="64" t="str">
        <f>IF(E103="","",VLOOKUP('OPĆI DIO'!$C$3,'OPĆI DIO'!$L$6:$U$138,10,FALSE))</f>
        <v/>
      </c>
      <c r="B103" s="64" t="str">
        <f>IF(E103="","",VLOOKUP('OPĆI DIO'!$C$3,'OPĆI DIO'!$L$6:$U$138,9,FALSE))</f>
        <v/>
      </c>
      <c r="C103" s="65" t="str">
        <f t="shared" ref="C103:C166" si="13">IFERROR(VLOOKUP(E103,$R$6:$U$109,3,FALSE),"")</f>
        <v/>
      </c>
      <c r="D103" s="66" t="str">
        <f t="shared" ref="D103:D166" si="14">IFERROR(VLOOKUP(E103,$R$6:$U$109,4,FALSE),"")</f>
        <v/>
      </c>
      <c r="E103" s="67"/>
      <c r="F103" s="68" t="str">
        <f t="shared" ref="F103:F166" si="15">IFERROR(VLOOKUP(E103,$R$6:$U$109,2,FALSE),"")</f>
        <v/>
      </c>
      <c r="G103" s="69"/>
      <c r="H103" s="69"/>
      <c r="I103" s="78">
        <f t="shared" si="10"/>
        <v>0</v>
      </c>
      <c r="J103" s="67"/>
      <c r="L103" t="str">
        <f t="shared" si="11"/>
        <v/>
      </c>
      <c r="M103" t="str">
        <f t="shared" si="12"/>
        <v/>
      </c>
      <c r="R103" s="72">
        <v>818120043</v>
      </c>
      <c r="S103" s="72" t="s">
        <v>244</v>
      </c>
      <c r="T103" s="72">
        <v>43</v>
      </c>
      <c r="U103" s="72" t="s">
        <v>130</v>
      </c>
      <c r="V103">
        <v>818</v>
      </c>
      <c r="W103">
        <v>81</v>
      </c>
    </row>
    <row r="104" spans="1:23">
      <c r="A104" s="64" t="str">
        <f>IF(E104="","",VLOOKUP('OPĆI DIO'!$C$3,'OPĆI DIO'!$L$6:$U$138,10,FALSE))</f>
        <v/>
      </c>
      <c r="B104" s="64" t="str">
        <f>IF(E104="","",VLOOKUP('OPĆI DIO'!$C$3,'OPĆI DIO'!$L$6:$U$138,9,FALSE))</f>
        <v/>
      </c>
      <c r="C104" s="65" t="str">
        <f t="shared" si="13"/>
        <v/>
      </c>
      <c r="D104" s="66" t="str">
        <f t="shared" si="14"/>
        <v/>
      </c>
      <c r="E104" s="67"/>
      <c r="F104" s="68" t="str">
        <f t="shared" si="15"/>
        <v/>
      </c>
      <c r="G104" s="69"/>
      <c r="H104" s="69"/>
      <c r="I104" s="78">
        <f t="shared" si="10"/>
        <v>0</v>
      </c>
      <c r="J104" s="67"/>
      <c r="L104" t="str">
        <f t="shared" si="11"/>
        <v/>
      </c>
      <c r="M104" t="str">
        <f t="shared" si="12"/>
        <v/>
      </c>
      <c r="R104" s="72">
        <v>832120043</v>
      </c>
      <c r="S104" s="72" t="s">
        <v>245</v>
      </c>
      <c r="T104" s="72">
        <v>43</v>
      </c>
      <c r="U104" s="72" t="s">
        <v>130</v>
      </c>
      <c r="V104">
        <v>832</v>
      </c>
      <c r="W104">
        <v>83</v>
      </c>
    </row>
    <row r="105" spans="1:23">
      <c r="A105" s="64" t="str">
        <f>IF(E105="","",VLOOKUP('OPĆI DIO'!$C$3,'OPĆI DIO'!$L$6:$U$138,10,FALSE))</f>
        <v/>
      </c>
      <c r="B105" s="64" t="str">
        <f>IF(E105="","",VLOOKUP('OPĆI DIO'!$C$3,'OPĆI DIO'!$L$6:$U$138,9,FALSE))</f>
        <v/>
      </c>
      <c r="C105" s="65" t="str">
        <f t="shared" si="13"/>
        <v/>
      </c>
      <c r="D105" s="66" t="str">
        <f t="shared" si="14"/>
        <v/>
      </c>
      <c r="E105" s="67"/>
      <c r="F105" s="68" t="str">
        <f t="shared" si="15"/>
        <v/>
      </c>
      <c r="G105" s="69"/>
      <c r="H105" s="69"/>
      <c r="I105" s="78">
        <f t="shared" si="10"/>
        <v>0</v>
      </c>
      <c r="J105" s="67"/>
      <c r="L105" t="str">
        <f t="shared" si="11"/>
        <v/>
      </c>
      <c r="M105" t="str">
        <f t="shared" si="12"/>
        <v/>
      </c>
      <c r="R105" s="72">
        <v>833130043</v>
      </c>
      <c r="S105" s="72" t="s">
        <v>246</v>
      </c>
      <c r="T105" s="72">
        <v>43</v>
      </c>
      <c r="U105" s="72" t="s">
        <v>130</v>
      </c>
      <c r="V105">
        <v>833</v>
      </c>
      <c r="W105">
        <v>83</v>
      </c>
    </row>
    <row r="106" spans="1:23">
      <c r="A106" s="64" t="str">
        <f>IF(E106="","",VLOOKUP('OPĆI DIO'!$C$3,'OPĆI DIO'!$L$6:$U$138,10,FALSE))</f>
        <v/>
      </c>
      <c r="B106" s="64" t="str">
        <f>IF(E106="","",VLOOKUP('OPĆI DIO'!$C$3,'OPĆI DIO'!$L$6:$U$138,9,FALSE))</f>
        <v/>
      </c>
      <c r="C106" s="65" t="str">
        <f t="shared" si="13"/>
        <v/>
      </c>
      <c r="D106" s="66" t="str">
        <f t="shared" si="14"/>
        <v/>
      </c>
      <c r="E106" s="67"/>
      <c r="F106" s="68" t="str">
        <f t="shared" si="15"/>
        <v/>
      </c>
      <c r="G106" s="69"/>
      <c r="H106" s="69"/>
      <c r="I106" s="78">
        <f t="shared" si="10"/>
        <v>0</v>
      </c>
      <c r="J106" s="67"/>
      <c r="L106" t="str">
        <f t="shared" si="11"/>
        <v/>
      </c>
      <c r="M106" t="str">
        <f t="shared" si="12"/>
        <v/>
      </c>
      <c r="R106" s="72">
        <v>841320000</v>
      </c>
      <c r="S106" s="72" t="s">
        <v>247</v>
      </c>
      <c r="T106" s="72">
        <v>81</v>
      </c>
      <c r="U106" s="72" t="s">
        <v>248</v>
      </c>
      <c r="V106">
        <v>841</v>
      </c>
      <c r="W106">
        <v>84</v>
      </c>
    </row>
    <row r="107" spans="1:23">
      <c r="A107" s="64" t="str">
        <f>IF(E107="","",VLOOKUP('OPĆI DIO'!$C$3,'OPĆI DIO'!$L$6:$U$138,10,FALSE))</f>
        <v/>
      </c>
      <c r="B107" s="64" t="str">
        <f>IF(E107="","",VLOOKUP('OPĆI DIO'!$C$3,'OPĆI DIO'!$L$6:$U$138,9,FALSE))</f>
        <v/>
      </c>
      <c r="C107" s="65" t="str">
        <f t="shared" si="13"/>
        <v/>
      </c>
      <c r="D107" s="66" t="str">
        <f t="shared" si="14"/>
        <v/>
      </c>
      <c r="E107" s="67"/>
      <c r="F107" s="68" t="str">
        <f t="shared" si="15"/>
        <v/>
      </c>
      <c r="G107" s="69"/>
      <c r="H107" s="69"/>
      <c r="I107" s="78">
        <f t="shared" si="10"/>
        <v>0</v>
      </c>
      <c r="J107" s="67"/>
      <c r="L107" t="str">
        <f t="shared" si="11"/>
        <v/>
      </c>
      <c r="M107" t="str">
        <f t="shared" si="12"/>
        <v/>
      </c>
      <c r="R107" s="76">
        <v>841320150</v>
      </c>
      <c r="S107" s="76" t="s">
        <v>249</v>
      </c>
      <c r="T107" s="76">
        <v>81</v>
      </c>
      <c r="U107" s="76" t="s">
        <v>248</v>
      </c>
      <c r="V107" s="74">
        <v>841</v>
      </c>
      <c r="W107" s="74">
        <v>84</v>
      </c>
    </row>
    <row r="108" spans="1:23">
      <c r="A108" s="64" t="str">
        <f>IF(E108="","",VLOOKUP('OPĆI DIO'!$C$3,'OPĆI DIO'!$L$6:$U$138,10,FALSE))</f>
        <v/>
      </c>
      <c r="B108" s="64" t="str">
        <f>IF(E108="","",VLOOKUP('OPĆI DIO'!$C$3,'OPĆI DIO'!$L$6:$U$138,9,FALSE))</f>
        <v/>
      </c>
      <c r="C108" s="65" t="str">
        <f t="shared" si="13"/>
        <v/>
      </c>
      <c r="D108" s="66" t="str">
        <f t="shared" si="14"/>
        <v/>
      </c>
      <c r="E108" s="67"/>
      <c r="F108" s="68" t="str">
        <f t="shared" si="15"/>
        <v/>
      </c>
      <c r="G108" s="69"/>
      <c r="H108" s="69"/>
      <c r="I108" s="78">
        <f t="shared" si="10"/>
        <v>0</v>
      </c>
      <c r="J108" s="67"/>
      <c r="L108" t="str">
        <f t="shared" si="11"/>
        <v/>
      </c>
      <c r="M108" t="str">
        <f t="shared" si="12"/>
        <v/>
      </c>
      <c r="R108" s="72">
        <v>842220081</v>
      </c>
      <c r="S108" s="72" t="s">
        <v>250</v>
      </c>
      <c r="T108" s="72">
        <v>81</v>
      </c>
      <c r="U108" s="72" t="s">
        <v>248</v>
      </c>
      <c r="V108">
        <v>842</v>
      </c>
      <c r="W108">
        <v>84</v>
      </c>
    </row>
    <row r="109" spans="1:23">
      <c r="A109" s="64" t="str">
        <f>IF(E109="","",VLOOKUP('OPĆI DIO'!$C$3,'OPĆI DIO'!$L$6:$U$138,10,FALSE))</f>
        <v/>
      </c>
      <c r="B109" s="64" t="str">
        <f>IF(E109="","",VLOOKUP('OPĆI DIO'!$C$3,'OPĆI DIO'!$L$6:$U$138,9,FALSE))</f>
        <v/>
      </c>
      <c r="C109" s="65" t="str">
        <f t="shared" si="13"/>
        <v/>
      </c>
      <c r="D109" s="66" t="str">
        <f t="shared" si="14"/>
        <v/>
      </c>
      <c r="E109" s="67"/>
      <c r="F109" s="68" t="str">
        <f t="shared" si="15"/>
        <v/>
      </c>
      <c r="G109" s="69"/>
      <c r="H109" s="69"/>
      <c r="I109" s="78">
        <f t="shared" si="10"/>
        <v>0</v>
      </c>
      <c r="J109" s="67"/>
      <c r="L109" t="str">
        <f t="shared" si="11"/>
        <v/>
      </c>
      <c r="M109" t="str">
        <f t="shared" si="12"/>
        <v/>
      </c>
      <c r="R109" s="72">
        <v>641430031</v>
      </c>
      <c r="S109" s="72" t="s">
        <v>5912</v>
      </c>
      <c r="T109" s="72">
        <v>31</v>
      </c>
      <c r="U109" s="72" t="s">
        <v>126</v>
      </c>
      <c r="V109">
        <v>641</v>
      </c>
      <c r="W109">
        <v>64</v>
      </c>
    </row>
    <row r="110" spans="1:23">
      <c r="A110" s="64" t="str">
        <f>IF(E110="","",VLOOKUP('OPĆI DIO'!$C$3,'OPĆI DIO'!$L$6:$U$138,10,FALSE))</f>
        <v/>
      </c>
      <c r="B110" s="64" t="str">
        <f>IF(E110="","",VLOOKUP('OPĆI DIO'!$C$3,'OPĆI DIO'!$L$6:$U$138,9,FALSE))</f>
        <v/>
      </c>
      <c r="C110" s="65" t="str">
        <f t="shared" si="13"/>
        <v/>
      </c>
      <c r="D110" s="66" t="str">
        <f t="shared" si="14"/>
        <v/>
      </c>
      <c r="E110" s="67"/>
      <c r="F110" s="68" t="str">
        <f t="shared" si="15"/>
        <v/>
      </c>
      <c r="G110" s="69"/>
      <c r="H110" s="69"/>
      <c r="I110" s="78">
        <f t="shared" si="10"/>
        <v>0</v>
      </c>
      <c r="J110" s="67"/>
      <c r="L110" t="str">
        <f t="shared" si="11"/>
        <v/>
      </c>
      <c r="M110" t="str">
        <f t="shared" si="12"/>
        <v/>
      </c>
    </row>
    <row r="111" spans="1:23">
      <c r="A111" s="64" t="str">
        <f>IF(E111="","",VLOOKUP('OPĆI DIO'!$C$3,'OPĆI DIO'!$L$6:$U$138,10,FALSE))</f>
        <v/>
      </c>
      <c r="B111" s="64" t="str">
        <f>IF(E111="","",VLOOKUP('OPĆI DIO'!$C$3,'OPĆI DIO'!$L$6:$U$138,9,FALSE))</f>
        <v/>
      </c>
      <c r="C111" s="65" t="str">
        <f t="shared" si="13"/>
        <v/>
      </c>
      <c r="D111" s="66" t="str">
        <f t="shared" si="14"/>
        <v/>
      </c>
      <c r="E111" s="67"/>
      <c r="F111" s="68" t="str">
        <f t="shared" si="15"/>
        <v/>
      </c>
      <c r="G111" s="69"/>
      <c r="H111" s="69"/>
      <c r="I111" s="78">
        <f t="shared" si="10"/>
        <v>0</v>
      </c>
      <c r="J111" s="67"/>
      <c r="L111" t="str">
        <f t="shared" si="11"/>
        <v/>
      </c>
      <c r="M111" t="str">
        <f t="shared" si="12"/>
        <v/>
      </c>
    </row>
    <row r="112" spans="1:23">
      <c r="A112" s="64" t="str">
        <f>IF(E112="","",VLOOKUP('OPĆI DIO'!$C$3,'OPĆI DIO'!$L$6:$U$138,10,FALSE))</f>
        <v/>
      </c>
      <c r="B112" s="64" t="str">
        <f>IF(E112="","",VLOOKUP('OPĆI DIO'!$C$3,'OPĆI DIO'!$L$6:$U$138,9,FALSE))</f>
        <v/>
      </c>
      <c r="C112" s="65" t="str">
        <f t="shared" si="13"/>
        <v/>
      </c>
      <c r="D112" s="66" t="str">
        <f t="shared" si="14"/>
        <v/>
      </c>
      <c r="E112" s="67"/>
      <c r="F112" s="68" t="str">
        <f t="shared" si="15"/>
        <v/>
      </c>
      <c r="G112" s="69"/>
      <c r="H112" s="69"/>
      <c r="I112" s="78">
        <f t="shared" si="10"/>
        <v>0</v>
      </c>
      <c r="J112" s="67"/>
      <c r="L112" t="str">
        <f t="shared" si="11"/>
        <v/>
      </c>
      <c r="M112" t="str">
        <f t="shared" si="12"/>
        <v/>
      </c>
    </row>
    <row r="113" spans="1:13">
      <c r="A113" s="64" t="str">
        <f>IF(E113="","",VLOOKUP('OPĆI DIO'!$C$3,'OPĆI DIO'!$L$6:$U$138,10,FALSE))</f>
        <v/>
      </c>
      <c r="B113" s="64" t="str">
        <f>IF(E113="","",VLOOKUP('OPĆI DIO'!$C$3,'OPĆI DIO'!$L$6:$U$138,9,FALSE))</f>
        <v/>
      </c>
      <c r="C113" s="65" t="str">
        <f t="shared" si="13"/>
        <v/>
      </c>
      <c r="D113" s="66" t="str">
        <f t="shared" si="14"/>
        <v/>
      </c>
      <c r="E113" s="67"/>
      <c r="F113" s="68" t="str">
        <f t="shared" si="15"/>
        <v/>
      </c>
      <c r="G113" s="69"/>
      <c r="H113" s="69"/>
      <c r="I113" s="78">
        <f t="shared" si="10"/>
        <v>0</v>
      </c>
      <c r="J113" s="67"/>
      <c r="L113" t="str">
        <f t="shared" si="11"/>
        <v/>
      </c>
      <c r="M113" t="str">
        <f t="shared" si="12"/>
        <v/>
      </c>
    </row>
    <row r="114" spans="1:13">
      <c r="A114" s="64" t="str">
        <f>IF(E114="","",VLOOKUP('OPĆI DIO'!$C$3,'OPĆI DIO'!$L$6:$U$138,10,FALSE))</f>
        <v/>
      </c>
      <c r="B114" s="64" t="str">
        <f>IF(E114="","",VLOOKUP('OPĆI DIO'!$C$3,'OPĆI DIO'!$L$6:$U$138,9,FALSE))</f>
        <v/>
      </c>
      <c r="C114" s="65" t="str">
        <f t="shared" si="13"/>
        <v/>
      </c>
      <c r="D114" s="66" t="str">
        <f t="shared" si="14"/>
        <v/>
      </c>
      <c r="E114" s="67"/>
      <c r="F114" s="68" t="str">
        <f t="shared" si="15"/>
        <v/>
      </c>
      <c r="G114" s="69"/>
      <c r="H114" s="69"/>
      <c r="I114" s="78">
        <f t="shared" si="10"/>
        <v>0</v>
      </c>
      <c r="J114" s="67"/>
      <c r="L114" t="str">
        <f t="shared" si="11"/>
        <v/>
      </c>
      <c r="M114" t="str">
        <f t="shared" si="12"/>
        <v/>
      </c>
    </row>
    <row r="115" spans="1:13">
      <c r="A115" s="64" t="str">
        <f>IF(E115="","",VLOOKUP('OPĆI DIO'!$C$3,'OPĆI DIO'!$L$6:$U$138,10,FALSE))</f>
        <v/>
      </c>
      <c r="B115" s="64" t="str">
        <f>IF(E115="","",VLOOKUP('OPĆI DIO'!$C$3,'OPĆI DIO'!$L$6:$U$138,9,FALSE))</f>
        <v/>
      </c>
      <c r="C115" s="65" t="str">
        <f t="shared" si="13"/>
        <v/>
      </c>
      <c r="D115" s="66" t="str">
        <f t="shared" si="14"/>
        <v/>
      </c>
      <c r="E115" s="67"/>
      <c r="F115" s="68" t="str">
        <f t="shared" si="15"/>
        <v/>
      </c>
      <c r="G115" s="69"/>
      <c r="H115" s="69"/>
      <c r="I115" s="78">
        <f t="shared" si="10"/>
        <v>0</v>
      </c>
      <c r="J115" s="67"/>
      <c r="L115" t="str">
        <f t="shared" si="11"/>
        <v/>
      </c>
      <c r="M115" t="str">
        <f t="shared" si="12"/>
        <v/>
      </c>
    </row>
    <row r="116" spans="1:13">
      <c r="A116" s="64" t="str">
        <f>IF(E116="","",VLOOKUP('OPĆI DIO'!$C$3,'OPĆI DIO'!$L$6:$U$138,10,FALSE))</f>
        <v/>
      </c>
      <c r="B116" s="64" t="str">
        <f>IF(E116="","",VLOOKUP('OPĆI DIO'!$C$3,'OPĆI DIO'!$L$6:$U$138,9,FALSE))</f>
        <v/>
      </c>
      <c r="C116" s="65" t="str">
        <f t="shared" si="13"/>
        <v/>
      </c>
      <c r="D116" s="66" t="str">
        <f t="shared" si="14"/>
        <v/>
      </c>
      <c r="E116" s="67"/>
      <c r="F116" s="68" t="str">
        <f t="shared" si="15"/>
        <v/>
      </c>
      <c r="G116" s="69"/>
      <c r="H116" s="69"/>
      <c r="I116" s="78">
        <f t="shared" si="10"/>
        <v>0</v>
      </c>
      <c r="J116" s="67"/>
      <c r="L116" t="str">
        <f t="shared" si="11"/>
        <v/>
      </c>
      <c r="M116" t="str">
        <f t="shared" si="12"/>
        <v/>
      </c>
    </row>
    <row r="117" spans="1:13">
      <c r="A117" s="64" t="str">
        <f>IF(E117="","",VLOOKUP('OPĆI DIO'!$C$3,'OPĆI DIO'!$L$6:$U$138,10,FALSE))</f>
        <v/>
      </c>
      <c r="B117" s="64" t="str">
        <f>IF(E117="","",VLOOKUP('OPĆI DIO'!$C$3,'OPĆI DIO'!$L$6:$U$138,9,FALSE))</f>
        <v/>
      </c>
      <c r="C117" s="65" t="str">
        <f t="shared" si="13"/>
        <v/>
      </c>
      <c r="D117" s="66" t="str">
        <f t="shared" si="14"/>
        <v/>
      </c>
      <c r="E117" s="67"/>
      <c r="F117" s="68" t="str">
        <f t="shared" si="15"/>
        <v/>
      </c>
      <c r="G117" s="69"/>
      <c r="H117" s="69"/>
      <c r="I117" s="78">
        <f t="shared" si="10"/>
        <v>0</v>
      </c>
      <c r="J117" s="67"/>
      <c r="L117" t="str">
        <f t="shared" si="11"/>
        <v/>
      </c>
      <c r="M117" t="str">
        <f t="shared" si="12"/>
        <v/>
      </c>
    </row>
    <row r="118" spans="1:13">
      <c r="A118" s="64" t="str">
        <f>IF(E118="","",VLOOKUP('OPĆI DIO'!$C$3,'OPĆI DIO'!$L$6:$U$138,10,FALSE))</f>
        <v/>
      </c>
      <c r="B118" s="64" t="str">
        <f>IF(E118="","",VLOOKUP('OPĆI DIO'!$C$3,'OPĆI DIO'!$L$6:$U$138,9,FALSE))</f>
        <v/>
      </c>
      <c r="C118" s="65" t="str">
        <f t="shared" si="13"/>
        <v/>
      </c>
      <c r="D118" s="66" t="str">
        <f t="shared" si="14"/>
        <v/>
      </c>
      <c r="E118" s="67"/>
      <c r="F118" s="68" t="str">
        <f t="shared" si="15"/>
        <v/>
      </c>
      <c r="G118" s="69"/>
      <c r="H118" s="69"/>
      <c r="I118" s="78">
        <f t="shared" si="10"/>
        <v>0</v>
      </c>
      <c r="J118" s="67"/>
      <c r="L118" t="str">
        <f t="shared" si="11"/>
        <v/>
      </c>
      <c r="M118" t="str">
        <f t="shared" si="12"/>
        <v/>
      </c>
    </row>
    <row r="119" spans="1:13">
      <c r="A119" s="64" t="str">
        <f>IF(E119="","",VLOOKUP('OPĆI DIO'!$C$3,'OPĆI DIO'!$L$6:$U$138,10,FALSE))</f>
        <v/>
      </c>
      <c r="B119" s="64" t="str">
        <f>IF(E119="","",VLOOKUP('OPĆI DIO'!$C$3,'OPĆI DIO'!$L$6:$U$138,9,FALSE))</f>
        <v/>
      </c>
      <c r="C119" s="65" t="str">
        <f t="shared" si="13"/>
        <v/>
      </c>
      <c r="D119" s="66" t="str">
        <f t="shared" si="14"/>
        <v/>
      </c>
      <c r="E119" s="67"/>
      <c r="F119" s="68" t="str">
        <f t="shared" si="15"/>
        <v/>
      </c>
      <c r="G119" s="69"/>
      <c r="H119" s="69"/>
      <c r="I119" s="78">
        <f t="shared" si="10"/>
        <v>0</v>
      </c>
      <c r="J119" s="67"/>
      <c r="L119" t="str">
        <f t="shared" si="11"/>
        <v/>
      </c>
      <c r="M119" t="str">
        <f t="shared" si="12"/>
        <v/>
      </c>
    </row>
    <row r="120" spans="1:13">
      <c r="A120" s="64" t="str">
        <f>IF(E120="","",VLOOKUP('OPĆI DIO'!$C$3,'OPĆI DIO'!$L$6:$U$138,10,FALSE))</f>
        <v/>
      </c>
      <c r="B120" s="64" t="str">
        <f>IF(E120="","",VLOOKUP('OPĆI DIO'!$C$3,'OPĆI DIO'!$L$6:$U$138,9,FALSE))</f>
        <v/>
      </c>
      <c r="C120" s="65" t="str">
        <f t="shared" si="13"/>
        <v/>
      </c>
      <c r="D120" s="66" t="str">
        <f t="shared" si="14"/>
        <v/>
      </c>
      <c r="E120" s="67"/>
      <c r="F120" s="68" t="str">
        <f t="shared" si="15"/>
        <v/>
      </c>
      <c r="G120" s="69"/>
      <c r="H120" s="69"/>
      <c r="I120" s="78">
        <f t="shared" si="10"/>
        <v>0</v>
      </c>
      <c r="J120" s="67"/>
      <c r="L120" t="str">
        <f t="shared" si="11"/>
        <v/>
      </c>
      <c r="M120" t="str">
        <f t="shared" si="12"/>
        <v/>
      </c>
    </row>
    <row r="121" spans="1:13">
      <c r="A121" s="64" t="str">
        <f>IF(E121="","",VLOOKUP('OPĆI DIO'!$C$3,'OPĆI DIO'!$L$6:$U$138,10,FALSE))</f>
        <v/>
      </c>
      <c r="B121" s="64" t="str">
        <f>IF(E121="","",VLOOKUP('OPĆI DIO'!$C$3,'OPĆI DIO'!$L$6:$U$138,9,FALSE))</f>
        <v/>
      </c>
      <c r="C121" s="65" t="str">
        <f t="shared" si="13"/>
        <v/>
      </c>
      <c r="D121" s="66" t="str">
        <f t="shared" si="14"/>
        <v/>
      </c>
      <c r="E121" s="67"/>
      <c r="F121" s="68" t="str">
        <f t="shared" si="15"/>
        <v/>
      </c>
      <c r="G121" s="69"/>
      <c r="H121" s="69"/>
      <c r="I121" s="78">
        <f t="shared" si="10"/>
        <v>0</v>
      </c>
      <c r="J121" s="67"/>
      <c r="L121" t="str">
        <f t="shared" si="11"/>
        <v/>
      </c>
      <c r="M121" t="str">
        <f t="shared" si="12"/>
        <v/>
      </c>
    </row>
    <row r="122" spans="1:13">
      <c r="A122" s="64" t="str">
        <f>IF(E122="","",VLOOKUP('OPĆI DIO'!$C$3,'OPĆI DIO'!$L$6:$U$138,10,FALSE))</f>
        <v/>
      </c>
      <c r="B122" s="64" t="str">
        <f>IF(E122="","",VLOOKUP('OPĆI DIO'!$C$3,'OPĆI DIO'!$L$6:$U$138,9,FALSE))</f>
        <v/>
      </c>
      <c r="C122" s="65" t="str">
        <f t="shared" si="13"/>
        <v/>
      </c>
      <c r="D122" s="66" t="str">
        <f t="shared" si="14"/>
        <v/>
      </c>
      <c r="E122" s="67"/>
      <c r="F122" s="68" t="str">
        <f t="shared" si="15"/>
        <v/>
      </c>
      <c r="G122" s="69"/>
      <c r="H122" s="69"/>
      <c r="I122" s="78">
        <f t="shared" si="10"/>
        <v>0</v>
      </c>
      <c r="J122" s="67"/>
      <c r="L122" t="str">
        <f t="shared" si="11"/>
        <v/>
      </c>
      <c r="M122" t="str">
        <f t="shared" si="12"/>
        <v/>
      </c>
    </row>
    <row r="123" spans="1:13">
      <c r="A123" s="64" t="str">
        <f>IF(E123="","",VLOOKUP('OPĆI DIO'!$C$3,'OPĆI DIO'!$L$6:$U$138,10,FALSE))</f>
        <v/>
      </c>
      <c r="B123" s="64" t="str">
        <f>IF(E123="","",VLOOKUP('OPĆI DIO'!$C$3,'OPĆI DIO'!$L$6:$U$138,9,FALSE))</f>
        <v/>
      </c>
      <c r="C123" s="65" t="str">
        <f t="shared" si="13"/>
        <v/>
      </c>
      <c r="D123" s="66" t="str">
        <f t="shared" si="14"/>
        <v/>
      </c>
      <c r="E123" s="67"/>
      <c r="F123" s="68" t="str">
        <f t="shared" si="15"/>
        <v/>
      </c>
      <c r="G123" s="69"/>
      <c r="H123" s="69"/>
      <c r="I123" s="78">
        <f t="shared" si="10"/>
        <v>0</v>
      </c>
      <c r="J123" s="67"/>
      <c r="L123" t="str">
        <f t="shared" si="11"/>
        <v/>
      </c>
      <c r="M123" t="str">
        <f t="shared" si="12"/>
        <v/>
      </c>
    </row>
    <row r="124" spans="1:13">
      <c r="A124" s="64" t="str">
        <f>IF(E124="","",VLOOKUP('OPĆI DIO'!$C$3,'OPĆI DIO'!$L$6:$U$138,10,FALSE))</f>
        <v/>
      </c>
      <c r="B124" s="64" t="str">
        <f>IF(E124="","",VLOOKUP('OPĆI DIO'!$C$3,'OPĆI DIO'!$L$6:$U$138,9,FALSE))</f>
        <v/>
      </c>
      <c r="C124" s="65" t="str">
        <f t="shared" si="13"/>
        <v/>
      </c>
      <c r="D124" s="66" t="str">
        <f t="shared" si="14"/>
        <v/>
      </c>
      <c r="E124" s="67"/>
      <c r="F124" s="68" t="str">
        <f t="shared" si="15"/>
        <v/>
      </c>
      <c r="G124" s="69"/>
      <c r="H124" s="69"/>
      <c r="I124" s="78">
        <f t="shared" si="10"/>
        <v>0</v>
      </c>
      <c r="J124" s="67"/>
      <c r="L124" t="str">
        <f t="shared" si="11"/>
        <v/>
      </c>
      <c r="M124" t="str">
        <f t="shared" si="12"/>
        <v/>
      </c>
    </row>
    <row r="125" spans="1:13">
      <c r="A125" s="64" t="str">
        <f>IF(E125="","",VLOOKUP('OPĆI DIO'!$C$3,'OPĆI DIO'!$L$6:$U$138,10,FALSE))</f>
        <v/>
      </c>
      <c r="B125" s="64" t="str">
        <f>IF(E125="","",VLOOKUP('OPĆI DIO'!$C$3,'OPĆI DIO'!$L$6:$U$138,9,FALSE))</f>
        <v/>
      </c>
      <c r="C125" s="65" t="str">
        <f t="shared" si="13"/>
        <v/>
      </c>
      <c r="D125" s="66" t="str">
        <f t="shared" si="14"/>
        <v/>
      </c>
      <c r="E125" s="67"/>
      <c r="F125" s="68" t="str">
        <f t="shared" si="15"/>
        <v/>
      </c>
      <c r="G125" s="69"/>
      <c r="H125" s="69"/>
      <c r="I125" s="78">
        <f t="shared" si="10"/>
        <v>0</v>
      </c>
      <c r="J125" s="67"/>
      <c r="L125" t="str">
        <f t="shared" si="11"/>
        <v/>
      </c>
      <c r="M125" t="str">
        <f t="shared" si="12"/>
        <v/>
      </c>
    </row>
    <row r="126" spans="1:13">
      <c r="A126" s="64" t="str">
        <f>IF(E126="","",VLOOKUP('OPĆI DIO'!$C$3,'OPĆI DIO'!$L$6:$U$138,10,FALSE))</f>
        <v/>
      </c>
      <c r="B126" s="64" t="str">
        <f>IF(E126="","",VLOOKUP('OPĆI DIO'!$C$3,'OPĆI DIO'!$L$6:$U$138,9,FALSE))</f>
        <v/>
      </c>
      <c r="C126" s="65" t="str">
        <f t="shared" si="13"/>
        <v/>
      </c>
      <c r="D126" s="66" t="str">
        <f t="shared" si="14"/>
        <v/>
      </c>
      <c r="E126" s="67"/>
      <c r="F126" s="68" t="str">
        <f t="shared" si="15"/>
        <v/>
      </c>
      <c r="G126" s="69"/>
      <c r="H126" s="69"/>
      <c r="I126" s="78">
        <f t="shared" si="10"/>
        <v>0</v>
      </c>
      <c r="J126" s="67"/>
      <c r="L126" t="str">
        <f t="shared" si="11"/>
        <v/>
      </c>
      <c r="M126" t="str">
        <f t="shared" si="12"/>
        <v/>
      </c>
    </row>
    <row r="127" spans="1:13">
      <c r="A127" s="64" t="str">
        <f>IF(E127="","",VLOOKUP('OPĆI DIO'!$C$3,'OPĆI DIO'!$L$6:$U$138,10,FALSE))</f>
        <v/>
      </c>
      <c r="B127" s="64" t="str">
        <f>IF(E127="","",VLOOKUP('OPĆI DIO'!$C$3,'OPĆI DIO'!$L$6:$U$138,9,FALSE))</f>
        <v/>
      </c>
      <c r="C127" s="65" t="str">
        <f t="shared" si="13"/>
        <v/>
      </c>
      <c r="D127" s="66" t="str">
        <f t="shared" si="14"/>
        <v/>
      </c>
      <c r="E127" s="67"/>
      <c r="F127" s="68" t="str">
        <f t="shared" si="15"/>
        <v/>
      </c>
      <c r="G127" s="69"/>
      <c r="H127" s="69"/>
      <c r="I127" s="78">
        <f t="shared" si="10"/>
        <v>0</v>
      </c>
      <c r="J127" s="67"/>
      <c r="L127" t="str">
        <f t="shared" si="11"/>
        <v/>
      </c>
      <c r="M127" t="str">
        <f t="shared" si="12"/>
        <v/>
      </c>
    </row>
    <row r="128" spans="1:13">
      <c r="A128" s="64" t="str">
        <f>IF(E128="","",VLOOKUP('OPĆI DIO'!$C$3,'OPĆI DIO'!$L$6:$U$138,10,FALSE))</f>
        <v/>
      </c>
      <c r="B128" s="64" t="str">
        <f>IF(E128="","",VLOOKUP('OPĆI DIO'!$C$3,'OPĆI DIO'!$L$6:$U$138,9,FALSE))</f>
        <v/>
      </c>
      <c r="C128" s="65" t="str">
        <f t="shared" si="13"/>
        <v/>
      </c>
      <c r="D128" s="66" t="str">
        <f t="shared" si="14"/>
        <v/>
      </c>
      <c r="E128" s="67"/>
      <c r="F128" s="68" t="str">
        <f t="shared" si="15"/>
        <v/>
      </c>
      <c r="G128" s="69"/>
      <c r="H128" s="69"/>
      <c r="I128" s="78">
        <f t="shared" si="10"/>
        <v>0</v>
      </c>
      <c r="J128" s="67"/>
      <c r="L128" t="str">
        <f t="shared" si="11"/>
        <v/>
      </c>
      <c r="M128" t="str">
        <f t="shared" si="12"/>
        <v/>
      </c>
    </row>
    <row r="129" spans="1:13">
      <c r="A129" s="64" t="str">
        <f>IF(E129="","",VLOOKUP('OPĆI DIO'!$C$3,'OPĆI DIO'!$L$6:$U$138,10,FALSE))</f>
        <v/>
      </c>
      <c r="B129" s="64" t="str">
        <f>IF(E129="","",VLOOKUP('OPĆI DIO'!$C$3,'OPĆI DIO'!$L$6:$U$138,9,FALSE))</f>
        <v/>
      </c>
      <c r="C129" s="65" t="str">
        <f t="shared" si="13"/>
        <v/>
      </c>
      <c r="D129" s="66" t="str">
        <f t="shared" si="14"/>
        <v/>
      </c>
      <c r="E129" s="67"/>
      <c r="F129" s="68" t="str">
        <f t="shared" si="15"/>
        <v/>
      </c>
      <c r="G129" s="69"/>
      <c r="H129" s="69"/>
      <c r="I129" s="78">
        <f t="shared" si="10"/>
        <v>0</v>
      </c>
      <c r="J129" s="67"/>
      <c r="L129" t="str">
        <f t="shared" si="11"/>
        <v/>
      </c>
      <c r="M129" t="str">
        <f t="shared" si="12"/>
        <v/>
      </c>
    </row>
    <row r="130" spans="1:13">
      <c r="A130" s="64" t="str">
        <f>IF(E130="","",VLOOKUP('OPĆI DIO'!$C$3,'OPĆI DIO'!$L$6:$U$138,10,FALSE))</f>
        <v/>
      </c>
      <c r="B130" s="64" t="str">
        <f>IF(E130="","",VLOOKUP('OPĆI DIO'!$C$3,'OPĆI DIO'!$L$6:$U$138,9,FALSE))</f>
        <v/>
      </c>
      <c r="C130" s="65" t="str">
        <f t="shared" si="13"/>
        <v/>
      </c>
      <c r="D130" s="66" t="str">
        <f t="shared" si="14"/>
        <v/>
      </c>
      <c r="E130" s="67"/>
      <c r="F130" s="68" t="str">
        <f t="shared" si="15"/>
        <v/>
      </c>
      <c r="G130" s="69"/>
      <c r="H130" s="69"/>
      <c r="I130" s="78">
        <f t="shared" si="10"/>
        <v>0</v>
      </c>
      <c r="J130" s="67"/>
      <c r="L130" t="str">
        <f t="shared" si="11"/>
        <v/>
      </c>
      <c r="M130" t="str">
        <f t="shared" si="12"/>
        <v/>
      </c>
    </row>
    <row r="131" spans="1:13">
      <c r="A131" s="64" t="str">
        <f>IF(E131="","",VLOOKUP('OPĆI DIO'!$C$3,'OPĆI DIO'!$L$6:$U$138,10,FALSE))</f>
        <v/>
      </c>
      <c r="B131" s="64" t="str">
        <f>IF(E131="","",VLOOKUP('OPĆI DIO'!$C$3,'OPĆI DIO'!$L$6:$U$138,9,FALSE))</f>
        <v/>
      </c>
      <c r="C131" s="65" t="str">
        <f t="shared" si="13"/>
        <v/>
      </c>
      <c r="D131" s="66" t="str">
        <f t="shared" si="14"/>
        <v/>
      </c>
      <c r="E131" s="67"/>
      <c r="F131" s="68" t="str">
        <f t="shared" si="15"/>
        <v/>
      </c>
      <c r="G131" s="69"/>
      <c r="H131" s="69"/>
      <c r="I131" s="78">
        <f t="shared" si="10"/>
        <v>0</v>
      </c>
      <c r="J131" s="67"/>
      <c r="L131" t="str">
        <f t="shared" si="11"/>
        <v/>
      </c>
      <c r="M131" t="str">
        <f t="shared" si="12"/>
        <v/>
      </c>
    </row>
    <row r="132" spans="1:13">
      <c r="A132" s="64" t="str">
        <f>IF(E132="","",VLOOKUP('OPĆI DIO'!$C$3,'OPĆI DIO'!$L$6:$U$138,10,FALSE))</f>
        <v/>
      </c>
      <c r="B132" s="64" t="str">
        <f>IF(E132="","",VLOOKUP('OPĆI DIO'!$C$3,'OPĆI DIO'!$L$6:$U$138,9,FALSE))</f>
        <v/>
      </c>
      <c r="C132" s="65" t="str">
        <f t="shared" si="13"/>
        <v/>
      </c>
      <c r="D132" s="66" t="str">
        <f t="shared" si="14"/>
        <v/>
      </c>
      <c r="E132" s="67"/>
      <c r="F132" s="68" t="str">
        <f t="shared" si="15"/>
        <v/>
      </c>
      <c r="G132" s="69"/>
      <c r="H132" s="69"/>
      <c r="I132" s="78">
        <f t="shared" ref="I132:I195" si="16">H132-G132</f>
        <v>0</v>
      </c>
      <c r="J132" s="67"/>
      <c r="L132" t="str">
        <f t="shared" ref="L132:L195" si="17">LEFT(E132,2)</f>
        <v/>
      </c>
      <c r="M132" t="str">
        <f t="shared" ref="M132:M195" si="18">LEFT(E132,3)</f>
        <v/>
      </c>
    </row>
    <row r="133" spans="1:13">
      <c r="A133" s="64" t="str">
        <f>IF(E133="","",VLOOKUP('OPĆI DIO'!$C$3,'OPĆI DIO'!$L$6:$U$138,10,FALSE))</f>
        <v/>
      </c>
      <c r="B133" s="64" t="str">
        <f>IF(E133="","",VLOOKUP('OPĆI DIO'!$C$3,'OPĆI DIO'!$L$6:$U$138,9,FALSE))</f>
        <v/>
      </c>
      <c r="C133" s="65" t="str">
        <f t="shared" si="13"/>
        <v/>
      </c>
      <c r="D133" s="66" t="str">
        <f t="shared" si="14"/>
        <v/>
      </c>
      <c r="E133" s="67"/>
      <c r="F133" s="68" t="str">
        <f t="shared" si="15"/>
        <v/>
      </c>
      <c r="G133" s="69"/>
      <c r="H133" s="69"/>
      <c r="I133" s="78">
        <f t="shared" si="16"/>
        <v>0</v>
      </c>
      <c r="J133" s="67"/>
      <c r="L133" t="str">
        <f t="shared" si="17"/>
        <v/>
      </c>
      <c r="M133" t="str">
        <f t="shared" si="18"/>
        <v/>
      </c>
    </row>
    <row r="134" spans="1:13">
      <c r="A134" s="64" t="str">
        <f>IF(E134="","",VLOOKUP('OPĆI DIO'!$C$3,'OPĆI DIO'!$L$6:$U$138,10,FALSE))</f>
        <v/>
      </c>
      <c r="B134" s="64" t="str">
        <f>IF(E134="","",VLOOKUP('OPĆI DIO'!$C$3,'OPĆI DIO'!$L$6:$U$138,9,FALSE))</f>
        <v/>
      </c>
      <c r="C134" s="65" t="str">
        <f t="shared" si="13"/>
        <v/>
      </c>
      <c r="D134" s="66" t="str">
        <f t="shared" si="14"/>
        <v/>
      </c>
      <c r="E134" s="67"/>
      <c r="F134" s="68" t="str">
        <f t="shared" si="15"/>
        <v/>
      </c>
      <c r="G134" s="69"/>
      <c r="H134" s="69"/>
      <c r="I134" s="78">
        <f t="shared" si="16"/>
        <v>0</v>
      </c>
      <c r="J134" s="67"/>
      <c r="L134" t="str">
        <f t="shared" si="17"/>
        <v/>
      </c>
      <c r="M134" t="str">
        <f t="shared" si="18"/>
        <v/>
      </c>
    </row>
    <row r="135" spans="1:13">
      <c r="A135" s="64" t="str">
        <f>IF(E135="","",VLOOKUP('OPĆI DIO'!$C$3,'OPĆI DIO'!$L$6:$U$138,10,FALSE))</f>
        <v/>
      </c>
      <c r="B135" s="64" t="str">
        <f>IF(E135="","",VLOOKUP('OPĆI DIO'!$C$3,'OPĆI DIO'!$L$6:$U$138,9,FALSE))</f>
        <v/>
      </c>
      <c r="C135" s="65" t="str">
        <f t="shared" si="13"/>
        <v/>
      </c>
      <c r="D135" s="66" t="str">
        <f t="shared" si="14"/>
        <v/>
      </c>
      <c r="E135" s="67"/>
      <c r="F135" s="68" t="str">
        <f t="shared" si="15"/>
        <v/>
      </c>
      <c r="G135" s="69"/>
      <c r="H135" s="69"/>
      <c r="I135" s="78">
        <f t="shared" si="16"/>
        <v>0</v>
      </c>
      <c r="J135" s="67"/>
      <c r="L135" t="str">
        <f t="shared" si="17"/>
        <v/>
      </c>
      <c r="M135" t="str">
        <f t="shared" si="18"/>
        <v/>
      </c>
    </row>
    <row r="136" spans="1:13">
      <c r="A136" s="64" t="str">
        <f>IF(E136="","",VLOOKUP('OPĆI DIO'!$C$3,'OPĆI DIO'!$L$6:$U$138,10,FALSE))</f>
        <v/>
      </c>
      <c r="B136" s="64" t="str">
        <f>IF(E136="","",VLOOKUP('OPĆI DIO'!$C$3,'OPĆI DIO'!$L$6:$U$138,9,FALSE))</f>
        <v/>
      </c>
      <c r="C136" s="65" t="str">
        <f t="shared" si="13"/>
        <v/>
      </c>
      <c r="D136" s="66" t="str">
        <f t="shared" si="14"/>
        <v/>
      </c>
      <c r="E136" s="67"/>
      <c r="F136" s="68" t="str">
        <f t="shared" si="15"/>
        <v/>
      </c>
      <c r="G136" s="69"/>
      <c r="H136" s="69"/>
      <c r="I136" s="78">
        <f t="shared" si="16"/>
        <v>0</v>
      </c>
      <c r="J136" s="67"/>
      <c r="L136" t="str">
        <f t="shared" si="17"/>
        <v/>
      </c>
      <c r="M136" t="str">
        <f t="shared" si="18"/>
        <v/>
      </c>
    </row>
    <row r="137" spans="1:13">
      <c r="A137" s="64" t="str">
        <f>IF(E137="","",VLOOKUP('OPĆI DIO'!$C$3,'OPĆI DIO'!$L$6:$U$138,10,FALSE))</f>
        <v/>
      </c>
      <c r="B137" s="64" t="str">
        <f>IF(E137="","",VLOOKUP('OPĆI DIO'!$C$3,'OPĆI DIO'!$L$6:$U$138,9,FALSE))</f>
        <v/>
      </c>
      <c r="C137" s="65" t="str">
        <f t="shared" si="13"/>
        <v/>
      </c>
      <c r="D137" s="66" t="str">
        <f t="shared" si="14"/>
        <v/>
      </c>
      <c r="E137" s="67"/>
      <c r="F137" s="68" t="str">
        <f t="shared" si="15"/>
        <v/>
      </c>
      <c r="G137" s="69"/>
      <c r="H137" s="69"/>
      <c r="I137" s="78">
        <f t="shared" si="16"/>
        <v>0</v>
      </c>
      <c r="J137" s="67"/>
      <c r="L137" t="str">
        <f t="shared" si="17"/>
        <v/>
      </c>
      <c r="M137" t="str">
        <f t="shared" si="18"/>
        <v/>
      </c>
    </row>
    <row r="138" spans="1:13">
      <c r="A138" s="64" t="str">
        <f>IF(E138="","",VLOOKUP('OPĆI DIO'!$C$3,'OPĆI DIO'!$L$6:$U$138,10,FALSE))</f>
        <v/>
      </c>
      <c r="B138" s="64" t="str">
        <f>IF(E138="","",VLOOKUP('OPĆI DIO'!$C$3,'OPĆI DIO'!$L$6:$U$138,9,FALSE))</f>
        <v/>
      </c>
      <c r="C138" s="65" t="str">
        <f t="shared" si="13"/>
        <v/>
      </c>
      <c r="D138" s="66" t="str">
        <f t="shared" si="14"/>
        <v/>
      </c>
      <c r="E138" s="67"/>
      <c r="F138" s="68" t="str">
        <f t="shared" si="15"/>
        <v/>
      </c>
      <c r="G138" s="69"/>
      <c r="H138" s="69"/>
      <c r="I138" s="78">
        <f t="shared" si="16"/>
        <v>0</v>
      </c>
      <c r="J138" s="67"/>
      <c r="L138" t="str">
        <f t="shared" si="17"/>
        <v/>
      </c>
      <c r="M138" t="str">
        <f t="shared" si="18"/>
        <v/>
      </c>
    </row>
    <row r="139" spans="1:13">
      <c r="A139" s="64" t="str">
        <f>IF(E139="","",VLOOKUP('OPĆI DIO'!$C$3,'OPĆI DIO'!$L$6:$U$138,10,FALSE))</f>
        <v/>
      </c>
      <c r="B139" s="64" t="str">
        <f>IF(E139="","",VLOOKUP('OPĆI DIO'!$C$3,'OPĆI DIO'!$L$6:$U$138,9,FALSE))</f>
        <v/>
      </c>
      <c r="C139" s="65" t="str">
        <f t="shared" si="13"/>
        <v/>
      </c>
      <c r="D139" s="66" t="str">
        <f t="shared" si="14"/>
        <v/>
      </c>
      <c r="E139" s="67"/>
      <c r="F139" s="68" t="str">
        <f t="shared" si="15"/>
        <v/>
      </c>
      <c r="G139" s="69"/>
      <c r="H139" s="69"/>
      <c r="I139" s="78">
        <f t="shared" si="16"/>
        <v>0</v>
      </c>
      <c r="J139" s="67"/>
      <c r="L139" t="str">
        <f t="shared" si="17"/>
        <v/>
      </c>
      <c r="M139" t="str">
        <f t="shared" si="18"/>
        <v/>
      </c>
    </row>
    <row r="140" spans="1:13">
      <c r="A140" s="64" t="str">
        <f>IF(E140="","",VLOOKUP('OPĆI DIO'!$C$3,'OPĆI DIO'!$L$6:$U$138,10,FALSE))</f>
        <v/>
      </c>
      <c r="B140" s="64" t="str">
        <f>IF(E140="","",VLOOKUP('OPĆI DIO'!$C$3,'OPĆI DIO'!$L$6:$U$138,9,FALSE))</f>
        <v/>
      </c>
      <c r="C140" s="65" t="str">
        <f t="shared" si="13"/>
        <v/>
      </c>
      <c r="D140" s="66" t="str">
        <f t="shared" si="14"/>
        <v/>
      </c>
      <c r="E140" s="67"/>
      <c r="F140" s="68" t="str">
        <f t="shared" si="15"/>
        <v/>
      </c>
      <c r="G140" s="69"/>
      <c r="H140" s="69"/>
      <c r="I140" s="78">
        <f t="shared" si="16"/>
        <v>0</v>
      </c>
      <c r="J140" s="67"/>
      <c r="L140" t="str">
        <f t="shared" si="17"/>
        <v/>
      </c>
      <c r="M140" t="str">
        <f t="shared" si="18"/>
        <v/>
      </c>
    </row>
    <row r="141" spans="1:13">
      <c r="A141" s="64" t="str">
        <f>IF(E141="","",VLOOKUP('OPĆI DIO'!$C$3,'OPĆI DIO'!$L$6:$U$138,10,FALSE))</f>
        <v/>
      </c>
      <c r="B141" s="64" t="str">
        <f>IF(E141="","",VLOOKUP('OPĆI DIO'!$C$3,'OPĆI DIO'!$L$6:$U$138,9,FALSE))</f>
        <v/>
      </c>
      <c r="C141" s="65" t="str">
        <f t="shared" si="13"/>
        <v/>
      </c>
      <c r="D141" s="66" t="str">
        <f t="shared" si="14"/>
        <v/>
      </c>
      <c r="E141" s="67"/>
      <c r="F141" s="68" t="str">
        <f t="shared" si="15"/>
        <v/>
      </c>
      <c r="G141" s="69"/>
      <c r="H141" s="69"/>
      <c r="I141" s="78">
        <f t="shared" si="16"/>
        <v>0</v>
      </c>
      <c r="J141" s="67"/>
      <c r="L141" t="str">
        <f t="shared" si="17"/>
        <v/>
      </c>
      <c r="M141" t="str">
        <f t="shared" si="18"/>
        <v/>
      </c>
    </row>
    <row r="142" spans="1:13">
      <c r="A142" s="64" t="str">
        <f>IF(E142="","",VLOOKUP('OPĆI DIO'!$C$3,'OPĆI DIO'!$L$6:$U$138,10,FALSE))</f>
        <v/>
      </c>
      <c r="B142" s="64" t="str">
        <f>IF(E142="","",VLOOKUP('OPĆI DIO'!$C$3,'OPĆI DIO'!$L$6:$U$138,9,FALSE))</f>
        <v/>
      </c>
      <c r="C142" s="65" t="str">
        <f t="shared" si="13"/>
        <v/>
      </c>
      <c r="D142" s="66" t="str">
        <f t="shared" si="14"/>
        <v/>
      </c>
      <c r="E142" s="67"/>
      <c r="F142" s="68" t="str">
        <f t="shared" si="15"/>
        <v/>
      </c>
      <c r="G142" s="69"/>
      <c r="H142" s="69"/>
      <c r="I142" s="78">
        <f t="shared" si="16"/>
        <v>0</v>
      </c>
      <c r="J142" s="67"/>
      <c r="L142" t="str">
        <f t="shared" si="17"/>
        <v/>
      </c>
      <c r="M142" t="str">
        <f t="shared" si="18"/>
        <v/>
      </c>
    </row>
    <row r="143" spans="1:13">
      <c r="A143" s="64" t="str">
        <f>IF(E143="","",VLOOKUP('OPĆI DIO'!$C$3,'OPĆI DIO'!$L$6:$U$138,10,FALSE))</f>
        <v/>
      </c>
      <c r="B143" s="64" t="str">
        <f>IF(E143="","",VLOOKUP('OPĆI DIO'!$C$3,'OPĆI DIO'!$L$6:$U$138,9,FALSE))</f>
        <v/>
      </c>
      <c r="C143" s="65" t="str">
        <f t="shared" si="13"/>
        <v/>
      </c>
      <c r="D143" s="66" t="str">
        <f t="shared" si="14"/>
        <v/>
      </c>
      <c r="E143" s="67"/>
      <c r="F143" s="68" t="str">
        <f t="shared" si="15"/>
        <v/>
      </c>
      <c r="G143" s="69"/>
      <c r="H143" s="69"/>
      <c r="I143" s="78">
        <f t="shared" si="16"/>
        <v>0</v>
      </c>
      <c r="J143" s="67"/>
      <c r="L143" t="str">
        <f t="shared" si="17"/>
        <v/>
      </c>
      <c r="M143" t="str">
        <f t="shared" si="18"/>
        <v/>
      </c>
    </row>
    <row r="144" spans="1:13">
      <c r="A144" s="64" t="str">
        <f>IF(E144="","",VLOOKUP('OPĆI DIO'!$C$3,'OPĆI DIO'!$L$6:$U$138,10,FALSE))</f>
        <v/>
      </c>
      <c r="B144" s="64" t="str">
        <f>IF(E144="","",VLOOKUP('OPĆI DIO'!$C$3,'OPĆI DIO'!$L$6:$U$138,9,FALSE))</f>
        <v/>
      </c>
      <c r="C144" s="65" t="str">
        <f t="shared" si="13"/>
        <v/>
      </c>
      <c r="D144" s="66" t="str">
        <f t="shared" si="14"/>
        <v/>
      </c>
      <c r="E144" s="67"/>
      <c r="F144" s="68" t="str">
        <f t="shared" si="15"/>
        <v/>
      </c>
      <c r="G144" s="69"/>
      <c r="H144" s="69"/>
      <c r="I144" s="78">
        <f t="shared" si="16"/>
        <v>0</v>
      </c>
      <c r="J144" s="67"/>
      <c r="L144" t="str">
        <f t="shared" si="17"/>
        <v/>
      </c>
      <c r="M144" t="str">
        <f t="shared" si="18"/>
        <v/>
      </c>
    </row>
    <row r="145" spans="1:13">
      <c r="A145" s="64" t="str">
        <f>IF(E145="","",VLOOKUP('OPĆI DIO'!$C$3,'OPĆI DIO'!$L$6:$U$138,10,FALSE))</f>
        <v/>
      </c>
      <c r="B145" s="64" t="str">
        <f>IF(E145="","",VLOOKUP('OPĆI DIO'!$C$3,'OPĆI DIO'!$L$6:$U$138,9,FALSE))</f>
        <v/>
      </c>
      <c r="C145" s="65" t="str">
        <f t="shared" si="13"/>
        <v/>
      </c>
      <c r="D145" s="66" t="str">
        <f t="shared" si="14"/>
        <v/>
      </c>
      <c r="E145" s="67"/>
      <c r="F145" s="68" t="str">
        <f t="shared" si="15"/>
        <v/>
      </c>
      <c r="G145" s="69"/>
      <c r="H145" s="69"/>
      <c r="I145" s="78">
        <f t="shared" si="16"/>
        <v>0</v>
      </c>
      <c r="J145" s="67"/>
      <c r="L145" t="str">
        <f t="shared" si="17"/>
        <v/>
      </c>
      <c r="M145" t="str">
        <f t="shared" si="18"/>
        <v/>
      </c>
    </row>
    <row r="146" spans="1:13">
      <c r="A146" s="64" t="str">
        <f>IF(E146="","",VLOOKUP('OPĆI DIO'!$C$3,'OPĆI DIO'!$L$6:$U$138,10,FALSE))</f>
        <v/>
      </c>
      <c r="B146" s="64" t="str">
        <f>IF(E146="","",VLOOKUP('OPĆI DIO'!$C$3,'OPĆI DIO'!$L$6:$U$138,9,FALSE))</f>
        <v/>
      </c>
      <c r="C146" s="65" t="str">
        <f t="shared" si="13"/>
        <v/>
      </c>
      <c r="D146" s="66" t="str">
        <f t="shared" si="14"/>
        <v/>
      </c>
      <c r="E146" s="67"/>
      <c r="F146" s="68" t="str">
        <f t="shared" si="15"/>
        <v/>
      </c>
      <c r="G146" s="69"/>
      <c r="H146" s="69"/>
      <c r="I146" s="78">
        <f t="shared" si="16"/>
        <v>0</v>
      </c>
      <c r="J146" s="67"/>
      <c r="L146" t="str">
        <f t="shared" si="17"/>
        <v/>
      </c>
      <c r="M146" t="str">
        <f t="shared" si="18"/>
        <v/>
      </c>
    </row>
    <row r="147" spans="1:13">
      <c r="A147" s="64" t="str">
        <f>IF(E147="","",VLOOKUP('OPĆI DIO'!$C$3,'OPĆI DIO'!$L$6:$U$138,10,FALSE))</f>
        <v/>
      </c>
      <c r="B147" s="64" t="str">
        <f>IF(E147="","",VLOOKUP('OPĆI DIO'!$C$3,'OPĆI DIO'!$L$6:$U$138,9,FALSE))</f>
        <v/>
      </c>
      <c r="C147" s="65" t="str">
        <f t="shared" si="13"/>
        <v/>
      </c>
      <c r="D147" s="66" t="str">
        <f t="shared" si="14"/>
        <v/>
      </c>
      <c r="E147" s="67"/>
      <c r="F147" s="68" t="str">
        <f t="shared" si="15"/>
        <v/>
      </c>
      <c r="G147" s="69"/>
      <c r="H147" s="69"/>
      <c r="I147" s="78">
        <f t="shared" si="16"/>
        <v>0</v>
      </c>
      <c r="J147" s="67"/>
      <c r="L147" t="str">
        <f t="shared" si="17"/>
        <v/>
      </c>
      <c r="M147" t="str">
        <f t="shared" si="18"/>
        <v/>
      </c>
    </row>
    <row r="148" spans="1:13">
      <c r="A148" s="64" t="str">
        <f>IF(E148="","",VLOOKUP('OPĆI DIO'!$C$3,'OPĆI DIO'!$L$6:$U$138,10,FALSE))</f>
        <v/>
      </c>
      <c r="B148" s="64" t="str">
        <f>IF(E148="","",VLOOKUP('OPĆI DIO'!$C$3,'OPĆI DIO'!$L$6:$U$138,9,FALSE))</f>
        <v/>
      </c>
      <c r="C148" s="65" t="str">
        <f t="shared" si="13"/>
        <v/>
      </c>
      <c r="D148" s="66" t="str">
        <f t="shared" si="14"/>
        <v/>
      </c>
      <c r="E148" s="67"/>
      <c r="F148" s="68" t="str">
        <f t="shared" si="15"/>
        <v/>
      </c>
      <c r="G148" s="69"/>
      <c r="H148" s="69"/>
      <c r="I148" s="78">
        <f t="shared" si="16"/>
        <v>0</v>
      </c>
      <c r="J148" s="67"/>
      <c r="L148" t="str">
        <f t="shared" si="17"/>
        <v/>
      </c>
      <c r="M148" t="str">
        <f t="shared" si="18"/>
        <v/>
      </c>
    </row>
    <row r="149" spans="1:13">
      <c r="A149" s="64" t="str">
        <f>IF(E149="","",VLOOKUP('OPĆI DIO'!$C$3,'OPĆI DIO'!$L$6:$U$138,10,FALSE))</f>
        <v/>
      </c>
      <c r="B149" s="64" t="str">
        <f>IF(E149="","",VLOOKUP('OPĆI DIO'!$C$3,'OPĆI DIO'!$L$6:$U$138,9,FALSE))</f>
        <v/>
      </c>
      <c r="C149" s="65" t="str">
        <f t="shared" si="13"/>
        <v/>
      </c>
      <c r="D149" s="66" t="str">
        <f t="shared" si="14"/>
        <v/>
      </c>
      <c r="E149" s="67"/>
      <c r="F149" s="68" t="str">
        <f t="shared" si="15"/>
        <v/>
      </c>
      <c r="G149" s="69"/>
      <c r="H149" s="69"/>
      <c r="I149" s="78">
        <f t="shared" si="16"/>
        <v>0</v>
      </c>
      <c r="J149" s="67"/>
      <c r="L149" t="str">
        <f t="shared" si="17"/>
        <v/>
      </c>
      <c r="M149" t="str">
        <f t="shared" si="18"/>
        <v/>
      </c>
    </row>
    <row r="150" spans="1:13">
      <c r="A150" s="64" t="str">
        <f>IF(E150="","",VLOOKUP('OPĆI DIO'!$C$3,'OPĆI DIO'!$L$6:$U$138,10,FALSE))</f>
        <v/>
      </c>
      <c r="B150" s="64" t="str">
        <f>IF(E150="","",VLOOKUP('OPĆI DIO'!$C$3,'OPĆI DIO'!$L$6:$U$138,9,FALSE))</f>
        <v/>
      </c>
      <c r="C150" s="65" t="str">
        <f t="shared" si="13"/>
        <v/>
      </c>
      <c r="D150" s="66" t="str">
        <f t="shared" si="14"/>
        <v/>
      </c>
      <c r="E150" s="67"/>
      <c r="F150" s="68" t="str">
        <f t="shared" si="15"/>
        <v/>
      </c>
      <c r="G150" s="69"/>
      <c r="H150" s="69"/>
      <c r="I150" s="78">
        <f t="shared" si="16"/>
        <v>0</v>
      </c>
      <c r="J150" s="67"/>
      <c r="L150" t="str">
        <f t="shared" si="17"/>
        <v/>
      </c>
      <c r="M150" t="str">
        <f t="shared" si="18"/>
        <v/>
      </c>
    </row>
    <row r="151" spans="1:13">
      <c r="A151" s="64" t="str">
        <f>IF(E151="","",VLOOKUP('OPĆI DIO'!$C$3,'OPĆI DIO'!$L$6:$U$138,10,FALSE))</f>
        <v/>
      </c>
      <c r="B151" s="64" t="str">
        <f>IF(E151="","",VLOOKUP('OPĆI DIO'!$C$3,'OPĆI DIO'!$L$6:$U$138,9,FALSE))</f>
        <v/>
      </c>
      <c r="C151" s="65" t="str">
        <f t="shared" si="13"/>
        <v/>
      </c>
      <c r="D151" s="66" t="str">
        <f t="shared" si="14"/>
        <v/>
      </c>
      <c r="E151" s="67"/>
      <c r="F151" s="68" t="str">
        <f t="shared" si="15"/>
        <v/>
      </c>
      <c r="G151" s="69"/>
      <c r="H151" s="69"/>
      <c r="I151" s="78">
        <f t="shared" si="16"/>
        <v>0</v>
      </c>
      <c r="J151" s="67"/>
      <c r="L151" t="str">
        <f t="shared" si="17"/>
        <v/>
      </c>
      <c r="M151" t="str">
        <f t="shared" si="18"/>
        <v/>
      </c>
    </row>
    <row r="152" spans="1:13">
      <c r="A152" s="64" t="str">
        <f>IF(E152="","",VLOOKUP('OPĆI DIO'!$C$3,'OPĆI DIO'!$L$6:$U$138,10,FALSE))</f>
        <v/>
      </c>
      <c r="B152" s="64" t="str">
        <f>IF(E152="","",VLOOKUP('OPĆI DIO'!$C$3,'OPĆI DIO'!$L$6:$U$138,9,FALSE))</f>
        <v/>
      </c>
      <c r="C152" s="65" t="str">
        <f t="shared" si="13"/>
        <v/>
      </c>
      <c r="D152" s="66" t="str">
        <f t="shared" si="14"/>
        <v/>
      </c>
      <c r="E152" s="67"/>
      <c r="F152" s="68" t="str">
        <f t="shared" si="15"/>
        <v/>
      </c>
      <c r="G152" s="69"/>
      <c r="H152" s="69"/>
      <c r="I152" s="78">
        <f t="shared" si="16"/>
        <v>0</v>
      </c>
      <c r="J152" s="67"/>
      <c r="L152" t="str">
        <f t="shared" si="17"/>
        <v/>
      </c>
      <c r="M152" t="str">
        <f t="shared" si="18"/>
        <v/>
      </c>
    </row>
    <row r="153" spans="1:13">
      <c r="A153" s="64" t="str">
        <f>IF(E153="","",VLOOKUP('OPĆI DIO'!$C$3,'OPĆI DIO'!$L$6:$U$138,10,FALSE))</f>
        <v/>
      </c>
      <c r="B153" s="64" t="str">
        <f>IF(E153="","",VLOOKUP('OPĆI DIO'!$C$3,'OPĆI DIO'!$L$6:$U$138,9,FALSE))</f>
        <v/>
      </c>
      <c r="C153" s="65" t="str">
        <f t="shared" si="13"/>
        <v/>
      </c>
      <c r="D153" s="66" t="str">
        <f t="shared" si="14"/>
        <v/>
      </c>
      <c r="E153" s="67"/>
      <c r="F153" s="68" t="str">
        <f t="shared" si="15"/>
        <v/>
      </c>
      <c r="G153" s="69"/>
      <c r="H153" s="69"/>
      <c r="I153" s="78">
        <f t="shared" si="16"/>
        <v>0</v>
      </c>
      <c r="J153" s="67"/>
      <c r="L153" t="str">
        <f t="shared" si="17"/>
        <v/>
      </c>
      <c r="M153" t="str">
        <f t="shared" si="18"/>
        <v/>
      </c>
    </row>
    <row r="154" spans="1:13">
      <c r="A154" s="64" t="str">
        <f>IF(E154="","",VLOOKUP('OPĆI DIO'!$C$3,'OPĆI DIO'!$L$6:$U$138,10,FALSE))</f>
        <v/>
      </c>
      <c r="B154" s="64" t="str">
        <f>IF(E154="","",VLOOKUP('OPĆI DIO'!$C$3,'OPĆI DIO'!$L$6:$U$138,9,FALSE))</f>
        <v/>
      </c>
      <c r="C154" s="65" t="str">
        <f t="shared" si="13"/>
        <v/>
      </c>
      <c r="D154" s="66" t="str">
        <f t="shared" si="14"/>
        <v/>
      </c>
      <c r="E154" s="67"/>
      <c r="F154" s="68" t="str">
        <f t="shared" si="15"/>
        <v/>
      </c>
      <c r="G154" s="69"/>
      <c r="H154" s="69"/>
      <c r="I154" s="78">
        <f t="shared" si="16"/>
        <v>0</v>
      </c>
      <c r="J154" s="67"/>
      <c r="L154" t="str">
        <f t="shared" si="17"/>
        <v/>
      </c>
      <c r="M154" t="str">
        <f t="shared" si="18"/>
        <v/>
      </c>
    </row>
    <row r="155" spans="1:13">
      <c r="A155" s="64" t="str">
        <f>IF(E155="","",VLOOKUP('OPĆI DIO'!$C$3,'OPĆI DIO'!$L$6:$U$138,10,FALSE))</f>
        <v/>
      </c>
      <c r="B155" s="64" t="str">
        <f>IF(E155="","",VLOOKUP('OPĆI DIO'!$C$3,'OPĆI DIO'!$L$6:$U$138,9,FALSE))</f>
        <v/>
      </c>
      <c r="C155" s="65" t="str">
        <f t="shared" si="13"/>
        <v/>
      </c>
      <c r="D155" s="66" t="str">
        <f t="shared" si="14"/>
        <v/>
      </c>
      <c r="E155" s="67"/>
      <c r="F155" s="68" t="str">
        <f t="shared" si="15"/>
        <v/>
      </c>
      <c r="G155" s="69"/>
      <c r="H155" s="69"/>
      <c r="I155" s="78">
        <f t="shared" si="16"/>
        <v>0</v>
      </c>
      <c r="J155" s="67"/>
      <c r="L155" t="str">
        <f t="shared" si="17"/>
        <v/>
      </c>
      <c r="M155" t="str">
        <f t="shared" si="18"/>
        <v/>
      </c>
    </row>
    <row r="156" spans="1:13">
      <c r="A156" s="64" t="str">
        <f>IF(E156="","",VLOOKUP('OPĆI DIO'!$C$3,'OPĆI DIO'!$L$6:$U$138,10,FALSE))</f>
        <v/>
      </c>
      <c r="B156" s="64" t="str">
        <f>IF(E156="","",VLOOKUP('OPĆI DIO'!$C$3,'OPĆI DIO'!$L$6:$U$138,9,FALSE))</f>
        <v/>
      </c>
      <c r="C156" s="65" t="str">
        <f t="shared" si="13"/>
        <v/>
      </c>
      <c r="D156" s="66" t="str">
        <f t="shared" si="14"/>
        <v/>
      </c>
      <c r="E156" s="67"/>
      <c r="F156" s="68" t="str">
        <f t="shared" si="15"/>
        <v/>
      </c>
      <c r="G156" s="69"/>
      <c r="H156" s="69"/>
      <c r="I156" s="78">
        <f t="shared" si="16"/>
        <v>0</v>
      </c>
      <c r="J156" s="67"/>
      <c r="L156" t="str">
        <f t="shared" si="17"/>
        <v/>
      </c>
      <c r="M156" t="str">
        <f t="shared" si="18"/>
        <v/>
      </c>
    </row>
    <row r="157" spans="1:13">
      <c r="A157" s="64" t="str">
        <f>IF(E157="","",VLOOKUP('OPĆI DIO'!$C$3,'OPĆI DIO'!$L$6:$U$138,10,FALSE))</f>
        <v/>
      </c>
      <c r="B157" s="64" t="str">
        <f>IF(E157="","",VLOOKUP('OPĆI DIO'!$C$3,'OPĆI DIO'!$L$6:$U$138,9,FALSE))</f>
        <v/>
      </c>
      <c r="C157" s="65" t="str">
        <f t="shared" si="13"/>
        <v/>
      </c>
      <c r="D157" s="66" t="str">
        <f t="shared" si="14"/>
        <v/>
      </c>
      <c r="E157" s="67"/>
      <c r="F157" s="68" t="str">
        <f t="shared" si="15"/>
        <v/>
      </c>
      <c r="G157" s="69"/>
      <c r="H157" s="69"/>
      <c r="I157" s="78">
        <f t="shared" si="16"/>
        <v>0</v>
      </c>
      <c r="J157" s="67"/>
      <c r="L157" t="str">
        <f t="shared" si="17"/>
        <v/>
      </c>
      <c r="M157" t="str">
        <f t="shared" si="18"/>
        <v/>
      </c>
    </row>
    <row r="158" spans="1:13">
      <c r="A158" s="64" t="str">
        <f>IF(E158="","",VLOOKUP('OPĆI DIO'!$C$3,'OPĆI DIO'!$L$6:$U$138,10,FALSE))</f>
        <v/>
      </c>
      <c r="B158" s="64" t="str">
        <f>IF(E158="","",VLOOKUP('OPĆI DIO'!$C$3,'OPĆI DIO'!$L$6:$U$138,9,FALSE))</f>
        <v/>
      </c>
      <c r="C158" s="65" t="str">
        <f t="shared" si="13"/>
        <v/>
      </c>
      <c r="D158" s="66" t="str">
        <f t="shared" si="14"/>
        <v/>
      </c>
      <c r="E158" s="67"/>
      <c r="F158" s="68" t="str">
        <f t="shared" si="15"/>
        <v/>
      </c>
      <c r="G158" s="69"/>
      <c r="H158" s="69"/>
      <c r="I158" s="78">
        <f t="shared" si="16"/>
        <v>0</v>
      </c>
      <c r="J158" s="67"/>
      <c r="L158" t="str">
        <f t="shared" si="17"/>
        <v/>
      </c>
      <c r="M158" t="str">
        <f t="shared" si="18"/>
        <v/>
      </c>
    </row>
    <row r="159" spans="1:13">
      <c r="A159" s="64" t="str">
        <f>IF(E159="","",VLOOKUP('OPĆI DIO'!$C$3,'OPĆI DIO'!$L$6:$U$138,10,FALSE))</f>
        <v/>
      </c>
      <c r="B159" s="64" t="str">
        <f>IF(E159="","",VLOOKUP('OPĆI DIO'!$C$3,'OPĆI DIO'!$L$6:$U$138,9,FALSE))</f>
        <v/>
      </c>
      <c r="C159" s="65" t="str">
        <f t="shared" si="13"/>
        <v/>
      </c>
      <c r="D159" s="66" t="str">
        <f t="shared" si="14"/>
        <v/>
      </c>
      <c r="E159" s="67"/>
      <c r="F159" s="68" t="str">
        <f t="shared" si="15"/>
        <v/>
      </c>
      <c r="G159" s="69"/>
      <c r="H159" s="69"/>
      <c r="I159" s="78">
        <f t="shared" si="16"/>
        <v>0</v>
      </c>
      <c r="J159" s="67"/>
      <c r="L159" t="str">
        <f t="shared" si="17"/>
        <v/>
      </c>
      <c r="M159" t="str">
        <f t="shared" si="18"/>
        <v/>
      </c>
    </row>
    <row r="160" spans="1:13">
      <c r="A160" s="64" t="str">
        <f>IF(E160="","",VLOOKUP('OPĆI DIO'!$C$3,'OPĆI DIO'!$L$6:$U$138,10,FALSE))</f>
        <v/>
      </c>
      <c r="B160" s="64" t="str">
        <f>IF(E160="","",VLOOKUP('OPĆI DIO'!$C$3,'OPĆI DIO'!$L$6:$U$138,9,FALSE))</f>
        <v/>
      </c>
      <c r="C160" s="65" t="str">
        <f t="shared" si="13"/>
        <v/>
      </c>
      <c r="D160" s="66" t="str">
        <f t="shared" si="14"/>
        <v/>
      </c>
      <c r="E160" s="67"/>
      <c r="F160" s="68" t="str">
        <f t="shared" si="15"/>
        <v/>
      </c>
      <c r="G160" s="69"/>
      <c r="H160" s="69"/>
      <c r="I160" s="78">
        <f t="shared" si="16"/>
        <v>0</v>
      </c>
      <c r="J160" s="67"/>
      <c r="L160" t="str">
        <f t="shared" si="17"/>
        <v/>
      </c>
      <c r="M160" t="str">
        <f t="shared" si="18"/>
        <v/>
      </c>
    </row>
    <row r="161" spans="1:13">
      <c r="A161" s="64" t="str">
        <f>IF(E161="","",VLOOKUP('OPĆI DIO'!$C$3,'OPĆI DIO'!$L$6:$U$138,10,FALSE))</f>
        <v/>
      </c>
      <c r="B161" s="64" t="str">
        <f>IF(E161="","",VLOOKUP('OPĆI DIO'!$C$3,'OPĆI DIO'!$L$6:$U$138,9,FALSE))</f>
        <v/>
      </c>
      <c r="C161" s="65" t="str">
        <f t="shared" si="13"/>
        <v/>
      </c>
      <c r="D161" s="66" t="str">
        <f t="shared" si="14"/>
        <v/>
      </c>
      <c r="E161" s="67"/>
      <c r="F161" s="68" t="str">
        <f t="shared" si="15"/>
        <v/>
      </c>
      <c r="G161" s="69"/>
      <c r="H161" s="69"/>
      <c r="I161" s="78">
        <f t="shared" si="16"/>
        <v>0</v>
      </c>
      <c r="J161" s="67"/>
      <c r="L161" t="str">
        <f t="shared" si="17"/>
        <v/>
      </c>
      <c r="M161" t="str">
        <f t="shared" si="18"/>
        <v/>
      </c>
    </row>
    <row r="162" spans="1:13">
      <c r="A162" s="64" t="str">
        <f>IF(E162="","",VLOOKUP('OPĆI DIO'!$C$3,'OPĆI DIO'!$L$6:$U$138,10,FALSE))</f>
        <v/>
      </c>
      <c r="B162" s="64" t="str">
        <f>IF(E162="","",VLOOKUP('OPĆI DIO'!$C$3,'OPĆI DIO'!$L$6:$U$138,9,FALSE))</f>
        <v/>
      </c>
      <c r="C162" s="65" t="str">
        <f t="shared" si="13"/>
        <v/>
      </c>
      <c r="D162" s="66" t="str">
        <f t="shared" si="14"/>
        <v/>
      </c>
      <c r="E162" s="67"/>
      <c r="F162" s="68" t="str">
        <f t="shared" si="15"/>
        <v/>
      </c>
      <c r="G162" s="69"/>
      <c r="H162" s="69"/>
      <c r="I162" s="78">
        <f t="shared" si="16"/>
        <v>0</v>
      </c>
      <c r="J162" s="67"/>
      <c r="L162" t="str">
        <f t="shared" si="17"/>
        <v/>
      </c>
      <c r="M162" t="str">
        <f t="shared" si="18"/>
        <v/>
      </c>
    </row>
    <row r="163" spans="1:13">
      <c r="A163" s="64" t="str">
        <f>IF(E163="","",VLOOKUP('OPĆI DIO'!$C$3,'OPĆI DIO'!$L$6:$U$138,10,FALSE))</f>
        <v/>
      </c>
      <c r="B163" s="64" t="str">
        <f>IF(E163="","",VLOOKUP('OPĆI DIO'!$C$3,'OPĆI DIO'!$L$6:$U$138,9,FALSE))</f>
        <v/>
      </c>
      <c r="C163" s="65" t="str">
        <f t="shared" si="13"/>
        <v/>
      </c>
      <c r="D163" s="66" t="str">
        <f t="shared" si="14"/>
        <v/>
      </c>
      <c r="E163" s="67"/>
      <c r="F163" s="68" t="str">
        <f t="shared" si="15"/>
        <v/>
      </c>
      <c r="G163" s="69"/>
      <c r="H163" s="69"/>
      <c r="I163" s="78">
        <f t="shared" si="16"/>
        <v>0</v>
      </c>
      <c r="J163" s="67"/>
      <c r="L163" t="str">
        <f t="shared" si="17"/>
        <v/>
      </c>
      <c r="M163" t="str">
        <f t="shared" si="18"/>
        <v/>
      </c>
    </row>
    <row r="164" spans="1:13">
      <c r="A164" s="64" t="str">
        <f>IF(E164="","",VLOOKUP('OPĆI DIO'!$C$3,'OPĆI DIO'!$L$6:$U$138,10,FALSE))</f>
        <v/>
      </c>
      <c r="B164" s="64" t="str">
        <f>IF(E164="","",VLOOKUP('OPĆI DIO'!$C$3,'OPĆI DIO'!$L$6:$U$138,9,FALSE))</f>
        <v/>
      </c>
      <c r="C164" s="65" t="str">
        <f t="shared" si="13"/>
        <v/>
      </c>
      <c r="D164" s="66" t="str">
        <f t="shared" si="14"/>
        <v/>
      </c>
      <c r="E164" s="67"/>
      <c r="F164" s="68" t="str">
        <f t="shared" si="15"/>
        <v/>
      </c>
      <c r="G164" s="69"/>
      <c r="H164" s="69"/>
      <c r="I164" s="78">
        <f t="shared" si="16"/>
        <v>0</v>
      </c>
      <c r="J164" s="67"/>
      <c r="L164" t="str">
        <f t="shared" si="17"/>
        <v/>
      </c>
      <c r="M164" t="str">
        <f t="shared" si="18"/>
        <v/>
      </c>
    </row>
    <row r="165" spans="1:13">
      <c r="A165" s="64" t="str">
        <f>IF(E165="","",VLOOKUP('OPĆI DIO'!$C$3,'OPĆI DIO'!$L$6:$U$138,10,FALSE))</f>
        <v/>
      </c>
      <c r="B165" s="64" t="str">
        <f>IF(E165="","",VLOOKUP('OPĆI DIO'!$C$3,'OPĆI DIO'!$L$6:$U$138,9,FALSE))</f>
        <v/>
      </c>
      <c r="C165" s="65" t="str">
        <f t="shared" si="13"/>
        <v/>
      </c>
      <c r="D165" s="66" t="str">
        <f t="shared" si="14"/>
        <v/>
      </c>
      <c r="E165" s="67"/>
      <c r="F165" s="68" t="str">
        <f t="shared" si="15"/>
        <v/>
      </c>
      <c r="G165" s="69"/>
      <c r="H165" s="69"/>
      <c r="I165" s="78">
        <f t="shared" si="16"/>
        <v>0</v>
      </c>
      <c r="J165" s="67"/>
      <c r="L165" t="str">
        <f t="shared" si="17"/>
        <v/>
      </c>
      <c r="M165" t="str">
        <f t="shared" si="18"/>
        <v/>
      </c>
    </row>
    <row r="166" spans="1:13">
      <c r="A166" s="64" t="str">
        <f>IF(E166="","",VLOOKUP('OPĆI DIO'!$C$3,'OPĆI DIO'!$L$6:$U$138,10,FALSE))</f>
        <v/>
      </c>
      <c r="B166" s="64" t="str">
        <f>IF(E166="","",VLOOKUP('OPĆI DIO'!$C$3,'OPĆI DIO'!$L$6:$U$138,9,FALSE))</f>
        <v/>
      </c>
      <c r="C166" s="65" t="str">
        <f t="shared" si="13"/>
        <v/>
      </c>
      <c r="D166" s="66" t="str">
        <f t="shared" si="14"/>
        <v/>
      </c>
      <c r="E166" s="67"/>
      <c r="F166" s="68" t="str">
        <f t="shared" si="15"/>
        <v/>
      </c>
      <c r="G166" s="69"/>
      <c r="H166" s="69"/>
      <c r="I166" s="78">
        <f t="shared" si="16"/>
        <v>0</v>
      </c>
      <c r="J166" s="67"/>
      <c r="L166" t="str">
        <f t="shared" si="17"/>
        <v/>
      </c>
      <c r="M166" t="str">
        <f t="shared" si="18"/>
        <v/>
      </c>
    </row>
    <row r="167" spans="1:13">
      <c r="A167" s="64" t="str">
        <f>IF(E167="","",VLOOKUP('OPĆI DIO'!$C$3,'OPĆI DIO'!$L$6:$U$138,10,FALSE))</f>
        <v/>
      </c>
      <c r="B167" s="64" t="str">
        <f>IF(E167="","",VLOOKUP('OPĆI DIO'!$C$3,'OPĆI DIO'!$L$6:$U$138,9,FALSE))</f>
        <v/>
      </c>
      <c r="C167" s="65" t="str">
        <f t="shared" ref="C167:C230" si="19">IFERROR(VLOOKUP(E167,$R$6:$U$109,3,FALSE),"")</f>
        <v/>
      </c>
      <c r="D167" s="66" t="str">
        <f t="shared" ref="D167:D230" si="20">IFERROR(VLOOKUP(E167,$R$6:$U$109,4,FALSE),"")</f>
        <v/>
      </c>
      <c r="E167" s="67"/>
      <c r="F167" s="68" t="str">
        <f t="shared" ref="F167:F230" si="21">IFERROR(VLOOKUP(E167,$R$6:$U$109,2,FALSE),"")</f>
        <v/>
      </c>
      <c r="G167" s="69"/>
      <c r="H167" s="69"/>
      <c r="I167" s="78">
        <f t="shared" si="16"/>
        <v>0</v>
      </c>
      <c r="J167" s="67"/>
      <c r="L167" t="str">
        <f t="shared" si="17"/>
        <v/>
      </c>
      <c r="M167" t="str">
        <f t="shared" si="18"/>
        <v/>
      </c>
    </row>
    <row r="168" spans="1:13">
      <c r="A168" s="64" t="str">
        <f>IF(E168="","",VLOOKUP('OPĆI DIO'!$C$3,'OPĆI DIO'!$L$6:$U$138,10,FALSE))</f>
        <v/>
      </c>
      <c r="B168" s="64" t="str">
        <f>IF(E168="","",VLOOKUP('OPĆI DIO'!$C$3,'OPĆI DIO'!$L$6:$U$138,9,FALSE))</f>
        <v/>
      </c>
      <c r="C168" s="65" t="str">
        <f t="shared" si="19"/>
        <v/>
      </c>
      <c r="D168" s="66" t="str">
        <f t="shared" si="20"/>
        <v/>
      </c>
      <c r="E168" s="67"/>
      <c r="F168" s="68" t="str">
        <f t="shared" si="21"/>
        <v/>
      </c>
      <c r="G168" s="69"/>
      <c r="H168" s="69"/>
      <c r="I168" s="78">
        <f t="shared" si="16"/>
        <v>0</v>
      </c>
      <c r="J168" s="67"/>
      <c r="L168" t="str">
        <f t="shared" si="17"/>
        <v/>
      </c>
      <c r="M168" t="str">
        <f t="shared" si="18"/>
        <v/>
      </c>
    </row>
    <row r="169" spans="1:13">
      <c r="A169" s="64" t="str">
        <f>IF(E169="","",VLOOKUP('OPĆI DIO'!$C$3,'OPĆI DIO'!$L$6:$U$138,10,FALSE))</f>
        <v/>
      </c>
      <c r="B169" s="64" t="str">
        <f>IF(E169="","",VLOOKUP('OPĆI DIO'!$C$3,'OPĆI DIO'!$L$6:$U$138,9,FALSE))</f>
        <v/>
      </c>
      <c r="C169" s="65" t="str">
        <f t="shared" si="19"/>
        <v/>
      </c>
      <c r="D169" s="66" t="str">
        <f t="shared" si="20"/>
        <v/>
      </c>
      <c r="E169" s="67"/>
      <c r="F169" s="68" t="str">
        <f t="shared" si="21"/>
        <v/>
      </c>
      <c r="G169" s="69"/>
      <c r="H169" s="69"/>
      <c r="I169" s="78">
        <f t="shared" si="16"/>
        <v>0</v>
      </c>
      <c r="J169" s="67"/>
      <c r="L169" t="str">
        <f t="shared" si="17"/>
        <v/>
      </c>
      <c r="M169" t="str">
        <f t="shared" si="18"/>
        <v/>
      </c>
    </row>
    <row r="170" spans="1:13">
      <c r="A170" s="64" t="str">
        <f>IF(E170="","",VLOOKUP('OPĆI DIO'!$C$3,'OPĆI DIO'!$L$6:$U$138,10,FALSE))</f>
        <v/>
      </c>
      <c r="B170" s="64" t="str">
        <f>IF(E170="","",VLOOKUP('OPĆI DIO'!$C$3,'OPĆI DIO'!$L$6:$U$138,9,FALSE))</f>
        <v/>
      </c>
      <c r="C170" s="65" t="str">
        <f t="shared" si="19"/>
        <v/>
      </c>
      <c r="D170" s="66" t="str">
        <f t="shared" si="20"/>
        <v/>
      </c>
      <c r="E170" s="67"/>
      <c r="F170" s="68" t="str">
        <f t="shared" si="21"/>
        <v/>
      </c>
      <c r="G170" s="69"/>
      <c r="H170" s="69"/>
      <c r="I170" s="78">
        <f t="shared" si="16"/>
        <v>0</v>
      </c>
      <c r="J170" s="67"/>
      <c r="L170" t="str">
        <f t="shared" si="17"/>
        <v/>
      </c>
      <c r="M170" t="str">
        <f t="shared" si="18"/>
        <v/>
      </c>
    </row>
    <row r="171" spans="1:13">
      <c r="A171" s="64" t="str">
        <f>IF(E171="","",VLOOKUP('OPĆI DIO'!$C$3,'OPĆI DIO'!$L$6:$U$138,10,FALSE))</f>
        <v/>
      </c>
      <c r="B171" s="64" t="str">
        <f>IF(E171="","",VLOOKUP('OPĆI DIO'!$C$3,'OPĆI DIO'!$L$6:$U$138,9,FALSE))</f>
        <v/>
      </c>
      <c r="C171" s="65" t="str">
        <f t="shared" si="19"/>
        <v/>
      </c>
      <c r="D171" s="66" t="str">
        <f t="shared" si="20"/>
        <v/>
      </c>
      <c r="E171" s="67"/>
      <c r="F171" s="68" t="str">
        <f t="shared" si="21"/>
        <v/>
      </c>
      <c r="G171" s="69"/>
      <c r="H171" s="69"/>
      <c r="I171" s="78">
        <f t="shared" si="16"/>
        <v>0</v>
      </c>
      <c r="J171" s="67"/>
      <c r="L171" t="str">
        <f t="shared" si="17"/>
        <v/>
      </c>
      <c r="M171" t="str">
        <f t="shared" si="18"/>
        <v/>
      </c>
    </row>
    <row r="172" spans="1:13">
      <c r="A172" s="64" t="str">
        <f>IF(E172="","",VLOOKUP('OPĆI DIO'!$C$3,'OPĆI DIO'!$L$6:$U$138,10,FALSE))</f>
        <v/>
      </c>
      <c r="B172" s="64" t="str">
        <f>IF(E172="","",VLOOKUP('OPĆI DIO'!$C$3,'OPĆI DIO'!$L$6:$U$138,9,FALSE))</f>
        <v/>
      </c>
      <c r="C172" s="65" t="str">
        <f t="shared" si="19"/>
        <v/>
      </c>
      <c r="D172" s="66" t="str">
        <f t="shared" si="20"/>
        <v/>
      </c>
      <c r="E172" s="67"/>
      <c r="F172" s="68" t="str">
        <f t="shared" si="21"/>
        <v/>
      </c>
      <c r="G172" s="69"/>
      <c r="H172" s="69"/>
      <c r="I172" s="78">
        <f t="shared" si="16"/>
        <v>0</v>
      </c>
      <c r="J172" s="67"/>
      <c r="L172" t="str">
        <f t="shared" si="17"/>
        <v/>
      </c>
      <c r="M172" t="str">
        <f t="shared" si="18"/>
        <v/>
      </c>
    </row>
    <row r="173" spans="1:13">
      <c r="A173" s="64" t="str">
        <f>IF(E173="","",VLOOKUP('OPĆI DIO'!$C$3,'OPĆI DIO'!$L$6:$U$138,10,FALSE))</f>
        <v/>
      </c>
      <c r="B173" s="64" t="str">
        <f>IF(E173="","",VLOOKUP('OPĆI DIO'!$C$3,'OPĆI DIO'!$L$6:$U$138,9,FALSE))</f>
        <v/>
      </c>
      <c r="C173" s="65" t="str">
        <f t="shared" si="19"/>
        <v/>
      </c>
      <c r="D173" s="66" t="str">
        <f t="shared" si="20"/>
        <v/>
      </c>
      <c r="E173" s="67"/>
      <c r="F173" s="68" t="str">
        <f t="shared" si="21"/>
        <v/>
      </c>
      <c r="G173" s="69"/>
      <c r="H173" s="69"/>
      <c r="I173" s="78">
        <f t="shared" si="16"/>
        <v>0</v>
      </c>
      <c r="J173" s="67"/>
      <c r="L173" t="str">
        <f t="shared" si="17"/>
        <v/>
      </c>
      <c r="M173" t="str">
        <f t="shared" si="18"/>
        <v/>
      </c>
    </row>
    <row r="174" spans="1:13">
      <c r="A174" s="64" t="str">
        <f>IF(E174="","",VLOOKUP('OPĆI DIO'!$C$3,'OPĆI DIO'!$L$6:$U$138,10,FALSE))</f>
        <v/>
      </c>
      <c r="B174" s="64" t="str">
        <f>IF(E174="","",VLOOKUP('OPĆI DIO'!$C$3,'OPĆI DIO'!$L$6:$U$138,9,FALSE))</f>
        <v/>
      </c>
      <c r="C174" s="65" t="str">
        <f t="shared" si="19"/>
        <v/>
      </c>
      <c r="D174" s="66" t="str">
        <f t="shared" si="20"/>
        <v/>
      </c>
      <c r="E174" s="67"/>
      <c r="F174" s="68" t="str">
        <f t="shared" si="21"/>
        <v/>
      </c>
      <c r="G174" s="69"/>
      <c r="H174" s="69"/>
      <c r="I174" s="78">
        <f t="shared" si="16"/>
        <v>0</v>
      </c>
      <c r="J174" s="67"/>
      <c r="L174" t="str">
        <f t="shared" si="17"/>
        <v/>
      </c>
      <c r="M174" t="str">
        <f t="shared" si="18"/>
        <v/>
      </c>
    </row>
    <row r="175" spans="1:13">
      <c r="A175" s="64" t="str">
        <f>IF(E175="","",VLOOKUP('OPĆI DIO'!$C$3,'OPĆI DIO'!$L$6:$U$138,10,FALSE))</f>
        <v/>
      </c>
      <c r="B175" s="64" t="str">
        <f>IF(E175="","",VLOOKUP('OPĆI DIO'!$C$3,'OPĆI DIO'!$L$6:$U$138,9,FALSE))</f>
        <v/>
      </c>
      <c r="C175" s="65" t="str">
        <f t="shared" si="19"/>
        <v/>
      </c>
      <c r="D175" s="66" t="str">
        <f t="shared" si="20"/>
        <v/>
      </c>
      <c r="E175" s="67"/>
      <c r="F175" s="68" t="str">
        <f t="shared" si="21"/>
        <v/>
      </c>
      <c r="G175" s="69"/>
      <c r="H175" s="69"/>
      <c r="I175" s="78">
        <f t="shared" si="16"/>
        <v>0</v>
      </c>
      <c r="J175" s="67"/>
      <c r="L175" t="str">
        <f t="shared" si="17"/>
        <v/>
      </c>
      <c r="M175" t="str">
        <f t="shared" si="18"/>
        <v/>
      </c>
    </row>
    <row r="176" spans="1:13">
      <c r="A176" s="64" t="str">
        <f>IF(E176="","",VLOOKUP('OPĆI DIO'!$C$3,'OPĆI DIO'!$L$6:$U$138,10,FALSE))</f>
        <v/>
      </c>
      <c r="B176" s="64" t="str">
        <f>IF(E176="","",VLOOKUP('OPĆI DIO'!$C$3,'OPĆI DIO'!$L$6:$U$138,9,FALSE))</f>
        <v/>
      </c>
      <c r="C176" s="65" t="str">
        <f t="shared" si="19"/>
        <v/>
      </c>
      <c r="D176" s="66" t="str">
        <f t="shared" si="20"/>
        <v/>
      </c>
      <c r="E176" s="67"/>
      <c r="F176" s="68" t="str">
        <f t="shared" si="21"/>
        <v/>
      </c>
      <c r="G176" s="69"/>
      <c r="H176" s="69"/>
      <c r="I176" s="78">
        <f t="shared" si="16"/>
        <v>0</v>
      </c>
      <c r="J176" s="67"/>
      <c r="L176" t="str">
        <f t="shared" si="17"/>
        <v/>
      </c>
      <c r="M176" t="str">
        <f t="shared" si="18"/>
        <v/>
      </c>
    </row>
    <row r="177" spans="1:13">
      <c r="A177" s="64" t="str">
        <f>IF(E177="","",VLOOKUP('OPĆI DIO'!$C$3,'OPĆI DIO'!$L$6:$U$138,10,FALSE))</f>
        <v/>
      </c>
      <c r="B177" s="64" t="str">
        <f>IF(E177="","",VLOOKUP('OPĆI DIO'!$C$3,'OPĆI DIO'!$L$6:$U$138,9,FALSE))</f>
        <v/>
      </c>
      <c r="C177" s="65" t="str">
        <f t="shared" si="19"/>
        <v/>
      </c>
      <c r="D177" s="66" t="str">
        <f t="shared" si="20"/>
        <v/>
      </c>
      <c r="E177" s="67"/>
      <c r="F177" s="68" t="str">
        <f t="shared" si="21"/>
        <v/>
      </c>
      <c r="G177" s="69"/>
      <c r="H177" s="69"/>
      <c r="I177" s="78">
        <f t="shared" si="16"/>
        <v>0</v>
      </c>
      <c r="J177" s="67"/>
      <c r="L177" t="str">
        <f t="shared" si="17"/>
        <v/>
      </c>
      <c r="M177" t="str">
        <f t="shared" si="18"/>
        <v/>
      </c>
    </row>
    <row r="178" spans="1:13">
      <c r="A178" s="64" t="str">
        <f>IF(E178="","",VLOOKUP('OPĆI DIO'!$C$3,'OPĆI DIO'!$L$6:$U$138,10,FALSE))</f>
        <v/>
      </c>
      <c r="B178" s="64" t="str">
        <f>IF(E178="","",VLOOKUP('OPĆI DIO'!$C$3,'OPĆI DIO'!$L$6:$U$138,9,FALSE))</f>
        <v/>
      </c>
      <c r="C178" s="65" t="str">
        <f t="shared" si="19"/>
        <v/>
      </c>
      <c r="D178" s="66" t="str">
        <f t="shared" si="20"/>
        <v/>
      </c>
      <c r="E178" s="67"/>
      <c r="F178" s="68" t="str">
        <f t="shared" si="21"/>
        <v/>
      </c>
      <c r="G178" s="69"/>
      <c r="H178" s="69"/>
      <c r="I178" s="78">
        <f t="shared" si="16"/>
        <v>0</v>
      </c>
      <c r="J178" s="67"/>
      <c r="L178" t="str">
        <f t="shared" si="17"/>
        <v/>
      </c>
      <c r="M178" t="str">
        <f t="shared" si="18"/>
        <v/>
      </c>
    </row>
    <row r="179" spans="1:13">
      <c r="A179" s="64" t="str">
        <f>IF(E179="","",VLOOKUP('OPĆI DIO'!$C$3,'OPĆI DIO'!$L$6:$U$138,10,FALSE))</f>
        <v/>
      </c>
      <c r="B179" s="64" t="str">
        <f>IF(E179="","",VLOOKUP('OPĆI DIO'!$C$3,'OPĆI DIO'!$L$6:$U$138,9,FALSE))</f>
        <v/>
      </c>
      <c r="C179" s="65" t="str">
        <f t="shared" si="19"/>
        <v/>
      </c>
      <c r="D179" s="66" t="str">
        <f t="shared" si="20"/>
        <v/>
      </c>
      <c r="E179" s="67"/>
      <c r="F179" s="68" t="str">
        <f t="shared" si="21"/>
        <v/>
      </c>
      <c r="G179" s="69"/>
      <c r="H179" s="69"/>
      <c r="I179" s="78">
        <f t="shared" si="16"/>
        <v>0</v>
      </c>
      <c r="J179" s="67"/>
      <c r="L179" t="str">
        <f t="shared" si="17"/>
        <v/>
      </c>
      <c r="M179" t="str">
        <f t="shared" si="18"/>
        <v/>
      </c>
    </row>
    <row r="180" spans="1:13">
      <c r="A180" s="64" t="str">
        <f>IF(E180="","",VLOOKUP('OPĆI DIO'!$C$3,'OPĆI DIO'!$L$6:$U$138,10,FALSE))</f>
        <v/>
      </c>
      <c r="B180" s="64" t="str">
        <f>IF(E180="","",VLOOKUP('OPĆI DIO'!$C$3,'OPĆI DIO'!$L$6:$U$138,9,FALSE))</f>
        <v/>
      </c>
      <c r="C180" s="65" t="str">
        <f t="shared" si="19"/>
        <v/>
      </c>
      <c r="D180" s="66" t="str">
        <f t="shared" si="20"/>
        <v/>
      </c>
      <c r="E180" s="67"/>
      <c r="F180" s="68" t="str">
        <f t="shared" si="21"/>
        <v/>
      </c>
      <c r="G180" s="69"/>
      <c r="H180" s="69"/>
      <c r="I180" s="78">
        <f t="shared" si="16"/>
        <v>0</v>
      </c>
      <c r="J180" s="67"/>
      <c r="L180" t="str">
        <f t="shared" si="17"/>
        <v/>
      </c>
      <c r="M180" t="str">
        <f t="shared" si="18"/>
        <v/>
      </c>
    </row>
    <row r="181" spans="1:13">
      <c r="A181" s="64" t="str">
        <f>IF(E181="","",VLOOKUP('OPĆI DIO'!$C$3,'OPĆI DIO'!$L$6:$U$138,10,FALSE))</f>
        <v/>
      </c>
      <c r="B181" s="64" t="str">
        <f>IF(E181="","",VLOOKUP('OPĆI DIO'!$C$3,'OPĆI DIO'!$L$6:$U$138,9,FALSE))</f>
        <v/>
      </c>
      <c r="C181" s="65" t="str">
        <f t="shared" si="19"/>
        <v/>
      </c>
      <c r="D181" s="66" t="str">
        <f t="shared" si="20"/>
        <v/>
      </c>
      <c r="E181" s="67"/>
      <c r="F181" s="68" t="str">
        <f t="shared" si="21"/>
        <v/>
      </c>
      <c r="G181" s="69"/>
      <c r="H181" s="69"/>
      <c r="I181" s="78">
        <f t="shared" si="16"/>
        <v>0</v>
      </c>
      <c r="J181" s="67"/>
      <c r="L181" t="str">
        <f t="shared" si="17"/>
        <v/>
      </c>
      <c r="M181" t="str">
        <f t="shared" si="18"/>
        <v/>
      </c>
    </row>
    <row r="182" spans="1:13">
      <c r="A182" s="64" t="str">
        <f>IF(E182="","",VLOOKUP('OPĆI DIO'!$C$3,'OPĆI DIO'!$L$6:$U$138,10,FALSE))</f>
        <v/>
      </c>
      <c r="B182" s="64" t="str">
        <f>IF(E182="","",VLOOKUP('OPĆI DIO'!$C$3,'OPĆI DIO'!$L$6:$U$138,9,FALSE))</f>
        <v/>
      </c>
      <c r="C182" s="65" t="str">
        <f t="shared" si="19"/>
        <v/>
      </c>
      <c r="D182" s="66" t="str">
        <f t="shared" si="20"/>
        <v/>
      </c>
      <c r="E182" s="67"/>
      <c r="F182" s="68" t="str">
        <f t="shared" si="21"/>
        <v/>
      </c>
      <c r="G182" s="69"/>
      <c r="H182" s="69"/>
      <c r="I182" s="78">
        <f t="shared" si="16"/>
        <v>0</v>
      </c>
      <c r="J182" s="67"/>
      <c r="L182" t="str">
        <f t="shared" si="17"/>
        <v/>
      </c>
      <c r="M182" t="str">
        <f t="shared" si="18"/>
        <v/>
      </c>
    </row>
    <row r="183" spans="1:13">
      <c r="A183" s="64" t="str">
        <f>IF(E183="","",VLOOKUP('OPĆI DIO'!$C$3,'OPĆI DIO'!$L$6:$U$138,10,FALSE))</f>
        <v/>
      </c>
      <c r="B183" s="64" t="str">
        <f>IF(E183="","",VLOOKUP('OPĆI DIO'!$C$3,'OPĆI DIO'!$L$6:$U$138,9,FALSE))</f>
        <v/>
      </c>
      <c r="C183" s="65" t="str">
        <f t="shared" si="19"/>
        <v/>
      </c>
      <c r="D183" s="66" t="str">
        <f t="shared" si="20"/>
        <v/>
      </c>
      <c r="E183" s="67"/>
      <c r="F183" s="68" t="str">
        <f t="shared" si="21"/>
        <v/>
      </c>
      <c r="G183" s="69"/>
      <c r="H183" s="69"/>
      <c r="I183" s="78">
        <f t="shared" si="16"/>
        <v>0</v>
      </c>
      <c r="J183" s="67"/>
      <c r="L183" t="str">
        <f t="shared" si="17"/>
        <v/>
      </c>
      <c r="M183" t="str">
        <f t="shared" si="18"/>
        <v/>
      </c>
    </row>
    <row r="184" spans="1:13">
      <c r="A184" s="64" t="str">
        <f>IF(E184="","",VLOOKUP('OPĆI DIO'!$C$3,'OPĆI DIO'!$L$6:$U$138,10,FALSE))</f>
        <v/>
      </c>
      <c r="B184" s="64" t="str">
        <f>IF(E184="","",VLOOKUP('OPĆI DIO'!$C$3,'OPĆI DIO'!$L$6:$U$138,9,FALSE))</f>
        <v/>
      </c>
      <c r="C184" s="65" t="str">
        <f t="shared" si="19"/>
        <v/>
      </c>
      <c r="D184" s="66" t="str">
        <f t="shared" si="20"/>
        <v/>
      </c>
      <c r="E184" s="67"/>
      <c r="F184" s="68" t="str">
        <f t="shared" si="21"/>
        <v/>
      </c>
      <c r="G184" s="69"/>
      <c r="H184" s="69"/>
      <c r="I184" s="78">
        <f t="shared" si="16"/>
        <v>0</v>
      </c>
      <c r="J184" s="67"/>
      <c r="L184" t="str">
        <f t="shared" si="17"/>
        <v/>
      </c>
      <c r="M184" t="str">
        <f t="shared" si="18"/>
        <v/>
      </c>
    </row>
    <row r="185" spans="1:13">
      <c r="A185" s="64" t="str">
        <f>IF(E185="","",VLOOKUP('OPĆI DIO'!$C$3,'OPĆI DIO'!$L$6:$U$138,10,FALSE))</f>
        <v/>
      </c>
      <c r="B185" s="64" t="str">
        <f>IF(E185="","",VLOOKUP('OPĆI DIO'!$C$3,'OPĆI DIO'!$L$6:$U$138,9,FALSE))</f>
        <v/>
      </c>
      <c r="C185" s="65" t="str">
        <f t="shared" si="19"/>
        <v/>
      </c>
      <c r="D185" s="66" t="str">
        <f t="shared" si="20"/>
        <v/>
      </c>
      <c r="E185" s="67"/>
      <c r="F185" s="68" t="str">
        <f t="shared" si="21"/>
        <v/>
      </c>
      <c r="G185" s="69"/>
      <c r="H185" s="69"/>
      <c r="I185" s="78">
        <f t="shared" si="16"/>
        <v>0</v>
      </c>
      <c r="J185" s="67"/>
      <c r="L185" t="str">
        <f t="shared" si="17"/>
        <v/>
      </c>
      <c r="M185" t="str">
        <f t="shared" si="18"/>
        <v/>
      </c>
    </row>
    <row r="186" spans="1:13">
      <c r="A186" s="64" t="str">
        <f>IF(E186="","",VLOOKUP('OPĆI DIO'!$C$3,'OPĆI DIO'!$L$6:$U$138,10,FALSE))</f>
        <v/>
      </c>
      <c r="B186" s="64" t="str">
        <f>IF(E186="","",VLOOKUP('OPĆI DIO'!$C$3,'OPĆI DIO'!$L$6:$U$138,9,FALSE))</f>
        <v/>
      </c>
      <c r="C186" s="65" t="str">
        <f t="shared" si="19"/>
        <v/>
      </c>
      <c r="D186" s="66" t="str">
        <f t="shared" si="20"/>
        <v/>
      </c>
      <c r="E186" s="67"/>
      <c r="F186" s="68" t="str">
        <f t="shared" si="21"/>
        <v/>
      </c>
      <c r="G186" s="69"/>
      <c r="H186" s="69"/>
      <c r="I186" s="78">
        <f t="shared" si="16"/>
        <v>0</v>
      </c>
      <c r="J186" s="67"/>
      <c r="L186" t="str">
        <f t="shared" si="17"/>
        <v/>
      </c>
      <c r="M186" t="str">
        <f t="shared" si="18"/>
        <v/>
      </c>
    </row>
    <row r="187" spans="1:13">
      <c r="A187" s="64" t="str">
        <f>IF(E187="","",VLOOKUP('OPĆI DIO'!$C$3,'OPĆI DIO'!$L$6:$U$138,10,FALSE))</f>
        <v/>
      </c>
      <c r="B187" s="64" t="str">
        <f>IF(E187="","",VLOOKUP('OPĆI DIO'!$C$3,'OPĆI DIO'!$L$6:$U$138,9,FALSE))</f>
        <v/>
      </c>
      <c r="C187" s="65" t="str">
        <f t="shared" si="19"/>
        <v/>
      </c>
      <c r="D187" s="66" t="str">
        <f t="shared" si="20"/>
        <v/>
      </c>
      <c r="E187" s="67"/>
      <c r="F187" s="68" t="str">
        <f t="shared" si="21"/>
        <v/>
      </c>
      <c r="G187" s="69"/>
      <c r="H187" s="69"/>
      <c r="I187" s="78">
        <f t="shared" si="16"/>
        <v>0</v>
      </c>
      <c r="J187" s="67"/>
      <c r="L187" t="str">
        <f t="shared" si="17"/>
        <v/>
      </c>
      <c r="M187" t="str">
        <f t="shared" si="18"/>
        <v/>
      </c>
    </row>
    <row r="188" spans="1:13">
      <c r="A188" s="64" t="str">
        <f>IF(E188="","",VLOOKUP('OPĆI DIO'!$C$3,'OPĆI DIO'!$L$6:$U$138,10,FALSE))</f>
        <v/>
      </c>
      <c r="B188" s="64" t="str">
        <f>IF(E188="","",VLOOKUP('OPĆI DIO'!$C$3,'OPĆI DIO'!$L$6:$U$138,9,FALSE))</f>
        <v/>
      </c>
      <c r="C188" s="65" t="str">
        <f t="shared" si="19"/>
        <v/>
      </c>
      <c r="D188" s="66" t="str">
        <f t="shared" si="20"/>
        <v/>
      </c>
      <c r="E188" s="67"/>
      <c r="F188" s="68" t="str">
        <f t="shared" si="21"/>
        <v/>
      </c>
      <c r="G188" s="69"/>
      <c r="H188" s="69"/>
      <c r="I188" s="78">
        <f t="shared" si="16"/>
        <v>0</v>
      </c>
      <c r="J188" s="67"/>
      <c r="L188" t="str">
        <f t="shared" si="17"/>
        <v/>
      </c>
      <c r="M188" t="str">
        <f t="shared" si="18"/>
        <v/>
      </c>
    </row>
    <row r="189" spans="1:13">
      <c r="A189" s="64" t="str">
        <f>IF(E189="","",VLOOKUP('OPĆI DIO'!$C$3,'OPĆI DIO'!$L$6:$U$138,10,FALSE))</f>
        <v/>
      </c>
      <c r="B189" s="64" t="str">
        <f>IF(E189="","",VLOOKUP('OPĆI DIO'!$C$3,'OPĆI DIO'!$L$6:$U$138,9,FALSE))</f>
        <v/>
      </c>
      <c r="C189" s="65" t="str">
        <f t="shared" si="19"/>
        <v/>
      </c>
      <c r="D189" s="66" t="str">
        <f t="shared" si="20"/>
        <v/>
      </c>
      <c r="E189" s="67"/>
      <c r="F189" s="68" t="str">
        <f t="shared" si="21"/>
        <v/>
      </c>
      <c r="G189" s="69"/>
      <c r="H189" s="69"/>
      <c r="I189" s="78">
        <f t="shared" si="16"/>
        <v>0</v>
      </c>
      <c r="J189" s="67"/>
      <c r="L189" t="str">
        <f t="shared" si="17"/>
        <v/>
      </c>
      <c r="M189" t="str">
        <f t="shared" si="18"/>
        <v/>
      </c>
    </row>
    <row r="190" spans="1:13">
      <c r="A190" s="64" t="str">
        <f>IF(E190="","",VLOOKUP('OPĆI DIO'!$C$3,'OPĆI DIO'!$L$6:$U$138,10,FALSE))</f>
        <v/>
      </c>
      <c r="B190" s="64" t="str">
        <f>IF(E190="","",VLOOKUP('OPĆI DIO'!$C$3,'OPĆI DIO'!$L$6:$U$138,9,FALSE))</f>
        <v/>
      </c>
      <c r="C190" s="65" t="str">
        <f t="shared" si="19"/>
        <v/>
      </c>
      <c r="D190" s="66" t="str">
        <f t="shared" si="20"/>
        <v/>
      </c>
      <c r="E190" s="67"/>
      <c r="F190" s="68" t="str">
        <f t="shared" si="21"/>
        <v/>
      </c>
      <c r="G190" s="69"/>
      <c r="H190" s="69"/>
      <c r="I190" s="78">
        <f t="shared" si="16"/>
        <v>0</v>
      </c>
      <c r="J190" s="67"/>
      <c r="L190" t="str">
        <f t="shared" si="17"/>
        <v/>
      </c>
      <c r="M190" t="str">
        <f t="shared" si="18"/>
        <v/>
      </c>
    </row>
    <row r="191" spans="1:13">
      <c r="A191" s="64" t="str">
        <f>IF(E191="","",VLOOKUP('OPĆI DIO'!$C$3,'OPĆI DIO'!$L$6:$U$138,10,FALSE))</f>
        <v/>
      </c>
      <c r="B191" s="64" t="str">
        <f>IF(E191="","",VLOOKUP('OPĆI DIO'!$C$3,'OPĆI DIO'!$L$6:$U$138,9,FALSE))</f>
        <v/>
      </c>
      <c r="C191" s="65" t="str">
        <f t="shared" si="19"/>
        <v/>
      </c>
      <c r="D191" s="66" t="str">
        <f t="shared" si="20"/>
        <v/>
      </c>
      <c r="E191" s="67"/>
      <c r="F191" s="68" t="str">
        <f t="shared" si="21"/>
        <v/>
      </c>
      <c r="G191" s="69"/>
      <c r="H191" s="69"/>
      <c r="I191" s="78">
        <f t="shared" si="16"/>
        <v>0</v>
      </c>
      <c r="J191" s="67"/>
      <c r="L191" t="str">
        <f t="shared" si="17"/>
        <v/>
      </c>
      <c r="M191" t="str">
        <f t="shared" si="18"/>
        <v/>
      </c>
    </row>
    <row r="192" spans="1:13">
      <c r="A192" s="64" t="str">
        <f>IF(E192="","",VLOOKUP('OPĆI DIO'!$C$3,'OPĆI DIO'!$L$6:$U$138,10,FALSE))</f>
        <v/>
      </c>
      <c r="B192" s="64" t="str">
        <f>IF(E192="","",VLOOKUP('OPĆI DIO'!$C$3,'OPĆI DIO'!$L$6:$U$138,9,FALSE))</f>
        <v/>
      </c>
      <c r="C192" s="65" t="str">
        <f t="shared" si="19"/>
        <v/>
      </c>
      <c r="D192" s="66" t="str">
        <f t="shared" si="20"/>
        <v/>
      </c>
      <c r="E192" s="67"/>
      <c r="F192" s="68" t="str">
        <f t="shared" si="21"/>
        <v/>
      </c>
      <c r="G192" s="69"/>
      <c r="H192" s="69"/>
      <c r="I192" s="78">
        <f t="shared" si="16"/>
        <v>0</v>
      </c>
      <c r="J192" s="67"/>
      <c r="L192" t="str">
        <f t="shared" si="17"/>
        <v/>
      </c>
      <c r="M192" t="str">
        <f t="shared" si="18"/>
        <v/>
      </c>
    </row>
    <row r="193" spans="1:13">
      <c r="A193" s="64" t="str">
        <f>IF(E193="","",VLOOKUP('OPĆI DIO'!$C$3,'OPĆI DIO'!$L$6:$U$138,10,FALSE))</f>
        <v/>
      </c>
      <c r="B193" s="64" t="str">
        <f>IF(E193="","",VLOOKUP('OPĆI DIO'!$C$3,'OPĆI DIO'!$L$6:$U$138,9,FALSE))</f>
        <v/>
      </c>
      <c r="C193" s="65" t="str">
        <f t="shared" si="19"/>
        <v/>
      </c>
      <c r="D193" s="66" t="str">
        <f t="shared" si="20"/>
        <v/>
      </c>
      <c r="E193" s="67"/>
      <c r="F193" s="68" t="str">
        <f t="shared" si="21"/>
        <v/>
      </c>
      <c r="G193" s="69"/>
      <c r="H193" s="69"/>
      <c r="I193" s="78">
        <f t="shared" si="16"/>
        <v>0</v>
      </c>
      <c r="J193" s="67"/>
      <c r="L193" t="str">
        <f t="shared" si="17"/>
        <v/>
      </c>
      <c r="M193" t="str">
        <f t="shared" si="18"/>
        <v/>
      </c>
    </row>
    <row r="194" spans="1:13">
      <c r="A194" s="64" t="str">
        <f>IF(E194="","",VLOOKUP('OPĆI DIO'!$C$3,'OPĆI DIO'!$L$6:$U$138,10,FALSE))</f>
        <v/>
      </c>
      <c r="B194" s="64" t="str">
        <f>IF(E194="","",VLOOKUP('OPĆI DIO'!$C$3,'OPĆI DIO'!$L$6:$U$138,9,FALSE))</f>
        <v/>
      </c>
      <c r="C194" s="65" t="str">
        <f t="shared" si="19"/>
        <v/>
      </c>
      <c r="D194" s="66" t="str">
        <f t="shared" si="20"/>
        <v/>
      </c>
      <c r="E194" s="67"/>
      <c r="F194" s="68" t="str">
        <f t="shared" si="21"/>
        <v/>
      </c>
      <c r="G194" s="69"/>
      <c r="H194" s="69"/>
      <c r="I194" s="78">
        <f t="shared" si="16"/>
        <v>0</v>
      </c>
      <c r="J194" s="67"/>
      <c r="L194" t="str">
        <f t="shared" si="17"/>
        <v/>
      </c>
      <c r="M194" t="str">
        <f t="shared" si="18"/>
        <v/>
      </c>
    </row>
    <row r="195" spans="1:13">
      <c r="A195" s="64" t="str">
        <f>IF(E195="","",VLOOKUP('OPĆI DIO'!$C$3,'OPĆI DIO'!$L$6:$U$138,10,FALSE))</f>
        <v/>
      </c>
      <c r="B195" s="64" t="str">
        <f>IF(E195="","",VLOOKUP('OPĆI DIO'!$C$3,'OPĆI DIO'!$L$6:$U$138,9,FALSE))</f>
        <v/>
      </c>
      <c r="C195" s="65" t="str">
        <f t="shared" si="19"/>
        <v/>
      </c>
      <c r="D195" s="66" t="str">
        <f t="shared" si="20"/>
        <v/>
      </c>
      <c r="E195" s="67"/>
      <c r="F195" s="68" t="str">
        <f t="shared" si="21"/>
        <v/>
      </c>
      <c r="G195" s="69"/>
      <c r="H195" s="69"/>
      <c r="I195" s="78">
        <f t="shared" si="16"/>
        <v>0</v>
      </c>
      <c r="J195" s="67"/>
      <c r="L195" t="str">
        <f t="shared" si="17"/>
        <v/>
      </c>
      <c r="M195" t="str">
        <f t="shared" si="18"/>
        <v/>
      </c>
    </row>
    <row r="196" spans="1:13">
      <c r="A196" s="64" t="str">
        <f>IF(E196="","",VLOOKUP('OPĆI DIO'!$C$3,'OPĆI DIO'!$L$6:$U$138,10,FALSE))</f>
        <v/>
      </c>
      <c r="B196" s="64" t="str">
        <f>IF(E196="","",VLOOKUP('OPĆI DIO'!$C$3,'OPĆI DIO'!$L$6:$U$138,9,FALSE))</f>
        <v/>
      </c>
      <c r="C196" s="65" t="str">
        <f t="shared" si="19"/>
        <v/>
      </c>
      <c r="D196" s="66" t="str">
        <f t="shared" si="20"/>
        <v/>
      </c>
      <c r="E196" s="67"/>
      <c r="F196" s="68" t="str">
        <f t="shared" si="21"/>
        <v/>
      </c>
      <c r="G196" s="69"/>
      <c r="H196" s="69"/>
      <c r="I196" s="78">
        <f t="shared" ref="I196:I259" si="22">H196-G196</f>
        <v>0</v>
      </c>
      <c r="J196" s="67"/>
      <c r="L196" t="str">
        <f t="shared" ref="L196:L259" si="23">LEFT(E196,2)</f>
        <v/>
      </c>
      <c r="M196" t="str">
        <f t="shared" ref="M196:M259" si="24">LEFT(E196,3)</f>
        <v/>
      </c>
    </row>
    <row r="197" spans="1:13">
      <c r="A197" s="64" t="str">
        <f>IF(E197="","",VLOOKUP('OPĆI DIO'!$C$3,'OPĆI DIO'!$L$6:$U$138,10,FALSE))</f>
        <v/>
      </c>
      <c r="B197" s="64" t="str">
        <f>IF(E197="","",VLOOKUP('OPĆI DIO'!$C$3,'OPĆI DIO'!$L$6:$U$138,9,FALSE))</f>
        <v/>
      </c>
      <c r="C197" s="65" t="str">
        <f t="shared" si="19"/>
        <v/>
      </c>
      <c r="D197" s="66" t="str">
        <f t="shared" si="20"/>
        <v/>
      </c>
      <c r="E197" s="67"/>
      <c r="F197" s="68" t="str">
        <f t="shared" si="21"/>
        <v/>
      </c>
      <c r="G197" s="69"/>
      <c r="H197" s="69"/>
      <c r="I197" s="78">
        <f t="shared" si="22"/>
        <v>0</v>
      </c>
      <c r="J197" s="67"/>
      <c r="L197" t="str">
        <f t="shared" si="23"/>
        <v/>
      </c>
      <c r="M197" t="str">
        <f t="shared" si="24"/>
        <v/>
      </c>
    </row>
    <row r="198" spans="1:13">
      <c r="A198" s="64" t="str">
        <f>IF(E198="","",VLOOKUP('OPĆI DIO'!$C$3,'OPĆI DIO'!$L$6:$U$138,10,FALSE))</f>
        <v/>
      </c>
      <c r="B198" s="64" t="str">
        <f>IF(E198="","",VLOOKUP('OPĆI DIO'!$C$3,'OPĆI DIO'!$L$6:$U$138,9,FALSE))</f>
        <v/>
      </c>
      <c r="C198" s="65" t="str">
        <f t="shared" si="19"/>
        <v/>
      </c>
      <c r="D198" s="66" t="str">
        <f t="shared" si="20"/>
        <v/>
      </c>
      <c r="E198" s="67"/>
      <c r="F198" s="68" t="str">
        <f t="shared" si="21"/>
        <v/>
      </c>
      <c r="G198" s="69"/>
      <c r="H198" s="69"/>
      <c r="I198" s="78">
        <f t="shared" si="22"/>
        <v>0</v>
      </c>
      <c r="J198" s="67"/>
      <c r="L198" t="str">
        <f t="shared" si="23"/>
        <v/>
      </c>
      <c r="M198" t="str">
        <f t="shared" si="24"/>
        <v/>
      </c>
    </row>
    <row r="199" spans="1:13">
      <c r="A199" s="64" t="str">
        <f>IF(E199="","",VLOOKUP('OPĆI DIO'!$C$3,'OPĆI DIO'!$L$6:$U$138,10,FALSE))</f>
        <v/>
      </c>
      <c r="B199" s="64" t="str">
        <f>IF(E199="","",VLOOKUP('OPĆI DIO'!$C$3,'OPĆI DIO'!$L$6:$U$138,9,FALSE))</f>
        <v/>
      </c>
      <c r="C199" s="65" t="str">
        <f t="shared" si="19"/>
        <v/>
      </c>
      <c r="D199" s="66" t="str">
        <f t="shared" si="20"/>
        <v/>
      </c>
      <c r="E199" s="67"/>
      <c r="F199" s="68" t="str">
        <f t="shared" si="21"/>
        <v/>
      </c>
      <c r="G199" s="69"/>
      <c r="H199" s="69"/>
      <c r="I199" s="78">
        <f t="shared" si="22"/>
        <v>0</v>
      </c>
      <c r="J199" s="67"/>
      <c r="L199" t="str">
        <f t="shared" si="23"/>
        <v/>
      </c>
      <c r="M199" t="str">
        <f t="shared" si="24"/>
        <v/>
      </c>
    </row>
    <row r="200" spans="1:13">
      <c r="A200" s="64" t="str">
        <f>IF(E200="","",VLOOKUP('OPĆI DIO'!$C$3,'OPĆI DIO'!$L$6:$U$138,10,FALSE))</f>
        <v/>
      </c>
      <c r="B200" s="64" t="str">
        <f>IF(E200="","",VLOOKUP('OPĆI DIO'!$C$3,'OPĆI DIO'!$L$6:$U$138,9,FALSE))</f>
        <v/>
      </c>
      <c r="C200" s="65" t="str">
        <f t="shared" si="19"/>
        <v/>
      </c>
      <c r="D200" s="66" t="str">
        <f t="shared" si="20"/>
        <v/>
      </c>
      <c r="E200" s="67"/>
      <c r="F200" s="68" t="str">
        <f t="shared" si="21"/>
        <v/>
      </c>
      <c r="G200" s="69"/>
      <c r="H200" s="69"/>
      <c r="I200" s="78">
        <f t="shared" si="22"/>
        <v>0</v>
      </c>
      <c r="J200" s="67"/>
      <c r="L200" t="str">
        <f t="shared" si="23"/>
        <v/>
      </c>
      <c r="M200" t="str">
        <f t="shared" si="24"/>
        <v/>
      </c>
    </row>
    <row r="201" spans="1:13">
      <c r="A201" s="64" t="str">
        <f>IF(E201="","",VLOOKUP('OPĆI DIO'!$C$3,'OPĆI DIO'!$L$6:$U$138,10,FALSE))</f>
        <v/>
      </c>
      <c r="B201" s="64" t="str">
        <f>IF(E201="","",VLOOKUP('OPĆI DIO'!$C$3,'OPĆI DIO'!$L$6:$U$138,9,FALSE))</f>
        <v/>
      </c>
      <c r="C201" s="65" t="str">
        <f t="shared" si="19"/>
        <v/>
      </c>
      <c r="D201" s="66" t="str">
        <f t="shared" si="20"/>
        <v/>
      </c>
      <c r="E201" s="67"/>
      <c r="F201" s="68" t="str">
        <f t="shared" si="21"/>
        <v/>
      </c>
      <c r="G201" s="69"/>
      <c r="H201" s="69"/>
      <c r="I201" s="78">
        <f t="shared" si="22"/>
        <v>0</v>
      </c>
      <c r="J201" s="67"/>
      <c r="L201" t="str">
        <f t="shared" si="23"/>
        <v/>
      </c>
      <c r="M201" t="str">
        <f t="shared" si="24"/>
        <v/>
      </c>
    </row>
    <row r="202" spans="1:13">
      <c r="A202" s="64" t="str">
        <f>IF(E202="","",VLOOKUP('OPĆI DIO'!$C$3,'OPĆI DIO'!$L$6:$U$138,10,FALSE))</f>
        <v/>
      </c>
      <c r="B202" s="64" t="str">
        <f>IF(E202="","",VLOOKUP('OPĆI DIO'!$C$3,'OPĆI DIO'!$L$6:$U$138,9,FALSE))</f>
        <v/>
      </c>
      <c r="C202" s="65" t="str">
        <f t="shared" si="19"/>
        <v/>
      </c>
      <c r="D202" s="66" t="str">
        <f t="shared" si="20"/>
        <v/>
      </c>
      <c r="E202" s="67"/>
      <c r="F202" s="68" t="str">
        <f t="shared" si="21"/>
        <v/>
      </c>
      <c r="G202" s="69"/>
      <c r="H202" s="69"/>
      <c r="I202" s="78">
        <f t="shared" si="22"/>
        <v>0</v>
      </c>
      <c r="J202" s="67"/>
      <c r="L202" t="str">
        <f t="shared" si="23"/>
        <v/>
      </c>
      <c r="M202" t="str">
        <f t="shared" si="24"/>
        <v/>
      </c>
    </row>
    <row r="203" spans="1:13">
      <c r="A203" s="64" t="str">
        <f>IF(E203="","",VLOOKUP('OPĆI DIO'!$C$3,'OPĆI DIO'!$L$6:$U$138,10,FALSE))</f>
        <v/>
      </c>
      <c r="B203" s="64" t="str">
        <f>IF(E203="","",VLOOKUP('OPĆI DIO'!$C$3,'OPĆI DIO'!$L$6:$U$138,9,FALSE))</f>
        <v/>
      </c>
      <c r="C203" s="65" t="str">
        <f t="shared" si="19"/>
        <v/>
      </c>
      <c r="D203" s="66" t="str">
        <f t="shared" si="20"/>
        <v/>
      </c>
      <c r="E203" s="67"/>
      <c r="F203" s="68" t="str">
        <f t="shared" si="21"/>
        <v/>
      </c>
      <c r="G203" s="69"/>
      <c r="H203" s="69"/>
      <c r="I203" s="78">
        <f t="shared" si="22"/>
        <v>0</v>
      </c>
      <c r="J203" s="67"/>
      <c r="L203" t="str">
        <f t="shared" si="23"/>
        <v/>
      </c>
      <c r="M203" t="str">
        <f t="shared" si="24"/>
        <v/>
      </c>
    </row>
    <row r="204" spans="1:13">
      <c r="A204" s="64" t="str">
        <f>IF(E204="","",VLOOKUP('OPĆI DIO'!$C$3,'OPĆI DIO'!$L$6:$U$138,10,FALSE))</f>
        <v/>
      </c>
      <c r="B204" s="64" t="str">
        <f>IF(E204="","",VLOOKUP('OPĆI DIO'!$C$3,'OPĆI DIO'!$L$6:$U$138,9,FALSE))</f>
        <v/>
      </c>
      <c r="C204" s="65" t="str">
        <f t="shared" si="19"/>
        <v/>
      </c>
      <c r="D204" s="66" t="str">
        <f t="shared" si="20"/>
        <v/>
      </c>
      <c r="E204" s="67"/>
      <c r="F204" s="68" t="str">
        <f t="shared" si="21"/>
        <v/>
      </c>
      <c r="G204" s="69"/>
      <c r="H204" s="69"/>
      <c r="I204" s="78">
        <f t="shared" si="22"/>
        <v>0</v>
      </c>
      <c r="J204" s="67"/>
      <c r="L204" t="str">
        <f t="shared" si="23"/>
        <v/>
      </c>
      <c r="M204" t="str">
        <f t="shared" si="24"/>
        <v/>
      </c>
    </row>
    <row r="205" spans="1:13">
      <c r="A205" s="64" t="str">
        <f>IF(E205="","",VLOOKUP('OPĆI DIO'!$C$3,'OPĆI DIO'!$L$6:$U$138,10,FALSE))</f>
        <v/>
      </c>
      <c r="B205" s="64" t="str">
        <f>IF(E205="","",VLOOKUP('OPĆI DIO'!$C$3,'OPĆI DIO'!$L$6:$U$138,9,FALSE))</f>
        <v/>
      </c>
      <c r="C205" s="65" t="str">
        <f t="shared" si="19"/>
        <v/>
      </c>
      <c r="D205" s="66" t="str">
        <f t="shared" si="20"/>
        <v/>
      </c>
      <c r="E205" s="67"/>
      <c r="F205" s="68" t="str">
        <f t="shared" si="21"/>
        <v/>
      </c>
      <c r="G205" s="69"/>
      <c r="H205" s="69"/>
      <c r="I205" s="78">
        <f t="shared" si="22"/>
        <v>0</v>
      </c>
      <c r="J205" s="67"/>
      <c r="L205" t="str">
        <f t="shared" si="23"/>
        <v/>
      </c>
      <c r="M205" t="str">
        <f t="shared" si="24"/>
        <v/>
      </c>
    </row>
    <row r="206" spans="1:13">
      <c r="A206" s="64" t="str">
        <f>IF(E206="","",VLOOKUP('OPĆI DIO'!$C$3,'OPĆI DIO'!$L$6:$U$138,10,FALSE))</f>
        <v/>
      </c>
      <c r="B206" s="64" t="str">
        <f>IF(E206="","",VLOOKUP('OPĆI DIO'!$C$3,'OPĆI DIO'!$L$6:$U$138,9,FALSE))</f>
        <v/>
      </c>
      <c r="C206" s="65" t="str">
        <f t="shared" si="19"/>
        <v/>
      </c>
      <c r="D206" s="66" t="str">
        <f t="shared" si="20"/>
        <v/>
      </c>
      <c r="E206" s="67"/>
      <c r="F206" s="68" t="str">
        <f t="shared" si="21"/>
        <v/>
      </c>
      <c r="G206" s="69"/>
      <c r="H206" s="69"/>
      <c r="I206" s="78">
        <f t="shared" si="22"/>
        <v>0</v>
      </c>
      <c r="J206" s="67"/>
      <c r="L206" t="str">
        <f t="shared" si="23"/>
        <v/>
      </c>
      <c r="M206" t="str">
        <f t="shared" si="24"/>
        <v/>
      </c>
    </row>
    <row r="207" spans="1:13">
      <c r="A207" s="64" t="str">
        <f>IF(E207="","",VLOOKUP('OPĆI DIO'!$C$3,'OPĆI DIO'!$L$6:$U$138,10,FALSE))</f>
        <v/>
      </c>
      <c r="B207" s="64" t="str">
        <f>IF(E207="","",VLOOKUP('OPĆI DIO'!$C$3,'OPĆI DIO'!$L$6:$U$138,9,FALSE))</f>
        <v/>
      </c>
      <c r="C207" s="65" t="str">
        <f t="shared" si="19"/>
        <v/>
      </c>
      <c r="D207" s="66" t="str">
        <f t="shared" si="20"/>
        <v/>
      </c>
      <c r="E207" s="67"/>
      <c r="F207" s="68" t="str">
        <f t="shared" si="21"/>
        <v/>
      </c>
      <c r="G207" s="69"/>
      <c r="H207" s="69"/>
      <c r="I207" s="78">
        <f t="shared" si="22"/>
        <v>0</v>
      </c>
      <c r="J207" s="67"/>
      <c r="L207" t="str">
        <f t="shared" si="23"/>
        <v/>
      </c>
      <c r="M207" t="str">
        <f t="shared" si="24"/>
        <v/>
      </c>
    </row>
    <row r="208" spans="1:13">
      <c r="A208" s="64" t="str">
        <f>IF(E208="","",VLOOKUP('OPĆI DIO'!$C$3,'OPĆI DIO'!$L$6:$U$138,10,FALSE))</f>
        <v/>
      </c>
      <c r="B208" s="64" t="str">
        <f>IF(E208="","",VLOOKUP('OPĆI DIO'!$C$3,'OPĆI DIO'!$L$6:$U$138,9,FALSE))</f>
        <v/>
      </c>
      <c r="C208" s="65" t="str">
        <f t="shared" si="19"/>
        <v/>
      </c>
      <c r="D208" s="66" t="str">
        <f t="shared" si="20"/>
        <v/>
      </c>
      <c r="E208" s="67"/>
      <c r="F208" s="68" t="str">
        <f t="shared" si="21"/>
        <v/>
      </c>
      <c r="G208" s="69"/>
      <c r="H208" s="69"/>
      <c r="I208" s="78">
        <f t="shared" si="22"/>
        <v>0</v>
      </c>
      <c r="J208" s="67"/>
      <c r="L208" t="str">
        <f t="shared" si="23"/>
        <v/>
      </c>
      <c r="M208" t="str">
        <f t="shared" si="24"/>
        <v/>
      </c>
    </row>
    <row r="209" spans="1:13">
      <c r="A209" s="64" t="str">
        <f>IF(E209="","",VLOOKUP('OPĆI DIO'!$C$3,'OPĆI DIO'!$L$6:$U$138,10,FALSE))</f>
        <v/>
      </c>
      <c r="B209" s="64" t="str">
        <f>IF(E209="","",VLOOKUP('OPĆI DIO'!$C$3,'OPĆI DIO'!$L$6:$U$138,9,FALSE))</f>
        <v/>
      </c>
      <c r="C209" s="65" t="str">
        <f t="shared" si="19"/>
        <v/>
      </c>
      <c r="D209" s="66" t="str">
        <f t="shared" si="20"/>
        <v/>
      </c>
      <c r="E209" s="67"/>
      <c r="F209" s="68" t="str">
        <f t="shared" si="21"/>
        <v/>
      </c>
      <c r="G209" s="69"/>
      <c r="H209" s="69"/>
      <c r="I209" s="78">
        <f t="shared" si="22"/>
        <v>0</v>
      </c>
      <c r="J209" s="67"/>
      <c r="L209" t="str">
        <f t="shared" si="23"/>
        <v/>
      </c>
      <c r="M209" t="str">
        <f t="shared" si="24"/>
        <v/>
      </c>
    </row>
    <row r="210" spans="1:13">
      <c r="A210" s="64" t="str">
        <f>IF(E210="","",VLOOKUP('OPĆI DIO'!$C$3,'OPĆI DIO'!$L$6:$U$138,10,FALSE))</f>
        <v/>
      </c>
      <c r="B210" s="64" t="str">
        <f>IF(E210="","",VLOOKUP('OPĆI DIO'!$C$3,'OPĆI DIO'!$L$6:$U$138,9,FALSE))</f>
        <v/>
      </c>
      <c r="C210" s="65" t="str">
        <f t="shared" si="19"/>
        <v/>
      </c>
      <c r="D210" s="66" t="str">
        <f t="shared" si="20"/>
        <v/>
      </c>
      <c r="E210" s="67"/>
      <c r="F210" s="68" t="str">
        <f t="shared" si="21"/>
        <v/>
      </c>
      <c r="G210" s="69"/>
      <c r="H210" s="69"/>
      <c r="I210" s="78">
        <f t="shared" si="22"/>
        <v>0</v>
      </c>
      <c r="J210" s="67"/>
      <c r="L210" t="str">
        <f t="shared" si="23"/>
        <v/>
      </c>
      <c r="M210" t="str">
        <f t="shared" si="24"/>
        <v/>
      </c>
    </row>
    <row r="211" spans="1:13">
      <c r="A211" s="64" t="str">
        <f>IF(E211="","",VLOOKUP('OPĆI DIO'!$C$3,'OPĆI DIO'!$L$6:$U$138,10,FALSE))</f>
        <v/>
      </c>
      <c r="B211" s="64" t="str">
        <f>IF(E211="","",VLOOKUP('OPĆI DIO'!$C$3,'OPĆI DIO'!$L$6:$U$138,9,FALSE))</f>
        <v/>
      </c>
      <c r="C211" s="65" t="str">
        <f t="shared" si="19"/>
        <v/>
      </c>
      <c r="D211" s="66" t="str">
        <f t="shared" si="20"/>
        <v/>
      </c>
      <c r="E211" s="67"/>
      <c r="F211" s="68" t="str">
        <f t="shared" si="21"/>
        <v/>
      </c>
      <c r="G211" s="69"/>
      <c r="H211" s="69"/>
      <c r="I211" s="78">
        <f t="shared" si="22"/>
        <v>0</v>
      </c>
      <c r="J211" s="67"/>
      <c r="L211" t="str">
        <f t="shared" si="23"/>
        <v/>
      </c>
      <c r="M211" t="str">
        <f t="shared" si="24"/>
        <v/>
      </c>
    </row>
    <row r="212" spans="1:13">
      <c r="A212" s="64" t="str">
        <f>IF(E212="","",VLOOKUP('OPĆI DIO'!$C$3,'OPĆI DIO'!$L$6:$U$138,10,FALSE))</f>
        <v/>
      </c>
      <c r="B212" s="64" t="str">
        <f>IF(E212="","",VLOOKUP('OPĆI DIO'!$C$3,'OPĆI DIO'!$L$6:$U$138,9,FALSE))</f>
        <v/>
      </c>
      <c r="C212" s="65" t="str">
        <f t="shared" si="19"/>
        <v/>
      </c>
      <c r="D212" s="66" t="str">
        <f t="shared" si="20"/>
        <v/>
      </c>
      <c r="E212" s="67"/>
      <c r="F212" s="68" t="str">
        <f t="shared" si="21"/>
        <v/>
      </c>
      <c r="G212" s="69"/>
      <c r="H212" s="69"/>
      <c r="I212" s="78">
        <f t="shared" si="22"/>
        <v>0</v>
      </c>
      <c r="J212" s="67"/>
      <c r="L212" t="str">
        <f t="shared" si="23"/>
        <v/>
      </c>
      <c r="M212" t="str">
        <f t="shared" si="24"/>
        <v/>
      </c>
    </row>
    <row r="213" spans="1:13">
      <c r="A213" s="64" t="str">
        <f>IF(E213="","",VLOOKUP('OPĆI DIO'!$C$3,'OPĆI DIO'!$L$6:$U$138,10,FALSE))</f>
        <v/>
      </c>
      <c r="B213" s="64" t="str">
        <f>IF(E213="","",VLOOKUP('OPĆI DIO'!$C$3,'OPĆI DIO'!$L$6:$U$138,9,FALSE))</f>
        <v/>
      </c>
      <c r="C213" s="65" t="str">
        <f t="shared" si="19"/>
        <v/>
      </c>
      <c r="D213" s="66" t="str">
        <f t="shared" si="20"/>
        <v/>
      </c>
      <c r="E213" s="67"/>
      <c r="F213" s="68" t="str">
        <f t="shared" si="21"/>
        <v/>
      </c>
      <c r="G213" s="69"/>
      <c r="H213" s="69"/>
      <c r="I213" s="78">
        <f t="shared" si="22"/>
        <v>0</v>
      </c>
      <c r="J213" s="67"/>
      <c r="L213" t="str">
        <f t="shared" si="23"/>
        <v/>
      </c>
      <c r="M213" t="str">
        <f t="shared" si="24"/>
        <v/>
      </c>
    </row>
    <row r="214" spans="1:13">
      <c r="A214" s="64" t="str">
        <f>IF(E214="","",VLOOKUP('OPĆI DIO'!$C$3,'OPĆI DIO'!$L$6:$U$138,10,FALSE))</f>
        <v/>
      </c>
      <c r="B214" s="64" t="str">
        <f>IF(E214="","",VLOOKUP('OPĆI DIO'!$C$3,'OPĆI DIO'!$L$6:$U$138,9,FALSE))</f>
        <v/>
      </c>
      <c r="C214" s="65" t="str">
        <f t="shared" si="19"/>
        <v/>
      </c>
      <c r="D214" s="66" t="str">
        <f t="shared" si="20"/>
        <v/>
      </c>
      <c r="E214" s="67"/>
      <c r="F214" s="68" t="str">
        <f t="shared" si="21"/>
        <v/>
      </c>
      <c r="G214" s="69"/>
      <c r="H214" s="69"/>
      <c r="I214" s="78">
        <f t="shared" si="22"/>
        <v>0</v>
      </c>
      <c r="J214" s="67"/>
      <c r="L214" t="str">
        <f t="shared" si="23"/>
        <v/>
      </c>
      <c r="M214" t="str">
        <f t="shared" si="24"/>
        <v/>
      </c>
    </row>
    <row r="215" spans="1:13">
      <c r="A215" s="64" t="str">
        <f>IF(E215="","",VLOOKUP('OPĆI DIO'!$C$3,'OPĆI DIO'!$L$6:$U$138,10,FALSE))</f>
        <v/>
      </c>
      <c r="B215" s="64" t="str">
        <f>IF(E215="","",VLOOKUP('OPĆI DIO'!$C$3,'OPĆI DIO'!$L$6:$U$138,9,FALSE))</f>
        <v/>
      </c>
      <c r="C215" s="65" t="str">
        <f t="shared" si="19"/>
        <v/>
      </c>
      <c r="D215" s="66" t="str">
        <f t="shared" si="20"/>
        <v/>
      </c>
      <c r="E215" s="67"/>
      <c r="F215" s="68" t="str">
        <f t="shared" si="21"/>
        <v/>
      </c>
      <c r="G215" s="69"/>
      <c r="H215" s="69"/>
      <c r="I215" s="78">
        <f t="shared" si="22"/>
        <v>0</v>
      </c>
      <c r="J215" s="67"/>
      <c r="L215" t="str">
        <f t="shared" si="23"/>
        <v/>
      </c>
      <c r="M215" t="str">
        <f t="shared" si="24"/>
        <v/>
      </c>
    </row>
    <row r="216" spans="1:13">
      <c r="A216" s="64" t="str">
        <f>IF(E216="","",VLOOKUP('OPĆI DIO'!$C$3,'OPĆI DIO'!$L$6:$U$138,10,FALSE))</f>
        <v/>
      </c>
      <c r="B216" s="64" t="str">
        <f>IF(E216="","",VLOOKUP('OPĆI DIO'!$C$3,'OPĆI DIO'!$L$6:$U$138,9,FALSE))</f>
        <v/>
      </c>
      <c r="C216" s="65" t="str">
        <f t="shared" si="19"/>
        <v/>
      </c>
      <c r="D216" s="66" t="str">
        <f t="shared" si="20"/>
        <v/>
      </c>
      <c r="E216" s="67"/>
      <c r="F216" s="68" t="str">
        <f t="shared" si="21"/>
        <v/>
      </c>
      <c r="G216" s="69"/>
      <c r="H216" s="69"/>
      <c r="I216" s="78">
        <f t="shared" si="22"/>
        <v>0</v>
      </c>
      <c r="J216" s="67"/>
      <c r="L216" t="str">
        <f t="shared" si="23"/>
        <v/>
      </c>
      <c r="M216" t="str">
        <f t="shared" si="24"/>
        <v/>
      </c>
    </row>
    <row r="217" spans="1:13">
      <c r="A217" s="64" t="str">
        <f>IF(E217="","",VLOOKUP('OPĆI DIO'!$C$3,'OPĆI DIO'!$L$6:$U$138,10,FALSE))</f>
        <v/>
      </c>
      <c r="B217" s="64" t="str">
        <f>IF(E217="","",VLOOKUP('OPĆI DIO'!$C$3,'OPĆI DIO'!$L$6:$U$138,9,FALSE))</f>
        <v/>
      </c>
      <c r="C217" s="65" t="str">
        <f t="shared" si="19"/>
        <v/>
      </c>
      <c r="D217" s="66" t="str">
        <f t="shared" si="20"/>
        <v/>
      </c>
      <c r="E217" s="67"/>
      <c r="F217" s="68" t="str">
        <f t="shared" si="21"/>
        <v/>
      </c>
      <c r="G217" s="69"/>
      <c r="H217" s="69"/>
      <c r="I217" s="78">
        <f t="shared" si="22"/>
        <v>0</v>
      </c>
      <c r="J217" s="67"/>
      <c r="L217" t="str">
        <f t="shared" si="23"/>
        <v/>
      </c>
      <c r="M217" t="str">
        <f t="shared" si="24"/>
        <v/>
      </c>
    </row>
    <row r="218" spans="1:13">
      <c r="A218" s="64" t="str">
        <f>IF(E218="","",VLOOKUP('OPĆI DIO'!$C$3,'OPĆI DIO'!$L$6:$U$138,10,FALSE))</f>
        <v/>
      </c>
      <c r="B218" s="64" t="str">
        <f>IF(E218="","",VLOOKUP('OPĆI DIO'!$C$3,'OPĆI DIO'!$L$6:$U$138,9,FALSE))</f>
        <v/>
      </c>
      <c r="C218" s="65" t="str">
        <f t="shared" si="19"/>
        <v/>
      </c>
      <c r="D218" s="66" t="str">
        <f t="shared" si="20"/>
        <v/>
      </c>
      <c r="E218" s="67"/>
      <c r="F218" s="68" t="str">
        <f t="shared" si="21"/>
        <v/>
      </c>
      <c r="G218" s="69"/>
      <c r="H218" s="69"/>
      <c r="I218" s="78">
        <f t="shared" si="22"/>
        <v>0</v>
      </c>
      <c r="J218" s="67"/>
      <c r="L218" t="str">
        <f t="shared" si="23"/>
        <v/>
      </c>
      <c r="M218" t="str">
        <f t="shared" si="24"/>
        <v/>
      </c>
    </row>
    <row r="219" spans="1:13">
      <c r="A219" s="64" t="str">
        <f>IF(E219="","",VLOOKUP('OPĆI DIO'!$C$3,'OPĆI DIO'!$L$6:$U$138,10,FALSE))</f>
        <v/>
      </c>
      <c r="B219" s="64" t="str">
        <f>IF(E219="","",VLOOKUP('OPĆI DIO'!$C$3,'OPĆI DIO'!$L$6:$U$138,9,FALSE))</f>
        <v/>
      </c>
      <c r="C219" s="65" t="str">
        <f t="shared" si="19"/>
        <v/>
      </c>
      <c r="D219" s="66" t="str">
        <f t="shared" si="20"/>
        <v/>
      </c>
      <c r="E219" s="67"/>
      <c r="F219" s="68" t="str">
        <f t="shared" si="21"/>
        <v/>
      </c>
      <c r="G219" s="69"/>
      <c r="H219" s="69"/>
      <c r="I219" s="78">
        <f t="shared" si="22"/>
        <v>0</v>
      </c>
      <c r="J219" s="67"/>
      <c r="L219" t="str">
        <f t="shared" si="23"/>
        <v/>
      </c>
      <c r="M219" t="str">
        <f t="shared" si="24"/>
        <v/>
      </c>
    </row>
    <row r="220" spans="1:13">
      <c r="A220" s="64" t="str">
        <f>IF(E220="","",VLOOKUP('OPĆI DIO'!$C$3,'OPĆI DIO'!$L$6:$U$138,10,FALSE))</f>
        <v/>
      </c>
      <c r="B220" s="64" t="str">
        <f>IF(E220="","",VLOOKUP('OPĆI DIO'!$C$3,'OPĆI DIO'!$L$6:$U$138,9,FALSE))</f>
        <v/>
      </c>
      <c r="C220" s="65" t="str">
        <f t="shared" si="19"/>
        <v/>
      </c>
      <c r="D220" s="66" t="str">
        <f t="shared" si="20"/>
        <v/>
      </c>
      <c r="E220" s="67"/>
      <c r="F220" s="68" t="str">
        <f t="shared" si="21"/>
        <v/>
      </c>
      <c r="G220" s="69"/>
      <c r="H220" s="69"/>
      <c r="I220" s="78">
        <f t="shared" si="22"/>
        <v>0</v>
      </c>
      <c r="J220" s="67"/>
      <c r="L220" t="str">
        <f t="shared" si="23"/>
        <v/>
      </c>
      <c r="M220" t="str">
        <f t="shared" si="24"/>
        <v/>
      </c>
    </row>
    <row r="221" spans="1:13">
      <c r="A221" s="64" t="str">
        <f>IF(E221="","",VLOOKUP('OPĆI DIO'!$C$3,'OPĆI DIO'!$L$6:$U$138,10,FALSE))</f>
        <v/>
      </c>
      <c r="B221" s="64" t="str">
        <f>IF(E221="","",VLOOKUP('OPĆI DIO'!$C$3,'OPĆI DIO'!$L$6:$U$138,9,FALSE))</f>
        <v/>
      </c>
      <c r="C221" s="65" t="str">
        <f t="shared" si="19"/>
        <v/>
      </c>
      <c r="D221" s="66" t="str">
        <f t="shared" si="20"/>
        <v/>
      </c>
      <c r="E221" s="67"/>
      <c r="F221" s="68" t="str">
        <f t="shared" si="21"/>
        <v/>
      </c>
      <c r="G221" s="69"/>
      <c r="H221" s="69"/>
      <c r="I221" s="78">
        <f t="shared" si="22"/>
        <v>0</v>
      </c>
      <c r="J221" s="67"/>
      <c r="L221" t="str">
        <f t="shared" si="23"/>
        <v/>
      </c>
      <c r="M221" t="str">
        <f t="shared" si="24"/>
        <v/>
      </c>
    </row>
    <row r="222" spans="1:13">
      <c r="A222" s="64" t="str">
        <f>IF(E222="","",VLOOKUP('OPĆI DIO'!$C$3,'OPĆI DIO'!$L$6:$U$138,10,FALSE))</f>
        <v/>
      </c>
      <c r="B222" s="64" t="str">
        <f>IF(E222="","",VLOOKUP('OPĆI DIO'!$C$3,'OPĆI DIO'!$L$6:$U$138,9,FALSE))</f>
        <v/>
      </c>
      <c r="C222" s="65" t="str">
        <f t="shared" si="19"/>
        <v/>
      </c>
      <c r="D222" s="66" t="str">
        <f t="shared" si="20"/>
        <v/>
      </c>
      <c r="E222" s="67"/>
      <c r="F222" s="68" t="str">
        <f t="shared" si="21"/>
        <v/>
      </c>
      <c r="G222" s="69"/>
      <c r="H222" s="69"/>
      <c r="I222" s="78">
        <f t="shared" si="22"/>
        <v>0</v>
      </c>
      <c r="J222" s="67"/>
      <c r="L222" t="str">
        <f t="shared" si="23"/>
        <v/>
      </c>
      <c r="M222" t="str">
        <f t="shared" si="24"/>
        <v/>
      </c>
    </row>
    <row r="223" spans="1:13">
      <c r="A223" s="64" t="str">
        <f>IF(E223="","",VLOOKUP('OPĆI DIO'!$C$3,'OPĆI DIO'!$L$6:$U$138,10,FALSE))</f>
        <v/>
      </c>
      <c r="B223" s="64" t="str">
        <f>IF(E223="","",VLOOKUP('OPĆI DIO'!$C$3,'OPĆI DIO'!$L$6:$U$138,9,FALSE))</f>
        <v/>
      </c>
      <c r="C223" s="65" t="str">
        <f t="shared" si="19"/>
        <v/>
      </c>
      <c r="D223" s="66" t="str">
        <f t="shared" si="20"/>
        <v/>
      </c>
      <c r="E223" s="67"/>
      <c r="F223" s="68" t="str">
        <f t="shared" si="21"/>
        <v/>
      </c>
      <c r="G223" s="69"/>
      <c r="H223" s="69"/>
      <c r="I223" s="78">
        <f t="shared" si="22"/>
        <v>0</v>
      </c>
      <c r="J223" s="67"/>
      <c r="L223" t="str">
        <f t="shared" si="23"/>
        <v/>
      </c>
      <c r="M223" t="str">
        <f t="shared" si="24"/>
        <v/>
      </c>
    </row>
    <row r="224" spans="1:13">
      <c r="A224" s="64" t="str">
        <f>IF(E224="","",VLOOKUP('OPĆI DIO'!$C$3,'OPĆI DIO'!$L$6:$U$138,10,FALSE))</f>
        <v/>
      </c>
      <c r="B224" s="64" t="str">
        <f>IF(E224="","",VLOOKUP('OPĆI DIO'!$C$3,'OPĆI DIO'!$L$6:$U$138,9,FALSE))</f>
        <v/>
      </c>
      <c r="C224" s="65" t="str">
        <f t="shared" si="19"/>
        <v/>
      </c>
      <c r="D224" s="66" t="str">
        <f t="shared" si="20"/>
        <v/>
      </c>
      <c r="E224" s="67"/>
      <c r="F224" s="68" t="str">
        <f t="shared" si="21"/>
        <v/>
      </c>
      <c r="G224" s="69"/>
      <c r="H224" s="69"/>
      <c r="I224" s="78">
        <f t="shared" si="22"/>
        <v>0</v>
      </c>
      <c r="J224" s="67"/>
      <c r="L224" t="str">
        <f t="shared" si="23"/>
        <v/>
      </c>
      <c r="M224" t="str">
        <f t="shared" si="24"/>
        <v/>
      </c>
    </row>
    <row r="225" spans="1:13">
      <c r="A225" s="64" t="str">
        <f>IF(E225="","",VLOOKUP('OPĆI DIO'!$C$3,'OPĆI DIO'!$L$6:$U$138,10,FALSE))</f>
        <v/>
      </c>
      <c r="B225" s="64" t="str">
        <f>IF(E225="","",VLOOKUP('OPĆI DIO'!$C$3,'OPĆI DIO'!$L$6:$U$138,9,FALSE))</f>
        <v/>
      </c>
      <c r="C225" s="65" t="str">
        <f t="shared" si="19"/>
        <v/>
      </c>
      <c r="D225" s="66" t="str">
        <f t="shared" si="20"/>
        <v/>
      </c>
      <c r="E225" s="67"/>
      <c r="F225" s="68" t="str">
        <f t="shared" si="21"/>
        <v/>
      </c>
      <c r="G225" s="69"/>
      <c r="H225" s="69"/>
      <c r="I225" s="78">
        <f t="shared" si="22"/>
        <v>0</v>
      </c>
      <c r="J225" s="67"/>
      <c r="L225" t="str">
        <f t="shared" si="23"/>
        <v/>
      </c>
      <c r="M225" t="str">
        <f t="shared" si="24"/>
        <v/>
      </c>
    </row>
    <row r="226" spans="1:13">
      <c r="A226" s="64" t="str">
        <f>IF(E226="","",VLOOKUP('OPĆI DIO'!$C$3,'OPĆI DIO'!$L$6:$U$138,10,FALSE))</f>
        <v/>
      </c>
      <c r="B226" s="64" t="str">
        <f>IF(E226="","",VLOOKUP('OPĆI DIO'!$C$3,'OPĆI DIO'!$L$6:$U$138,9,FALSE))</f>
        <v/>
      </c>
      <c r="C226" s="65" t="str">
        <f t="shared" si="19"/>
        <v/>
      </c>
      <c r="D226" s="66" t="str">
        <f t="shared" si="20"/>
        <v/>
      </c>
      <c r="E226" s="67"/>
      <c r="F226" s="68" t="str">
        <f t="shared" si="21"/>
        <v/>
      </c>
      <c r="G226" s="69"/>
      <c r="H226" s="69"/>
      <c r="I226" s="78">
        <f t="shared" si="22"/>
        <v>0</v>
      </c>
      <c r="J226" s="67"/>
      <c r="L226" t="str">
        <f t="shared" si="23"/>
        <v/>
      </c>
      <c r="M226" t="str">
        <f t="shared" si="24"/>
        <v/>
      </c>
    </row>
    <row r="227" spans="1:13">
      <c r="A227" s="64" t="str">
        <f>IF(E227="","",VLOOKUP('OPĆI DIO'!$C$3,'OPĆI DIO'!$L$6:$U$138,10,FALSE))</f>
        <v/>
      </c>
      <c r="B227" s="64" t="str">
        <f>IF(E227="","",VLOOKUP('OPĆI DIO'!$C$3,'OPĆI DIO'!$L$6:$U$138,9,FALSE))</f>
        <v/>
      </c>
      <c r="C227" s="65" t="str">
        <f t="shared" si="19"/>
        <v/>
      </c>
      <c r="D227" s="66" t="str">
        <f t="shared" si="20"/>
        <v/>
      </c>
      <c r="E227" s="67"/>
      <c r="F227" s="68" t="str">
        <f t="shared" si="21"/>
        <v/>
      </c>
      <c r="G227" s="69"/>
      <c r="H227" s="69"/>
      <c r="I227" s="78">
        <f t="shared" si="22"/>
        <v>0</v>
      </c>
      <c r="J227" s="67"/>
      <c r="L227" t="str">
        <f t="shared" si="23"/>
        <v/>
      </c>
      <c r="M227" t="str">
        <f t="shared" si="24"/>
        <v/>
      </c>
    </row>
    <row r="228" spans="1:13">
      <c r="A228" s="64" t="str">
        <f>IF(E228="","",VLOOKUP('OPĆI DIO'!$C$3,'OPĆI DIO'!$L$6:$U$138,10,FALSE))</f>
        <v/>
      </c>
      <c r="B228" s="64" t="str">
        <f>IF(E228="","",VLOOKUP('OPĆI DIO'!$C$3,'OPĆI DIO'!$L$6:$U$138,9,FALSE))</f>
        <v/>
      </c>
      <c r="C228" s="65" t="str">
        <f t="shared" si="19"/>
        <v/>
      </c>
      <c r="D228" s="66" t="str">
        <f t="shared" si="20"/>
        <v/>
      </c>
      <c r="E228" s="67"/>
      <c r="F228" s="68" t="str">
        <f t="shared" si="21"/>
        <v/>
      </c>
      <c r="G228" s="69"/>
      <c r="H228" s="69"/>
      <c r="I228" s="78">
        <f t="shared" si="22"/>
        <v>0</v>
      </c>
      <c r="J228" s="67"/>
      <c r="L228" t="str">
        <f t="shared" si="23"/>
        <v/>
      </c>
      <c r="M228" t="str">
        <f t="shared" si="24"/>
        <v/>
      </c>
    </row>
    <row r="229" spans="1:13">
      <c r="A229" s="64" t="str">
        <f>IF(E229="","",VLOOKUP('OPĆI DIO'!$C$3,'OPĆI DIO'!$L$6:$U$138,10,FALSE))</f>
        <v/>
      </c>
      <c r="B229" s="64" t="str">
        <f>IF(E229="","",VLOOKUP('OPĆI DIO'!$C$3,'OPĆI DIO'!$L$6:$U$138,9,FALSE))</f>
        <v/>
      </c>
      <c r="C229" s="65" t="str">
        <f t="shared" si="19"/>
        <v/>
      </c>
      <c r="D229" s="66" t="str">
        <f t="shared" si="20"/>
        <v/>
      </c>
      <c r="E229" s="67"/>
      <c r="F229" s="68" t="str">
        <f t="shared" si="21"/>
        <v/>
      </c>
      <c r="G229" s="69"/>
      <c r="H229" s="69"/>
      <c r="I229" s="78">
        <f t="shared" si="22"/>
        <v>0</v>
      </c>
      <c r="J229" s="67"/>
      <c r="L229" t="str">
        <f t="shared" si="23"/>
        <v/>
      </c>
      <c r="M229" t="str">
        <f t="shared" si="24"/>
        <v/>
      </c>
    </row>
    <row r="230" spans="1:13">
      <c r="A230" s="64" t="str">
        <f>IF(E230="","",VLOOKUP('OPĆI DIO'!$C$3,'OPĆI DIO'!$L$6:$U$138,10,FALSE))</f>
        <v/>
      </c>
      <c r="B230" s="64" t="str">
        <f>IF(E230="","",VLOOKUP('OPĆI DIO'!$C$3,'OPĆI DIO'!$L$6:$U$138,9,FALSE))</f>
        <v/>
      </c>
      <c r="C230" s="65" t="str">
        <f t="shared" si="19"/>
        <v/>
      </c>
      <c r="D230" s="66" t="str">
        <f t="shared" si="20"/>
        <v/>
      </c>
      <c r="E230" s="67"/>
      <c r="F230" s="68" t="str">
        <f t="shared" si="21"/>
        <v/>
      </c>
      <c r="G230" s="69"/>
      <c r="H230" s="69"/>
      <c r="I230" s="78">
        <f t="shared" si="22"/>
        <v>0</v>
      </c>
      <c r="J230" s="67"/>
      <c r="L230" t="str">
        <f t="shared" si="23"/>
        <v/>
      </c>
      <c r="M230" t="str">
        <f t="shared" si="24"/>
        <v/>
      </c>
    </row>
    <row r="231" spans="1:13">
      <c r="A231" s="64" t="str">
        <f>IF(E231="","",VLOOKUP('OPĆI DIO'!$C$3,'OPĆI DIO'!$L$6:$U$138,10,FALSE))</f>
        <v/>
      </c>
      <c r="B231" s="64" t="str">
        <f>IF(E231="","",VLOOKUP('OPĆI DIO'!$C$3,'OPĆI DIO'!$L$6:$U$138,9,FALSE))</f>
        <v/>
      </c>
      <c r="C231" s="65" t="str">
        <f t="shared" ref="C231:C294" si="25">IFERROR(VLOOKUP(E231,$R$6:$U$109,3,FALSE),"")</f>
        <v/>
      </c>
      <c r="D231" s="66" t="str">
        <f t="shared" ref="D231:D294" si="26">IFERROR(VLOOKUP(E231,$R$6:$U$109,4,FALSE),"")</f>
        <v/>
      </c>
      <c r="E231" s="67"/>
      <c r="F231" s="68" t="str">
        <f t="shared" ref="F231:F294" si="27">IFERROR(VLOOKUP(E231,$R$6:$U$109,2,FALSE),"")</f>
        <v/>
      </c>
      <c r="G231" s="69"/>
      <c r="H231" s="69"/>
      <c r="I231" s="78">
        <f t="shared" si="22"/>
        <v>0</v>
      </c>
      <c r="J231" s="67"/>
      <c r="L231" t="str">
        <f t="shared" si="23"/>
        <v/>
      </c>
      <c r="M231" t="str">
        <f t="shared" si="24"/>
        <v/>
      </c>
    </row>
    <row r="232" spans="1:13">
      <c r="A232" s="64" t="str">
        <f>IF(E232="","",VLOOKUP('OPĆI DIO'!$C$3,'OPĆI DIO'!$L$6:$U$138,10,FALSE))</f>
        <v/>
      </c>
      <c r="B232" s="64" t="str">
        <f>IF(E232="","",VLOOKUP('OPĆI DIO'!$C$3,'OPĆI DIO'!$L$6:$U$138,9,FALSE))</f>
        <v/>
      </c>
      <c r="C232" s="65" t="str">
        <f t="shared" si="25"/>
        <v/>
      </c>
      <c r="D232" s="66" t="str">
        <f t="shared" si="26"/>
        <v/>
      </c>
      <c r="E232" s="67"/>
      <c r="F232" s="68" t="str">
        <f t="shared" si="27"/>
        <v/>
      </c>
      <c r="G232" s="69"/>
      <c r="H232" s="69"/>
      <c r="I232" s="78">
        <f t="shared" si="22"/>
        <v>0</v>
      </c>
      <c r="J232" s="67"/>
      <c r="L232" t="str">
        <f t="shared" si="23"/>
        <v/>
      </c>
      <c r="M232" t="str">
        <f t="shared" si="24"/>
        <v/>
      </c>
    </row>
    <row r="233" spans="1:13">
      <c r="A233" s="64" t="str">
        <f>IF(E233="","",VLOOKUP('OPĆI DIO'!$C$3,'OPĆI DIO'!$L$6:$U$138,10,FALSE))</f>
        <v/>
      </c>
      <c r="B233" s="64" t="str">
        <f>IF(E233="","",VLOOKUP('OPĆI DIO'!$C$3,'OPĆI DIO'!$L$6:$U$138,9,FALSE))</f>
        <v/>
      </c>
      <c r="C233" s="65" t="str">
        <f t="shared" si="25"/>
        <v/>
      </c>
      <c r="D233" s="66" t="str">
        <f t="shared" si="26"/>
        <v/>
      </c>
      <c r="E233" s="67"/>
      <c r="F233" s="68" t="str">
        <f t="shared" si="27"/>
        <v/>
      </c>
      <c r="G233" s="69"/>
      <c r="H233" s="69"/>
      <c r="I233" s="78">
        <f t="shared" si="22"/>
        <v>0</v>
      </c>
      <c r="J233" s="67"/>
      <c r="L233" t="str">
        <f t="shared" si="23"/>
        <v/>
      </c>
      <c r="M233" t="str">
        <f t="shared" si="24"/>
        <v/>
      </c>
    </row>
    <row r="234" spans="1:13">
      <c r="A234" s="64" t="str">
        <f>IF(E234="","",VLOOKUP('OPĆI DIO'!$C$3,'OPĆI DIO'!$L$6:$U$138,10,FALSE))</f>
        <v/>
      </c>
      <c r="B234" s="64" t="str">
        <f>IF(E234="","",VLOOKUP('OPĆI DIO'!$C$3,'OPĆI DIO'!$L$6:$U$138,9,FALSE))</f>
        <v/>
      </c>
      <c r="C234" s="65" t="str">
        <f t="shared" si="25"/>
        <v/>
      </c>
      <c r="D234" s="66" t="str">
        <f t="shared" si="26"/>
        <v/>
      </c>
      <c r="E234" s="67"/>
      <c r="F234" s="68" t="str">
        <f t="shared" si="27"/>
        <v/>
      </c>
      <c r="G234" s="69"/>
      <c r="H234" s="69"/>
      <c r="I234" s="78">
        <f t="shared" si="22"/>
        <v>0</v>
      </c>
      <c r="J234" s="67"/>
      <c r="L234" t="str">
        <f t="shared" si="23"/>
        <v/>
      </c>
      <c r="M234" t="str">
        <f t="shared" si="24"/>
        <v/>
      </c>
    </row>
    <row r="235" spans="1:13">
      <c r="A235" s="64" t="str">
        <f>IF(E235="","",VLOOKUP('OPĆI DIO'!$C$3,'OPĆI DIO'!$L$6:$U$138,10,FALSE))</f>
        <v/>
      </c>
      <c r="B235" s="64" t="str">
        <f>IF(E235="","",VLOOKUP('OPĆI DIO'!$C$3,'OPĆI DIO'!$L$6:$U$138,9,FALSE))</f>
        <v/>
      </c>
      <c r="C235" s="65" t="str">
        <f t="shared" si="25"/>
        <v/>
      </c>
      <c r="D235" s="66" t="str">
        <f t="shared" si="26"/>
        <v/>
      </c>
      <c r="E235" s="67"/>
      <c r="F235" s="68" t="str">
        <f t="shared" si="27"/>
        <v/>
      </c>
      <c r="G235" s="69"/>
      <c r="H235" s="69"/>
      <c r="I235" s="78">
        <f t="shared" si="22"/>
        <v>0</v>
      </c>
      <c r="J235" s="67"/>
      <c r="L235" t="str">
        <f t="shared" si="23"/>
        <v/>
      </c>
      <c r="M235" t="str">
        <f t="shared" si="24"/>
        <v/>
      </c>
    </row>
    <row r="236" spans="1:13">
      <c r="A236" s="64" t="str">
        <f>IF(E236="","",VLOOKUP('OPĆI DIO'!$C$3,'OPĆI DIO'!$L$6:$U$138,10,FALSE))</f>
        <v/>
      </c>
      <c r="B236" s="64" t="str">
        <f>IF(E236="","",VLOOKUP('OPĆI DIO'!$C$3,'OPĆI DIO'!$L$6:$U$138,9,FALSE))</f>
        <v/>
      </c>
      <c r="C236" s="65" t="str">
        <f t="shared" si="25"/>
        <v/>
      </c>
      <c r="D236" s="66" t="str">
        <f t="shared" si="26"/>
        <v/>
      </c>
      <c r="E236" s="67"/>
      <c r="F236" s="68" t="str">
        <f t="shared" si="27"/>
        <v/>
      </c>
      <c r="G236" s="69"/>
      <c r="H236" s="69"/>
      <c r="I236" s="78">
        <f t="shared" si="22"/>
        <v>0</v>
      </c>
      <c r="J236" s="67"/>
      <c r="L236" t="str">
        <f t="shared" si="23"/>
        <v/>
      </c>
      <c r="M236" t="str">
        <f t="shared" si="24"/>
        <v/>
      </c>
    </row>
    <row r="237" spans="1:13">
      <c r="A237" s="64" t="str">
        <f>IF(E237="","",VLOOKUP('OPĆI DIO'!$C$3,'OPĆI DIO'!$L$6:$U$138,10,FALSE))</f>
        <v/>
      </c>
      <c r="B237" s="64" t="str">
        <f>IF(E237="","",VLOOKUP('OPĆI DIO'!$C$3,'OPĆI DIO'!$L$6:$U$138,9,FALSE))</f>
        <v/>
      </c>
      <c r="C237" s="65" t="str">
        <f t="shared" si="25"/>
        <v/>
      </c>
      <c r="D237" s="66" t="str">
        <f t="shared" si="26"/>
        <v/>
      </c>
      <c r="E237" s="67"/>
      <c r="F237" s="68" t="str">
        <f t="shared" si="27"/>
        <v/>
      </c>
      <c r="G237" s="69"/>
      <c r="H237" s="69"/>
      <c r="I237" s="78">
        <f t="shared" si="22"/>
        <v>0</v>
      </c>
      <c r="J237" s="67"/>
      <c r="L237" t="str">
        <f t="shared" si="23"/>
        <v/>
      </c>
      <c r="M237" t="str">
        <f t="shared" si="24"/>
        <v/>
      </c>
    </row>
    <row r="238" spans="1:13">
      <c r="A238" s="64" t="str">
        <f>IF(E238="","",VLOOKUP('OPĆI DIO'!$C$3,'OPĆI DIO'!$L$6:$U$138,10,FALSE))</f>
        <v/>
      </c>
      <c r="B238" s="64" t="str">
        <f>IF(E238="","",VLOOKUP('OPĆI DIO'!$C$3,'OPĆI DIO'!$L$6:$U$138,9,FALSE))</f>
        <v/>
      </c>
      <c r="C238" s="65" t="str">
        <f t="shared" si="25"/>
        <v/>
      </c>
      <c r="D238" s="66" t="str">
        <f t="shared" si="26"/>
        <v/>
      </c>
      <c r="E238" s="67"/>
      <c r="F238" s="68" t="str">
        <f t="shared" si="27"/>
        <v/>
      </c>
      <c r="G238" s="69"/>
      <c r="H238" s="69"/>
      <c r="I238" s="78">
        <f t="shared" si="22"/>
        <v>0</v>
      </c>
      <c r="J238" s="67"/>
      <c r="L238" t="str">
        <f t="shared" si="23"/>
        <v/>
      </c>
      <c r="M238" t="str">
        <f t="shared" si="24"/>
        <v/>
      </c>
    </row>
    <row r="239" spans="1:13">
      <c r="A239" s="64" t="str">
        <f>IF(E239="","",VLOOKUP('OPĆI DIO'!$C$3,'OPĆI DIO'!$L$6:$U$138,10,FALSE))</f>
        <v/>
      </c>
      <c r="B239" s="64" t="str">
        <f>IF(E239="","",VLOOKUP('OPĆI DIO'!$C$3,'OPĆI DIO'!$L$6:$U$138,9,FALSE))</f>
        <v/>
      </c>
      <c r="C239" s="65" t="str">
        <f t="shared" si="25"/>
        <v/>
      </c>
      <c r="D239" s="66" t="str">
        <f t="shared" si="26"/>
        <v/>
      </c>
      <c r="E239" s="67"/>
      <c r="F239" s="68" t="str">
        <f t="shared" si="27"/>
        <v/>
      </c>
      <c r="G239" s="69"/>
      <c r="H239" s="69"/>
      <c r="I239" s="78">
        <f t="shared" si="22"/>
        <v>0</v>
      </c>
      <c r="J239" s="67"/>
      <c r="L239" t="str">
        <f t="shared" si="23"/>
        <v/>
      </c>
      <c r="M239" t="str">
        <f t="shared" si="24"/>
        <v/>
      </c>
    </row>
    <row r="240" spans="1:13">
      <c r="A240" s="64" t="str">
        <f>IF(E240="","",VLOOKUP('OPĆI DIO'!$C$3,'OPĆI DIO'!$L$6:$U$138,10,FALSE))</f>
        <v/>
      </c>
      <c r="B240" s="64" t="str">
        <f>IF(E240="","",VLOOKUP('OPĆI DIO'!$C$3,'OPĆI DIO'!$L$6:$U$138,9,FALSE))</f>
        <v/>
      </c>
      <c r="C240" s="65" t="str">
        <f t="shared" si="25"/>
        <v/>
      </c>
      <c r="D240" s="66" t="str">
        <f t="shared" si="26"/>
        <v/>
      </c>
      <c r="E240" s="67"/>
      <c r="F240" s="68" t="str">
        <f t="shared" si="27"/>
        <v/>
      </c>
      <c r="G240" s="69"/>
      <c r="H240" s="69"/>
      <c r="I240" s="78">
        <f t="shared" si="22"/>
        <v>0</v>
      </c>
      <c r="J240" s="67"/>
      <c r="L240" t="str">
        <f t="shared" si="23"/>
        <v/>
      </c>
      <c r="M240" t="str">
        <f t="shared" si="24"/>
        <v/>
      </c>
    </row>
    <row r="241" spans="1:13">
      <c r="A241" s="64" t="str">
        <f>IF(E241="","",VLOOKUP('OPĆI DIO'!$C$3,'OPĆI DIO'!$L$6:$U$138,10,FALSE))</f>
        <v/>
      </c>
      <c r="B241" s="64" t="str">
        <f>IF(E241="","",VLOOKUP('OPĆI DIO'!$C$3,'OPĆI DIO'!$L$6:$U$138,9,FALSE))</f>
        <v/>
      </c>
      <c r="C241" s="65" t="str">
        <f t="shared" si="25"/>
        <v/>
      </c>
      <c r="D241" s="66" t="str">
        <f t="shared" si="26"/>
        <v/>
      </c>
      <c r="E241" s="67"/>
      <c r="F241" s="68" t="str">
        <f t="shared" si="27"/>
        <v/>
      </c>
      <c r="G241" s="69"/>
      <c r="H241" s="69"/>
      <c r="I241" s="78">
        <f t="shared" si="22"/>
        <v>0</v>
      </c>
      <c r="J241" s="67"/>
      <c r="L241" t="str">
        <f t="shared" si="23"/>
        <v/>
      </c>
      <c r="M241" t="str">
        <f t="shared" si="24"/>
        <v/>
      </c>
    </row>
    <row r="242" spans="1:13">
      <c r="A242" s="64" t="str">
        <f>IF(E242="","",VLOOKUP('OPĆI DIO'!$C$3,'OPĆI DIO'!$L$6:$U$138,10,FALSE))</f>
        <v/>
      </c>
      <c r="B242" s="64" t="str">
        <f>IF(E242="","",VLOOKUP('OPĆI DIO'!$C$3,'OPĆI DIO'!$L$6:$U$138,9,FALSE))</f>
        <v/>
      </c>
      <c r="C242" s="65" t="str">
        <f t="shared" si="25"/>
        <v/>
      </c>
      <c r="D242" s="66" t="str">
        <f t="shared" si="26"/>
        <v/>
      </c>
      <c r="E242" s="67"/>
      <c r="F242" s="68" t="str">
        <f t="shared" si="27"/>
        <v/>
      </c>
      <c r="G242" s="69"/>
      <c r="H242" s="69"/>
      <c r="I242" s="78">
        <f t="shared" si="22"/>
        <v>0</v>
      </c>
      <c r="J242" s="67"/>
      <c r="L242" t="str">
        <f t="shared" si="23"/>
        <v/>
      </c>
      <c r="M242" t="str">
        <f t="shared" si="24"/>
        <v/>
      </c>
    </row>
    <row r="243" spans="1:13">
      <c r="A243" s="64" t="str">
        <f>IF(E243="","",VLOOKUP('OPĆI DIO'!$C$3,'OPĆI DIO'!$L$6:$U$138,10,FALSE))</f>
        <v/>
      </c>
      <c r="B243" s="64" t="str">
        <f>IF(E243="","",VLOOKUP('OPĆI DIO'!$C$3,'OPĆI DIO'!$L$6:$U$138,9,FALSE))</f>
        <v/>
      </c>
      <c r="C243" s="65" t="str">
        <f t="shared" si="25"/>
        <v/>
      </c>
      <c r="D243" s="66" t="str">
        <f t="shared" si="26"/>
        <v/>
      </c>
      <c r="E243" s="67"/>
      <c r="F243" s="68" t="str">
        <f t="shared" si="27"/>
        <v/>
      </c>
      <c r="G243" s="69"/>
      <c r="H243" s="69"/>
      <c r="I243" s="78">
        <f t="shared" si="22"/>
        <v>0</v>
      </c>
      <c r="J243" s="67"/>
      <c r="L243" t="str">
        <f t="shared" si="23"/>
        <v/>
      </c>
      <c r="M243" t="str">
        <f t="shared" si="24"/>
        <v/>
      </c>
    </row>
    <row r="244" spans="1:13">
      <c r="A244" s="64" t="str">
        <f>IF(E244="","",VLOOKUP('OPĆI DIO'!$C$3,'OPĆI DIO'!$L$6:$U$138,10,FALSE))</f>
        <v/>
      </c>
      <c r="B244" s="64" t="str">
        <f>IF(E244="","",VLOOKUP('OPĆI DIO'!$C$3,'OPĆI DIO'!$L$6:$U$138,9,FALSE))</f>
        <v/>
      </c>
      <c r="C244" s="65" t="str">
        <f t="shared" si="25"/>
        <v/>
      </c>
      <c r="D244" s="66" t="str">
        <f t="shared" si="26"/>
        <v/>
      </c>
      <c r="E244" s="67"/>
      <c r="F244" s="68" t="str">
        <f t="shared" si="27"/>
        <v/>
      </c>
      <c r="G244" s="69"/>
      <c r="H244" s="69"/>
      <c r="I244" s="78">
        <f t="shared" si="22"/>
        <v>0</v>
      </c>
      <c r="J244" s="67"/>
      <c r="L244" t="str">
        <f t="shared" si="23"/>
        <v/>
      </c>
      <c r="M244" t="str">
        <f t="shared" si="24"/>
        <v/>
      </c>
    </row>
    <row r="245" spans="1:13">
      <c r="A245" s="64" t="str">
        <f>IF(E245="","",VLOOKUP('OPĆI DIO'!$C$3,'OPĆI DIO'!$L$6:$U$138,10,FALSE))</f>
        <v/>
      </c>
      <c r="B245" s="64" t="str">
        <f>IF(E245="","",VLOOKUP('OPĆI DIO'!$C$3,'OPĆI DIO'!$L$6:$U$138,9,FALSE))</f>
        <v/>
      </c>
      <c r="C245" s="65" t="str">
        <f t="shared" si="25"/>
        <v/>
      </c>
      <c r="D245" s="66" t="str">
        <f t="shared" si="26"/>
        <v/>
      </c>
      <c r="E245" s="67"/>
      <c r="F245" s="68" t="str">
        <f t="shared" si="27"/>
        <v/>
      </c>
      <c r="G245" s="69"/>
      <c r="H245" s="69"/>
      <c r="I245" s="78">
        <f t="shared" si="22"/>
        <v>0</v>
      </c>
      <c r="J245" s="67"/>
      <c r="L245" t="str">
        <f t="shared" si="23"/>
        <v/>
      </c>
      <c r="M245" t="str">
        <f t="shared" si="24"/>
        <v/>
      </c>
    </row>
    <row r="246" spans="1:13">
      <c r="A246" s="64" t="str">
        <f>IF(E246="","",VLOOKUP('OPĆI DIO'!$C$3,'OPĆI DIO'!$L$6:$U$138,10,FALSE))</f>
        <v/>
      </c>
      <c r="B246" s="64" t="str">
        <f>IF(E246="","",VLOOKUP('OPĆI DIO'!$C$3,'OPĆI DIO'!$L$6:$U$138,9,FALSE))</f>
        <v/>
      </c>
      <c r="C246" s="65" t="str">
        <f t="shared" si="25"/>
        <v/>
      </c>
      <c r="D246" s="66" t="str">
        <f t="shared" si="26"/>
        <v/>
      </c>
      <c r="E246" s="67"/>
      <c r="F246" s="68" t="str">
        <f t="shared" si="27"/>
        <v/>
      </c>
      <c r="G246" s="69"/>
      <c r="H246" s="69"/>
      <c r="I246" s="78">
        <f t="shared" si="22"/>
        <v>0</v>
      </c>
      <c r="J246" s="67"/>
      <c r="L246" t="str">
        <f t="shared" si="23"/>
        <v/>
      </c>
      <c r="M246" t="str">
        <f t="shared" si="24"/>
        <v/>
      </c>
    </row>
    <row r="247" spans="1:13">
      <c r="A247" s="64" t="str">
        <f>IF(E247="","",VLOOKUP('OPĆI DIO'!$C$3,'OPĆI DIO'!$L$6:$U$138,10,FALSE))</f>
        <v/>
      </c>
      <c r="B247" s="64" t="str">
        <f>IF(E247="","",VLOOKUP('OPĆI DIO'!$C$3,'OPĆI DIO'!$L$6:$U$138,9,FALSE))</f>
        <v/>
      </c>
      <c r="C247" s="65" t="str">
        <f t="shared" si="25"/>
        <v/>
      </c>
      <c r="D247" s="66" t="str">
        <f t="shared" si="26"/>
        <v/>
      </c>
      <c r="E247" s="67"/>
      <c r="F247" s="68" t="str">
        <f t="shared" si="27"/>
        <v/>
      </c>
      <c r="G247" s="69"/>
      <c r="H247" s="69"/>
      <c r="I247" s="78">
        <f t="shared" si="22"/>
        <v>0</v>
      </c>
      <c r="J247" s="67"/>
      <c r="L247" t="str">
        <f t="shared" si="23"/>
        <v/>
      </c>
      <c r="M247" t="str">
        <f t="shared" si="24"/>
        <v/>
      </c>
    </row>
    <row r="248" spans="1:13">
      <c r="A248" s="64" t="str">
        <f>IF(E248="","",VLOOKUP('OPĆI DIO'!$C$3,'OPĆI DIO'!$L$6:$U$138,10,FALSE))</f>
        <v/>
      </c>
      <c r="B248" s="64" t="str">
        <f>IF(E248="","",VLOOKUP('OPĆI DIO'!$C$3,'OPĆI DIO'!$L$6:$U$138,9,FALSE))</f>
        <v/>
      </c>
      <c r="C248" s="65" t="str">
        <f t="shared" si="25"/>
        <v/>
      </c>
      <c r="D248" s="66" t="str">
        <f t="shared" si="26"/>
        <v/>
      </c>
      <c r="E248" s="67"/>
      <c r="F248" s="68" t="str">
        <f t="shared" si="27"/>
        <v/>
      </c>
      <c r="G248" s="69"/>
      <c r="H248" s="69"/>
      <c r="I248" s="78">
        <f t="shared" si="22"/>
        <v>0</v>
      </c>
      <c r="J248" s="67"/>
      <c r="L248" t="str">
        <f t="shared" si="23"/>
        <v/>
      </c>
      <c r="M248" t="str">
        <f t="shared" si="24"/>
        <v/>
      </c>
    </row>
    <row r="249" spans="1:13">
      <c r="A249" s="64" t="str">
        <f>IF(E249="","",VLOOKUP('OPĆI DIO'!$C$3,'OPĆI DIO'!$L$6:$U$138,10,FALSE))</f>
        <v/>
      </c>
      <c r="B249" s="64" t="str">
        <f>IF(E249="","",VLOOKUP('OPĆI DIO'!$C$3,'OPĆI DIO'!$L$6:$U$138,9,FALSE))</f>
        <v/>
      </c>
      <c r="C249" s="65" t="str">
        <f t="shared" si="25"/>
        <v/>
      </c>
      <c r="D249" s="66" t="str">
        <f t="shared" si="26"/>
        <v/>
      </c>
      <c r="E249" s="67"/>
      <c r="F249" s="68" t="str">
        <f t="shared" si="27"/>
        <v/>
      </c>
      <c r="G249" s="69"/>
      <c r="H249" s="69"/>
      <c r="I249" s="78">
        <f t="shared" si="22"/>
        <v>0</v>
      </c>
      <c r="J249" s="67"/>
      <c r="L249" t="str">
        <f t="shared" si="23"/>
        <v/>
      </c>
      <c r="M249" t="str">
        <f t="shared" si="24"/>
        <v/>
      </c>
    </row>
    <row r="250" spans="1:13">
      <c r="A250" s="64" t="str">
        <f>IF(E250="","",VLOOKUP('OPĆI DIO'!$C$3,'OPĆI DIO'!$L$6:$U$138,10,FALSE))</f>
        <v/>
      </c>
      <c r="B250" s="64" t="str">
        <f>IF(E250="","",VLOOKUP('OPĆI DIO'!$C$3,'OPĆI DIO'!$L$6:$U$138,9,FALSE))</f>
        <v/>
      </c>
      <c r="C250" s="65" t="str">
        <f t="shared" si="25"/>
        <v/>
      </c>
      <c r="D250" s="66" t="str">
        <f t="shared" si="26"/>
        <v/>
      </c>
      <c r="E250" s="67"/>
      <c r="F250" s="68" t="str">
        <f t="shared" si="27"/>
        <v/>
      </c>
      <c r="G250" s="69"/>
      <c r="H250" s="69"/>
      <c r="I250" s="78">
        <f t="shared" si="22"/>
        <v>0</v>
      </c>
      <c r="J250" s="67"/>
      <c r="L250" t="str">
        <f t="shared" si="23"/>
        <v/>
      </c>
      <c r="M250" t="str">
        <f t="shared" si="24"/>
        <v/>
      </c>
    </row>
    <row r="251" spans="1:13">
      <c r="A251" s="64" t="str">
        <f>IF(E251="","",VLOOKUP('OPĆI DIO'!$C$3,'OPĆI DIO'!$L$6:$U$138,10,FALSE))</f>
        <v/>
      </c>
      <c r="B251" s="64" t="str">
        <f>IF(E251="","",VLOOKUP('OPĆI DIO'!$C$3,'OPĆI DIO'!$L$6:$U$138,9,FALSE))</f>
        <v/>
      </c>
      <c r="C251" s="65" t="str">
        <f t="shared" si="25"/>
        <v/>
      </c>
      <c r="D251" s="66" t="str">
        <f t="shared" si="26"/>
        <v/>
      </c>
      <c r="E251" s="67"/>
      <c r="F251" s="68" t="str">
        <f t="shared" si="27"/>
        <v/>
      </c>
      <c r="G251" s="69"/>
      <c r="H251" s="69"/>
      <c r="I251" s="78">
        <f t="shared" si="22"/>
        <v>0</v>
      </c>
      <c r="J251" s="67"/>
      <c r="L251" t="str">
        <f t="shared" si="23"/>
        <v/>
      </c>
      <c r="M251" t="str">
        <f t="shared" si="24"/>
        <v/>
      </c>
    </row>
    <row r="252" spans="1:13">
      <c r="A252" s="64" t="str">
        <f>IF(E252="","",VLOOKUP('OPĆI DIO'!$C$3,'OPĆI DIO'!$L$6:$U$138,10,FALSE))</f>
        <v/>
      </c>
      <c r="B252" s="64" t="str">
        <f>IF(E252="","",VLOOKUP('OPĆI DIO'!$C$3,'OPĆI DIO'!$L$6:$U$138,9,FALSE))</f>
        <v/>
      </c>
      <c r="C252" s="65" t="str">
        <f t="shared" si="25"/>
        <v/>
      </c>
      <c r="D252" s="66" t="str">
        <f t="shared" si="26"/>
        <v/>
      </c>
      <c r="E252" s="67"/>
      <c r="F252" s="68" t="str">
        <f t="shared" si="27"/>
        <v/>
      </c>
      <c r="G252" s="69"/>
      <c r="H252" s="69"/>
      <c r="I252" s="78">
        <f t="shared" si="22"/>
        <v>0</v>
      </c>
      <c r="J252" s="67"/>
      <c r="L252" t="str">
        <f t="shared" si="23"/>
        <v/>
      </c>
      <c r="M252" t="str">
        <f t="shared" si="24"/>
        <v/>
      </c>
    </row>
    <row r="253" spans="1:13">
      <c r="A253" s="64" t="str">
        <f>IF(E253="","",VLOOKUP('OPĆI DIO'!$C$3,'OPĆI DIO'!$L$6:$U$138,10,FALSE))</f>
        <v/>
      </c>
      <c r="B253" s="64" t="str">
        <f>IF(E253="","",VLOOKUP('OPĆI DIO'!$C$3,'OPĆI DIO'!$L$6:$U$138,9,FALSE))</f>
        <v/>
      </c>
      <c r="C253" s="65" t="str">
        <f t="shared" si="25"/>
        <v/>
      </c>
      <c r="D253" s="66" t="str">
        <f t="shared" si="26"/>
        <v/>
      </c>
      <c r="E253" s="67"/>
      <c r="F253" s="68" t="str">
        <f t="shared" si="27"/>
        <v/>
      </c>
      <c r="G253" s="69"/>
      <c r="H253" s="69"/>
      <c r="I253" s="78">
        <f t="shared" si="22"/>
        <v>0</v>
      </c>
      <c r="J253" s="67"/>
      <c r="L253" t="str">
        <f t="shared" si="23"/>
        <v/>
      </c>
      <c r="M253" t="str">
        <f t="shared" si="24"/>
        <v/>
      </c>
    </row>
    <row r="254" spans="1:13">
      <c r="A254" s="64" t="str">
        <f>IF(E254="","",VLOOKUP('OPĆI DIO'!$C$3,'OPĆI DIO'!$L$6:$U$138,10,FALSE))</f>
        <v/>
      </c>
      <c r="B254" s="64" t="str">
        <f>IF(E254="","",VLOOKUP('OPĆI DIO'!$C$3,'OPĆI DIO'!$L$6:$U$138,9,FALSE))</f>
        <v/>
      </c>
      <c r="C254" s="65" t="str">
        <f t="shared" si="25"/>
        <v/>
      </c>
      <c r="D254" s="66" t="str">
        <f t="shared" si="26"/>
        <v/>
      </c>
      <c r="E254" s="67"/>
      <c r="F254" s="68" t="str">
        <f t="shared" si="27"/>
        <v/>
      </c>
      <c r="G254" s="69"/>
      <c r="H254" s="69"/>
      <c r="I254" s="78">
        <f t="shared" si="22"/>
        <v>0</v>
      </c>
      <c r="J254" s="67"/>
      <c r="L254" t="str">
        <f t="shared" si="23"/>
        <v/>
      </c>
      <c r="M254" t="str">
        <f t="shared" si="24"/>
        <v/>
      </c>
    </row>
    <row r="255" spans="1:13">
      <c r="A255" s="64" t="str">
        <f>IF(E255="","",VLOOKUP('OPĆI DIO'!$C$3,'OPĆI DIO'!$L$6:$U$138,10,FALSE))</f>
        <v/>
      </c>
      <c r="B255" s="64" t="str">
        <f>IF(E255="","",VLOOKUP('OPĆI DIO'!$C$3,'OPĆI DIO'!$L$6:$U$138,9,FALSE))</f>
        <v/>
      </c>
      <c r="C255" s="65" t="str">
        <f t="shared" si="25"/>
        <v/>
      </c>
      <c r="D255" s="66" t="str">
        <f t="shared" si="26"/>
        <v/>
      </c>
      <c r="E255" s="67"/>
      <c r="F255" s="68" t="str">
        <f t="shared" si="27"/>
        <v/>
      </c>
      <c r="G255" s="69"/>
      <c r="H255" s="69"/>
      <c r="I255" s="78">
        <f t="shared" si="22"/>
        <v>0</v>
      </c>
      <c r="J255" s="67"/>
      <c r="L255" t="str">
        <f t="shared" si="23"/>
        <v/>
      </c>
      <c r="M255" t="str">
        <f t="shared" si="24"/>
        <v/>
      </c>
    </row>
    <row r="256" spans="1:13">
      <c r="A256" s="64" t="str">
        <f>IF(E256="","",VLOOKUP('OPĆI DIO'!$C$3,'OPĆI DIO'!$L$6:$U$138,10,FALSE))</f>
        <v/>
      </c>
      <c r="B256" s="64" t="str">
        <f>IF(E256="","",VLOOKUP('OPĆI DIO'!$C$3,'OPĆI DIO'!$L$6:$U$138,9,FALSE))</f>
        <v/>
      </c>
      <c r="C256" s="65" t="str">
        <f t="shared" si="25"/>
        <v/>
      </c>
      <c r="D256" s="66" t="str">
        <f t="shared" si="26"/>
        <v/>
      </c>
      <c r="E256" s="67"/>
      <c r="F256" s="68" t="str">
        <f t="shared" si="27"/>
        <v/>
      </c>
      <c r="G256" s="69"/>
      <c r="H256" s="69"/>
      <c r="I256" s="78">
        <f t="shared" si="22"/>
        <v>0</v>
      </c>
      <c r="J256" s="67"/>
      <c r="L256" t="str">
        <f t="shared" si="23"/>
        <v/>
      </c>
      <c r="M256" t="str">
        <f t="shared" si="24"/>
        <v/>
      </c>
    </row>
    <row r="257" spans="1:13">
      <c r="A257" s="64" t="str">
        <f>IF(E257="","",VLOOKUP('OPĆI DIO'!$C$3,'OPĆI DIO'!$L$6:$U$138,10,FALSE))</f>
        <v/>
      </c>
      <c r="B257" s="64" t="str">
        <f>IF(E257="","",VLOOKUP('OPĆI DIO'!$C$3,'OPĆI DIO'!$L$6:$U$138,9,FALSE))</f>
        <v/>
      </c>
      <c r="C257" s="65" t="str">
        <f t="shared" si="25"/>
        <v/>
      </c>
      <c r="D257" s="66" t="str">
        <f t="shared" si="26"/>
        <v/>
      </c>
      <c r="E257" s="67"/>
      <c r="F257" s="68" t="str">
        <f t="shared" si="27"/>
        <v/>
      </c>
      <c r="G257" s="69"/>
      <c r="H257" s="69"/>
      <c r="I257" s="78">
        <f t="shared" si="22"/>
        <v>0</v>
      </c>
      <c r="J257" s="67"/>
      <c r="L257" t="str">
        <f t="shared" si="23"/>
        <v/>
      </c>
      <c r="M257" t="str">
        <f t="shared" si="24"/>
        <v/>
      </c>
    </row>
    <row r="258" spans="1:13">
      <c r="A258" s="64" t="str">
        <f>IF(E258="","",VLOOKUP('OPĆI DIO'!$C$3,'OPĆI DIO'!$L$6:$U$138,10,FALSE))</f>
        <v/>
      </c>
      <c r="B258" s="64" t="str">
        <f>IF(E258="","",VLOOKUP('OPĆI DIO'!$C$3,'OPĆI DIO'!$L$6:$U$138,9,FALSE))</f>
        <v/>
      </c>
      <c r="C258" s="65" t="str">
        <f t="shared" si="25"/>
        <v/>
      </c>
      <c r="D258" s="66" t="str">
        <f t="shared" si="26"/>
        <v/>
      </c>
      <c r="E258" s="67"/>
      <c r="F258" s="68" t="str">
        <f t="shared" si="27"/>
        <v/>
      </c>
      <c r="G258" s="69"/>
      <c r="H258" s="69"/>
      <c r="I258" s="78">
        <f t="shared" si="22"/>
        <v>0</v>
      </c>
      <c r="J258" s="67"/>
      <c r="L258" t="str">
        <f t="shared" si="23"/>
        <v/>
      </c>
      <c r="M258" t="str">
        <f t="shared" si="24"/>
        <v/>
      </c>
    </row>
    <row r="259" spans="1:13">
      <c r="A259" s="64" t="str">
        <f>IF(E259="","",VLOOKUP('OPĆI DIO'!$C$3,'OPĆI DIO'!$L$6:$U$138,10,FALSE))</f>
        <v/>
      </c>
      <c r="B259" s="64" t="str">
        <f>IF(E259="","",VLOOKUP('OPĆI DIO'!$C$3,'OPĆI DIO'!$L$6:$U$138,9,FALSE))</f>
        <v/>
      </c>
      <c r="C259" s="65" t="str">
        <f t="shared" si="25"/>
        <v/>
      </c>
      <c r="D259" s="66" t="str">
        <f t="shared" si="26"/>
        <v/>
      </c>
      <c r="E259" s="67"/>
      <c r="F259" s="68" t="str">
        <f t="shared" si="27"/>
        <v/>
      </c>
      <c r="G259" s="69"/>
      <c r="H259" s="69"/>
      <c r="I259" s="78">
        <f t="shared" si="22"/>
        <v>0</v>
      </c>
      <c r="J259" s="67"/>
      <c r="L259" t="str">
        <f t="shared" si="23"/>
        <v/>
      </c>
      <c r="M259" t="str">
        <f t="shared" si="24"/>
        <v/>
      </c>
    </row>
    <row r="260" spans="1:13">
      <c r="A260" s="64" t="str">
        <f>IF(E260="","",VLOOKUP('OPĆI DIO'!$C$3,'OPĆI DIO'!$L$6:$U$138,10,FALSE))</f>
        <v/>
      </c>
      <c r="B260" s="64" t="str">
        <f>IF(E260="","",VLOOKUP('OPĆI DIO'!$C$3,'OPĆI DIO'!$L$6:$U$138,9,FALSE))</f>
        <v/>
      </c>
      <c r="C260" s="65" t="str">
        <f t="shared" si="25"/>
        <v/>
      </c>
      <c r="D260" s="66" t="str">
        <f t="shared" si="26"/>
        <v/>
      </c>
      <c r="E260" s="67"/>
      <c r="F260" s="68" t="str">
        <f t="shared" si="27"/>
        <v/>
      </c>
      <c r="G260" s="69"/>
      <c r="H260" s="69"/>
      <c r="I260" s="78">
        <f t="shared" ref="I260:I323" si="28">H260-G260</f>
        <v>0</v>
      </c>
      <c r="J260" s="67"/>
      <c r="L260" t="str">
        <f t="shared" ref="L260:L323" si="29">LEFT(E260,2)</f>
        <v/>
      </c>
      <c r="M260" t="str">
        <f t="shared" ref="M260:M323" si="30">LEFT(E260,3)</f>
        <v/>
      </c>
    </row>
    <row r="261" spans="1:13">
      <c r="A261" s="64" t="str">
        <f>IF(E261="","",VLOOKUP('OPĆI DIO'!$C$3,'OPĆI DIO'!$L$6:$U$138,10,FALSE))</f>
        <v/>
      </c>
      <c r="B261" s="64" t="str">
        <f>IF(E261="","",VLOOKUP('OPĆI DIO'!$C$3,'OPĆI DIO'!$L$6:$U$138,9,FALSE))</f>
        <v/>
      </c>
      <c r="C261" s="65" t="str">
        <f t="shared" si="25"/>
        <v/>
      </c>
      <c r="D261" s="66" t="str">
        <f t="shared" si="26"/>
        <v/>
      </c>
      <c r="E261" s="67"/>
      <c r="F261" s="68" t="str">
        <f t="shared" si="27"/>
        <v/>
      </c>
      <c r="G261" s="69"/>
      <c r="H261" s="69"/>
      <c r="I261" s="78">
        <f t="shared" si="28"/>
        <v>0</v>
      </c>
      <c r="J261" s="67"/>
      <c r="L261" t="str">
        <f t="shared" si="29"/>
        <v/>
      </c>
      <c r="M261" t="str">
        <f t="shared" si="30"/>
        <v/>
      </c>
    </row>
    <row r="262" spans="1:13">
      <c r="A262" s="64" t="str">
        <f>IF(E262="","",VLOOKUP('OPĆI DIO'!$C$3,'OPĆI DIO'!$L$6:$U$138,10,FALSE))</f>
        <v/>
      </c>
      <c r="B262" s="64" t="str">
        <f>IF(E262="","",VLOOKUP('OPĆI DIO'!$C$3,'OPĆI DIO'!$L$6:$U$138,9,FALSE))</f>
        <v/>
      </c>
      <c r="C262" s="65" t="str">
        <f t="shared" si="25"/>
        <v/>
      </c>
      <c r="D262" s="66" t="str">
        <f t="shared" si="26"/>
        <v/>
      </c>
      <c r="E262" s="67"/>
      <c r="F262" s="68" t="str">
        <f t="shared" si="27"/>
        <v/>
      </c>
      <c r="G262" s="69"/>
      <c r="H262" s="69"/>
      <c r="I262" s="78">
        <f t="shared" si="28"/>
        <v>0</v>
      </c>
      <c r="J262" s="67"/>
      <c r="L262" t="str">
        <f t="shared" si="29"/>
        <v/>
      </c>
      <c r="M262" t="str">
        <f t="shared" si="30"/>
        <v/>
      </c>
    </row>
    <row r="263" spans="1:13">
      <c r="A263" s="64" t="str">
        <f>IF(E263="","",VLOOKUP('OPĆI DIO'!$C$3,'OPĆI DIO'!$L$6:$U$138,10,FALSE))</f>
        <v/>
      </c>
      <c r="B263" s="64" t="str">
        <f>IF(E263="","",VLOOKUP('OPĆI DIO'!$C$3,'OPĆI DIO'!$L$6:$U$138,9,FALSE))</f>
        <v/>
      </c>
      <c r="C263" s="65" t="str">
        <f t="shared" si="25"/>
        <v/>
      </c>
      <c r="D263" s="66" t="str">
        <f t="shared" si="26"/>
        <v/>
      </c>
      <c r="E263" s="67"/>
      <c r="F263" s="68" t="str">
        <f t="shared" si="27"/>
        <v/>
      </c>
      <c r="G263" s="69"/>
      <c r="H263" s="69"/>
      <c r="I263" s="78">
        <f t="shared" si="28"/>
        <v>0</v>
      </c>
      <c r="J263" s="67"/>
      <c r="L263" t="str">
        <f t="shared" si="29"/>
        <v/>
      </c>
      <c r="M263" t="str">
        <f t="shared" si="30"/>
        <v/>
      </c>
    </row>
    <row r="264" spans="1:13">
      <c r="A264" s="64" t="str">
        <f>IF(E264="","",VLOOKUP('OPĆI DIO'!$C$3,'OPĆI DIO'!$L$6:$U$138,10,FALSE))</f>
        <v/>
      </c>
      <c r="B264" s="64" t="str">
        <f>IF(E264="","",VLOOKUP('OPĆI DIO'!$C$3,'OPĆI DIO'!$L$6:$U$138,9,FALSE))</f>
        <v/>
      </c>
      <c r="C264" s="65" t="str">
        <f t="shared" si="25"/>
        <v/>
      </c>
      <c r="D264" s="66" t="str">
        <f t="shared" si="26"/>
        <v/>
      </c>
      <c r="E264" s="67"/>
      <c r="F264" s="68" t="str">
        <f t="shared" si="27"/>
        <v/>
      </c>
      <c r="G264" s="69"/>
      <c r="H264" s="69"/>
      <c r="I264" s="78">
        <f t="shared" si="28"/>
        <v>0</v>
      </c>
      <c r="J264" s="67"/>
      <c r="L264" t="str">
        <f t="shared" si="29"/>
        <v/>
      </c>
      <c r="M264" t="str">
        <f t="shared" si="30"/>
        <v/>
      </c>
    </row>
    <row r="265" spans="1:13">
      <c r="A265" s="64" t="str">
        <f>IF(E265="","",VLOOKUP('OPĆI DIO'!$C$3,'OPĆI DIO'!$L$6:$U$138,10,FALSE))</f>
        <v/>
      </c>
      <c r="B265" s="64" t="str">
        <f>IF(E265="","",VLOOKUP('OPĆI DIO'!$C$3,'OPĆI DIO'!$L$6:$U$138,9,FALSE))</f>
        <v/>
      </c>
      <c r="C265" s="65" t="str">
        <f t="shared" si="25"/>
        <v/>
      </c>
      <c r="D265" s="66" t="str">
        <f t="shared" si="26"/>
        <v/>
      </c>
      <c r="E265" s="67"/>
      <c r="F265" s="68" t="str">
        <f t="shared" si="27"/>
        <v/>
      </c>
      <c r="G265" s="69"/>
      <c r="H265" s="69"/>
      <c r="I265" s="78">
        <f t="shared" si="28"/>
        <v>0</v>
      </c>
      <c r="J265" s="67"/>
      <c r="L265" t="str">
        <f t="shared" si="29"/>
        <v/>
      </c>
      <c r="M265" t="str">
        <f t="shared" si="30"/>
        <v/>
      </c>
    </row>
    <row r="266" spans="1:13">
      <c r="A266" s="64" t="str">
        <f>IF(E266="","",VLOOKUP('OPĆI DIO'!$C$3,'OPĆI DIO'!$L$6:$U$138,10,FALSE))</f>
        <v/>
      </c>
      <c r="B266" s="64" t="str">
        <f>IF(E266="","",VLOOKUP('OPĆI DIO'!$C$3,'OPĆI DIO'!$L$6:$U$138,9,FALSE))</f>
        <v/>
      </c>
      <c r="C266" s="65" t="str">
        <f t="shared" si="25"/>
        <v/>
      </c>
      <c r="D266" s="66" t="str">
        <f t="shared" si="26"/>
        <v/>
      </c>
      <c r="E266" s="67"/>
      <c r="F266" s="68" t="str">
        <f t="shared" si="27"/>
        <v/>
      </c>
      <c r="G266" s="69"/>
      <c r="H266" s="69"/>
      <c r="I266" s="78">
        <f t="shared" si="28"/>
        <v>0</v>
      </c>
      <c r="J266" s="67"/>
      <c r="L266" t="str">
        <f t="shared" si="29"/>
        <v/>
      </c>
      <c r="M266" t="str">
        <f t="shared" si="30"/>
        <v/>
      </c>
    </row>
    <row r="267" spans="1:13">
      <c r="A267" s="64" t="str">
        <f>IF(E267="","",VLOOKUP('OPĆI DIO'!$C$3,'OPĆI DIO'!$L$6:$U$138,10,FALSE))</f>
        <v/>
      </c>
      <c r="B267" s="64" t="str">
        <f>IF(E267="","",VLOOKUP('OPĆI DIO'!$C$3,'OPĆI DIO'!$L$6:$U$138,9,FALSE))</f>
        <v/>
      </c>
      <c r="C267" s="65" t="str">
        <f t="shared" si="25"/>
        <v/>
      </c>
      <c r="D267" s="66" t="str">
        <f t="shared" si="26"/>
        <v/>
      </c>
      <c r="E267" s="67"/>
      <c r="F267" s="68" t="str">
        <f t="shared" si="27"/>
        <v/>
      </c>
      <c r="G267" s="69"/>
      <c r="H267" s="69"/>
      <c r="I267" s="78">
        <f t="shared" si="28"/>
        <v>0</v>
      </c>
      <c r="J267" s="67"/>
      <c r="L267" t="str">
        <f t="shared" si="29"/>
        <v/>
      </c>
      <c r="M267" t="str">
        <f t="shared" si="30"/>
        <v/>
      </c>
    </row>
    <row r="268" spans="1:13">
      <c r="A268" s="64" t="str">
        <f>IF(E268="","",VLOOKUP('OPĆI DIO'!$C$3,'OPĆI DIO'!$L$6:$U$138,10,FALSE))</f>
        <v/>
      </c>
      <c r="B268" s="64" t="str">
        <f>IF(E268="","",VLOOKUP('OPĆI DIO'!$C$3,'OPĆI DIO'!$L$6:$U$138,9,FALSE))</f>
        <v/>
      </c>
      <c r="C268" s="65" t="str">
        <f t="shared" si="25"/>
        <v/>
      </c>
      <c r="D268" s="66" t="str">
        <f t="shared" si="26"/>
        <v/>
      </c>
      <c r="E268" s="67"/>
      <c r="F268" s="68" t="str">
        <f t="shared" si="27"/>
        <v/>
      </c>
      <c r="G268" s="69"/>
      <c r="H268" s="69"/>
      <c r="I268" s="78">
        <f t="shared" si="28"/>
        <v>0</v>
      </c>
      <c r="J268" s="67"/>
      <c r="L268" t="str">
        <f t="shared" si="29"/>
        <v/>
      </c>
      <c r="M268" t="str">
        <f t="shared" si="30"/>
        <v/>
      </c>
    </row>
    <row r="269" spans="1:13">
      <c r="A269" s="64" t="str">
        <f>IF(E269="","",VLOOKUP('OPĆI DIO'!$C$3,'OPĆI DIO'!$L$6:$U$138,10,FALSE))</f>
        <v/>
      </c>
      <c r="B269" s="64" t="str">
        <f>IF(E269="","",VLOOKUP('OPĆI DIO'!$C$3,'OPĆI DIO'!$L$6:$U$138,9,FALSE))</f>
        <v/>
      </c>
      <c r="C269" s="65" t="str">
        <f t="shared" si="25"/>
        <v/>
      </c>
      <c r="D269" s="66" t="str">
        <f t="shared" si="26"/>
        <v/>
      </c>
      <c r="E269" s="67"/>
      <c r="F269" s="68" t="str">
        <f t="shared" si="27"/>
        <v/>
      </c>
      <c r="G269" s="69"/>
      <c r="H269" s="69"/>
      <c r="I269" s="78">
        <f t="shared" si="28"/>
        <v>0</v>
      </c>
      <c r="J269" s="67"/>
      <c r="L269" t="str">
        <f t="shared" si="29"/>
        <v/>
      </c>
      <c r="M269" t="str">
        <f t="shared" si="30"/>
        <v/>
      </c>
    </row>
    <row r="270" spans="1:13">
      <c r="A270" s="64" t="str">
        <f>IF(E270="","",VLOOKUP('OPĆI DIO'!$C$3,'OPĆI DIO'!$L$6:$U$138,10,FALSE))</f>
        <v/>
      </c>
      <c r="B270" s="64" t="str">
        <f>IF(E270="","",VLOOKUP('OPĆI DIO'!$C$3,'OPĆI DIO'!$L$6:$U$138,9,FALSE))</f>
        <v/>
      </c>
      <c r="C270" s="65" t="str">
        <f t="shared" si="25"/>
        <v/>
      </c>
      <c r="D270" s="66" t="str">
        <f t="shared" si="26"/>
        <v/>
      </c>
      <c r="E270" s="67"/>
      <c r="F270" s="68" t="str">
        <f t="shared" si="27"/>
        <v/>
      </c>
      <c r="G270" s="69"/>
      <c r="H270" s="69"/>
      <c r="I270" s="78">
        <f t="shared" si="28"/>
        <v>0</v>
      </c>
      <c r="J270" s="67"/>
      <c r="L270" t="str">
        <f t="shared" si="29"/>
        <v/>
      </c>
      <c r="M270" t="str">
        <f t="shared" si="30"/>
        <v/>
      </c>
    </row>
    <row r="271" spans="1:13">
      <c r="A271" s="64" t="str">
        <f>IF(E271="","",VLOOKUP('OPĆI DIO'!$C$3,'OPĆI DIO'!$L$6:$U$138,10,FALSE))</f>
        <v/>
      </c>
      <c r="B271" s="64" t="str">
        <f>IF(E271="","",VLOOKUP('OPĆI DIO'!$C$3,'OPĆI DIO'!$L$6:$U$138,9,FALSE))</f>
        <v/>
      </c>
      <c r="C271" s="65" t="str">
        <f t="shared" si="25"/>
        <v/>
      </c>
      <c r="D271" s="66" t="str">
        <f t="shared" si="26"/>
        <v/>
      </c>
      <c r="E271" s="67"/>
      <c r="F271" s="68" t="str">
        <f t="shared" si="27"/>
        <v/>
      </c>
      <c r="G271" s="69"/>
      <c r="H271" s="69"/>
      <c r="I271" s="78">
        <f t="shared" si="28"/>
        <v>0</v>
      </c>
      <c r="J271" s="67"/>
      <c r="L271" t="str">
        <f t="shared" si="29"/>
        <v/>
      </c>
      <c r="M271" t="str">
        <f t="shared" si="30"/>
        <v/>
      </c>
    </row>
    <row r="272" spans="1:13">
      <c r="A272" s="64" t="str">
        <f>IF(E272="","",VLOOKUP('OPĆI DIO'!$C$3,'OPĆI DIO'!$L$6:$U$138,10,FALSE))</f>
        <v/>
      </c>
      <c r="B272" s="64" t="str">
        <f>IF(E272="","",VLOOKUP('OPĆI DIO'!$C$3,'OPĆI DIO'!$L$6:$U$138,9,FALSE))</f>
        <v/>
      </c>
      <c r="C272" s="65" t="str">
        <f t="shared" si="25"/>
        <v/>
      </c>
      <c r="D272" s="66" t="str">
        <f t="shared" si="26"/>
        <v/>
      </c>
      <c r="E272" s="67"/>
      <c r="F272" s="68" t="str">
        <f t="shared" si="27"/>
        <v/>
      </c>
      <c r="G272" s="69"/>
      <c r="H272" s="69"/>
      <c r="I272" s="78">
        <f t="shared" si="28"/>
        <v>0</v>
      </c>
      <c r="J272" s="67"/>
      <c r="L272" t="str">
        <f t="shared" si="29"/>
        <v/>
      </c>
      <c r="M272" t="str">
        <f t="shared" si="30"/>
        <v/>
      </c>
    </row>
    <row r="273" spans="1:13">
      <c r="A273" s="64" t="str">
        <f>IF(E273="","",VLOOKUP('OPĆI DIO'!$C$3,'OPĆI DIO'!$L$6:$U$138,10,FALSE))</f>
        <v/>
      </c>
      <c r="B273" s="64" t="str">
        <f>IF(E273="","",VLOOKUP('OPĆI DIO'!$C$3,'OPĆI DIO'!$L$6:$U$138,9,FALSE))</f>
        <v/>
      </c>
      <c r="C273" s="65" t="str">
        <f t="shared" si="25"/>
        <v/>
      </c>
      <c r="D273" s="66" t="str">
        <f t="shared" si="26"/>
        <v/>
      </c>
      <c r="E273" s="67"/>
      <c r="F273" s="68" t="str">
        <f t="shared" si="27"/>
        <v/>
      </c>
      <c r="G273" s="69"/>
      <c r="H273" s="69"/>
      <c r="I273" s="78">
        <f t="shared" si="28"/>
        <v>0</v>
      </c>
      <c r="J273" s="67"/>
      <c r="L273" t="str">
        <f t="shared" si="29"/>
        <v/>
      </c>
      <c r="M273" t="str">
        <f t="shared" si="30"/>
        <v/>
      </c>
    </row>
    <row r="274" spans="1:13">
      <c r="A274" s="64" t="str">
        <f>IF(E274="","",VLOOKUP('OPĆI DIO'!$C$3,'OPĆI DIO'!$L$6:$U$138,10,FALSE))</f>
        <v/>
      </c>
      <c r="B274" s="64" t="str">
        <f>IF(E274="","",VLOOKUP('OPĆI DIO'!$C$3,'OPĆI DIO'!$L$6:$U$138,9,FALSE))</f>
        <v/>
      </c>
      <c r="C274" s="65" t="str">
        <f t="shared" si="25"/>
        <v/>
      </c>
      <c r="D274" s="66" t="str">
        <f t="shared" si="26"/>
        <v/>
      </c>
      <c r="E274" s="67"/>
      <c r="F274" s="68" t="str">
        <f t="shared" si="27"/>
        <v/>
      </c>
      <c r="G274" s="69"/>
      <c r="H274" s="69"/>
      <c r="I274" s="78">
        <f t="shared" si="28"/>
        <v>0</v>
      </c>
      <c r="J274" s="67"/>
      <c r="L274" t="str">
        <f t="shared" si="29"/>
        <v/>
      </c>
      <c r="M274" t="str">
        <f t="shared" si="30"/>
        <v/>
      </c>
    </row>
    <row r="275" spans="1:13">
      <c r="A275" s="64" t="str">
        <f>IF(E275="","",VLOOKUP('OPĆI DIO'!$C$3,'OPĆI DIO'!$L$6:$U$138,10,FALSE))</f>
        <v/>
      </c>
      <c r="B275" s="64" t="str">
        <f>IF(E275="","",VLOOKUP('OPĆI DIO'!$C$3,'OPĆI DIO'!$L$6:$U$138,9,FALSE))</f>
        <v/>
      </c>
      <c r="C275" s="65" t="str">
        <f t="shared" si="25"/>
        <v/>
      </c>
      <c r="D275" s="66" t="str">
        <f t="shared" si="26"/>
        <v/>
      </c>
      <c r="E275" s="67"/>
      <c r="F275" s="68" t="str">
        <f t="shared" si="27"/>
        <v/>
      </c>
      <c r="G275" s="69"/>
      <c r="H275" s="69"/>
      <c r="I275" s="78">
        <f t="shared" si="28"/>
        <v>0</v>
      </c>
      <c r="J275" s="67"/>
      <c r="L275" t="str">
        <f t="shared" si="29"/>
        <v/>
      </c>
      <c r="M275" t="str">
        <f t="shared" si="30"/>
        <v/>
      </c>
    </row>
    <row r="276" spans="1:13">
      <c r="A276" s="64" t="str">
        <f>IF(E276="","",VLOOKUP('OPĆI DIO'!$C$3,'OPĆI DIO'!$L$6:$U$138,10,FALSE))</f>
        <v/>
      </c>
      <c r="B276" s="64" t="str">
        <f>IF(E276="","",VLOOKUP('OPĆI DIO'!$C$3,'OPĆI DIO'!$L$6:$U$138,9,FALSE))</f>
        <v/>
      </c>
      <c r="C276" s="65" t="str">
        <f t="shared" si="25"/>
        <v/>
      </c>
      <c r="D276" s="66" t="str">
        <f t="shared" si="26"/>
        <v/>
      </c>
      <c r="E276" s="67"/>
      <c r="F276" s="68" t="str">
        <f t="shared" si="27"/>
        <v/>
      </c>
      <c r="G276" s="69"/>
      <c r="H276" s="69"/>
      <c r="I276" s="78">
        <f t="shared" si="28"/>
        <v>0</v>
      </c>
      <c r="J276" s="67"/>
      <c r="L276" t="str">
        <f t="shared" si="29"/>
        <v/>
      </c>
      <c r="M276" t="str">
        <f t="shared" si="30"/>
        <v/>
      </c>
    </row>
    <row r="277" spans="1:13">
      <c r="A277" s="64" t="str">
        <f>IF(E277="","",VLOOKUP('OPĆI DIO'!$C$3,'OPĆI DIO'!$L$6:$U$138,10,FALSE))</f>
        <v/>
      </c>
      <c r="B277" s="64" t="str">
        <f>IF(E277="","",VLOOKUP('OPĆI DIO'!$C$3,'OPĆI DIO'!$L$6:$U$138,9,FALSE))</f>
        <v/>
      </c>
      <c r="C277" s="65" t="str">
        <f t="shared" si="25"/>
        <v/>
      </c>
      <c r="D277" s="66" t="str">
        <f t="shared" si="26"/>
        <v/>
      </c>
      <c r="E277" s="67"/>
      <c r="F277" s="68" t="str">
        <f t="shared" si="27"/>
        <v/>
      </c>
      <c r="G277" s="69"/>
      <c r="H277" s="69"/>
      <c r="I277" s="78">
        <f t="shared" si="28"/>
        <v>0</v>
      </c>
      <c r="J277" s="67"/>
      <c r="L277" t="str">
        <f t="shared" si="29"/>
        <v/>
      </c>
      <c r="M277" t="str">
        <f t="shared" si="30"/>
        <v/>
      </c>
    </row>
    <row r="278" spans="1:13">
      <c r="A278" s="64" t="str">
        <f>IF(E278="","",VLOOKUP('OPĆI DIO'!$C$3,'OPĆI DIO'!$L$6:$U$138,10,FALSE))</f>
        <v/>
      </c>
      <c r="B278" s="64" t="str">
        <f>IF(E278="","",VLOOKUP('OPĆI DIO'!$C$3,'OPĆI DIO'!$L$6:$U$138,9,FALSE))</f>
        <v/>
      </c>
      <c r="C278" s="65" t="str">
        <f t="shared" si="25"/>
        <v/>
      </c>
      <c r="D278" s="66" t="str">
        <f t="shared" si="26"/>
        <v/>
      </c>
      <c r="E278" s="67"/>
      <c r="F278" s="68" t="str">
        <f t="shared" si="27"/>
        <v/>
      </c>
      <c r="G278" s="69"/>
      <c r="H278" s="69"/>
      <c r="I278" s="78">
        <f t="shared" si="28"/>
        <v>0</v>
      </c>
      <c r="J278" s="67"/>
      <c r="L278" t="str">
        <f t="shared" si="29"/>
        <v/>
      </c>
      <c r="M278" t="str">
        <f t="shared" si="30"/>
        <v/>
      </c>
    </row>
    <row r="279" spans="1:13">
      <c r="A279" s="64" t="str">
        <f>IF(E279="","",VLOOKUP('OPĆI DIO'!$C$3,'OPĆI DIO'!$L$6:$U$138,10,FALSE))</f>
        <v/>
      </c>
      <c r="B279" s="64" t="str">
        <f>IF(E279="","",VLOOKUP('OPĆI DIO'!$C$3,'OPĆI DIO'!$L$6:$U$138,9,FALSE))</f>
        <v/>
      </c>
      <c r="C279" s="65" t="str">
        <f t="shared" si="25"/>
        <v/>
      </c>
      <c r="D279" s="66" t="str">
        <f t="shared" si="26"/>
        <v/>
      </c>
      <c r="E279" s="67"/>
      <c r="F279" s="68" t="str">
        <f t="shared" si="27"/>
        <v/>
      </c>
      <c r="G279" s="69"/>
      <c r="H279" s="69"/>
      <c r="I279" s="78">
        <f t="shared" si="28"/>
        <v>0</v>
      </c>
      <c r="J279" s="67"/>
      <c r="L279" t="str">
        <f t="shared" si="29"/>
        <v/>
      </c>
      <c r="M279" t="str">
        <f t="shared" si="30"/>
        <v/>
      </c>
    </row>
    <row r="280" spans="1:13">
      <c r="A280" s="64" t="str">
        <f>IF(E280="","",VLOOKUP('OPĆI DIO'!$C$3,'OPĆI DIO'!$L$6:$U$138,10,FALSE))</f>
        <v/>
      </c>
      <c r="B280" s="64" t="str">
        <f>IF(E280="","",VLOOKUP('OPĆI DIO'!$C$3,'OPĆI DIO'!$L$6:$U$138,9,FALSE))</f>
        <v/>
      </c>
      <c r="C280" s="65" t="str">
        <f t="shared" si="25"/>
        <v/>
      </c>
      <c r="D280" s="66" t="str">
        <f t="shared" si="26"/>
        <v/>
      </c>
      <c r="E280" s="67"/>
      <c r="F280" s="68" t="str">
        <f t="shared" si="27"/>
        <v/>
      </c>
      <c r="G280" s="69"/>
      <c r="H280" s="69"/>
      <c r="I280" s="78">
        <f t="shared" si="28"/>
        <v>0</v>
      </c>
      <c r="J280" s="67"/>
      <c r="L280" t="str">
        <f t="shared" si="29"/>
        <v/>
      </c>
      <c r="M280" t="str">
        <f t="shared" si="30"/>
        <v/>
      </c>
    </row>
    <row r="281" spans="1:13">
      <c r="A281" s="64" t="str">
        <f>IF(E281="","",VLOOKUP('OPĆI DIO'!$C$3,'OPĆI DIO'!$L$6:$U$138,10,FALSE))</f>
        <v/>
      </c>
      <c r="B281" s="64" t="str">
        <f>IF(E281="","",VLOOKUP('OPĆI DIO'!$C$3,'OPĆI DIO'!$L$6:$U$138,9,FALSE))</f>
        <v/>
      </c>
      <c r="C281" s="65" t="str">
        <f t="shared" si="25"/>
        <v/>
      </c>
      <c r="D281" s="66" t="str">
        <f t="shared" si="26"/>
        <v/>
      </c>
      <c r="E281" s="67"/>
      <c r="F281" s="68" t="str">
        <f t="shared" si="27"/>
        <v/>
      </c>
      <c r="G281" s="69"/>
      <c r="H281" s="69"/>
      <c r="I281" s="78">
        <f t="shared" si="28"/>
        <v>0</v>
      </c>
      <c r="J281" s="67"/>
      <c r="L281" t="str">
        <f t="shared" si="29"/>
        <v/>
      </c>
      <c r="M281" t="str">
        <f t="shared" si="30"/>
        <v/>
      </c>
    </row>
    <row r="282" spans="1:13">
      <c r="A282" s="64" t="str">
        <f>IF(E282="","",VLOOKUP('OPĆI DIO'!$C$3,'OPĆI DIO'!$L$6:$U$138,10,FALSE))</f>
        <v/>
      </c>
      <c r="B282" s="64" t="str">
        <f>IF(E282="","",VLOOKUP('OPĆI DIO'!$C$3,'OPĆI DIO'!$L$6:$U$138,9,FALSE))</f>
        <v/>
      </c>
      <c r="C282" s="65" t="str">
        <f t="shared" si="25"/>
        <v/>
      </c>
      <c r="D282" s="66" t="str">
        <f t="shared" si="26"/>
        <v/>
      </c>
      <c r="E282" s="67"/>
      <c r="F282" s="68" t="str">
        <f t="shared" si="27"/>
        <v/>
      </c>
      <c r="G282" s="69"/>
      <c r="H282" s="69"/>
      <c r="I282" s="78">
        <f t="shared" si="28"/>
        <v>0</v>
      </c>
      <c r="J282" s="67"/>
      <c r="L282" t="str">
        <f t="shared" si="29"/>
        <v/>
      </c>
      <c r="M282" t="str">
        <f t="shared" si="30"/>
        <v/>
      </c>
    </row>
    <row r="283" spans="1:13">
      <c r="A283" s="64" t="str">
        <f>IF(E283="","",VLOOKUP('OPĆI DIO'!$C$3,'OPĆI DIO'!$L$6:$U$138,10,FALSE))</f>
        <v/>
      </c>
      <c r="B283" s="64" t="str">
        <f>IF(E283="","",VLOOKUP('OPĆI DIO'!$C$3,'OPĆI DIO'!$L$6:$U$138,9,FALSE))</f>
        <v/>
      </c>
      <c r="C283" s="65" t="str">
        <f t="shared" si="25"/>
        <v/>
      </c>
      <c r="D283" s="66" t="str">
        <f t="shared" si="26"/>
        <v/>
      </c>
      <c r="E283" s="67"/>
      <c r="F283" s="68" t="str">
        <f t="shared" si="27"/>
        <v/>
      </c>
      <c r="G283" s="69"/>
      <c r="H283" s="69"/>
      <c r="I283" s="78">
        <f t="shared" si="28"/>
        <v>0</v>
      </c>
      <c r="J283" s="67"/>
      <c r="L283" t="str">
        <f t="shared" si="29"/>
        <v/>
      </c>
      <c r="M283" t="str">
        <f t="shared" si="30"/>
        <v/>
      </c>
    </row>
    <row r="284" spans="1:13">
      <c r="A284" s="64" t="str">
        <f>IF(E284="","",VLOOKUP('OPĆI DIO'!$C$3,'OPĆI DIO'!$L$6:$U$138,10,FALSE))</f>
        <v/>
      </c>
      <c r="B284" s="64" t="str">
        <f>IF(E284="","",VLOOKUP('OPĆI DIO'!$C$3,'OPĆI DIO'!$L$6:$U$138,9,FALSE))</f>
        <v/>
      </c>
      <c r="C284" s="65" t="str">
        <f t="shared" si="25"/>
        <v/>
      </c>
      <c r="D284" s="66" t="str">
        <f t="shared" si="26"/>
        <v/>
      </c>
      <c r="E284" s="67"/>
      <c r="F284" s="68" t="str">
        <f t="shared" si="27"/>
        <v/>
      </c>
      <c r="G284" s="69"/>
      <c r="H284" s="69"/>
      <c r="I284" s="78">
        <f t="shared" si="28"/>
        <v>0</v>
      </c>
      <c r="J284" s="67"/>
      <c r="L284" t="str">
        <f t="shared" si="29"/>
        <v/>
      </c>
      <c r="M284" t="str">
        <f t="shared" si="30"/>
        <v/>
      </c>
    </row>
    <row r="285" spans="1:13">
      <c r="A285" s="64" t="str">
        <f>IF(E285="","",VLOOKUP('OPĆI DIO'!$C$3,'OPĆI DIO'!$L$6:$U$138,10,FALSE))</f>
        <v/>
      </c>
      <c r="B285" s="64" t="str">
        <f>IF(E285="","",VLOOKUP('OPĆI DIO'!$C$3,'OPĆI DIO'!$L$6:$U$138,9,FALSE))</f>
        <v/>
      </c>
      <c r="C285" s="65" t="str">
        <f t="shared" si="25"/>
        <v/>
      </c>
      <c r="D285" s="66" t="str">
        <f t="shared" si="26"/>
        <v/>
      </c>
      <c r="E285" s="67"/>
      <c r="F285" s="68" t="str">
        <f t="shared" si="27"/>
        <v/>
      </c>
      <c r="G285" s="69"/>
      <c r="H285" s="69"/>
      <c r="I285" s="78">
        <f t="shared" si="28"/>
        <v>0</v>
      </c>
      <c r="J285" s="67"/>
      <c r="L285" t="str">
        <f t="shared" si="29"/>
        <v/>
      </c>
      <c r="M285" t="str">
        <f t="shared" si="30"/>
        <v/>
      </c>
    </row>
    <row r="286" spans="1:13">
      <c r="A286" s="64" t="str">
        <f>IF(E286="","",VLOOKUP('OPĆI DIO'!$C$3,'OPĆI DIO'!$L$6:$U$138,10,FALSE))</f>
        <v/>
      </c>
      <c r="B286" s="64" t="str">
        <f>IF(E286="","",VLOOKUP('OPĆI DIO'!$C$3,'OPĆI DIO'!$L$6:$U$138,9,FALSE))</f>
        <v/>
      </c>
      <c r="C286" s="65" t="str">
        <f t="shared" si="25"/>
        <v/>
      </c>
      <c r="D286" s="66" t="str">
        <f t="shared" si="26"/>
        <v/>
      </c>
      <c r="E286" s="67"/>
      <c r="F286" s="68" t="str">
        <f t="shared" si="27"/>
        <v/>
      </c>
      <c r="G286" s="69"/>
      <c r="H286" s="69"/>
      <c r="I286" s="78">
        <f t="shared" si="28"/>
        <v>0</v>
      </c>
      <c r="J286" s="67"/>
      <c r="L286" t="str">
        <f t="shared" si="29"/>
        <v/>
      </c>
      <c r="M286" t="str">
        <f t="shared" si="30"/>
        <v/>
      </c>
    </row>
    <row r="287" spans="1:13">
      <c r="A287" s="64" t="str">
        <f>IF(E287="","",VLOOKUP('OPĆI DIO'!$C$3,'OPĆI DIO'!$L$6:$U$138,10,FALSE))</f>
        <v/>
      </c>
      <c r="B287" s="64" t="str">
        <f>IF(E287="","",VLOOKUP('OPĆI DIO'!$C$3,'OPĆI DIO'!$L$6:$U$138,9,FALSE))</f>
        <v/>
      </c>
      <c r="C287" s="65" t="str">
        <f t="shared" si="25"/>
        <v/>
      </c>
      <c r="D287" s="66" t="str">
        <f t="shared" si="26"/>
        <v/>
      </c>
      <c r="E287" s="67"/>
      <c r="F287" s="68" t="str">
        <f t="shared" si="27"/>
        <v/>
      </c>
      <c r="G287" s="69"/>
      <c r="H287" s="69"/>
      <c r="I287" s="78">
        <f t="shared" si="28"/>
        <v>0</v>
      </c>
      <c r="J287" s="67"/>
      <c r="L287" t="str">
        <f t="shared" si="29"/>
        <v/>
      </c>
      <c r="M287" t="str">
        <f t="shared" si="30"/>
        <v/>
      </c>
    </row>
    <row r="288" spans="1:13">
      <c r="A288" s="64" t="str">
        <f>IF(E288="","",VLOOKUP('OPĆI DIO'!$C$3,'OPĆI DIO'!$L$6:$U$138,10,FALSE))</f>
        <v/>
      </c>
      <c r="B288" s="64" t="str">
        <f>IF(E288="","",VLOOKUP('OPĆI DIO'!$C$3,'OPĆI DIO'!$L$6:$U$138,9,FALSE))</f>
        <v/>
      </c>
      <c r="C288" s="65" t="str">
        <f t="shared" si="25"/>
        <v/>
      </c>
      <c r="D288" s="66" t="str">
        <f t="shared" si="26"/>
        <v/>
      </c>
      <c r="E288" s="67"/>
      <c r="F288" s="68" t="str">
        <f t="shared" si="27"/>
        <v/>
      </c>
      <c r="G288" s="69"/>
      <c r="H288" s="69"/>
      <c r="I288" s="78">
        <f t="shared" si="28"/>
        <v>0</v>
      </c>
      <c r="J288" s="67"/>
      <c r="L288" t="str">
        <f t="shared" si="29"/>
        <v/>
      </c>
      <c r="M288" t="str">
        <f t="shared" si="30"/>
        <v/>
      </c>
    </row>
    <row r="289" spans="1:13">
      <c r="A289" s="64" t="str">
        <f>IF(E289="","",VLOOKUP('OPĆI DIO'!$C$3,'OPĆI DIO'!$L$6:$U$138,10,FALSE))</f>
        <v/>
      </c>
      <c r="B289" s="64" t="str">
        <f>IF(E289="","",VLOOKUP('OPĆI DIO'!$C$3,'OPĆI DIO'!$L$6:$U$138,9,FALSE))</f>
        <v/>
      </c>
      <c r="C289" s="65" t="str">
        <f t="shared" si="25"/>
        <v/>
      </c>
      <c r="D289" s="66" t="str">
        <f t="shared" si="26"/>
        <v/>
      </c>
      <c r="E289" s="67"/>
      <c r="F289" s="68" t="str">
        <f t="shared" si="27"/>
        <v/>
      </c>
      <c r="G289" s="69"/>
      <c r="H289" s="69"/>
      <c r="I289" s="78">
        <f t="shared" si="28"/>
        <v>0</v>
      </c>
      <c r="J289" s="67"/>
      <c r="L289" t="str">
        <f t="shared" si="29"/>
        <v/>
      </c>
      <c r="M289" t="str">
        <f t="shared" si="30"/>
        <v/>
      </c>
    </row>
    <row r="290" spans="1:13">
      <c r="A290" s="64" t="str">
        <f>IF(E290="","",VLOOKUP('OPĆI DIO'!$C$3,'OPĆI DIO'!$L$6:$U$138,10,FALSE))</f>
        <v/>
      </c>
      <c r="B290" s="64" t="str">
        <f>IF(E290="","",VLOOKUP('OPĆI DIO'!$C$3,'OPĆI DIO'!$L$6:$U$138,9,FALSE))</f>
        <v/>
      </c>
      <c r="C290" s="65" t="str">
        <f t="shared" si="25"/>
        <v/>
      </c>
      <c r="D290" s="66" t="str">
        <f t="shared" si="26"/>
        <v/>
      </c>
      <c r="E290" s="67"/>
      <c r="F290" s="68" t="str">
        <f t="shared" si="27"/>
        <v/>
      </c>
      <c r="G290" s="69"/>
      <c r="H290" s="69"/>
      <c r="I290" s="78">
        <f t="shared" si="28"/>
        <v>0</v>
      </c>
      <c r="J290" s="67"/>
      <c r="L290" t="str">
        <f t="shared" si="29"/>
        <v/>
      </c>
      <c r="M290" t="str">
        <f t="shared" si="30"/>
        <v/>
      </c>
    </row>
    <row r="291" spans="1:13">
      <c r="A291" s="64" t="str">
        <f>IF(E291="","",VLOOKUP('OPĆI DIO'!$C$3,'OPĆI DIO'!$L$6:$U$138,10,FALSE))</f>
        <v/>
      </c>
      <c r="B291" s="64" t="str">
        <f>IF(E291="","",VLOOKUP('OPĆI DIO'!$C$3,'OPĆI DIO'!$L$6:$U$138,9,FALSE))</f>
        <v/>
      </c>
      <c r="C291" s="65" t="str">
        <f t="shared" si="25"/>
        <v/>
      </c>
      <c r="D291" s="66" t="str">
        <f t="shared" si="26"/>
        <v/>
      </c>
      <c r="E291" s="67"/>
      <c r="F291" s="68" t="str">
        <f t="shared" si="27"/>
        <v/>
      </c>
      <c r="G291" s="69"/>
      <c r="H291" s="69"/>
      <c r="I291" s="78">
        <f t="shared" si="28"/>
        <v>0</v>
      </c>
      <c r="J291" s="67"/>
      <c r="L291" t="str">
        <f t="shared" si="29"/>
        <v/>
      </c>
      <c r="M291" t="str">
        <f t="shared" si="30"/>
        <v/>
      </c>
    </row>
    <row r="292" spans="1:13">
      <c r="A292" s="64" t="str">
        <f>IF(E292="","",VLOOKUP('OPĆI DIO'!$C$3,'OPĆI DIO'!$L$6:$U$138,10,FALSE))</f>
        <v/>
      </c>
      <c r="B292" s="64" t="str">
        <f>IF(E292="","",VLOOKUP('OPĆI DIO'!$C$3,'OPĆI DIO'!$L$6:$U$138,9,FALSE))</f>
        <v/>
      </c>
      <c r="C292" s="65" t="str">
        <f t="shared" si="25"/>
        <v/>
      </c>
      <c r="D292" s="66" t="str">
        <f t="shared" si="26"/>
        <v/>
      </c>
      <c r="E292" s="67"/>
      <c r="F292" s="68" t="str">
        <f t="shared" si="27"/>
        <v/>
      </c>
      <c r="G292" s="69"/>
      <c r="H292" s="69"/>
      <c r="I292" s="78">
        <f t="shared" si="28"/>
        <v>0</v>
      </c>
      <c r="J292" s="67"/>
      <c r="L292" t="str">
        <f t="shared" si="29"/>
        <v/>
      </c>
      <c r="M292" t="str">
        <f t="shared" si="30"/>
        <v/>
      </c>
    </row>
    <row r="293" spans="1:13">
      <c r="A293" s="64" t="str">
        <f>IF(E293="","",VLOOKUP('OPĆI DIO'!$C$3,'OPĆI DIO'!$L$6:$U$138,10,FALSE))</f>
        <v/>
      </c>
      <c r="B293" s="64" t="str">
        <f>IF(E293="","",VLOOKUP('OPĆI DIO'!$C$3,'OPĆI DIO'!$L$6:$U$138,9,FALSE))</f>
        <v/>
      </c>
      <c r="C293" s="65" t="str">
        <f t="shared" si="25"/>
        <v/>
      </c>
      <c r="D293" s="66" t="str">
        <f t="shared" si="26"/>
        <v/>
      </c>
      <c r="E293" s="67"/>
      <c r="F293" s="68" t="str">
        <f t="shared" si="27"/>
        <v/>
      </c>
      <c r="G293" s="69"/>
      <c r="H293" s="69"/>
      <c r="I293" s="78">
        <f t="shared" si="28"/>
        <v>0</v>
      </c>
      <c r="J293" s="67"/>
      <c r="L293" t="str">
        <f t="shared" si="29"/>
        <v/>
      </c>
      <c r="M293" t="str">
        <f t="shared" si="30"/>
        <v/>
      </c>
    </row>
    <row r="294" spans="1:13">
      <c r="A294" s="64" t="str">
        <f>IF(E294="","",VLOOKUP('OPĆI DIO'!$C$3,'OPĆI DIO'!$L$6:$U$138,10,FALSE))</f>
        <v/>
      </c>
      <c r="B294" s="64" t="str">
        <f>IF(E294="","",VLOOKUP('OPĆI DIO'!$C$3,'OPĆI DIO'!$L$6:$U$138,9,FALSE))</f>
        <v/>
      </c>
      <c r="C294" s="65" t="str">
        <f t="shared" si="25"/>
        <v/>
      </c>
      <c r="D294" s="66" t="str">
        <f t="shared" si="26"/>
        <v/>
      </c>
      <c r="E294" s="67"/>
      <c r="F294" s="68" t="str">
        <f t="shared" si="27"/>
        <v/>
      </c>
      <c r="G294" s="69"/>
      <c r="H294" s="69"/>
      <c r="I294" s="78">
        <f t="shared" si="28"/>
        <v>0</v>
      </c>
      <c r="J294" s="67"/>
      <c r="L294" t="str">
        <f t="shared" si="29"/>
        <v/>
      </c>
      <c r="M294" t="str">
        <f t="shared" si="30"/>
        <v/>
      </c>
    </row>
    <row r="295" spans="1:13">
      <c r="A295" s="64" t="str">
        <f>IF(E295="","",VLOOKUP('OPĆI DIO'!$C$3,'OPĆI DIO'!$L$6:$U$138,10,FALSE))</f>
        <v/>
      </c>
      <c r="B295" s="64" t="str">
        <f>IF(E295="","",VLOOKUP('OPĆI DIO'!$C$3,'OPĆI DIO'!$L$6:$U$138,9,FALSE))</f>
        <v/>
      </c>
      <c r="C295" s="65" t="str">
        <f t="shared" ref="C295:C358" si="31">IFERROR(VLOOKUP(E295,$R$6:$U$109,3,FALSE),"")</f>
        <v/>
      </c>
      <c r="D295" s="66" t="str">
        <f t="shared" ref="D295:D358" si="32">IFERROR(VLOOKUP(E295,$R$6:$U$109,4,FALSE),"")</f>
        <v/>
      </c>
      <c r="E295" s="67"/>
      <c r="F295" s="68" t="str">
        <f t="shared" ref="F295:F358" si="33">IFERROR(VLOOKUP(E295,$R$6:$U$109,2,FALSE),"")</f>
        <v/>
      </c>
      <c r="G295" s="69"/>
      <c r="H295" s="69"/>
      <c r="I295" s="78">
        <f t="shared" si="28"/>
        <v>0</v>
      </c>
      <c r="J295" s="67"/>
      <c r="L295" t="str">
        <f t="shared" si="29"/>
        <v/>
      </c>
      <c r="M295" t="str">
        <f t="shared" si="30"/>
        <v/>
      </c>
    </row>
    <row r="296" spans="1:13">
      <c r="A296" s="64" t="str">
        <f>IF(E296="","",VLOOKUP('OPĆI DIO'!$C$3,'OPĆI DIO'!$L$6:$U$138,10,FALSE))</f>
        <v/>
      </c>
      <c r="B296" s="64" t="str">
        <f>IF(E296="","",VLOOKUP('OPĆI DIO'!$C$3,'OPĆI DIO'!$L$6:$U$138,9,FALSE))</f>
        <v/>
      </c>
      <c r="C296" s="65" t="str">
        <f t="shared" si="31"/>
        <v/>
      </c>
      <c r="D296" s="66" t="str">
        <f t="shared" si="32"/>
        <v/>
      </c>
      <c r="E296" s="67"/>
      <c r="F296" s="68" t="str">
        <f t="shared" si="33"/>
        <v/>
      </c>
      <c r="G296" s="69"/>
      <c r="H296" s="69"/>
      <c r="I296" s="78">
        <f t="shared" si="28"/>
        <v>0</v>
      </c>
      <c r="J296" s="67"/>
      <c r="L296" t="str">
        <f t="shared" si="29"/>
        <v/>
      </c>
      <c r="M296" t="str">
        <f t="shared" si="30"/>
        <v/>
      </c>
    </row>
    <row r="297" spans="1:13">
      <c r="A297" s="64" t="str">
        <f>IF(E297="","",VLOOKUP('OPĆI DIO'!$C$3,'OPĆI DIO'!$L$6:$U$138,10,FALSE))</f>
        <v/>
      </c>
      <c r="B297" s="64" t="str">
        <f>IF(E297="","",VLOOKUP('OPĆI DIO'!$C$3,'OPĆI DIO'!$L$6:$U$138,9,FALSE))</f>
        <v/>
      </c>
      <c r="C297" s="65" t="str">
        <f t="shared" si="31"/>
        <v/>
      </c>
      <c r="D297" s="66" t="str">
        <f t="shared" si="32"/>
        <v/>
      </c>
      <c r="E297" s="67"/>
      <c r="F297" s="68" t="str">
        <f t="shared" si="33"/>
        <v/>
      </c>
      <c r="G297" s="69"/>
      <c r="H297" s="69"/>
      <c r="I297" s="78">
        <f t="shared" si="28"/>
        <v>0</v>
      </c>
      <c r="J297" s="67"/>
      <c r="L297" t="str">
        <f t="shared" si="29"/>
        <v/>
      </c>
      <c r="M297" t="str">
        <f t="shared" si="30"/>
        <v/>
      </c>
    </row>
    <row r="298" spans="1:13">
      <c r="A298" s="64" t="str">
        <f>IF(E298="","",VLOOKUP('OPĆI DIO'!$C$3,'OPĆI DIO'!$L$6:$U$138,10,FALSE))</f>
        <v/>
      </c>
      <c r="B298" s="64" t="str">
        <f>IF(E298="","",VLOOKUP('OPĆI DIO'!$C$3,'OPĆI DIO'!$L$6:$U$138,9,FALSE))</f>
        <v/>
      </c>
      <c r="C298" s="65" t="str">
        <f t="shared" si="31"/>
        <v/>
      </c>
      <c r="D298" s="66" t="str">
        <f t="shared" si="32"/>
        <v/>
      </c>
      <c r="E298" s="67"/>
      <c r="F298" s="68" t="str">
        <f t="shared" si="33"/>
        <v/>
      </c>
      <c r="G298" s="69"/>
      <c r="H298" s="69"/>
      <c r="I298" s="78">
        <f t="shared" si="28"/>
        <v>0</v>
      </c>
      <c r="J298" s="67"/>
      <c r="L298" t="str">
        <f t="shared" si="29"/>
        <v/>
      </c>
      <c r="M298" t="str">
        <f t="shared" si="30"/>
        <v/>
      </c>
    </row>
    <row r="299" spans="1:13">
      <c r="A299" s="64" t="str">
        <f>IF(E299="","",VLOOKUP('OPĆI DIO'!$C$3,'OPĆI DIO'!$L$6:$U$138,10,FALSE))</f>
        <v/>
      </c>
      <c r="B299" s="64" t="str">
        <f>IF(E299="","",VLOOKUP('OPĆI DIO'!$C$3,'OPĆI DIO'!$L$6:$U$138,9,FALSE))</f>
        <v/>
      </c>
      <c r="C299" s="65" t="str">
        <f t="shared" si="31"/>
        <v/>
      </c>
      <c r="D299" s="66" t="str">
        <f t="shared" si="32"/>
        <v/>
      </c>
      <c r="E299" s="67"/>
      <c r="F299" s="68" t="str">
        <f t="shared" si="33"/>
        <v/>
      </c>
      <c r="G299" s="69"/>
      <c r="H299" s="69"/>
      <c r="I299" s="78">
        <f t="shared" si="28"/>
        <v>0</v>
      </c>
      <c r="J299" s="67"/>
      <c r="L299" t="str">
        <f t="shared" si="29"/>
        <v/>
      </c>
      <c r="M299" t="str">
        <f t="shared" si="30"/>
        <v/>
      </c>
    </row>
    <row r="300" spans="1:13">
      <c r="A300" s="64" t="str">
        <f>IF(E300="","",VLOOKUP('OPĆI DIO'!$C$3,'OPĆI DIO'!$L$6:$U$138,10,FALSE))</f>
        <v/>
      </c>
      <c r="B300" s="64" t="str">
        <f>IF(E300="","",VLOOKUP('OPĆI DIO'!$C$3,'OPĆI DIO'!$L$6:$U$138,9,FALSE))</f>
        <v/>
      </c>
      <c r="C300" s="65" t="str">
        <f t="shared" si="31"/>
        <v/>
      </c>
      <c r="D300" s="66" t="str">
        <f t="shared" si="32"/>
        <v/>
      </c>
      <c r="E300" s="67"/>
      <c r="F300" s="68" t="str">
        <f t="shared" si="33"/>
        <v/>
      </c>
      <c r="G300" s="69"/>
      <c r="H300" s="69"/>
      <c r="I300" s="78">
        <f t="shared" si="28"/>
        <v>0</v>
      </c>
      <c r="J300" s="67"/>
      <c r="L300" t="str">
        <f t="shared" si="29"/>
        <v/>
      </c>
      <c r="M300" t="str">
        <f t="shared" si="30"/>
        <v/>
      </c>
    </row>
    <row r="301" spans="1:13">
      <c r="A301" s="64" t="str">
        <f>IF(E301="","",VLOOKUP('OPĆI DIO'!$C$3,'OPĆI DIO'!$L$6:$U$138,10,FALSE))</f>
        <v/>
      </c>
      <c r="B301" s="64" t="str">
        <f>IF(E301="","",VLOOKUP('OPĆI DIO'!$C$3,'OPĆI DIO'!$L$6:$U$138,9,FALSE))</f>
        <v/>
      </c>
      <c r="C301" s="65" t="str">
        <f t="shared" si="31"/>
        <v/>
      </c>
      <c r="D301" s="66" t="str">
        <f t="shared" si="32"/>
        <v/>
      </c>
      <c r="E301" s="67"/>
      <c r="F301" s="68" t="str">
        <f t="shared" si="33"/>
        <v/>
      </c>
      <c r="G301" s="69"/>
      <c r="H301" s="69"/>
      <c r="I301" s="78">
        <f t="shared" si="28"/>
        <v>0</v>
      </c>
      <c r="J301" s="67"/>
      <c r="L301" t="str">
        <f t="shared" si="29"/>
        <v/>
      </c>
      <c r="M301" t="str">
        <f t="shared" si="30"/>
        <v/>
      </c>
    </row>
    <row r="302" spans="1:13">
      <c r="A302" s="64" t="str">
        <f>IF(E302="","",VLOOKUP('OPĆI DIO'!$C$3,'OPĆI DIO'!$L$6:$U$138,10,FALSE))</f>
        <v/>
      </c>
      <c r="B302" s="64" t="str">
        <f>IF(E302="","",VLOOKUP('OPĆI DIO'!$C$3,'OPĆI DIO'!$L$6:$U$138,9,FALSE))</f>
        <v/>
      </c>
      <c r="C302" s="65" t="str">
        <f t="shared" si="31"/>
        <v/>
      </c>
      <c r="D302" s="66" t="str">
        <f t="shared" si="32"/>
        <v/>
      </c>
      <c r="E302" s="67"/>
      <c r="F302" s="68" t="str">
        <f t="shared" si="33"/>
        <v/>
      </c>
      <c r="G302" s="69"/>
      <c r="H302" s="69"/>
      <c r="I302" s="78">
        <f t="shared" si="28"/>
        <v>0</v>
      </c>
      <c r="J302" s="67"/>
      <c r="L302" t="str">
        <f t="shared" si="29"/>
        <v/>
      </c>
      <c r="M302" t="str">
        <f t="shared" si="30"/>
        <v/>
      </c>
    </row>
    <row r="303" spans="1:13">
      <c r="A303" s="64" t="str">
        <f>IF(E303="","",VLOOKUP('OPĆI DIO'!$C$3,'OPĆI DIO'!$L$6:$U$138,10,FALSE))</f>
        <v/>
      </c>
      <c r="B303" s="64" t="str">
        <f>IF(E303="","",VLOOKUP('OPĆI DIO'!$C$3,'OPĆI DIO'!$L$6:$U$138,9,FALSE))</f>
        <v/>
      </c>
      <c r="C303" s="65" t="str">
        <f t="shared" si="31"/>
        <v/>
      </c>
      <c r="D303" s="66" t="str">
        <f t="shared" si="32"/>
        <v/>
      </c>
      <c r="E303" s="67"/>
      <c r="F303" s="68" t="str">
        <f t="shared" si="33"/>
        <v/>
      </c>
      <c r="G303" s="69"/>
      <c r="H303" s="69"/>
      <c r="I303" s="78">
        <f t="shared" si="28"/>
        <v>0</v>
      </c>
      <c r="J303" s="67"/>
      <c r="L303" t="str">
        <f t="shared" si="29"/>
        <v/>
      </c>
      <c r="M303" t="str">
        <f t="shared" si="30"/>
        <v/>
      </c>
    </row>
    <row r="304" spans="1:13">
      <c r="A304" s="64" t="str">
        <f>IF(E304="","",VLOOKUP('OPĆI DIO'!$C$3,'OPĆI DIO'!$L$6:$U$138,10,FALSE))</f>
        <v/>
      </c>
      <c r="B304" s="64" t="str">
        <f>IF(E304="","",VLOOKUP('OPĆI DIO'!$C$3,'OPĆI DIO'!$L$6:$U$138,9,FALSE))</f>
        <v/>
      </c>
      <c r="C304" s="65" t="str">
        <f t="shared" si="31"/>
        <v/>
      </c>
      <c r="D304" s="66" t="str">
        <f t="shared" si="32"/>
        <v/>
      </c>
      <c r="E304" s="67"/>
      <c r="F304" s="68" t="str">
        <f t="shared" si="33"/>
        <v/>
      </c>
      <c r="G304" s="69"/>
      <c r="H304" s="69"/>
      <c r="I304" s="78">
        <f t="shared" si="28"/>
        <v>0</v>
      </c>
      <c r="J304" s="67"/>
      <c r="L304" t="str">
        <f t="shared" si="29"/>
        <v/>
      </c>
      <c r="M304" t="str">
        <f t="shared" si="30"/>
        <v/>
      </c>
    </row>
    <row r="305" spans="1:13">
      <c r="A305" s="64" t="str">
        <f>IF(E305="","",VLOOKUP('OPĆI DIO'!$C$3,'OPĆI DIO'!$L$6:$U$138,10,FALSE))</f>
        <v/>
      </c>
      <c r="B305" s="64" t="str">
        <f>IF(E305="","",VLOOKUP('OPĆI DIO'!$C$3,'OPĆI DIO'!$L$6:$U$138,9,FALSE))</f>
        <v/>
      </c>
      <c r="C305" s="65" t="str">
        <f t="shared" si="31"/>
        <v/>
      </c>
      <c r="D305" s="66" t="str">
        <f t="shared" si="32"/>
        <v/>
      </c>
      <c r="E305" s="67"/>
      <c r="F305" s="68" t="str">
        <f t="shared" si="33"/>
        <v/>
      </c>
      <c r="G305" s="69"/>
      <c r="H305" s="69"/>
      <c r="I305" s="78">
        <f t="shared" si="28"/>
        <v>0</v>
      </c>
      <c r="J305" s="67"/>
      <c r="L305" t="str">
        <f t="shared" si="29"/>
        <v/>
      </c>
      <c r="M305" t="str">
        <f t="shared" si="30"/>
        <v/>
      </c>
    </row>
    <row r="306" spans="1:13">
      <c r="A306" s="64" t="str">
        <f>IF(E306="","",VLOOKUP('OPĆI DIO'!$C$3,'OPĆI DIO'!$L$6:$U$138,10,FALSE))</f>
        <v/>
      </c>
      <c r="B306" s="64" t="str">
        <f>IF(E306="","",VLOOKUP('OPĆI DIO'!$C$3,'OPĆI DIO'!$L$6:$U$138,9,FALSE))</f>
        <v/>
      </c>
      <c r="C306" s="65" t="str">
        <f t="shared" si="31"/>
        <v/>
      </c>
      <c r="D306" s="66" t="str">
        <f t="shared" si="32"/>
        <v/>
      </c>
      <c r="E306" s="67"/>
      <c r="F306" s="68" t="str">
        <f t="shared" si="33"/>
        <v/>
      </c>
      <c r="G306" s="69"/>
      <c r="H306" s="69"/>
      <c r="I306" s="78">
        <f t="shared" si="28"/>
        <v>0</v>
      </c>
      <c r="J306" s="67"/>
      <c r="L306" t="str">
        <f t="shared" si="29"/>
        <v/>
      </c>
      <c r="M306" t="str">
        <f t="shared" si="30"/>
        <v/>
      </c>
    </row>
    <row r="307" spans="1:13">
      <c r="A307" s="64" t="str">
        <f>IF(E307="","",VLOOKUP('OPĆI DIO'!$C$3,'OPĆI DIO'!$L$6:$U$138,10,FALSE))</f>
        <v/>
      </c>
      <c r="B307" s="64" t="str">
        <f>IF(E307="","",VLOOKUP('OPĆI DIO'!$C$3,'OPĆI DIO'!$L$6:$U$138,9,FALSE))</f>
        <v/>
      </c>
      <c r="C307" s="65" t="str">
        <f t="shared" si="31"/>
        <v/>
      </c>
      <c r="D307" s="66" t="str">
        <f t="shared" si="32"/>
        <v/>
      </c>
      <c r="E307" s="67"/>
      <c r="F307" s="68" t="str">
        <f t="shared" si="33"/>
        <v/>
      </c>
      <c r="G307" s="69"/>
      <c r="H307" s="69"/>
      <c r="I307" s="78">
        <f t="shared" si="28"/>
        <v>0</v>
      </c>
      <c r="J307" s="67"/>
      <c r="L307" t="str">
        <f t="shared" si="29"/>
        <v/>
      </c>
      <c r="M307" t="str">
        <f t="shared" si="30"/>
        <v/>
      </c>
    </row>
    <row r="308" spans="1:13">
      <c r="A308" s="64" t="str">
        <f>IF(E308="","",VLOOKUP('OPĆI DIO'!$C$3,'OPĆI DIO'!$L$6:$U$138,10,FALSE))</f>
        <v/>
      </c>
      <c r="B308" s="64" t="str">
        <f>IF(E308="","",VLOOKUP('OPĆI DIO'!$C$3,'OPĆI DIO'!$L$6:$U$138,9,FALSE))</f>
        <v/>
      </c>
      <c r="C308" s="65" t="str">
        <f t="shared" si="31"/>
        <v/>
      </c>
      <c r="D308" s="66" t="str">
        <f t="shared" si="32"/>
        <v/>
      </c>
      <c r="E308" s="67"/>
      <c r="F308" s="68" t="str">
        <f t="shared" si="33"/>
        <v/>
      </c>
      <c r="G308" s="69"/>
      <c r="H308" s="69"/>
      <c r="I308" s="78">
        <f t="shared" si="28"/>
        <v>0</v>
      </c>
      <c r="J308" s="67"/>
      <c r="L308" t="str">
        <f t="shared" si="29"/>
        <v/>
      </c>
      <c r="M308" t="str">
        <f t="shared" si="30"/>
        <v/>
      </c>
    </row>
    <row r="309" spans="1:13">
      <c r="A309" s="64" t="str">
        <f>IF(E309="","",VLOOKUP('OPĆI DIO'!$C$3,'OPĆI DIO'!$L$6:$U$138,10,FALSE))</f>
        <v/>
      </c>
      <c r="B309" s="64" t="str">
        <f>IF(E309="","",VLOOKUP('OPĆI DIO'!$C$3,'OPĆI DIO'!$L$6:$U$138,9,FALSE))</f>
        <v/>
      </c>
      <c r="C309" s="65" t="str">
        <f t="shared" si="31"/>
        <v/>
      </c>
      <c r="D309" s="66" t="str">
        <f t="shared" si="32"/>
        <v/>
      </c>
      <c r="E309" s="67"/>
      <c r="F309" s="68" t="str">
        <f t="shared" si="33"/>
        <v/>
      </c>
      <c r="G309" s="69"/>
      <c r="H309" s="69"/>
      <c r="I309" s="78">
        <f t="shared" si="28"/>
        <v>0</v>
      </c>
      <c r="J309" s="67"/>
      <c r="L309" t="str">
        <f t="shared" si="29"/>
        <v/>
      </c>
      <c r="M309" t="str">
        <f t="shared" si="30"/>
        <v/>
      </c>
    </row>
    <row r="310" spans="1:13">
      <c r="A310" s="64" t="str">
        <f>IF(E310="","",VLOOKUP('OPĆI DIO'!$C$3,'OPĆI DIO'!$L$6:$U$138,10,FALSE))</f>
        <v/>
      </c>
      <c r="B310" s="64" t="str">
        <f>IF(E310="","",VLOOKUP('OPĆI DIO'!$C$3,'OPĆI DIO'!$L$6:$U$138,9,FALSE))</f>
        <v/>
      </c>
      <c r="C310" s="65" t="str">
        <f t="shared" si="31"/>
        <v/>
      </c>
      <c r="D310" s="66" t="str">
        <f t="shared" si="32"/>
        <v/>
      </c>
      <c r="E310" s="67"/>
      <c r="F310" s="68" t="str">
        <f t="shared" si="33"/>
        <v/>
      </c>
      <c r="G310" s="69"/>
      <c r="H310" s="69"/>
      <c r="I310" s="78">
        <f t="shared" si="28"/>
        <v>0</v>
      </c>
      <c r="J310" s="67"/>
      <c r="L310" t="str">
        <f t="shared" si="29"/>
        <v/>
      </c>
      <c r="M310" t="str">
        <f t="shared" si="30"/>
        <v/>
      </c>
    </row>
    <row r="311" spans="1:13">
      <c r="A311" s="64" t="str">
        <f>IF(E311="","",VLOOKUP('OPĆI DIO'!$C$3,'OPĆI DIO'!$L$6:$U$138,10,FALSE))</f>
        <v/>
      </c>
      <c r="B311" s="64" t="str">
        <f>IF(E311="","",VLOOKUP('OPĆI DIO'!$C$3,'OPĆI DIO'!$L$6:$U$138,9,FALSE))</f>
        <v/>
      </c>
      <c r="C311" s="65" t="str">
        <f t="shared" si="31"/>
        <v/>
      </c>
      <c r="D311" s="66" t="str">
        <f t="shared" si="32"/>
        <v/>
      </c>
      <c r="E311" s="67"/>
      <c r="F311" s="68" t="str">
        <f t="shared" si="33"/>
        <v/>
      </c>
      <c r="G311" s="69"/>
      <c r="H311" s="69"/>
      <c r="I311" s="78">
        <f t="shared" si="28"/>
        <v>0</v>
      </c>
      <c r="J311" s="67"/>
      <c r="L311" t="str">
        <f t="shared" si="29"/>
        <v/>
      </c>
      <c r="M311" t="str">
        <f t="shared" si="30"/>
        <v/>
      </c>
    </row>
    <row r="312" spans="1:13">
      <c r="A312" s="64" t="str">
        <f>IF(E312="","",VLOOKUP('OPĆI DIO'!$C$3,'OPĆI DIO'!$L$6:$U$138,10,FALSE))</f>
        <v/>
      </c>
      <c r="B312" s="64" t="str">
        <f>IF(E312="","",VLOOKUP('OPĆI DIO'!$C$3,'OPĆI DIO'!$L$6:$U$138,9,FALSE))</f>
        <v/>
      </c>
      <c r="C312" s="65" t="str">
        <f t="shared" si="31"/>
        <v/>
      </c>
      <c r="D312" s="66" t="str">
        <f t="shared" si="32"/>
        <v/>
      </c>
      <c r="E312" s="67"/>
      <c r="F312" s="68" t="str">
        <f t="shared" si="33"/>
        <v/>
      </c>
      <c r="G312" s="69"/>
      <c r="H312" s="69"/>
      <c r="I312" s="78">
        <f t="shared" si="28"/>
        <v>0</v>
      </c>
      <c r="J312" s="67"/>
      <c r="L312" t="str">
        <f t="shared" si="29"/>
        <v/>
      </c>
      <c r="M312" t="str">
        <f t="shared" si="30"/>
        <v/>
      </c>
    </row>
    <row r="313" spans="1:13">
      <c r="A313" s="64" t="str">
        <f>IF(E313="","",VLOOKUP('OPĆI DIO'!$C$3,'OPĆI DIO'!$L$6:$U$138,10,FALSE))</f>
        <v/>
      </c>
      <c r="B313" s="64" t="str">
        <f>IF(E313="","",VLOOKUP('OPĆI DIO'!$C$3,'OPĆI DIO'!$L$6:$U$138,9,FALSE))</f>
        <v/>
      </c>
      <c r="C313" s="65" t="str">
        <f t="shared" si="31"/>
        <v/>
      </c>
      <c r="D313" s="66" t="str">
        <f t="shared" si="32"/>
        <v/>
      </c>
      <c r="E313" s="67"/>
      <c r="F313" s="68" t="str">
        <f t="shared" si="33"/>
        <v/>
      </c>
      <c r="G313" s="69"/>
      <c r="H313" s="69"/>
      <c r="I313" s="78">
        <f t="shared" si="28"/>
        <v>0</v>
      </c>
      <c r="J313" s="67"/>
      <c r="L313" t="str">
        <f t="shared" si="29"/>
        <v/>
      </c>
      <c r="M313" t="str">
        <f t="shared" si="30"/>
        <v/>
      </c>
    </row>
    <row r="314" spans="1:13">
      <c r="A314" s="64" t="str">
        <f>IF(E314="","",VLOOKUP('OPĆI DIO'!$C$3,'OPĆI DIO'!$L$6:$U$138,10,FALSE))</f>
        <v/>
      </c>
      <c r="B314" s="64" t="str">
        <f>IF(E314="","",VLOOKUP('OPĆI DIO'!$C$3,'OPĆI DIO'!$L$6:$U$138,9,FALSE))</f>
        <v/>
      </c>
      <c r="C314" s="65" t="str">
        <f t="shared" si="31"/>
        <v/>
      </c>
      <c r="D314" s="66" t="str">
        <f t="shared" si="32"/>
        <v/>
      </c>
      <c r="E314" s="67"/>
      <c r="F314" s="68" t="str">
        <f t="shared" si="33"/>
        <v/>
      </c>
      <c r="G314" s="69"/>
      <c r="H314" s="69"/>
      <c r="I314" s="78">
        <f t="shared" si="28"/>
        <v>0</v>
      </c>
      <c r="J314" s="67"/>
      <c r="L314" t="str">
        <f t="shared" si="29"/>
        <v/>
      </c>
      <c r="M314" t="str">
        <f t="shared" si="30"/>
        <v/>
      </c>
    </row>
    <row r="315" spans="1:13">
      <c r="A315" s="64" t="str">
        <f>IF(E315="","",VLOOKUP('OPĆI DIO'!$C$3,'OPĆI DIO'!$L$6:$U$138,10,FALSE))</f>
        <v/>
      </c>
      <c r="B315" s="64" t="str">
        <f>IF(E315="","",VLOOKUP('OPĆI DIO'!$C$3,'OPĆI DIO'!$L$6:$U$138,9,FALSE))</f>
        <v/>
      </c>
      <c r="C315" s="65" t="str">
        <f t="shared" si="31"/>
        <v/>
      </c>
      <c r="D315" s="66" t="str">
        <f t="shared" si="32"/>
        <v/>
      </c>
      <c r="E315" s="67"/>
      <c r="F315" s="68" t="str">
        <f t="shared" si="33"/>
        <v/>
      </c>
      <c r="G315" s="69"/>
      <c r="H315" s="69"/>
      <c r="I315" s="78">
        <f t="shared" si="28"/>
        <v>0</v>
      </c>
      <c r="J315" s="67"/>
      <c r="L315" t="str">
        <f t="shared" si="29"/>
        <v/>
      </c>
      <c r="M315" t="str">
        <f t="shared" si="30"/>
        <v/>
      </c>
    </row>
    <row r="316" spans="1:13">
      <c r="A316" s="64" t="str">
        <f>IF(E316="","",VLOOKUP('OPĆI DIO'!$C$3,'OPĆI DIO'!$L$6:$U$138,10,FALSE))</f>
        <v/>
      </c>
      <c r="B316" s="64" t="str">
        <f>IF(E316="","",VLOOKUP('OPĆI DIO'!$C$3,'OPĆI DIO'!$L$6:$U$138,9,FALSE))</f>
        <v/>
      </c>
      <c r="C316" s="65" t="str">
        <f t="shared" si="31"/>
        <v/>
      </c>
      <c r="D316" s="66" t="str">
        <f t="shared" si="32"/>
        <v/>
      </c>
      <c r="E316" s="67"/>
      <c r="F316" s="68" t="str">
        <f t="shared" si="33"/>
        <v/>
      </c>
      <c r="G316" s="69"/>
      <c r="H316" s="69"/>
      <c r="I316" s="78">
        <f t="shared" si="28"/>
        <v>0</v>
      </c>
      <c r="J316" s="67"/>
      <c r="L316" t="str">
        <f t="shared" si="29"/>
        <v/>
      </c>
      <c r="M316" t="str">
        <f t="shared" si="30"/>
        <v/>
      </c>
    </row>
    <row r="317" spans="1:13">
      <c r="A317" s="64" t="str">
        <f>IF(E317="","",VLOOKUP('OPĆI DIO'!$C$3,'OPĆI DIO'!$L$6:$U$138,10,FALSE))</f>
        <v/>
      </c>
      <c r="B317" s="64" t="str">
        <f>IF(E317="","",VLOOKUP('OPĆI DIO'!$C$3,'OPĆI DIO'!$L$6:$U$138,9,FALSE))</f>
        <v/>
      </c>
      <c r="C317" s="65" t="str">
        <f t="shared" si="31"/>
        <v/>
      </c>
      <c r="D317" s="66" t="str">
        <f t="shared" si="32"/>
        <v/>
      </c>
      <c r="E317" s="67"/>
      <c r="F317" s="68" t="str">
        <f t="shared" si="33"/>
        <v/>
      </c>
      <c r="G317" s="69"/>
      <c r="H317" s="69"/>
      <c r="I317" s="78">
        <f t="shared" si="28"/>
        <v>0</v>
      </c>
      <c r="J317" s="67"/>
      <c r="L317" t="str">
        <f t="shared" si="29"/>
        <v/>
      </c>
      <c r="M317" t="str">
        <f t="shared" si="30"/>
        <v/>
      </c>
    </row>
    <row r="318" spans="1:13">
      <c r="A318" s="64" t="str">
        <f>IF(E318="","",VLOOKUP('OPĆI DIO'!$C$3,'OPĆI DIO'!$L$6:$U$138,10,FALSE))</f>
        <v/>
      </c>
      <c r="B318" s="64" t="str">
        <f>IF(E318="","",VLOOKUP('OPĆI DIO'!$C$3,'OPĆI DIO'!$L$6:$U$138,9,FALSE))</f>
        <v/>
      </c>
      <c r="C318" s="65" t="str">
        <f t="shared" si="31"/>
        <v/>
      </c>
      <c r="D318" s="66" t="str">
        <f t="shared" si="32"/>
        <v/>
      </c>
      <c r="E318" s="67"/>
      <c r="F318" s="68" t="str">
        <f t="shared" si="33"/>
        <v/>
      </c>
      <c r="G318" s="69"/>
      <c r="H318" s="69"/>
      <c r="I318" s="78">
        <f t="shared" si="28"/>
        <v>0</v>
      </c>
      <c r="J318" s="67"/>
      <c r="L318" t="str">
        <f t="shared" si="29"/>
        <v/>
      </c>
      <c r="M318" t="str">
        <f t="shared" si="30"/>
        <v/>
      </c>
    </row>
    <row r="319" spans="1:13">
      <c r="A319" s="64" t="str">
        <f>IF(E319="","",VLOOKUP('OPĆI DIO'!$C$3,'OPĆI DIO'!$L$6:$U$138,10,FALSE))</f>
        <v/>
      </c>
      <c r="B319" s="64" t="str">
        <f>IF(E319="","",VLOOKUP('OPĆI DIO'!$C$3,'OPĆI DIO'!$L$6:$U$138,9,FALSE))</f>
        <v/>
      </c>
      <c r="C319" s="65" t="str">
        <f t="shared" si="31"/>
        <v/>
      </c>
      <c r="D319" s="66" t="str">
        <f t="shared" si="32"/>
        <v/>
      </c>
      <c r="E319" s="67"/>
      <c r="F319" s="68" t="str">
        <f t="shared" si="33"/>
        <v/>
      </c>
      <c r="G319" s="69"/>
      <c r="H319" s="69"/>
      <c r="I319" s="78">
        <f t="shared" si="28"/>
        <v>0</v>
      </c>
      <c r="J319" s="67"/>
      <c r="L319" t="str">
        <f t="shared" si="29"/>
        <v/>
      </c>
      <c r="M319" t="str">
        <f t="shared" si="30"/>
        <v/>
      </c>
    </row>
    <row r="320" spans="1:13">
      <c r="A320" s="64" t="str">
        <f>IF(E320="","",VLOOKUP('OPĆI DIO'!$C$3,'OPĆI DIO'!$L$6:$U$138,10,FALSE))</f>
        <v/>
      </c>
      <c r="B320" s="64" t="str">
        <f>IF(E320="","",VLOOKUP('OPĆI DIO'!$C$3,'OPĆI DIO'!$L$6:$U$138,9,FALSE))</f>
        <v/>
      </c>
      <c r="C320" s="65" t="str">
        <f t="shared" si="31"/>
        <v/>
      </c>
      <c r="D320" s="66" t="str">
        <f t="shared" si="32"/>
        <v/>
      </c>
      <c r="E320" s="67"/>
      <c r="F320" s="68" t="str">
        <f t="shared" si="33"/>
        <v/>
      </c>
      <c r="G320" s="69"/>
      <c r="H320" s="69"/>
      <c r="I320" s="78">
        <f t="shared" si="28"/>
        <v>0</v>
      </c>
      <c r="J320" s="67"/>
      <c r="L320" t="str">
        <f t="shared" si="29"/>
        <v/>
      </c>
      <c r="M320" t="str">
        <f t="shared" si="30"/>
        <v/>
      </c>
    </row>
    <row r="321" spans="1:13">
      <c r="A321" s="64" t="str">
        <f>IF(E321="","",VLOOKUP('OPĆI DIO'!$C$3,'OPĆI DIO'!$L$6:$U$138,10,FALSE))</f>
        <v/>
      </c>
      <c r="B321" s="64" t="str">
        <f>IF(E321="","",VLOOKUP('OPĆI DIO'!$C$3,'OPĆI DIO'!$L$6:$U$138,9,FALSE))</f>
        <v/>
      </c>
      <c r="C321" s="65" t="str">
        <f t="shared" si="31"/>
        <v/>
      </c>
      <c r="D321" s="66" t="str">
        <f t="shared" si="32"/>
        <v/>
      </c>
      <c r="E321" s="67"/>
      <c r="F321" s="68" t="str">
        <f t="shared" si="33"/>
        <v/>
      </c>
      <c r="G321" s="69"/>
      <c r="H321" s="69"/>
      <c r="I321" s="78">
        <f t="shared" si="28"/>
        <v>0</v>
      </c>
      <c r="J321" s="67"/>
      <c r="L321" t="str">
        <f t="shared" si="29"/>
        <v/>
      </c>
      <c r="M321" t="str">
        <f t="shared" si="30"/>
        <v/>
      </c>
    </row>
    <row r="322" spans="1:13">
      <c r="A322" s="64" t="str">
        <f>IF(E322="","",VLOOKUP('OPĆI DIO'!$C$3,'OPĆI DIO'!$L$6:$U$138,10,FALSE))</f>
        <v/>
      </c>
      <c r="B322" s="64" t="str">
        <f>IF(E322="","",VLOOKUP('OPĆI DIO'!$C$3,'OPĆI DIO'!$L$6:$U$138,9,FALSE))</f>
        <v/>
      </c>
      <c r="C322" s="65" t="str">
        <f t="shared" si="31"/>
        <v/>
      </c>
      <c r="D322" s="66" t="str">
        <f t="shared" si="32"/>
        <v/>
      </c>
      <c r="E322" s="67"/>
      <c r="F322" s="68" t="str">
        <f t="shared" si="33"/>
        <v/>
      </c>
      <c r="G322" s="69"/>
      <c r="H322" s="69"/>
      <c r="I322" s="78">
        <f t="shared" si="28"/>
        <v>0</v>
      </c>
      <c r="J322" s="67"/>
      <c r="L322" t="str">
        <f t="shared" si="29"/>
        <v/>
      </c>
      <c r="M322" t="str">
        <f t="shared" si="30"/>
        <v/>
      </c>
    </row>
    <row r="323" spans="1:13">
      <c r="A323" s="64" t="str">
        <f>IF(E323="","",VLOOKUP('OPĆI DIO'!$C$3,'OPĆI DIO'!$L$6:$U$138,10,FALSE))</f>
        <v/>
      </c>
      <c r="B323" s="64" t="str">
        <f>IF(E323="","",VLOOKUP('OPĆI DIO'!$C$3,'OPĆI DIO'!$L$6:$U$138,9,FALSE))</f>
        <v/>
      </c>
      <c r="C323" s="65" t="str">
        <f t="shared" si="31"/>
        <v/>
      </c>
      <c r="D323" s="66" t="str">
        <f t="shared" si="32"/>
        <v/>
      </c>
      <c r="E323" s="67"/>
      <c r="F323" s="68" t="str">
        <f t="shared" si="33"/>
        <v/>
      </c>
      <c r="G323" s="69"/>
      <c r="H323" s="69"/>
      <c r="I323" s="78">
        <f t="shared" si="28"/>
        <v>0</v>
      </c>
      <c r="J323" s="67"/>
      <c r="L323" t="str">
        <f t="shared" si="29"/>
        <v/>
      </c>
      <c r="M323" t="str">
        <f t="shared" si="30"/>
        <v/>
      </c>
    </row>
    <row r="324" spans="1:13">
      <c r="A324" s="64" t="str">
        <f>IF(E324="","",VLOOKUP('OPĆI DIO'!$C$3,'OPĆI DIO'!$L$6:$U$138,10,FALSE))</f>
        <v/>
      </c>
      <c r="B324" s="64" t="str">
        <f>IF(E324="","",VLOOKUP('OPĆI DIO'!$C$3,'OPĆI DIO'!$L$6:$U$138,9,FALSE))</f>
        <v/>
      </c>
      <c r="C324" s="65" t="str">
        <f t="shared" si="31"/>
        <v/>
      </c>
      <c r="D324" s="66" t="str">
        <f t="shared" si="32"/>
        <v/>
      </c>
      <c r="E324" s="67"/>
      <c r="F324" s="68" t="str">
        <f t="shared" si="33"/>
        <v/>
      </c>
      <c r="G324" s="69"/>
      <c r="H324" s="69"/>
      <c r="I324" s="78">
        <f t="shared" ref="I324:I387" si="34">H324-G324</f>
        <v>0</v>
      </c>
      <c r="J324" s="67"/>
      <c r="L324" t="str">
        <f t="shared" ref="L324:L387" si="35">LEFT(E324,2)</f>
        <v/>
      </c>
      <c r="M324" t="str">
        <f t="shared" ref="M324:M387" si="36">LEFT(E324,3)</f>
        <v/>
      </c>
    </row>
    <row r="325" spans="1:13">
      <c r="A325" s="64" t="str">
        <f>IF(E325="","",VLOOKUP('OPĆI DIO'!$C$3,'OPĆI DIO'!$L$6:$U$138,10,FALSE))</f>
        <v/>
      </c>
      <c r="B325" s="64" t="str">
        <f>IF(E325="","",VLOOKUP('OPĆI DIO'!$C$3,'OPĆI DIO'!$L$6:$U$138,9,FALSE))</f>
        <v/>
      </c>
      <c r="C325" s="65" t="str">
        <f t="shared" si="31"/>
        <v/>
      </c>
      <c r="D325" s="66" t="str">
        <f t="shared" si="32"/>
        <v/>
      </c>
      <c r="E325" s="67"/>
      <c r="F325" s="68" t="str">
        <f t="shared" si="33"/>
        <v/>
      </c>
      <c r="G325" s="69"/>
      <c r="H325" s="69"/>
      <c r="I325" s="78">
        <f t="shared" si="34"/>
        <v>0</v>
      </c>
      <c r="J325" s="67"/>
      <c r="L325" t="str">
        <f t="shared" si="35"/>
        <v/>
      </c>
      <c r="M325" t="str">
        <f t="shared" si="36"/>
        <v/>
      </c>
    </row>
    <row r="326" spans="1:13">
      <c r="A326" s="64" t="str">
        <f>IF(E326="","",VLOOKUP('OPĆI DIO'!$C$3,'OPĆI DIO'!$L$6:$U$138,10,FALSE))</f>
        <v/>
      </c>
      <c r="B326" s="64" t="str">
        <f>IF(E326="","",VLOOKUP('OPĆI DIO'!$C$3,'OPĆI DIO'!$L$6:$U$138,9,FALSE))</f>
        <v/>
      </c>
      <c r="C326" s="65" t="str">
        <f t="shared" si="31"/>
        <v/>
      </c>
      <c r="D326" s="66" t="str">
        <f t="shared" si="32"/>
        <v/>
      </c>
      <c r="E326" s="67"/>
      <c r="F326" s="68" t="str">
        <f t="shared" si="33"/>
        <v/>
      </c>
      <c r="G326" s="69"/>
      <c r="H326" s="69"/>
      <c r="I326" s="78">
        <f t="shared" si="34"/>
        <v>0</v>
      </c>
      <c r="J326" s="67"/>
      <c r="L326" t="str">
        <f t="shared" si="35"/>
        <v/>
      </c>
      <c r="M326" t="str">
        <f t="shared" si="36"/>
        <v/>
      </c>
    </row>
    <row r="327" spans="1:13">
      <c r="A327" s="64" t="str">
        <f>IF(E327="","",VLOOKUP('OPĆI DIO'!$C$3,'OPĆI DIO'!$L$6:$U$138,10,FALSE))</f>
        <v/>
      </c>
      <c r="B327" s="64" t="str">
        <f>IF(E327="","",VLOOKUP('OPĆI DIO'!$C$3,'OPĆI DIO'!$L$6:$U$138,9,FALSE))</f>
        <v/>
      </c>
      <c r="C327" s="65" t="str">
        <f t="shared" si="31"/>
        <v/>
      </c>
      <c r="D327" s="66" t="str">
        <f t="shared" si="32"/>
        <v/>
      </c>
      <c r="E327" s="67"/>
      <c r="F327" s="68" t="str">
        <f t="shared" si="33"/>
        <v/>
      </c>
      <c r="G327" s="69"/>
      <c r="H327" s="69"/>
      <c r="I327" s="78">
        <f t="shared" si="34"/>
        <v>0</v>
      </c>
      <c r="J327" s="67"/>
      <c r="L327" t="str">
        <f t="shared" si="35"/>
        <v/>
      </c>
      <c r="M327" t="str">
        <f t="shared" si="36"/>
        <v/>
      </c>
    </row>
    <row r="328" spans="1:13">
      <c r="A328" s="64" t="str">
        <f>IF(E328="","",VLOOKUP('OPĆI DIO'!$C$3,'OPĆI DIO'!$L$6:$U$138,10,FALSE))</f>
        <v/>
      </c>
      <c r="B328" s="64" t="str">
        <f>IF(E328="","",VLOOKUP('OPĆI DIO'!$C$3,'OPĆI DIO'!$L$6:$U$138,9,FALSE))</f>
        <v/>
      </c>
      <c r="C328" s="65" t="str">
        <f t="shared" si="31"/>
        <v/>
      </c>
      <c r="D328" s="66" t="str">
        <f t="shared" si="32"/>
        <v/>
      </c>
      <c r="E328" s="67"/>
      <c r="F328" s="68" t="str">
        <f t="shared" si="33"/>
        <v/>
      </c>
      <c r="G328" s="69"/>
      <c r="H328" s="69"/>
      <c r="I328" s="78">
        <f t="shared" si="34"/>
        <v>0</v>
      </c>
      <c r="J328" s="67"/>
      <c r="L328" t="str">
        <f t="shared" si="35"/>
        <v/>
      </c>
      <c r="M328" t="str">
        <f t="shared" si="36"/>
        <v/>
      </c>
    </row>
    <row r="329" spans="1:13">
      <c r="A329" s="64" t="str">
        <f>IF(E329="","",VLOOKUP('OPĆI DIO'!$C$3,'OPĆI DIO'!$L$6:$U$138,10,FALSE))</f>
        <v/>
      </c>
      <c r="B329" s="64" t="str">
        <f>IF(E329="","",VLOOKUP('OPĆI DIO'!$C$3,'OPĆI DIO'!$L$6:$U$138,9,FALSE))</f>
        <v/>
      </c>
      <c r="C329" s="65" t="str">
        <f t="shared" si="31"/>
        <v/>
      </c>
      <c r="D329" s="66" t="str">
        <f t="shared" si="32"/>
        <v/>
      </c>
      <c r="E329" s="67"/>
      <c r="F329" s="68" t="str">
        <f t="shared" si="33"/>
        <v/>
      </c>
      <c r="G329" s="69"/>
      <c r="H329" s="69"/>
      <c r="I329" s="78">
        <f t="shared" si="34"/>
        <v>0</v>
      </c>
      <c r="J329" s="67"/>
      <c r="L329" t="str">
        <f t="shared" si="35"/>
        <v/>
      </c>
      <c r="M329" t="str">
        <f t="shared" si="36"/>
        <v/>
      </c>
    </row>
    <row r="330" spans="1:13">
      <c r="A330" s="64" t="str">
        <f>IF(E330="","",VLOOKUP('OPĆI DIO'!$C$3,'OPĆI DIO'!$L$6:$U$138,10,FALSE))</f>
        <v/>
      </c>
      <c r="B330" s="64" t="str">
        <f>IF(E330="","",VLOOKUP('OPĆI DIO'!$C$3,'OPĆI DIO'!$L$6:$U$138,9,FALSE))</f>
        <v/>
      </c>
      <c r="C330" s="65" t="str">
        <f t="shared" si="31"/>
        <v/>
      </c>
      <c r="D330" s="66" t="str">
        <f t="shared" si="32"/>
        <v/>
      </c>
      <c r="E330" s="67"/>
      <c r="F330" s="68" t="str">
        <f t="shared" si="33"/>
        <v/>
      </c>
      <c r="G330" s="69"/>
      <c r="H330" s="69"/>
      <c r="I330" s="78">
        <f t="shared" si="34"/>
        <v>0</v>
      </c>
      <c r="J330" s="67"/>
      <c r="L330" t="str">
        <f t="shared" si="35"/>
        <v/>
      </c>
      <c r="M330" t="str">
        <f t="shared" si="36"/>
        <v/>
      </c>
    </row>
    <row r="331" spans="1:13">
      <c r="A331" s="64" t="str">
        <f>IF(E331="","",VLOOKUP('OPĆI DIO'!$C$3,'OPĆI DIO'!$L$6:$U$138,10,FALSE))</f>
        <v/>
      </c>
      <c r="B331" s="64" t="str">
        <f>IF(E331="","",VLOOKUP('OPĆI DIO'!$C$3,'OPĆI DIO'!$L$6:$U$138,9,FALSE))</f>
        <v/>
      </c>
      <c r="C331" s="65" t="str">
        <f t="shared" si="31"/>
        <v/>
      </c>
      <c r="D331" s="66" t="str">
        <f t="shared" si="32"/>
        <v/>
      </c>
      <c r="E331" s="67"/>
      <c r="F331" s="68" t="str">
        <f t="shared" si="33"/>
        <v/>
      </c>
      <c r="G331" s="69"/>
      <c r="H331" s="69"/>
      <c r="I331" s="78">
        <f t="shared" si="34"/>
        <v>0</v>
      </c>
      <c r="J331" s="67"/>
      <c r="L331" t="str">
        <f t="shared" si="35"/>
        <v/>
      </c>
      <c r="M331" t="str">
        <f t="shared" si="36"/>
        <v/>
      </c>
    </row>
    <row r="332" spans="1:13">
      <c r="A332" s="64" t="str">
        <f>IF(E332="","",VLOOKUP('OPĆI DIO'!$C$3,'OPĆI DIO'!$L$6:$U$138,10,FALSE))</f>
        <v/>
      </c>
      <c r="B332" s="64" t="str">
        <f>IF(E332="","",VLOOKUP('OPĆI DIO'!$C$3,'OPĆI DIO'!$L$6:$U$138,9,FALSE))</f>
        <v/>
      </c>
      <c r="C332" s="65" t="str">
        <f t="shared" si="31"/>
        <v/>
      </c>
      <c r="D332" s="66" t="str">
        <f t="shared" si="32"/>
        <v/>
      </c>
      <c r="E332" s="67"/>
      <c r="F332" s="68" t="str">
        <f t="shared" si="33"/>
        <v/>
      </c>
      <c r="G332" s="69"/>
      <c r="H332" s="69"/>
      <c r="I332" s="78">
        <f t="shared" si="34"/>
        <v>0</v>
      </c>
      <c r="J332" s="67"/>
      <c r="L332" t="str">
        <f t="shared" si="35"/>
        <v/>
      </c>
      <c r="M332" t="str">
        <f t="shared" si="36"/>
        <v/>
      </c>
    </row>
    <row r="333" spans="1:13">
      <c r="A333" s="64" t="str">
        <f>IF(E333="","",VLOOKUP('OPĆI DIO'!$C$3,'OPĆI DIO'!$L$6:$U$138,10,FALSE))</f>
        <v/>
      </c>
      <c r="B333" s="64" t="str">
        <f>IF(E333="","",VLOOKUP('OPĆI DIO'!$C$3,'OPĆI DIO'!$L$6:$U$138,9,FALSE))</f>
        <v/>
      </c>
      <c r="C333" s="65" t="str">
        <f t="shared" si="31"/>
        <v/>
      </c>
      <c r="D333" s="66" t="str">
        <f t="shared" si="32"/>
        <v/>
      </c>
      <c r="E333" s="67"/>
      <c r="F333" s="68" t="str">
        <f t="shared" si="33"/>
        <v/>
      </c>
      <c r="G333" s="69"/>
      <c r="H333" s="69"/>
      <c r="I333" s="78">
        <f t="shared" si="34"/>
        <v>0</v>
      </c>
      <c r="J333" s="67"/>
      <c r="L333" t="str">
        <f t="shared" si="35"/>
        <v/>
      </c>
      <c r="M333" t="str">
        <f t="shared" si="36"/>
        <v/>
      </c>
    </row>
    <row r="334" spans="1:13">
      <c r="A334" s="64" t="str">
        <f>IF(E334="","",VLOOKUP('OPĆI DIO'!$C$3,'OPĆI DIO'!$L$6:$U$138,10,FALSE))</f>
        <v/>
      </c>
      <c r="B334" s="64" t="str">
        <f>IF(E334="","",VLOOKUP('OPĆI DIO'!$C$3,'OPĆI DIO'!$L$6:$U$138,9,FALSE))</f>
        <v/>
      </c>
      <c r="C334" s="65" t="str">
        <f t="shared" si="31"/>
        <v/>
      </c>
      <c r="D334" s="66" t="str">
        <f t="shared" si="32"/>
        <v/>
      </c>
      <c r="E334" s="67"/>
      <c r="F334" s="68" t="str">
        <f t="shared" si="33"/>
        <v/>
      </c>
      <c r="G334" s="69"/>
      <c r="H334" s="69"/>
      <c r="I334" s="78">
        <f t="shared" si="34"/>
        <v>0</v>
      </c>
      <c r="J334" s="67"/>
      <c r="L334" t="str">
        <f t="shared" si="35"/>
        <v/>
      </c>
      <c r="M334" t="str">
        <f t="shared" si="36"/>
        <v/>
      </c>
    </row>
    <row r="335" spans="1:13">
      <c r="A335" s="64" t="str">
        <f>IF(E335="","",VLOOKUP('OPĆI DIO'!$C$3,'OPĆI DIO'!$L$6:$U$138,10,FALSE))</f>
        <v/>
      </c>
      <c r="B335" s="64" t="str">
        <f>IF(E335="","",VLOOKUP('OPĆI DIO'!$C$3,'OPĆI DIO'!$L$6:$U$138,9,FALSE))</f>
        <v/>
      </c>
      <c r="C335" s="65" t="str">
        <f t="shared" si="31"/>
        <v/>
      </c>
      <c r="D335" s="66" t="str">
        <f t="shared" si="32"/>
        <v/>
      </c>
      <c r="E335" s="67"/>
      <c r="F335" s="68" t="str">
        <f t="shared" si="33"/>
        <v/>
      </c>
      <c r="G335" s="69"/>
      <c r="H335" s="69"/>
      <c r="I335" s="78">
        <f t="shared" si="34"/>
        <v>0</v>
      </c>
      <c r="J335" s="67"/>
      <c r="L335" t="str">
        <f t="shared" si="35"/>
        <v/>
      </c>
      <c r="M335" t="str">
        <f t="shared" si="36"/>
        <v/>
      </c>
    </row>
    <row r="336" spans="1:13">
      <c r="A336" s="64" t="str">
        <f>IF(E336="","",VLOOKUP('OPĆI DIO'!$C$3,'OPĆI DIO'!$L$6:$U$138,10,FALSE))</f>
        <v/>
      </c>
      <c r="B336" s="64" t="str">
        <f>IF(E336="","",VLOOKUP('OPĆI DIO'!$C$3,'OPĆI DIO'!$L$6:$U$138,9,FALSE))</f>
        <v/>
      </c>
      <c r="C336" s="65" t="str">
        <f t="shared" si="31"/>
        <v/>
      </c>
      <c r="D336" s="66" t="str">
        <f t="shared" si="32"/>
        <v/>
      </c>
      <c r="E336" s="67"/>
      <c r="F336" s="68" t="str">
        <f t="shared" si="33"/>
        <v/>
      </c>
      <c r="G336" s="69"/>
      <c r="H336" s="69"/>
      <c r="I336" s="78">
        <f t="shared" si="34"/>
        <v>0</v>
      </c>
      <c r="J336" s="67"/>
      <c r="L336" t="str">
        <f t="shared" si="35"/>
        <v/>
      </c>
      <c r="M336" t="str">
        <f t="shared" si="36"/>
        <v/>
      </c>
    </row>
    <row r="337" spans="1:13">
      <c r="A337" s="64" t="str">
        <f>IF(E337="","",VLOOKUP('OPĆI DIO'!$C$3,'OPĆI DIO'!$L$6:$U$138,10,FALSE))</f>
        <v/>
      </c>
      <c r="B337" s="64" t="str">
        <f>IF(E337="","",VLOOKUP('OPĆI DIO'!$C$3,'OPĆI DIO'!$L$6:$U$138,9,FALSE))</f>
        <v/>
      </c>
      <c r="C337" s="65" t="str">
        <f t="shared" si="31"/>
        <v/>
      </c>
      <c r="D337" s="66" t="str">
        <f t="shared" si="32"/>
        <v/>
      </c>
      <c r="E337" s="67"/>
      <c r="F337" s="68" t="str">
        <f t="shared" si="33"/>
        <v/>
      </c>
      <c r="G337" s="69"/>
      <c r="H337" s="69"/>
      <c r="I337" s="78">
        <f t="shared" si="34"/>
        <v>0</v>
      </c>
      <c r="J337" s="67"/>
      <c r="L337" t="str">
        <f t="shared" si="35"/>
        <v/>
      </c>
      <c r="M337" t="str">
        <f t="shared" si="36"/>
        <v/>
      </c>
    </row>
    <row r="338" spans="1:13">
      <c r="A338" s="64" t="str">
        <f>IF(E338="","",VLOOKUP('OPĆI DIO'!$C$3,'OPĆI DIO'!$L$6:$U$138,10,FALSE))</f>
        <v/>
      </c>
      <c r="B338" s="64" t="str">
        <f>IF(E338="","",VLOOKUP('OPĆI DIO'!$C$3,'OPĆI DIO'!$L$6:$U$138,9,FALSE))</f>
        <v/>
      </c>
      <c r="C338" s="65" t="str">
        <f t="shared" si="31"/>
        <v/>
      </c>
      <c r="D338" s="66" t="str">
        <f t="shared" si="32"/>
        <v/>
      </c>
      <c r="E338" s="67"/>
      <c r="F338" s="68" t="str">
        <f t="shared" si="33"/>
        <v/>
      </c>
      <c r="G338" s="69"/>
      <c r="H338" s="69"/>
      <c r="I338" s="78">
        <f t="shared" si="34"/>
        <v>0</v>
      </c>
      <c r="J338" s="67"/>
      <c r="L338" t="str">
        <f t="shared" si="35"/>
        <v/>
      </c>
      <c r="M338" t="str">
        <f t="shared" si="36"/>
        <v/>
      </c>
    </row>
    <row r="339" spans="1:13">
      <c r="A339" s="64" t="str">
        <f>IF(E339="","",VLOOKUP('OPĆI DIO'!$C$3,'OPĆI DIO'!$L$6:$U$138,10,FALSE))</f>
        <v/>
      </c>
      <c r="B339" s="64" t="str">
        <f>IF(E339="","",VLOOKUP('OPĆI DIO'!$C$3,'OPĆI DIO'!$L$6:$U$138,9,FALSE))</f>
        <v/>
      </c>
      <c r="C339" s="65" t="str">
        <f t="shared" si="31"/>
        <v/>
      </c>
      <c r="D339" s="66" t="str">
        <f t="shared" si="32"/>
        <v/>
      </c>
      <c r="E339" s="67"/>
      <c r="F339" s="68" t="str">
        <f t="shared" si="33"/>
        <v/>
      </c>
      <c r="G339" s="69"/>
      <c r="H339" s="69"/>
      <c r="I339" s="78">
        <f t="shared" si="34"/>
        <v>0</v>
      </c>
      <c r="J339" s="67"/>
      <c r="L339" t="str">
        <f t="shared" si="35"/>
        <v/>
      </c>
      <c r="M339" t="str">
        <f t="shared" si="36"/>
        <v/>
      </c>
    </row>
    <row r="340" spans="1:13">
      <c r="A340" s="64" t="str">
        <f>IF(E340="","",VLOOKUP('OPĆI DIO'!$C$3,'OPĆI DIO'!$L$6:$U$138,10,FALSE))</f>
        <v/>
      </c>
      <c r="B340" s="64" t="str">
        <f>IF(E340="","",VLOOKUP('OPĆI DIO'!$C$3,'OPĆI DIO'!$L$6:$U$138,9,FALSE))</f>
        <v/>
      </c>
      <c r="C340" s="65" t="str">
        <f t="shared" si="31"/>
        <v/>
      </c>
      <c r="D340" s="66" t="str">
        <f t="shared" si="32"/>
        <v/>
      </c>
      <c r="E340" s="67"/>
      <c r="F340" s="68" t="str">
        <f t="shared" si="33"/>
        <v/>
      </c>
      <c r="G340" s="69"/>
      <c r="H340" s="69"/>
      <c r="I340" s="78">
        <f t="shared" si="34"/>
        <v>0</v>
      </c>
      <c r="J340" s="67"/>
      <c r="L340" t="str">
        <f t="shared" si="35"/>
        <v/>
      </c>
      <c r="M340" t="str">
        <f t="shared" si="36"/>
        <v/>
      </c>
    </row>
    <row r="341" spans="1:13">
      <c r="A341" s="64" t="str">
        <f>IF(E341="","",VLOOKUP('OPĆI DIO'!$C$3,'OPĆI DIO'!$L$6:$U$138,10,FALSE))</f>
        <v/>
      </c>
      <c r="B341" s="64" t="str">
        <f>IF(E341="","",VLOOKUP('OPĆI DIO'!$C$3,'OPĆI DIO'!$L$6:$U$138,9,FALSE))</f>
        <v/>
      </c>
      <c r="C341" s="65" t="str">
        <f t="shared" si="31"/>
        <v/>
      </c>
      <c r="D341" s="66" t="str">
        <f t="shared" si="32"/>
        <v/>
      </c>
      <c r="E341" s="67"/>
      <c r="F341" s="68" t="str">
        <f t="shared" si="33"/>
        <v/>
      </c>
      <c r="G341" s="69"/>
      <c r="H341" s="69"/>
      <c r="I341" s="78">
        <f t="shared" si="34"/>
        <v>0</v>
      </c>
      <c r="J341" s="67"/>
      <c r="L341" t="str">
        <f t="shared" si="35"/>
        <v/>
      </c>
      <c r="M341" t="str">
        <f t="shared" si="36"/>
        <v/>
      </c>
    </row>
    <row r="342" spans="1:13">
      <c r="A342" s="64" t="str">
        <f>IF(E342="","",VLOOKUP('OPĆI DIO'!$C$3,'OPĆI DIO'!$L$6:$U$138,10,FALSE))</f>
        <v/>
      </c>
      <c r="B342" s="64" t="str">
        <f>IF(E342="","",VLOOKUP('OPĆI DIO'!$C$3,'OPĆI DIO'!$L$6:$U$138,9,FALSE))</f>
        <v/>
      </c>
      <c r="C342" s="65" t="str">
        <f t="shared" si="31"/>
        <v/>
      </c>
      <c r="D342" s="66" t="str">
        <f t="shared" si="32"/>
        <v/>
      </c>
      <c r="E342" s="67"/>
      <c r="F342" s="68" t="str">
        <f t="shared" si="33"/>
        <v/>
      </c>
      <c r="G342" s="69"/>
      <c r="H342" s="69"/>
      <c r="I342" s="78">
        <f t="shared" si="34"/>
        <v>0</v>
      </c>
      <c r="J342" s="67"/>
      <c r="L342" t="str">
        <f t="shared" si="35"/>
        <v/>
      </c>
      <c r="M342" t="str">
        <f t="shared" si="36"/>
        <v/>
      </c>
    </row>
    <row r="343" spans="1:13">
      <c r="A343" s="64" t="str">
        <f>IF(E343="","",VLOOKUP('OPĆI DIO'!$C$3,'OPĆI DIO'!$L$6:$U$138,10,FALSE))</f>
        <v/>
      </c>
      <c r="B343" s="64" t="str">
        <f>IF(E343="","",VLOOKUP('OPĆI DIO'!$C$3,'OPĆI DIO'!$L$6:$U$138,9,FALSE))</f>
        <v/>
      </c>
      <c r="C343" s="65" t="str">
        <f t="shared" si="31"/>
        <v/>
      </c>
      <c r="D343" s="66" t="str">
        <f t="shared" si="32"/>
        <v/>
      </c>
      <c r="E343" s="67"/>
      <c r="F343" s="68" t="str">
        <f t="shared" si="33"/>
        <v/>
      </c>
      <c r="G343" s="69"/>
      <c r="H343" s="69"/>
      <c r="I343" s="78">
        <f t="shared" si="34"/>
        <v>0</v>
      </c>
      <c r="J343" s="67"/>
      <c r="L343" t="str">
        <f t="shared" si="35"/>
        <v/>
      </c>
      <c r="M343" t="str">
        <f t="shared" si="36"/>
        <v/>
      </c>
    </row>
    <row r="344" spans="1:13">
      <c r="A344" s="64" t="str">
        <f>IF(E344="","",VLOOKUP('OPĆI DIO'!$C$3,'OPĆI DIO'!$L$6:$U$138,10,FALSE))</f>
        <v/>
      </c>
      <c r="B344" s="64" t="str">
        <f>IF(E344="","",VLOOKUP('OPĆI DIO'!$C$3,'OPĆI DIO'!$L$6:$U$138,9,FALSE))</f>
        <v/>
      </c>
      <c r="C344" s="65" t="str">
        <f t="shared" si="31"/>
        <v/>
      </c>
      <c r="D344" s="66" t="str">
        <f t="shared" si="32"/>
        <v/>
      </c>
      <c r="E344" s="67"/>
      <c r="F344" s="68" t="str">
        <f t="shared" si="33"/>
        <v/>
      </c>
      <c r="G344" s="69"/>
      <c r="H344" s="69"/>
      <c r="I344" s="78">
        <f t="shared" si="34"/>
        <v>0</v>
      </c>
      <c r="J344" s="67"/>
      <c r="L344" t="str">
        <f t="shared" si="35"/>
        <v/>
      </c>
      <c r="M344" t="str">
        <f t="shared" si="36"/>
        <v/>
      </c>
    </row>
    <row r="345" spans="1:13">
      <c r="A345" s="64" t="str">
        <f>IF(E345="","",VLOOKUP('OPĆI DIO'!$C$3,'OPĆI DIO'!$L$6:$U$138,10,FALSE))</f>
        <v/>
      </c>
      <c r="B345" s="64" t="str">
        <f>IF(E345="","",VLOOKUP('OPĆI DIO'!$C$3,'OPĆI DIO'!$L$6:$U$138,9,FALSE))</f>
        <v/>
      </c>
      <c r="C345" s="65" t="str">
        <f t="shared" si="31"/>
        <v/>
      </c>
      <c r="D345" s="66" t="str">
        <f t="shared" si="32"/>
        <v/>
      </c>
      <c r="E345" s="67"/>
      <c r="F345" s="68" t="str">
        <f t="shared" si="33"/>
        <v/>
      </c>
      <c r="G345" s="69"/>
      <c r="H345" s="69"/>
      <c r="I345" s="78">
        <f t="shared" si="34"/>
        <v>0</v>
      </c>
      <c r="J345" s="67"/>
      <c r="L345" t="str">
        <f t="shared" si="35"/>
        <v/>
      </c>
      <c r="M345" t="str">
        <f t="shared" si="36"/>
        <v/>
      </c>
    </row>
    <row r="346" spans="1:13">
      <c r="A346" s="64" t="str">
        <f>IF(E346="","",VLOOKUP('OPĆI DIO'!$C$3,'OPĆI DIO'!$L$6:$U$138,10,FALSE))</f>
        <v/>
      </c>
      <c r="B346" s="64" t="str">
        <f>IF(E346="","",VLOOKUP('OPĆI DIO'!$C$3,'OPĆI DIO'!$L$6:$U$138,9,FALSE))</f>
        <v/>
      </c>
      <c r="C346" s="65" t="str">
        <f t="shared" si="31"/>
        <v/>
      </c>
      <c r="D346" s="66" t="str">
        <f t="shared" si="32"/>
        <v/>
      </c>
      <c r="E346" s="67"/>
      <c r="F346" s="68" t="str">
        <f t="shared" si="33"/>
        <v/>
      </c>
      <c r="G346" s="69"/>
      <c r="H346" s="69"/>
      <c r="I346" s="78">
        <f t="shared" si="34"/>
        <v>0</v>
      </c>
      <c r="J346" s="67"/>
      <c r="L346" t="str">
        <f t="shared" si="35"/>
        <v/>
      </c>
      <c r="M346" t="str">
        <f t="shared" si="36"/>
        <v/>
      </c>
    </row>
    <row r="347" spans="1:13">
      <c r="A347" s="64" t="str">
        <f>IF(E347="","",VLOOKUP('OPĆI DIO'!$C$3,'OPĆI DIO'!$L$6:$U$138,10,FALSE))</f>
        <v/>
      </c>
      <c r="B347" s="64" t="str">
        <f>IF(E347="","",VLOOKUP('OPĆI DIO'!$C$3,'OPĆI DIO'!$L$6:$U$138,9,FALSE))</f>
        <v/>
      </c>
      <c r="C347" s="65" t="str">
        <f t="shared" si="31"/>
        <v/>
      </c>
      <c r="D347" s="66" t="str">
        <f t="shared" si="32"/>
        <v/>
      </c>
      <c r="E347" s="67"/>
      <c r="F347" s="68" t="str">
        <f t="shared" si="33"/>
        <v/>
      </c>
      <c r="G347" s="69"/>
      <c r="H347" s="69"/>
      <c r="I347" s="78">
        <f t="shared" si="34"/>
        <v>0</v>
      </c>
      <c r="J347" s="67"/>
      <c r="L347" t="str">
        <f t="shared" si="35"/>
        <v/>
      </c>
      <c r="M347" t="str">
        <f t="shared" si="36"/>
        <v/>
      </c>
    </row>
    <row r="348" spans="1:13">
      <c r="A348" s="64" t="str">
        <f>IF(E348="","",VLOOKUP('OPĆI DIO'!$C$3,'OPĆI DIO'!$L$6:$U$138,10,FALSE))</f>
        <v/>
      </c>
      <c r="B348" s="64" t="str">
        <f>IF(E348="","",VLOOKUP('OPĆI DIO'!$C$3,'OPĆI DIO'!$L$6:$U$138,9,FALSE))</f>
        <v/>
      </c>
      <c r="C348" s="65" t="str">
        <f t="shared" si="31"/>
        <v/>
      </c>
      <c r="D348" s="66" t="str">
        <f t="shared" si="32"/>
        <v/>
      </c>
      <c r="E348" s="67"/>
      <c r="F348" s="68" t="str">
        <f t="shared" si="33"/>
        <v/>
      </c>
      <c r="G348" s="69"/>
      <c r="H348" s="69"/>
      <c r="I348" s="78">
        <f t="shared" si="34"/>
        <v>0</v>
      </c>
      <c r="J348" s="67"/>
      <c r="L348" t="str">
        <f t="shared" si="35"/>
        <v/>
      </c>
      <c r="M348" t="str">
        <f t="shared" si="36"/>
        <v/>
      </c>
    </row>
    <row r="349" spans="1:13">
      <c r="A349" s="64" t="str">
        <f>IF(E349="","",VLOOKUP('OPĆI DIO'!$C$3,'OPĆI DIO'!$L$6:$U$138,10,FALSE))</f>
        <v/>
      </c>
      <c r="B349" s="64" t="str">
        <f>IF(E349="","",VLOOKUP('OPĆI DIO'!$C$3,'OPĆI DIO'!$L$6:$U$138,9,FALSE))</f>
        <v/>
      </c>
      <c r="C349" s="65" t="str">
        <f t="shared" si="31"/>
        <v/>
      </c>
      <c r="D349" s="66" t="str">
        <f t="shared" si="32"/>
        <v/>
      </c>
      <c r="E349" s="67"/>
      <c r="F349" s="68" t="str">
        <f t="shared" si="33"/>
        <v/>
      </c>
      <c r="G349" s="69"/>
      <c r="H349" s="69"/>
      <c r="I349" s="78">
        <f t="shared" si="34"/>
        <v>0</v>
      </c>
      <c r="J349" s="67"/>
      <c r="L349" t="str">
        <f t="shared" si="35"/>
        <v/>
      </c>
      <c r="M349" t="str">
        <f t="shared" si="36"/>
        <v/>
      </c>
    </row>
    <row r="350" spans="1:13">
      <c r="A350" s="64" t="str">
        <f>IF(E350="","",VLOOKUP('OPĆI DIO'!$C$3,'OPĆI DIO'!$L$6:$U$138,10,FALSE))</f>
        <v/>
      </c>
      <c r="B350" s="64" t="str">
        <f>IF(E350="","",VLOOKUP('OPĆI DIO'!$C$3,'OPĆI DIO'!$L$6:$U$138,9,FALSE))</f>
        <v/>
      </c>
      <c r="C350" s="65" t="str">
        <f t="shared" si="31"/>
        <v/>
      </c>
      <c r="D350" s="66" t="str">
        <f t="shared" si="32"/>
        <v/>
      </c>
      <c r="E350" s="67"/>
      <c r="F350" s="68" t="str">
        <f t="shared" si="33"/>
        <v/>
      </c>
      <c r="G350" s="69"/>
      <c r="H350" s="69"/>
      <c r="I350" s="78">
        <f t="shared" si="34"/>
        <v>0</v>
      </c>
      <c r="J350" s="67"/>
      <c r="L350" t="str">
        <f t="shared" si="35"/>
        <v/>
      </c>
      <c r="M350" t="str">
        <f t="shared" si="36"/>
        <v/>
      </c>
    </row>
    <row r="351" spans="1:13">
      <c r="A351" s="64" t="str">
        <f>IF(E351="","",VLOOKUP('OPĆI DIO'!$C$3,'OPĆI DIO'!$L$6:$U$138,10,FALSE))</f>
        <v/>
      </c>
      <c r="B351" s="64" t="str">
        <f>IF(E351="","",VLOOKUP('OPĆI DIO'!$C$3,'OPĆI DIO'!$L$6:$U$138,9,FALSE))</f>
        <v/>
      </c>
      <c r="C351" s="65" t="str">
        <f t="shared" si="31"/>
        <v/>
      </c>
      <c r="D351" s="66" t="str">
        <f t="shared" si="32"/>
        <v/>
      </c>
      <c r="E351" s="67"/>
      <c r="F351" s="68" t="str">
        <f t="shared" si="33"/>
        <v/>
      </c>
      <c r="G351" s="69"/>
      <c r="H351" s="69"/>
      <c r="I351" s="78">
        <f t="shared" si="34"/>
        <v>0</v>
      </c>
      <c r="J351" s="67"/>
      <c r="L351" t="str">
        <f t="shared" si="35"/>
        <v/>
      </c>
      <c r="M351" t="str">
        <f t="shared" si="36"/>
        <v/>
      </c>
    </row>
    <row r="352" spans="1:13">
      <c r="A352" s="64" t="str">
        <f>IF(E352="","",VLOOKUP('OPĆI DIO'!$C$3,'OPĆI DIO'!$L$6:$U$138,10,FALSE))</f>
        <v/>
      </c>
      <c r="B352" s="64" t="str">
        <f>IF(E352="","",VLOOKUP('OPĆI DIO'!$C$3,'OPĆI DIO'!$L$6:$U$138,9,FALSE))</f>
        <v/>
      </c>
      <c r="C352" s="65" t="str">
        <f t="shared" si="31"/>
        <v/>
      </c>
      <c r="D352" s="66" t="str">
        <f t="shared" si="32"/>
        <v/>
      </c>
      <c r="E352" s="67"/>
      <c r="F352" s="68" t="str">
        <f t="shared" si="33"/>
        <v/>
      </c>
      <c r="G352" s="69"/>
      <c r="H352" s="69"/>
      <c r="I352" s="78">
        <f t="shared" si="34"/>
        <v>0</v>
      </c>
      <c r="J352" s="67"/>
      <c r="L352" t="str">
        <f t="shared" si="35"/>
        <v/>
      </c>
      <c r="M352" t="str">
        <f t="shared" si="36"/>
        <v/>
      </c>
    </row>
    <row r="353" spans="1:13">
      <c r="A353" s="64" t="str">
        <f>IF(E353="","",VLOOKUP('OPĆI DIO'!$C$3,'OPĆI DIO'!$L$6:$U$138,10,FALSE))</f>
        <v/>
      </c>
      <c r="B353" s="64" t="str">
        <f>IF(E353="","",VLOOKUP('OPĆI DIO'!$C$3,'OPĆI DIO'!$L$6:$U$138,9,FALSE))</f>
        <v/>
      </c>
      <c r="C353" s="65" t="str">
        <f t="shared" si="31"/>
        <v/>
      </c>
      <c r="D353" s="66" t="str">
        <f t="shared" si="32"/>
        <v/>
      </c>
      <c r="E353" s="67"/>
      <c r="F353" s="68" t="str">
        <f t="shared" si="33"/>
        <v/>
      </c>
      <c r="G353" s="69"/>
      <c r="H353" s="69"/>
      <c r="I353" s="78">
        <f t="shared" si="34"/>
        <v>0</v>
      </c>
      <c r="J353" s="67"/>
      <c r="L353" t="str">
        <f t="shared" si="35"/>
        <v/>
      </c>
      <c r="M353" t="str">
        <f t="shared" si="36"/>
        <v/>
      </c>
    </row>
    <row r="354" spans="1:13">
      <c r="A354" s="64" t="str">
        <f>IF(E354="","",VLOOKUP('OPĆI DIO'!$C$3,'OPĆI DIO'!$L$6:$U$138,10,FALSE))</f>
        <v/>
      </c>
      <c r="B354" s="64" t="str">
        <f>IF(E354="","",VLOOKUP('OPĆI DIO'!$C$3,'OPĆI DIO'!$L$6:$U$138,9,FALSE))</f>
        <v/>
      </c>
      <c r="C354" s="65" t="str">
        <f t="shared" si="31"/>
        <v/>
      </c>
      <c r="D354" s="66" t="str">
        <f t="shared" si="32"/>
        <v/>
      </c>
      <c r="E354" s="67"/>
      <c r="F354" s="68" t="str">
        <f t="shared" si="33"/>
        <v/>
      </c>
      <c r="G354" s="69"/>
      <c r="H354" s="69"/>
      <c r="I354" s="78">
        <f t="shared" si="34"/>
        <v>0</v>
      </c>
      <c r="J354" s="67"/>
      <c r="L354" t="str">
        <f t="shared" si="35"/>
        <v/>
      </c>
      <c r="M354" t="str">
        <f t="shared" si="36"/>
        <v/>
      </c>
    </row>
    <row r="355" spans="1:13">
      <c r="A355" s="64" t="str">
        <f>IF(E355="","",VLOOKUP('OPĆI DIO'!$C$3,'OPĆI DIO'!$L$6:$U$138,10,FALSE))</f>
        <v/>
      </c>
      <c r="B355" s="64" t="str">
        <f>IF(E355="","",VLOOKUP('OPĆI DIO'!$C$3,'OPĆI DIO'!$L$6:$U$138,9,FALSE))</f>
        <v/>
      </c>
      <c r="C355" s="65" t="str">
        <f t="shared" si="31"/>
        <v/>
      </c>
      <c r="D355" s="66" t="str">
        <f t="shared" si="32"/>
        <v/>
      </c>
      <c r="E355" s="67"/>
      <c r="F355" s="68" t="str">
        <f t="shared" si="33"/>
        <v/>
      </c>
      <c r="G355" s="69"/>
      <c r="H355" s="69"/>
      <c r="I355" s="78">
        <f t="shared" si="34"/>
        <v>0</v>
      </c>
      <c r="J355" s="67"/>
      <c r="L355" t="str">
        <f t="shared" si="35"/>
        <v/>
      </c>
      <c r="M355" t="str">
        <f t="shared" si="36"/>
        <v/>
      </c>
    </row>
    <row r="356" spans="1:13">
      <c r="A356" s="64" t="str">
        <f>IF(E356="","",VLOOKUP('OPĆI DIO'!$C$3,'OPĆI DIO'!$L$6:$U$138,10,FALSE))</f>
        <v/>
      </c>
      <c r="B356" s="64" t="str">
        <f>IF(E356="","",VLOOKUP('OPĆI DIO'!$C$3,'OPĆI DIO'!$L$6:$U$138,9,FALSE))</f>
        <v/>
      </c>
      <c r="C356" s="65" t="str">
        <f t="shared" si="31"/>
        <v/>
      </c>
      <c r="D356" s="66" t="str">
        <f t="shared" si="32"/>
        <v/>
      </c>
      <c r="E356" s="67"/>
      <c r="F356" s="68" t="str">
        <f t="shared" si="33"/>
        <v/>
      </c>
      <c r="G356" s="69"/>
      <c r="H356" s="69"/>
      <c r="I356" s="78">
        <f t="shared" si="34"/>
        <v>0</v>
      </c>
      <c r="J356" s="67"/>
      <c r="L356" t="str">
        <f t="shared" si="35"/>
        <v/>
      </c>
      <c r="M356" t="str">
        <f t="shared" si="36"/>
        <v/>
      </c>
    </row>
    <row r="357" spans="1:13">
      <c r="A357" s="64" t="str">
        <f>IF(E357="","",VLOOKUP('OPĆI DIO'!$C$3,'OPĆI DIO'!$L$6:$U$138,10,FALSE))</f>
        <v/>
      </c>
      <c r="B357" s="64" t="str">
        <f>IF(E357="","",VLOOKUP('OPĆI DIO'!$C$3,'OPĆI DIO'!$L$6:$U$138,9,FALSE))</f>
        <v/>
      </c>
      <c r="C357" s="65" t="str">
        <f t="shared" si="31"/>
        <v/>
      </c>
      <c r="D357" s="66" t="str">
        <f t="shared" si="32"/>
        <v/>
      </c>
      <c r="E357" s="67"/>
      <c r="F357" s="68" t="str">
        <f t="shared" si="33"/>
        <v/>
      </c>
      <c r="G357" s="69"/>
      <c r="H357" s="69"/>
      <c r="I357" s="78">
        <f t="shared" si="34"/>
        <v>0</v>
      </c>
      <c r="J357" s="67"/>
      <c r="L357" t="str">
        <f t="shared" si="35"/>
        <v/>
      </c>
      <c r="M357" t="str">
        <f t="shared" si="36"/>
        <v/>
      </c>
    </row>
    <row r="358" spans="1:13">
      <c r="A358" s="64" t="str">
        <f>IF(E358="","",VLOOKUP('OPĆI DIO'!$C$3,'OPĆI DIO'!$L$6:$U$138,10,FALSE))</f>
        <v/>
      </c>
      <c r="B358" s="64" t="str">
        <f>IF(E358="","",VLOOKUP('OPĆI DIO'!$C$3,'OPĆI DIO'!$L$6:$U$138,9,FALSE))</f>
        <v/>
      </c>
      <c r="C358" s="65" t="str">
        <f t="shared" si="31"/>
        <v/>
      </c>
      <c r="D358" s="66" t="str">
        <f t="shared" si="32"/>
        <v/>
      </c>
      <c r="E358" s="67"/>
      <c r="F358" s="68" t="str">
        <f t="shared" si="33"/>
        <v/>
      </c>
      <c r="G358" s="69"/>
      <c r="H358" s="69"/>
      <c r="I358" s="78">
        <f t="shared" si="34"/>
        <v>0</v>
      </c>
      <c r="J358" s="67"/>
      <c r="L358" t="str">
        <f t="shared" si="35"/>
        <v/>
      </c>
      <c r="M358" t="str">
        <f t="shared" si="36"/>
        <v/>
      </c>
    </row>
    <row r="359" spans="1:13">
      <c r="A359" s="64" t="str">
        <f>IF(E359="","",VLOOKUP('OPĆI DIO'!$C$3,'OPĆI DIO'!$L$6:$U$138,10,FALSE))</f>
        <v/>
      </c>
      <c r="B359" s="64" t="str">
        <f>IF(E359="","",VLOOKUP('OPĆI DIO'!$C$3,'OPĆI DIO'!$L$6:$U$138,9,FALSE))</f>
        <v/>
      </c>
      <c r="C359" s="65" t="str">
        <f t="shared" ref="C359:C422" si="37">IFERROR(VLOOKUP(E359,$R$6:$U$109,3,FALSE),"")</f>
        <v/>
      </c>
      <c r="D359" s="66" t="str">
        <f t="shared" ref="D359:D422" si="38">IFERROR(VLOOKUP(E359,$R$6:$U$109,4,FALSE),"")</f>
        <v/>
      </c>
      <c r="E359" s="67"/>
      <c r="F359" s="68" t="str">
        <f t="shared" ref="F359:F422" si="39">IFERROR(VLOOKUP(E359,$R$6:$U$109,2,FALSE),"")</f>
        <v/>
      </c>
      <c r="G359" s="69"/>
      <c r="H359" s="69"/>
      <c r="I359" s="78">
        <f t="shared" si="34"/>
        <v>0</v>
      </c>
      <c r="J359" s="67"/>
      <c r="L359" t="str">
        <f t="shared" si="35"/>
        <v/>
      </c>
      <c r="M359" t="str">
        <f t="shared" si="36"/>
        <v/>
      </c>
    </row>
    <row r="360" spans="1:13">
      <c r="A360" s="64" t="str">
        <f>IF(E360="","",VLOOKUP('OPĆI DIO'!$C$3,'OPĆI DIO'!$L$6:$U$138,10,FALSE))</f>
        <v/>
      </c>
      <c r="B360" s="64" t="str">
        <f>IF(E360="","",VLOOKUP('OPĆI DIO'!$C$3,'OPĆI DIO'!$L$6:$U$138,9,FALSE))</f>
        <v/>
      </c>
      <c r="C360" s="65" t="str">
        <f t="shared" si="37"/>
        <v/>
      </c>
      <c r="D360" s="66" t="str">
        <f t="shared" si="38"/>
        <v/>
      </c>
      <c r="E360" s="67"/>
      <c r="F360" s="68" t="str">
        <f t="shared" si="39"/>
        <v/>
      </c>
      <c r="G360" s="69"/>
      <c r="H360" s="69"/>
      <c r="I360" s="78">
        <f t="shared" si="34"/>
        <v>0</v>
      </c>
      <c r="J360" s="67"/>
      <c r="L360" t="str">
        <f t="shared" si="35"/>
        <v/>
      </c>
      <c r="M360" t="str">
        <f t="shared" si="36"/>
        <v/>
      </c>
    </row>
    <row r="361" spans="1:13">
      <c r="A361" s="64" t="str">
        <f>IF(E361="","",VLOOKUP('OPĆI DIO'!$C$3,'OPĆI DIO'!$L$6:$U$138,10,FALSE))</f>
        <v/>
      </c>
      <c r="B361" s="64" t="str">
        <f>IF(E361="","",VLOOKUP('OPĆI DIO'!$C$3,'OPĆI DIO'!$L$6:$U$138,9,FALSE))</f>
        <v/>
      </c>
      <c r="C361" s="65" t="str">
        <f t="shared" si="37"/>
        <v/>
      </c>
      <c r="D361" s="66" t="str">
        <f t="shared" si="38"/>
        <v/>
      </c>
      <c r="E361" s="67"/>
      <c r="F361" s="68" t="str">
        <f t="shared" si="39"/>
        <v/>
      </c>
      <c r="G361" s="69"/>
      <c r="H361" s="69"/>
      <c r="I361" s="78">
        <f t="shared" si="34"/>
        <v>0</v>
      </c>
      <c r="J361" s="67"/>
      <c r="L361" t="str">
        <f t="shared" si="35"/>
        <v/>
      </c>
      <c r="M361" t="str">
        <f t="shared" si="36"/>
        <v/>
      </c>
    </row>
    <row r="362" spans="1:13">
      <c r="A362" s="64" t="str">
        <f>IF(E362="","",VLOOKUP('OPĆI DIO'!$C$3,'OPĆI DIO'!$L$6:$U$138,10,FALSE))</f>
        <v/>
      </c>
      <c r="B362" s="64" t="str">
        <f>IF(E362="","",VLOOKUP('OPĆI DIO'!$C$3,'OPĆI DIO'!$L$6:$U$138,9,FALSE))</f>
        <v/>
      </c>
      <c r="C362" s="65" t="str">
        <f t="shared" si="37"/>
        <v/>
      </c>
      <c r="D362" s="66" t="str">
        <f t="shared" si="38"/>
        <v/>
      </c>
      <c r="E362" s="67"/>
      <c r="F362" s="68" t="str">
        <f t="shared" si="39"/>
        <v/>
      </c>
      <c r="G362" s="69"/>
      <c r="H362" s="69"/>
      <c r="I362" s="78">
        <f t="shared" si="34"/>
        <v>0</v>
      </c>
      <c r="J362" s="67"/>
      <c r="L362" t="str">
        <f t="shared" si="35"/>
        <v/>
      </c>
      <c r="M362" t="str">
        <f t="shared" si="36"/>
        <v/>
      </c>
    </row>
    <row r="363" spans="1:13">
      <c r="A363" s="64" t="str">
        <f>IF(E363="","",VLOOKUP('OPĆI DIO'!$C$3,'OPĆI DIO'!$L$6:$U$138,10,FALSE))</f>
        <v/>
      </c>
      <c r="B363" s="64" t="str">
        <f>IF(E363="","",VLOOKUP('OPĆI DIO'!$C$3,'OPĆI DIO'!$L$6:$U$138,9,FALSE))</f>
        <v/>
      </c>
      <c r="C363" s="65" t="str">
        <f t="shared" si="37"/>
        <v/>
      </c>
      <c r="D363" s="66" t="str">
        <f t="shared" si="38"/>
        <v/>
      </c>
      <c r="E363" s="67"/>
      <c r="F363" s="68" t="str">
        <f t="shared" si="39"/>
        <v/>
      </c>
      <c r="G363" s="69"/>
      <c r="H363" s="69"/>
      <c r="I363" s="78">
        <f t="shared" si="34"/>
        <v>0</v>
      </c>
      <c r="J363" s="67"/>
      <c r="L363" t="str">
        <f t="shared" si="35"/>
        <v/>
      </c>
      <c r="M363" t="str">
        <f t="shared" si="36"/>
        <v/>
      </c>
    </row>
    <row r="364" spans="1:13">
      <c r="A364" s="64" t="str">
        <f>IF(E364="","",VLOOKUP('OPĆI DIO'!$C$3,'OPĆI DIO'!$L$6:$U$138,10,FALSE))</f>
        <v/>
      </c>
      <c r="B364" s="64" t="str">
        <f>IF(E364="","",VLOOKUP('OPĆI DIO'!$C$3,'OPĆI DIO'!$L$6:$U$138,9,FALSE))</f>
        <v/>
      </c>
      <c r="C364" s="65" t="str">
        <f t="shared" si="37"/>
        <v/>
      </c>
      <c r="D364" s="66" t="str">
        <f t="shared" si="38"/>
        <v/>
      </c>
      <c r="E364" s="67"/>
      <c r="F364" s="68" t="str">
        <f t="shared" si="39"/>
        <v/>
      </c>
      <c r="G364" s="69"/>
      <c r="H364" s="69"/>
      <c r="I364" s="78">
        <f t="shared" si="34"/>
        <v>0</v>
      </c>
      <c r="J364" s="67"/>
      <c r="L364" t="str">
        <f t="shared" si="35"/>
        <v/>
      </c>
      <c r="M364" t="str">
        <f t="shared" si="36"/>
        <v/>
      </c>
    </row>
    <row r="365" spans="1:13">
      <c r="A365" s="64" t="str">
        <f>IF(E365="","",VLOOKUP('OPĆI DIO'!$C$3,'OPĆI DIO'!$L$6:$U$138,10,FALSE))</f>
        <v/>
      </c>
      <c r="B365" s="64" t="str">
        <f>IF(E365="","",VLOOKUP('OPĆI DIO'!$C$3,'OPĆI DIO'!$L$6:$U$138,9,FALSE))</f>
        <v/>
      </c>
      <c r="C365" s="65" t="str">
        <f t="shared" si="37"/>
        <v/>
      </c>
      <c r="D365" s="66" t="str">
        <f t="shared" si="38"/>
        <v/>
      </c>
      <c r="E365" s="67"/>
      <c r="F365" s="68" t="str">
        <f t="shared" si="39"/>
        <v/>
      </c>
      <c r="G365" s="69"/>
      <c r="H365" s="69"/>
      <c r="I365" s="78">
        <f t="shared" si="34"/>
        <v>0</v>
      </c>
      <c r="J365" s="67"/>
      <c r="L365" t="str">
        <f t="shared" si="35"/>
        <v/>
      </c>
      <c r="M365" t="str">
        <f t="shared" si="36"/>
        <v/>
      </c>
    </row>
    <row r="366" spans="1:13">
      <c r="A366" s="64" t="str">
        <f>IF(E366="","",VLOOKUP('OPĆI DIO'!$C$3,'OPĆI DIO'!$L$6:$U$138,10,FALSE))</f>
        <v/>
      </c>
      <c r="B366" s="64" t="str">
        <f>IF(E366="","",VLOOKUP('OPĆI DIO'!$C$3,'OPĆI DIO'!$L$6:$U$138,9,FALSE))</f>
        <v/>
      </c>
      <c r="C366" s="65" t="str">
        <f t="shared" si="37"/>
        <v/>
      </c>
      <c r="D366" s="66" t="str">
        <f t="shared" si="38"/>
        <v/>
      </c>
      <c r="E366" s="67"/>
      <c r="F366" s="68" t="str">
        <f t="shared" si="39"/>
        <v/>
      </c>
      <c r="G366" s="69"/>
      <c r="H366" s="69"/>
      <c r="I366" s="78">
        <f t="shared" si="34"/>
        <v>0</v>
      </c>
      <c r="J366" s="67"/>
      <c r="L366" t="str">
        <f t="shared" si="35"/>
        <v/>
      </c>
      <c r="M366" t="str">
        <f t="shared" si="36"/>
        <v/>
      </c>
    </row>
    <row r="367" spans="1:13">
      <c r="A367" s="64" t="str">
        <f>IF(E367="","",VLOOKUP('OPĆI DIO'!$C$3,'OPĆI DIO'!$L$6:$U$138,10,FALSE))</f>
        <v/>
      </c>
      <c r="B367" s="64" t="str">
        <f>IF(E367="","",VLOOKUP('OPĆI DIO'!$C$3,'OPĆI DIO'!$L$6:$U$138,9,FALSE))</f>
        <v/>
      </c>
      <c r="C367" s="65" t="str">
        <f t="shared" si="37"/>
        <v/>
      </c>
      <c r="D367" s="66" t="str">
        <f t="shared" si="38"/>
        <v/>
      </c>
      <c r="E367" s="67"/>
      <c r="F367" s="68" t="str">
        <f t="shared" si="39"/>
        <v/>
      </c>
      <c r="G367" s="69"/>
      <c r="H367" s="69"/>
      <c r="I367" s="78">
        <f t="shared" si="34"/>
        <v>0</v>
      </c>
      <c r="J367" s="67"/>
      <c r="L367" t="str">
        <f t="shared" si="35"/>
        <v/>
      </c>
      <c r="M367" t="str">
        <f t="shared" si="36"/>
        <v/>
      </c>
    </row>
    <row r="368" spans="1:13">
      <c r="A368" s="64" t="str">
        <f>IF(E368="","",VLOOKUP('OPĆI DIO'!$C$3,'OPĆI DIO'!$L$6:$U$138,10,FALSE))</f>
        <v/>
      </c>
      <c r="B368" s="64" t="str">
        <f>IF(E368="","",VLOOKUP('OPĆI DIO'!$C$3,'OPĆI DIO'!$L$6:$U$138,9,FALSE))</f>
        <v/>
      </c>
      <c r="C368" s="65" t="str">
        <f t="shared" si="37"/>
        <v/>
      </c>
      <c r="D368" s="66" t="str">
        <f t="shared" si="38"/>
        <v/>
      </c>
      <c r="E368" s="67"/>
      <c r="F368" s="68" t="str">
        <f t="shared" si="39"/>
        <v/>
      </c>
      <c r="G368" s="69"/>
      <c r="H368" s="69"/>
      <c r="I368" s="78">
        <f t="shared" si="34"/>
        <v>0</v>
      </c>
      <c r="J368" s="67"/>
      <c r="L368" t="str">
        <f t="shared" si="35"/>
        <v/>
      </c>
      <c r="M368" t="str">
        <f t="shared" si="36"/>
        <v/>
      </c>
    </row>
    <row r="369" spans="1:13">
      <c r="A369" s="64" t="str">
        <f>IF(E369="","",VLOOKUP('OPĆI DIO'!$C$3,'OPĆI DIO'!$L$6:$U$138,10,FALSE))</f>
        <v/>
      </c>
      <c r="B369" s="64" t="str">
        <f>IF(E369="","",VLOOKUP('OPĆI DIO'!$C$3,'OPĆI DIO'!$L$6:$U$138,9,FALSE))</f>
        <v/>
      </c>
      <c r="C369" s="65" t="str">
        <f t="shared" si="37"/>
        <v/>
      </c>
      <c r="D369" s="66" t="str">
        <f t="shared" si="38"/>
        <v/>
      </c>
      <c r="E369" s="67"/>
      <c r="F369" s="68" t="str">
        <f t="shared" si="39"/>
        <v/>
      </c>
      <c r="G369" s="69"/>
      <c r="H369" s="69"/>
      <c r="I369" s="78">
        <f t="shared" si="34"/>
        <v>0</v>
      </c>
      <c r="J369" s="67"/>
      <c r="L369" t="str">
        <f t="shared" si="35"/>
        <v/>
      </c>
      <c r="M369" t="str">
        <f t="shared" si="36"/>
        <v/>
      </c>
    </row>
    <row r="370" spans="1:13">
      <c r="A370" s="64" t="str">
        <f>IF(E370="","",VLOOKUP('OPĆI DIO'!$C$3,'OPĆI DIO'!$L$6:$U$138,10,FALSE))</f>
        <v/>
      </c>
      <c r="B370" s="64" t="str">
        <f>IF(E370="","",VLOOKUP('OPĆI DIO'!$C$3,'OPĆI DIO'!$L$6:$U$138,9,FALSE))</f>
        <v/>
      </c>
      <c r="C370" s="65" t="str">
        <f t="shared" si="37"/>
        <v/>
      </c>
      <c r="D370" s="66" t="str">
        <f t="shared" si="38"/>
        <v/>
      </c>
      <c r="E370" s="67"/>
      <c r="F370" s="68" t="str">
        <f t="shared" si="39"/>
        <v/>
      </c>
      <c r="G370" s="69"/>
      <c r="H370" s="69"/>
      <c r="I370" s="78">
        <f t="shared" si="34"/>
        <v>0</v>
      </c>
      <c r="J370" s="67"/>
      <c r="L370" t="str">
        <f t="shared" si="35"/>
        <v/>
      </c>
      <c r="M370" t="str">
        <f t="shared" si="36"/>
        <v/>
      </c>
    </row>
    <row r="371" spans="1:13">
      <c r="A371" s="64" t="str">
        <f>IF(E371="","",VLOOKUP('OPĆI DIO'!$C$3,'OPĆI DIO'!$L$6:$U$138,10,FALSE))</f>
        <v/>
      </c>
      <c r="B371" s="64" t="str">
        <f>IF(E371="","",VLOOKUP('OPĆI DIO'!$C$3,'OPĆI DIO'!$L$6:$U$138,9,FALSE))</f>
        <v/>
      </c>
      <c r="C371" s="65" t="str">
        <f t="shared" si="37"/>
        <v/>
      </c>
      <c r="D371" s="66" t="str">
        <f t="shared" si="38"/>
        <v/>
      </c>
      <c r="E371" s="67"/>
      <c r="F371" s="68" t="str">
        <f t="shared" si="39"/>
        <v/>
      </c>
      <c r="G371" s="69"/>
      <c r="H371" s="69"/>
      <c r="I371" s="78">
        <f t="shared" si="34"/>
        <v>0</v>
      </c>
      <c r="J371" s="67"/>
      <c r="L371" t="str">
        <f t="shared" si="35"/>
        <v/>
      </c>
      <c r="M371" t="str">
        <f t="shared" si="36"/>
        <v/>
      </c>
    </row>
    <row r="372" spans="1:13">
      <c r="A372" s="64" t="str">
        <f>IF(E372="","",VLOOKUP('OPĆI DIO'!$C$3,'OPĆI DIO'!$L$6:$U$138,10,FALSE))</f>
        <v/>
      </c>
      <c r="B372" s="64" t="str">
        <f>IF(E372="","",VLOOKUP('OPĆI DIO'!$C$3,'OPĆI DIO'!$L$6:$U$138,9,FALSE))</f>
        <v/>
      </c>
      <c r="C372" s="65" t="str">
        <f t="shared" si="37"/>
        <v/>
      </c>
      <c r="D372" s="66" t="str">
        <f t="shared" si="38"/>
        <v/>
      </c>
      <c r="E372" s="67"/>
      <c r="F372" s="68" t="str">
        <f t="shared" si="39"/>
        <v/>
      </c>
      <c r="G372" s="69"/>
      <c r="H372" s="69"/>
      <c r="I372" s="78">
        <f t="shared" si="34"/>
        <v>0</v>
      </c>
      <c r="J372" s="67"/>
      <c r="L372" t="str">
        <f t="shared" si="35"/>
        <v/>
      </c>
      <c r="M372" t="str">
        <f t="shared" si="36"/>
        <v/>
      </c>
    </row>
    <row r="373" spans="1:13">
      <c r="A373" s="64" t="str">
        <f>IF(E373="","",VLOOKUP('OPĆI DIO'!$C$3,'OPĆI DIO'!$L$6:$U$138,10,FALSE))</f>
        <v/>
      </c>
      <c r="B373" s="64" t="str">
        <f>IF(E373="","",VLOOKUP('OPĆI DIO'!$C$3,'OPĆI DIO'!$L$6:$U$138,9,FALSE))</f>
        <v/>
      </c>
      <c r="C373" s="65" t="str">
        <f t="shared" si="37"/>
        <v/>
      </c>
      <c r="D373" s="66" t="str">
        <f t="shared" si="38"/>
        <v/>
      </c>
      <c r="E373" s="67"/>
      <c r="F373" s="68" t="str">
        <f t="shared" si="39"/>
        <v/>
      </c>
      <c r="G373" s="69"/>
      <c r="H373" s="69"/>
      <c r="I373" s="78">
        <f t="shared" si="34"/>
        <v>0</v>
      </c>
      <c r="J373" s="67"/>
      <c r="L373" t="str">
        <f t="shared" si="35"/>
        <v/>
      </c>
      <c r="M373" t="str">
        <f t="shared" si="36"/>
        <v/>
      </c>
    </row>
    <row r="374" spans="1:13">
      <c r="A374" s="64" t="str">
        <f>IF(E374="","",VLOOKUP('OPĆI DIO'!$C$3,'OPĆI DIO'!$L$6:$U$138,10,FALSE))</f>
        <v/>
      </c>
      <c r="B374" s="64" t="str">
        <f>IF(E374="","",VLOOKUP('OPĆI DIO'!$C$3,'OPĆI DIO'!$L$6:$U$138,9,FALSE))</f>
        <v/>
      </c>
      <c r="C374" s="65" t="str">
        <f t="shared" si="37"/>
        <v/>
      </c>
      <c r="D374" s="66" t="str">
        <f t="shared" si="38"/>
        <v/>
      </c>
      <c r="E374" s="67"/>
      <c r="F374" s="68" t="str">
        <f t="shared" si="39"/>
        <v/>
      </c>
      <c r="G374" s="69"/>
      <c r="H374" s="69"/>
      <c r="I374" s="78">
        <f t="shared" si="34"/>
        <v>0</v>
      </c>
      <c r="J374" s="67"/>
      <c r="L374" t="str">
        <f t="shared" si="35"/>
        <v/>
      </c>
      <c r="M374" t="str">
        <f t="shared" si="36"/>
        <v/>
      </c>
    </row>
    <row r="375" spans="1:13">
      <c r="A375" s="64" t="str">
        <f>IF(E375="","",VLOOKUP('OPĆI DIO'!$C$3,'OPĆI DIO'!$L$6:$U$138,10,FALSE))</f>
        <v/>
      </c>
      <c r="B375" s="64" t="str">
        <f>IF(E375="","",VLOOKUP('OPĆI DIO'!$C$3,'OPĆI DIO'!$L$6:$U$138,9,FALSE))</f>
        <v/>
      </c>
      <c r="C375" s="65" t="str">
        <f t="shared" si="37"/>
        <v/>
      </c>
      <c r="D375" s="66" t="str">
        <f t="shared" si="38"/>
        <v/>
      </c>
      <c r="E375" s="67"/>
      <c r="F375" s="68" t="str">
        <f t="shared" si="39"/>
        <v/>
      </c>
      <c r="G375" s="69"/>
      <c r="H375" s="69"/>
      <c r="I375" s="78">
        <f t="shared" si="34"/>
        <v>0</v>
      </c>
      <c r="J375" s="67"/>
      <c r="L375" t="str">
        <f t="shared" si="35"/>
        <v/>
      </c>
      <c r="M375" t="str">
        <f t="shared" si="36"/>
        <v/>
      </c>
    </row>
    <row r="376" spans="1:13">
      <c r="A376" s="64" t="str">
        <f>IF(E376="","",VLOOKUP('OPĆI DIO'!$C$3,'OPĆI DIO'!$L$6:$U$138,10,FALSE))</f>
        <v/>
      </c>
      <c r="B376" s="64" t="str">
        <f>IF(E376="","",VLOOKUP('OPĆI DIO'!$C$3,'OPĆI DIO'!$L$6:$U$138,9,FALSE))</f>
        <v/>
      </c>
      <c r="C376" s="65" t="str">
        <f t="shared" si="37"/>
        <v/>
      </c>
      <c r="D376" s="66" t="str">
        <f t="shared" si="38"/>
        <v/>
      </c>
      <c r="E376" s="67"/>
      <c r="F376" s="68" t="str">
        <f t="shared" si="39"/>
        <v/>
      </c>
      <c r="G376" s="69"/>
      <c r="H376" s="69"/>
      <c r="I376" s="78">
        <f t="shared" si="34"/>
        <v>0</v>
      </c>
      <c r="J376" s="67"/>
      <c r="L376" t="str">
        <f t="shared" si="35"/>
        <v/>
      </c>
      <c r="M376" t="str">
        <f t="shared" si="36"/>
        <v/>
      </c>
    </row>
    <row r="377" spans="1:13">
      <c r="A377" s="64" t="str">
        <f>IF(E377="","",VLOOKUP('OPĆI DIO'!$C$3,'OPĆI DIO'!$L$6:$U$138,10,FALSE))</f>
        <v/>
      </c>
      <c r="B377" s="64" t="str">
        <f>IF(E377="","",VLOOKUP('OPĆI DIO'!$C$3,'OPĆI DIO'!$L$6:$U$138,9,FALSE))</f>
        <v/>
      </c>
      <c r="C377" s="65" t="str">
        <f t="shared" si="37"/>
        <v/>
      </c>
      <c r="D377" s="66" t="str">
        <f t="shared" si="38"/>
        <v/>
      </c>
      <c r="E377" s="67"/>
      <c r="F377" s="68" t="str">
        <f t="shared" si="39"/>
        <v/>
      </c>
      <c r="G377" s="69"/>
      <c r="H377" s="69"/>
      <c r="I377" s="78">
        <f t="shared" si="34"/>
        <v>0</v>
      </c>
      <c r="J377" s="67"/>
      <c r="L377" t="str">
        <f t="shared" si="35"/>
        <v/>
      </c>
      <c r="M377" t="str">
        <f t="shared" si="36"/>
        <v/>
      </c>
    </row>
    <row r="378" spans="1:13">
      <c r="A378" s="64" t="str">
        <f>IF(E378="","",VLOOKUP('OPĆI DIO'!$C$3,'OPĆI DIO'!$L$6:$U$138,10,FALSE))</f>
        <v/>
      </c>
      <c r="B378" s="64" t="str">
        <f>IF(E378="","",VLOOKUP('OPĆI DIO'!$C$3,'OPĆI DIO'!$L$6:$U$138,9,FALSE))</f>
        <v/>
      </c>
      <c r="C378" s="65" t="str">
        <f t="shared" si="37"/>
        <v/>
      </c>
      <c r="D378" s="66" t="str">
        <f t="shared" si="38"/>
        <v/>
      </c>
      <c r="E378" s="67"/>
      <c r="F378" s="68" t="str">
        <f t="shared" si="39"/>
        <v/>
      </c>
      <c r="G378" s="69"/>
      <c r="H378" s="69"/>
      <c r="I378" s="78">
        <f t="shared" si="34"/>
        <v>0</v>
      </c>
      <c r="J378" s="67"/>
      <c r="L378" t="str">
        <f t="shared" si="35"/>
        <v/>
      </c>
      <c r="M378" t="str">
        <f t="shared" si="36"/>
        <v/>
      </c>
    </row>
    <row r="379" spans="1:13">
      <c r="A379" s="64" t="str">
        <f>IF(E379="","",VLOOKUP('OPĆI DIO'!$C$3,'OPĆI DIO'!$L$6:$U$138,10,FALSE))</f>
        <v/>
      </c>
      <c r="B379" s="64" t="str">
        <f>IF(E379="","",VLOOKUP('OPĆI DIO'!$C$3,'OPĆI DIO'!$L$6:$U$138,9,FALSE))</f>
        <v/>
      </c>
      <c r="C379" s="65" t="str">
        <f t="shared" si="37"/>
        <v/>
      </c>
      <c r="D379" s="66" t="str">
        <f t="shared" si="38"/>
        <v/>
      </c>
      <c r="E379" s="67"/>
      <c r="F379" s="68" t="str">
        <f t="shared" si="39"/>
        <v/>
      </c>
      <c r="G379" s="69"/>
      <c r="H379" s="69"/>
      <c r="I379" s="78">
        <f t="shared" si="34"/>
        <v>0</v>
      </c>
      <c r="J379" s="67"/>
      <c r="L379" t="str">
        <f t="shared" si="35"/>
        <v/>
      </c>
      <c r="M379" t="str">
        <f t="shared" si="36"/>
        <v/>
      </c>
    </row>
    <row r="380" spans="1:13">
      <c r="A380" s="64" t="str">
        <f>IF(E380="","",VLOOKUP('OPĆI DIO'!$C$3,'OPĆI DIO'!$L$6:$U$138,10,FALSE))</f>
        <v/>
      </c>
      <c r="B380" s="64" t="str">
        <f>IF(E380="","",VLOOKUP('OPĆI DIO'!$C$3,'OPĆI DIO'!$L$6:$U$138,9,FALSE))</f>
        <v/>
      </c>
      <c r="C380" s="65" t="str">
        <f t="shared" si="37"/>
        <v/>
      </c>
      <c r="D380" s="66" t="str">
        <f t="shared" si="38"/>
        <v/>
      </c>
      <c r="E380" s="67"/>
      <c r="F380" s="68" t="str">
        <f t="shared" si="39"/>
        <v/>
      </c>
      <c r="G380" s="69"/>
      <c r="H380" s="69"/>
      <c r="I380" s="78">
        <f t="shared" si="34"/>
        <v>0</v>
      </c>
      <c r="J380" s="67"/>
      <c r="L380" t="str">
        <f t="shared" si="35"/>
        <v/>
      </c>
      <c r="M380" t="str">
        <f t="shared" si="36"/>
        <v/>
      </c>
    </row>
    <row r="381" spans="1:13">
      <c r="A381" s="64" t="str">
        <f>IF(E381="","",VLOOKUP('OPĆI DIO'!$C$3,'OPĆI DIO'!$L$6:$U$138,10,FALSE))</f>
        <v/>
      </c>
      <c r="B381" s="64" t="str">
        <f>IF(E381="","",VLOOKUP('OPĆI DIO'!$C$3,'OPĆI DIO'!$L$6:$U$138,9,FALSE))</f>
        <v/>
      </c>
      <c r="C381" s="65" t="str">
        <f t="shared" si="37"/>
        <v/>
      </c>
      <c r="D381" s="66" t="str">
        <f t="shared" si="38"/>
        <v/>
      </c>
      <c r="E381" s="67"/>
      <c r="F381" s="68" t="str">
        <f t="shared" si="39"/>
        <v/>
      </c>
      <c r="G381" s="69"/>
      <c r="H381" s="69"/>
      <c r="I381" s="78">
        <f t="shared" si="34"/>
        <v>0</v>
      </c>
      <c r="J381" s="67"/>
      <c r="L381" t="str">
        <f t="shared" si="35"/>
        <v/>
      </c>
      <c r="M381" t="str">
        <f t="shared" si="36"/>
        <v/>
      </c>
    </row>
    <row r="382" spans="1:13">
      <c r="A382" s="64" t="str">
        <f>IF(E382="","",VLOOKUP('OPĆI DIO'!$C$3,'OPĆI DIO'!$L$6:$U$138,10,FALSE))</f>
        <v/>
      </c>
      <c r="B382" s="64" t="str">
        <f>IF(E382="","",VLOOKUP('OPĆI DIO'!$C$3,'OPĆI DIO'!$L$6:$U$138,9,FALSE))</f>
        <v/>
      </c>
      <c r="C382" s="65" t="str">
        <f t="shared" si="37"/>
        <v/>
      </c>
      <c r="D382" s="66" t="str">
        <f t="shared" si="38"/>
        <v/>
      </c>
      <c r="E382" s="67"/>
      <c r="F382" s="68" t="str">
        <f t="shared" si="39"/>
        <v/>
      </c>
      <c r="G382" s="69"/>
      <c r="H382" s="69"/>
      <c r="I382" s="78">
        <f t="shared" si="34"/>
        <v>0</v>
      </c>
      <c r="J382" s="67"/>
      <c r="L382" t="str">
        <f t="shared" si="35"/>
        <v/>
      </c>
      <c r="M382" t="str">
        <f t="shared" si="36"/>
        <v/>
      </c>
    </row>
    <row r="383" spans="1:13">
      <c r="A383" s="64" t="str">
        <f>IF(E383="","",VLOOKUP('OPĆI DIO'!$C$3,'OPĆI DIO'!$L$6:$U$138,10,FALSE))</f>
        <v/>
      </c>
      <c r="B383" s="64" t="str">
        <f>IF(E383="","",VLOOKUP('OPĆI DIO'!$C$3,'OPĆI DIO'!$L$6:$U$138,9,FALSE))</f>
        <v/>
      </c>
      <c r="C383" s="65" t="str">
        <f t="shared" si="37"/>
        <v/>
      </c>
      <c r="D383" s="66" t="str">
        <f t="shared" si="38"/>
        <v/>
      </c>
      <c r="E383" s="67"/>
      <c r="F383" s="68" t="str">
        <f t="shared" si="39"/>
        <v/>
      </c>
      <c r="G383" s="69"/>
      <c r="H383" s="69"/>
      <c r="I383" s="78">
        <f t="shared" si="34"/>
        <v>0</v>
      </c>
      <c r="J383" s="67"/>
      <c r="L383" t="str">
        <f t="shared" si="35"/>
        <v/>
      </c>
      <c r="M383" t="str">
        <f t="shared" si="36"/>
        <v/>
      </c>
    </row>
    <row r="384" spans="1:13">
      <c r="A384" s="64" t="str">
        <f>IF(E384="","",VLOOKUP('OPĆI DIO'!$C$3,'OPĆI DIO'!$L$6:$U$138,10,FALSE))</f>
        <v/>
      </c>
      <c r="B384" s="64" t="str">
        <f>IF(E384="","",VLOOKUP('OPĆI DIO'!$C$3,'OPĆI DIO'!$L$6:$U$138,9,FALSE))</f>
        <v/>
      </c>
      <c r="C384" s="65" t="str">
        <f t="shared" si="37"/>
        <v/>
      </c>
      <c r="D384" s="66" t="str">
        <f t="shared" si="38"/>
        <v/>
      </c>
      <c r="E384" s="67"/>
      <c r="F384" s="68" t="str">
        <f t="shared" si="39"/>
        <v/>
      </c>
      <c r="G384" s="69"/>
      <c r="H384" s="69"/>
      <c r="I384" s="78">
        <f t="shared" si="34"/>
        <v>0</v>
      </c>
      <c r="J384" s="67"/>
      <c r="L384" t="str">
        <f t="shared" si="35"/>
        <v/>
      </c>
      <c r="M384" t="str">
        <f t="shared" si="36"/>
        <v/>
      </c>
    </row>
    <row r="385" spans="1:13">
      <c r="A385" s="64" t="str">
        <f>IF(E385="","",VLOOKUP('OPĆI DIO'!$C$3,'OPĆI DIO'!$L$6:$U$138,10,FALSE))</f>
        <v/>
      </c>
      <c r="B385" s="64" t="str">
        <f>IF(E385="","",VLOOKUP('OPĆI DIO'!$C$3,'OPĆI DIO'!$L$6:$U$138,9,FALSE))</f>
        <v/>
      </c>
      <c r="C385" s="65" t="str">
        <f t="shared" si="37"/>
        <v/>
      </c>
      <c r="D385" s="66" t="str">
        <f t="shared" si="38"/>
        <v/>
      </c>
      <c r="E385" s="67"/>
      <c r="F385" s="68" t="str">
        <f t="shared" si="39"/>
        <v/>
      </c>
      <c r="G385" s="69"/>
      <c r="H385" s="69"/>
      <c r="I385" s="78">
        <f t="shared" si="34"/>
        <v>0</v>
      </c>
      <c r="J385" s="67"/>
      <c r="L385" t="str">
        <f t="shared" si="35"/>
        <v/>
      </c>
      <c r="M385" t="str">
        <f t="shared" si="36"/>
        <v/>
      </c>
    </row>
    <row r="386" spans="1:13">
      <c r="A386" s="64" t="str">
        <f>IF(E386="","",VLOOKUP('OPĆI DIO'!$C$3,'OPĆI DIO'!$L$6:$U$138,10,FALSE))</f>
        <v/>
      </c>
      <c r="B386" s="64" t="str">
        <f>IF(E386="","",VLOOKUP('OPĆI DIO'!$C$3,'OPĆI DIO'!$L$6:$U$138,9,FALSE))</f>
        <v/>
      </c>
      <c r="C386" s="65" t="str">
        <f t="shared" si="37"/>
        <v/>
      </c>
      <c r="D386" s="66" t="str">
        <f t="shared" si="38"/>
        <v/>
      </c>
      <c r="E386" s="67"/>
      <c r="F386" s="68" t="str">
        <f t="shared" si="39"/>
        <v/>
      </c>
      <c r="G386" s="69"/>
      <c r="H386" s="69"/>
      <c r="I386" s="78">
        <f t="shared" si="34"/>
        <v>0</v>
      </c>
      <c r="J386" s="67"/>
      <c r="L386" t="str">
        <f t="shared" si="35"/>
        <v/>
      </c>
      <c r="M386" t="str">
        <f t="shared" si="36"/>
        <v/>
      </c>
    </row>
    <row r="387" spans="1:13">
      <c r="A387" s="64" t="str">
        <f>IF(E387="","",VLOOKUP('OPĆI DIO'!$C$3,'OPĆI DIO'!$L$6:$U$138,10,FALSE))</f>
        <v/>
      </c>
      <c r="B387" s="64" t="str">
        <f>IF(E387="","",VLOOKUP('OPĆI DIO'!$C$3,'OPĆI DIO'!$L$6:$U$138,9,FALSE))</f>
        <v/>
      </c>
      <c r="C387" s="65" t="str">
        <f t="shared" si="37"/>
        <v/>
      </c>
      <c r="D387" s="66" t="str">
        <f t="shared" si="38"/>
        <v/>
      </c>
      <c r="E387" s="67"/>
      <c r="F387" s="68" t="str">
        <f t="shared" si="39"/>
        <v/>
      </c>
      <c r="G387" s="69"/>
      <c r="H387" s="69"/>
      <c r="I387" s="78">
        <f t="shared" si="34"/>
        <v>0</v>
      </c>
      <c r="J387" s="67"/>
      <c r="L387" t="str">
        <f t="shared" si="35"/>
        <v/>
      </c>
      <c r="M387" t="str">
        <f t="shared" si="36"/>
        <v/>
      </c>
    </row>
    <row r="388" spans="1:13">
      <c r="A388" s="64" t="str">
        <f>IF(E388="","",VLOOKUP('OPĆI DIO'!$C$3,'OPĆI DIO'!$L$6:$U$138,10,FALSE))</f>
        <v/>
      </c>
      <c r="B388" s="64" t="str">
        <f>IF(E388="","",VLOOKUP('OPĆI DIO'!$C$3,'OPĆI DIO'!$L$6:$U$138,9,FALSE))</f>
        <v/>
      </c>
      <c r="C388" s="65" t="str">
        <f t="shared" si="37"/>
        <v/>
      </c>
      <c r="D388" s="66" t="str">
        <f t="shared" si="38"/>
        <v/>
      </c>
      <c r="E388" s="67"/>
      <c r="F388" s="68" t="str">
        <f t="shared" si="39"/>
        <v/>
      </c>
      <c r="G388" s="69"/>
      <c r="H388" s="69"/>
      <c r="I388" s="78">
        <f t="shared" ref="I388:I451" si="40">H388-G388</f>
        <v>0</v>
      </c>
      <c r="J388" s="67"/>
      <c r="L388" t="str">
        <f t="shared" ref="L388:L451" si="41">LEFT(E388,2)</f>
        <v/>
      </c>
      <c r="M388" t="str">
        <f t="shared" ref="M388:M451" si="42">LEFT(E388,3)</f>
        <v/>
      </c>
    </row>
    <row r="389" spans="1:13">
      <c r="A389" s="64" t="str">
        <f>IF(E389="","",VLOOKUP('OPĆI DIO'!$C$3,'OPĆI DIO'!$L$6:$U$138,10,FALSE))</f>
        <v/>
      </c>
      <c r="B389" s="64" t="str">
        <f>IF(E389="","",VLOOKUP('OPĆI DIO'!$C$3,'OPĆI DIO'!$L$6:$U$138,9,FALSE))</f>
        <v/>
      </c>
      <c r="C389" s="65" t="str">
        <f t="shared" si="37"/>
        <v/>
      </c>
      <c r="D389" s="66" t="str">
        <f t="shared" si="38"/>
        <v/>
      </c>
      <c r="E389" s="67"/>
      <c r="F389" s="68" t="str">
        <f t="shared" si="39"/>
        <v/>
      </c>
      <c r="G389" s="69"/>
      <c r="H389" s="69"/>
      <c r="I389" s="78">
        <f t="shared" si="40"/>
        <v>0</v>
      </c>
      <c r="J389" s="67"/>
      <c r="L389" t="str">
        <f t="shared" si="41"/>
        <v/>
      </c>
      <c r="M389" t="str">
        <f t="shared" si="42"/>
        <v/>
      </c>
    </row>
    <row r="390" spans="1:13">
      <c r="A390" s="64" t="str">
        <f>IF(E390="","",VLOOKUP('OPĆI DIO'!$C$3,'OPĆI DIO'!$L$6:$U$138,10,FALSE))</f>
        <v/>
      </c>
      <c r="B390" s="64" t="str">
        <f>IF(E390="","",VLOOKUP('OPĆI DIO'!$C$3,'OPĆI DIO'!$L$6:$U$138,9,FALSE))</f>
        <v/>
      </c>
      <c r="C390" s="65" t="str">
        <f t="shared" si="37"/>
        <v/>
      </c>
      <c r="D390" s="66" t="str">
        <f t="shared" si="38"/>
        <v/>
      </c>
      <c r="E390" s="67"/>
      <c r="F390" s="68" t="str">
        <f t="shared" si="39"/>
        <v/>
      </c>
      <c r="G390" s="69"/>
      <c r="H390" s="69"/>
      <c r="I390" s="78">
        <f t="shared" si="40"/>
        <v>0</v>
      </c>
      <c r="J390" s="67"/>
      <c r="L390" t="str">
        <f t="shared" si="41"/>
        <v/>
      </c>
      <c r="M390" t="str">
        <f t="shared" si="42"/>
        <v/>
      </c>
    </row>
    <row r="391" spans="1:13">
      <c r="A391" s="64" t="str">
        <f>IF(E391="","",VLOOKUP('OPĆI DIO'!$C$3,'OPĆI DIO'!$L$6:$U$138,10,FALSE))</f>
        <v/>
      </c>
      <c r="B391" s="64" t="str">
        <f>IF(E391="","",VLOOKUP('OPĆI DIO'!$C$3,'OPĆI DIO'!$L$6:$U$138,9,FALSE))</f>
        <v/>
      </c>
      <c r="C391" s="65" t="str">
        <f t="shared" si="37"/>
        <v/>
      </c>
      <c r="D391" s="66" t="str">
        <f t="shared" si="38"/>
        <v/>
      </c>
      <c r="E391" s="67"/>
      <c r="F391" s="68" t="str">
        <f t="shared" si="39"/>
        <v/>
      </c>
      <c r="G391" s="69"/>
      <c r="H391" s="69"/>
      <c r="I391" s="78">
        <f t="shared" si="40"/>
        <v>0</v>
      </c>
      <c r="J391" s="67"/>
      <c r="L391" t="str">
        <f t="shared" si="41"/>
        <v/>
      </c>
      <c r="M391" t="str">
        <f t="shared" si="42"/>
        <v/>
      </c>
    </row>
    <row r="392" spans="1:13">
      <c r="A392" s="64" t="str">
        <f>IF(E392="","",VLOOKUP('OPĆI DIO'!$C$3,'OPĆI DIO'!$L$6:$U$138,10,FALSE))</f>
        <v/>
      </c>
      <c r="B392" s="64" t="str">
        <f>IF(E392="","",VLOOKUP('OPĆI DIO'!$C$3,'OPĆI DIO'!$L$6:$U$138,9,FALSE))</f>
        <v/>
      </c>
      <c r="C392" s="65" t="str">
        <f t="shared" si="37"/>
        <v/>
      </c>
      <c r="D392" s="66" t="str">
        <f t="shared" si="38"/>
        <v/>
      </c>
      <c r="E392" s="67"/>
      <c r="F392" s="68" t="str">
        <f t="shared" si="39"/>
        <v/>
      </c>
      <c r="G392" s="69"/>
      <c r="H392" s="69"/>
      <c r="I392" s="78">
        <f t="shared" si="40"/>
        <v>0</v>
      </c>
      <c r="J392" s="67"/>
      <c r="L392" t="str">
        <f t="shared" si="41"/>
        <v/>
      </c>
      <c r="M392" t="str">
        <f t="shared" si="42"/>
        <v/>
      </c>
    </row>
    <row r="393" spans="1:13">
      <c r="A393" s="64" t="str">
        <f>IF(E393="","",VLOOKUP('OPĆI DIO'!$C$3,'OPĆI DIO'!$L$6:$U$138,10,FALSE))</f>
        <v/>
      </c>
      <c r="B393" s="64" t="str">
        <f>IF(E393="","",VLOOKUP('OPĆI DIO'!$C$3,'OPĆI DIO'!$L$6:$U$138,9,FALSE))</f>
        <v/>
      </c>
      <c r="C393" s="65" t="str">
        <f t="shared" si="37"/>
        <v/>
      </c>
      <c r="D393" s="66" t="str">
        <f t="shared" si="38"/>
        <v/>
      </c>
      <c r="E393" s="67"/>
      <c r="F393" s="68" t="str">
        <f t="shared" si="39"/>
        <v/>
      </c>
      <c r="G393" s="69"/>
      <c r="H393" s="69"/>
      <c r="I393" s="78">
        <f t="shared" si="40"/>
        <v>0</v>
      </c>
      <c r="J393" s="67"/>
      <c r="L393" t="str">
        <f t="shared" si="41"/>
        <v/>
      </c>
      <c r="M393" t="str">
        <f t="shared" si="42"/>
        <v/>
      </c>
    </row>
    <row r="394" spans="1:13">
      <c r="A394" s="64" t="str">
        <f>IF(E394="","",VLOOKUP('OPĆI DIO'!$C$3,'OPĆI DIO'!$L$6:$U$138,10,FALSE))</f>
        <v/>
      </c>
      <c r="B394" s="64" t="str">
        <f>IF(E394="","",VLOOKUP('OPĆI DIO'!$C$3,'OPĆI DIO'!$L$6:$U$138,9,FALSE))</f>
        <v/>
      </c>
      <c r="C394" s="65" t="str">
        <f t="shared" si="37"/>
        <v/>
      </c>
      <c r="D394" s="66" t="str">
        <f t="shared" si="38"/>
        <v/>
      </c>
      <c r="E394" s="67"/>
      <c r="F394" s="68" t="str">
        <f t="shared" si="39"/>
        <v/>
      </c>
      <c r="G394" s="69"/>
      <c r="H394" s="69"/>
      <c r="I394" s="78">
        <f t="shared" si="40"/>
        <v>0</v>
      </c>
      <c r="J394" s="67"/>
      <c r="L394" t="str">
        <f t="shared" si="41"/>
        <v/>
      </c>
      <c r="M394" t="str">
        <f t="shared" si="42"/>
        <v/>
      </c>
    </row>
    <row r="395" spans="1:13">
      <c r="A395" s="64" t="str">
        <f>IF(E395="","",VLOOKUP('OPĆI DIO'!$C$3,'OPĆI DIO'!$L$6:$U$138,10,FALSE))</f>
        <v/>
      </c>
      <c r="B395" s="64" t="str">
        <f>IF(E395="","",VLOOKUP('OPĆI DIO'!$C$3,'OPĆI DIO'!$L$6:$U$138,9,FALSE))</f>
        <v/>
      </c>
      <c r="C395" s="65" t="str">
        <f t="shared" si="37"/>
        <v/>
      </c>
      <c r="D395" s="66" t="str">
        <f t="shared" si="38"/>
        <v/>
      </c>
      <c r="E395" s="67"/>
      <c r="F395" s="68" t="str">
        <f t="shared" si="39"/>
        <v/>
      </c>
      <c r="G395" s="69"/>
      <c r="H395" s="69"/>
      <c r="I395" s="78">
        <f t="shared" si="40"/>
        <v>0</v>
      </c>
      <c r="J395" s="67"/>
      <c r="L395" t="str">
        <f t="shared" si="41"/>
        <v/>
      </c>
      <c r="M395" t="str">
        <f t="shared" si="42"/>
        <v/>
      </c>
    </row>
    <row r="396" spans="1:13">
      <c r="A396" s="64" t="str">
        <f>IF(E396="","",VLOOKUP('OPĆI DIO'!$C$3,'OPĆI DIO'!$L$6:$U$138,10,FALSE))</f>
        <v/>
      </c>
      <c r="B396" s="64" t="str">
        <f>IF(E396="","",VLOOKUP('OPĆI DIO'!$C$3,'OPĆI DIO'!$L$6:$U$138,9,FALSE))</f>
        <v/>
      </c>
      <c r="C396" s="65" t="str">
        <f t="shared" si="37"/>
        <v/>
      </c>
      <c r="D396" s="66" t="str">
        <f t="shared" si="38"/>
        <v/>
      </c>
      <c r="E396" s="67"/>
      <c r="F396" s="68" t="str">
        <f t="shared" si="39"/>
        <v/>
      </c>
      <c r="G396" s="69"/>
      <c r="H396" s="69"/>
      <c r="I396" s="78">
        <f t="shared" si="40"/>
        <v>0</v>
      </c>
      <c r="J396" s="67"/>
      <c r="L396" t="str">
        <f t="shared" si="41"/>
        <v/>
      </c>
      <c r="M396" t="str">
        <f t="shared" si="42"/>
        <v/>
      </c>
    </row>
    <row r="397" spans="1:13">
      <c r="A397" s="64" t="str">
        <f>IF(E397="","",VLOOKUP('OPĆI DIO'!$C$3,'OPĆI DIO'!$L$6:$U$138,10,FALSE))</f>
        <v/>
      </c>
      <c r="B397" s="64" t="str">
        <f>IF(E397="","",VLOOKUP('OPĆI DIO'!$C$3,'OPĆI DIO'!$L$6:$U$138,9,FALSE))</f>
        <v/>
      </c>
      <c r="C397" s="65" t="str">
        <f t="shared" si="37"/>
        <v/>
      </c>
      <c r="D397" s="66" t="str">
        <f t="shared" si="38"/>
        <v/>
      </c>
      <c r="E397" s="67"/>
      <c r="F397" s="68" t="str">
        <f t="shared" si="39"/>
        <v/>
      </c>
      <c r="G397" s="69"/>
      <c r="H397" s="69"/>
      <c r="I397" s="78">
        <f t="shared" si="40"/>
        <v>0</v>
      </c>
      <c r="J397" s="67"/>
      <c r="L397" t="str">
        <f t="shared" si="41"/>
        <v/>
      </c>
      <c r="M397" t="str">
        <f t="shared" si="42"/>
        <v/>
      </c>
    </row>
    <row r="398" spans="1:13">
      <c r="A398" s="64" t="str">
        <f>IF(E398="","",VLOOKUP('OPĆI DIO'!$C$3,'OPĆI DIO'!$L$6:$U$138,10,FALSE))</f>
        <v/>
      </c>
      <c r="B398" s="64" t="str">
        <f>IF(E398="","",VLOOKUP('OPĆI DIO'!$C$3,'OPĆI DIO'!$L$6:$U$138,9,FALSE))</f>
        <v/>
      </c>
      <c r="C398" s="65" t="str">
        <f t="shared" si="37"/>
        <v/>
      </c>
      <c r="D398" s="66" t="str">
        <f t="shared" si="38"/>
        <v/>
      </c>
      <c r="E398" s="67"/>
      <c r="F398" s="68" t="str">
        <f t="shared" si="39"/>
        <v/>
      </c>
      <c r="G398" s="69"/>
      <c r="H398" s="69"/>
      <c r="I398" s="78">
        <f t="shared" si="40"/>
        <v>0</v>
      </c>
      <c r="J398" s="67"/>
      <c r="L398" t="str">
        <f t="shared" si="41"/>
        <v/>
      </c>
      <c r="M398" t="str">
        <f t="shared" si="42"/>
        <v/>
      </c>
    </row>
    <row r="399" spans="1:13">
      <c r="A399" s="64" t="str">
        <f>IF(E399="","",VLOOKUP('OPĆI DIO'!$C$3,'OPĆI DIO'!$L$6:$U$138,10,FALSE))</f>
        <v/>
      </c>
      <c r="B399" s="64" t="str">
        <f>IF(E399="","",VLOOKUP('OPĆI DIO'!$C$3,'OPĆI DIO'!$L$6:$U$138,9,FALSE))</f>
        <v/>
      </c>
      <c r="C399" s="65" t="str">
        <f t="shared" si="37"/>
        <v/>
      </c>
      <c r="D399" s="66" t="str">
        <f t="shared" si="38"/>
        <v/>
      </c>
      <c r="E399" s="67"/>
      <c r="F399" s="68" t="str">
        <f t="shared" si="39"/>
        <v/>
      </c>
      <c r="G399" s="69"/>
      <c r="H399" s="69"/>
      <c r="I399" s="78">
        <f t="shared" si="40"/>
        <v>0</v>
      </c>
      <c r="J399" s="67"/>
      <c r="L399" t="str">
        <f t="shared" si="41"/>
        <v/>
      </c>
      <c r="M399" t="str">
        <f t="shared" si="42"/>
        <v/>
      </c>
    </row>
    <row r="400" spans="1:13">
      <c r="A400" s="64" t="str">
        <f>IF(E400="","",VLOOKUP('OPĆI DIO'!$C$3,'OPĆI DIO'!$L$6:$U$138,10,FALSE))</f>
        <v/>
      </c>
      <c r="B400" s="64" t="str">
        <f>IF(E400="","",VLOOKUP('OPĆI DIO'!$C$3,'OPĆI DIO'!$L$6:$U$138,9,FALSE))</f>
        <v/>
      </c>
      <c r="C400" s="65" t="str">
        <f t="shared" si="37"/>
        <v/>
      </c>
      <c r="D400" s="66" t="str">
        <f t="shared" si="38"/>
        <v/>
      </c>
      <c r="E400" s="67"/>
      <c r="F400" s="68" t="str">
        <f t="shared" si="39"/>
        <v/>
      </c>
      <c r="G400" s="69"/>
      <c r="H400" s="69"/>
      <c r="I400" s="78">
        <f t="shared" si="40"/>
        <v>0</v>
      </c>
      <c r="J400" s="67"/>
      <c r="L400" t="str">
        <f t="shared" si="41"/>
        <v/>
      </c>
      <c r="M400" t="str">
        <f t="shared" si="42"/>
        <v/>
      </c>
    </row>
    <row r="401" spans="1:13">
      <c r="A401" s="64" t="str">
        <f>IF(E401="","",VLOOKUP('OPĆI DIO'!$C$3,'OPĆI DIO'!$L$6:$U$138,10,FALSE))</f>
        <v/>
      </c>
      <c r="B401" s="64" t="str">
        <f>IF(E401="","",VLOOKUP('OPĆI DIO'!$C$3,'OPĆI DIO'!$L$6:$U$138,9,FALSE))</f>
        <v/>
      </c>
      <c r="C401" s="65" t="str">
        <f t="shared" si="37"/>
        <v/>
      </c>
      <c r="D401" s="66" t="str">
        <f t="shared" si="38"/>
        <v/>
      </c>
      <c r="E401" s="67"/>
      <c r="F401" s="68" t="str">
        <f t="shared" si="39"/>
        <v/>
      </c>
      <c r="G401" s="69"/>
      <c r="H401" s="69"/>
      <c r="I401" s="78">
        <f t="shared" si="40"/>
        <v>0</v>
      </c>
      <c r="J401" s="67"/>
      <c r="L401" t="str">
        <f t="shared" si="41"/>
        <v/>
      </c>
      <c r="M401" t="str">
        <f t="shared" si="42"/>
        <v/>
      </c>
    </row>
    <row r="402" spans="1:13">
      <c r="A402" s="64" t="str">
        <f>IF(E402="","",VLOOKUP('OPĆI DIO'!$C$3,'OPĆI DIO'!$L$6:$U$138,10,FALSE))</f>
        <v/>
      </c>
      <c r="B402" s="64" t="str">
        <f>IF(E402="","",VLOOKUP('OPĆI DIO'!$C$3,'OPĆI DIO'!$L$6:$U$138,9,FALSE))</f>
        <v/>
      </c>
      <c r="C402" s="65" t="str">
        <f t="shared" si="37"/>
        <v/>
      </c>
      <c r="D402" s="66" t="str">
        <f t="shared" si="38"/>
        <v/>
      </c>
      <c r="E402" s="67"/>
      <c r="F402" s="68" t="str">
        <f t="shared" si="39"/>
        <v/>
      </c>
      <c r="G402" s="69"/>
      <c r="H402" s="69"/>
      <c r="I402" s="78">
        <f t="shared" si="40"/>
        <v>0</v>
      </c>
      <c r="J402" s="67"/>
      <c r="L402" t="str">
        <f t="shared" si="41"/>
        <v/>
      </c>
      <c r="M402" t="str">
        <f t="shared" si="42"/>
        <v/>
      </c>
    </row>
    <row r="403" spans="1:13">
      <c r="A403" s="64" t="str">
        <f>IF(E403="","",VLOOKUP('OPĆI DIO'!$C$3,'OPĆI DIO'!$L$6:$U$138,10,FALSE))</f>
        <v/>
      </c>
      <c r="B403" s="64" t="str">
        <f>IF(E403="","",VLOOKUP('OPĆI DIO'!$C$3,'OPĆI DIO'!$L$6:$U$138,9,FALSE))</f>
        <v/>
      </c>
      <c r="C403" s="65" t="str">
        <f t="shared" si="37"/>
        <v/>
      </c>
      <c r="D403" s="66" t="str">
        <f t="shared" si="38"/>
        <v/>
      </c>
      <c r="E403" s="67"/>
      <c r="F403" s="68" t="str">
        <f t="shared" si="39"/>
        <v/>
      </c>
      <c r="G403" s="69"/>
      <c r="H403" s="69"/>
      <c r="I403" s="78">
        <f t="shared" si="40"/>
        <v>0</v>
      </c>
      <c r="J403" s="67"/>
      <c r="L403" t="str">
        <f t="shared" si="41"/>
        <v/>
      </c>
      <c r="M403" t="str">
        <f t="shared" si="42"/>
        <v/>
      </c>
    </row>
    <row r="404" spans="1:13">
      <c r="A404" s="64" t="str">
        <f>IF(E404="","",VLOOKUP('OPĆI DIO'!$C$3,'OPĆI DIO'!$L$6:$U$138,10,FALSE))</f>
        <v/>
      </c>
      <c r="B404" s="64" t="str">
        <f>IF(E404="","",VLOOKUP('OPĆI DIO'!$C$3,'OPĆI DIO'!$L$6:$U$138,9,FALSE))</f>
        <v/>
      </c>
      <c r="C404" s="65" t="str">
        <f t="shared" si="37"/>
        <v/>
      </c>
      <c r="D404" s="66" t="str">
        <f t="shared" si="38"/>
        <v/>
      </c>
      <c r="E404" s="67"/>
      <c r="F404" s="68" t="str">
        <f t="shared" si="39"/>
        <v/>
      </c>
      <c r="G404" s="69"/>
      <c r="H404" s="69"/>
      <c r="I404" s="78">
        <f t="shared" si="40"/>
        <v>0</v>
      </c>
      <c r="J404" s="67"/>
      <c r="L404" t="str">
        <f t="shared" si="41"/>
        <v/>
      </c>
      <c r="M404" t="str">
        <f t="shared" si="42"/>
        <v/>
      </c>
    </row>
    <row r="405" spans="1:13">
      <c r="A405" s="64" t="str">
        <f>IF(E405="","",VLOOKUP('OPĆI DIO'!$C$3,'OPĆI DIO'!$L$6:$U$138,10,FALSE))</f>
        <v/>
      </c>
      <c r="B405" s="64" t="str">
        <f>IF(E405="","",VLOOKUP('OPĆI DIO'!$C$3,'OPĆI DIO'!$L$6:$U$138,9,FALSE))</f>
        <v/>
      </c>
      <c r="C405" s="65" t="str">
        <f t="shared" si="37"/>
        <v/>
      </c>
      <c r="D405" s="66" t="str">
        <f t="shared" si="38"/>
        <v/>
      </c>
      <c r="E405" s="67"/>
      <c r="F405" s="68" t="str">
        <f t="shared" si="39"/>
        <v/>
      </c>
      <c r="G405" s="69"/>
      <c r="H405" s="69"/>
      <c r="I405" s="78">
        <f t="shared" si="40"/>
        <v>0</v>
      </c>
      <c r="J405" s="67"/>
      <c r="L405" t="str">
        <f t="shared" si="41"/>
        <v/>
      </c>
      <c r="M405" t="str">
        <f t="shared" si="42"/>
        <v/>
      </c>
    </row>
    <row r="406" spans="1:13">
      <c r="A406" s="64" t="str">
        <f>IF(E406="","",VLOOKUP('OPĆI DIO'!$C$3,'OPĆI DIO'!$L$6:$U$138,10,FALSE))</f>
        <v/>
      </c>
      <c r="B406" s="64" t="str">
        <f>IF(E406="","",VLOOKUP('OPĆI DIO'!$C$3,'OPĆI DIO'!$L$6:$U$138,9,FALSE))</f>
        <v/>
      </c>
      <c r="C406" s="65" t="str">
        <f t="shared" si="37"/>
        <v/>
      </c>
      <c r="D406" s="66" t="str">
        <f t="shared" si="38"/>
        <v/>
      </c>
      <c r="E406" s="67"/>
      <c r="F406" s="68" t="str">
        <f t="shared" si="39"/>
        <v/>
      </c>
      <c r="G406" s="69"/>
      <c r="H406" s="69"/>
      <c r="I406" s="78">
        <f t="shared" si="40"/>
        <v>0</v>
      </c>
      <c r="J406" s="67"/>
      <c r="L406" t="str">
        <f t="shared" si="41"/>
        <v/>
      </c>
      <c r="M406" t="str">
        <f t="shared" si="42"/>
        <v/>
      </c>
    </row>
    <row r="407" spans="1:13">
      <c r="A407" s="64" t="str">
        <f>IF(E407="","",VLOOKUP('OPĆI DIO'!$C$3,'OPĆI DIO'!$L$6:$U$138,10,FALSE))</f>
        <v/>
      </c>
      <c r="B407" s="64" t="str">
        <f>IF(E407="","",VLOOKUP('OPĆI DIO'!$C$3,'OPĆI DIO'!$L$6:$U$138,9,FALSE))</f>
        <v/>
      </c>
      <c r="C407" s="65" t="str">
        <f t="shared" si="37"/>
        <v/>
      </c>
      <c r="D407" s="66" t="str">
        <f t="shared" si="38"/>
        <v/>
      </c>
      <c r="E407" s="67"/>
      <c r="F407" s="68" t="str">
        <f t="shared" si="39"/>
        <v/>
      </c>
      <c r="G407" s="69"/>
      <c r="H407" s="69"/>
      <c r="I407" s="78">
        <f t="shared" si="40"/>
        <v>0</v>
      </c>
      <c r="J407" s="67"/>
      <c r="L407" t="str">
        <f t="shared" si="41"/>
        <v/>
      </c>
      <c r="M407" t="str">
        <f t="shared" si="42"/>
        <v/>
      </c>
    </row>
    <row r="408" spans="1:13">
      <c r="A408" s="64" t="str">
        <f>IF(E408="","",VLOOKUP('OPĆI DIO'!$C$3,'OPĆI DIO'!$L$6:$U$138,10,FALSE))</f>
        <v/>
      </c>
      <c r="B408" s="64" t="str">
        <f>IF(E408="","",VLOOKUP('OPĆI DIO'!$C$3,'OPĆI DIO'!$L$6:$U$138,9,FALSE))</f>
        <v/>
      </c>
      <c r="C408" s="65" t="str">
        <f t="shared" si="37"/>
        <v/>
      </c>
      <c r="D408" s="66" t="str">
        <f t="shared" si="38"/>
        <v/>
      </c>
      <c r="E408" s="67"/>
      <c r="F408" s="68" t="str">
        <f t="shared" si="39"/>
        <v/>
      </c>
      <c r="G408" s="69"/>
      <c r="H408" s="69"/>
      <c r="I408" s="78">
        <f t="shared" si="40"/>
        <v>0</v>
      </c>
      <c r="J408" s="67"/>
      <c r="L408" t="str">
        <f t="shared" si="41"/>
        <v/>
      </c>
      <c r="M408" t="str">
        <f t="shared" si="42"/>
        <v/>
      </c>
    </row>
    <row r="409" spans="1:13">
      <c r="A409" s="64" t="str">
        <f>IF(E409="","",VLOOKUP('OPĆI DIO'!$C$3,'OPĆI DIO'!$L$6:$U$138,10,FALSE))</f>
        <v/>
      </c>
      <c r="B409" s="64" t="str">
        <f>IF(E409="","",VLOOKUP('OPĆI DIO'!$C$3,'OPĆI DIO'!$L$6:$U$138,9,FALSE))</f>
        <v/>
      </c>
      <c r="C409" s="65" t="str">
        <f t="shared" si="37"/>
        <v/>
      </c>
      <c r="D409" s="66" t="str">
        <f t="shared" si="38"/>
        <v/>
      </c>
      <c r="E409" s="67"/>
      <c r="F409" s="68" t="str">
        <f t="shared" si="39"/>
        <v/>
      </c>
      <c r="G409" s="69"/>
      <c r="H409" s="69"/>
      <c r="I409" s="78">
        <f t="shared" si="40"/>
        <v>0</v>
      </c>
      <c r="J409" s="67"/>
      <c r="L409" t="str">
        <f t="shared" si="41"/>
        <v/>
      </c>
      <c r="M409" t="str">
        <f t="shared" si="42"/>
        <v/>
      </c>
    </row>
    <row r="410" spans="1:13">
      <c r="A410" s="64" t="str">
        <f>IF(E410="","",VLOOKUP('OPĆI DIO'!$C$3,'OPĆI DIO'!$L$6:$U$138,10,FALSE))</f>
        <v/>
      </c>
      <c r="B410" s="64" t="str">
        <f>IF(E410="","",VLOOKUP('OPĆI DIO'!$C$3,'OPĆI DIO'!$L$6:$U$138,9,FALSE))</f>
        <v/>
      </c>
      <c r="C410" s="65" t="str">
        <f t="shared" si="37"/>
        <v/>
      </c>
      <c r="D410" s="66" t="str">
        <f t="shared" si="38"/>
        <v/>
      </c>
      <c r="E410" s="67"/>
      <c r="F410" s="68" t="str">
        <f t="shared" si="39"/>
        <v/>
      </c>
      <c r="G410" s="69"/>
      <c r="H410" s="69"/>
      <c r="I410" s="78">
        <f t="shared" si="40"/>
        <v>0</v>
      </c>
      <c r="J410" s="67"/>
      <c r="L410" t="str">
        <f t="shared" si="41"/>
        <v/>
      </c>
      <c r="M410" t="str">
        <f t="shared" si="42"/>
        <v/>
      </c>
    </row>
    <row r="411" spans="1:13">
      <c r="A411" s="64" t="str">
        <f>IF(E411="","",VLOOKUP('OPĆI DIO'!$C$3,'OPĆI DIO'!$L$6:$U$138,10,FALSE))</f>
        <v/>
      </c>
      <c r="B411" s="64" t="str">
        <f>IF(E411="","",VLOOKUP('OPĆI DIO'!$C$3,'OPĆI DIO'!$L$6:$U$138,9,FALSE))</f>
        <v/>
      </c>
      <c r="C411" s="65" t="str">
        <f t="shared" si="37"/>
        <v/>
      </c>
      <c r="D411" s="66" t="str">
        <f t="shared" si="38"/>
        <v/>
      </c>
      <c r="E411" s="67"/>
      <c r="F411" s="68" t="str">
        <f t="shared" si="39"/>
        <v/>
      </c>
      <c r="G411" s="69"/>
      <c r="H411" s="69"/>
      <c r="I411" s="78">
        <f t="shared" si="40"/>
        <v>0</v>
      </c>
      <c r="J411" s="67"/>
      <c r="L411" t="str">
        <f t="shared" si="41"/>
        <v/>
      </c>
      <c r="M411" t="str">
        <f t="shared" si="42"/>
        <v/>
      </c>
    </row>
    <row r="412" spans="1:13">
      <c r="A412" s="64" t="str">
        <f>IF(E412="","",VLOOKUP('OPĆI DIO'!$C$3,'OPĆI DIO'!$L$6:$U$138,10,FALSE))</f>
        <v/>
      </c>
      <c r="B412" s="64" t="str">
        <f>IF(E412="","",VLOOKUP('OPĆI DIO'!$C$3,'OPĆI DIO'!$L$6:$U$138,9,FALSE))</f>
        <v/>
      </c>
      <c r="C412" s="65" t="str">
        <f t="shared" si="37"/>
        <v/>
      </c>
      <c r="D412" s="66" t="str">
        <f t="shared" si="38"/>
        <v/>
      </c>
      <c r="E412" s="67"/>
      <c r="F412" s="68" t="str">
        <f t="shared" si="39"/>
        <v/>
      </c>
      <c r="G412" s="69"/>
      <c r="H412" s="69"/>
      <c r="I412" s="78">
        <f t="shared" si="40"/>
        <v>0</v>
      </c>
      <c r="J412" s="67"/>
      <c r="L412" t="str">
        <f t="shared" si="41"/>
        <v/>
      </c>
      <c r="M412" t="str">
        <f t="shared" si="42"/>
        <v/>
      </c>
    </row>
    <row r="413" spans="1:13">
      <c r="A413" s="64" t="str">
        <f>IF(E413="","",VLOOKUP('OPĆI DIO'!$C$3,'OPĆI DIO'!$L$6:$U$138,10,FALSE))</f>
        <v/>
      </c>
      <c r="B413" s="64" t="str">
        <f>IF(E413="","",VLOOKUP('OPĆI DIO'!$C$3,'OPĆI DIO'!$L$6:$U$138,9,FALSE))</f>
        <v/>
      </c>
      <c r="C413" s="65" t="str">
        <f t="shared" si="37"/>
        <v/>
      </c>
      <c r="D413" s="66" t="str">
        <f t="shared" si="38"/>
        <v/>
      </c>
      <c r="E413" s="67"/>
      <c r="F413" s="68" t="str">
        <f t="shared" si="39"/>
        <v/>
      </c>
      <c r="G413" s="69"/>
      <c r="H413" s="69"/>
      <c r="I413" s="78">
        <f t="shared" si="40"/>
        <v>0</v>
      </c>
      <c r="J413" s="67"/>
      <c r="L413" t="str">
        <f t="shared" si="41"/>
        <v/>
      </c>
      <c r="M413" t="str">
        <f t="shared" si="42"/>
        <v/>
      </c>
    </row>
    <row r="414" spans="1:13">
      <c r="A414" s="64" t="str">
        <f>IF(E414="","",VLOOKUP('OPĆI DIO'!$C$3,'OPĆI DIO'!$L$6:$U$138,10,FALSE))</f>
        <v/>
      </c>
      <c r="B414" s="64" t="str">
        <f>IF(E414="","",VLOOKUP('OPĆI DIO'!$C$3,'OPĆI DIO'!$L$6:$U$138,9,FALSE))</f>
        <v/>
      </c>
      <c r="C414" s="65" t="str">
        <f t="shared" si="37"/>
        <v/>
      </c>
      <c r="D414" s="66" t="str">
        <f t="shared" si="38"/>
        <v/>
      </c>
      <c r="E414" s="67"/>
      <c r="F414" s="68" t="str">
        <f t="shared" si="39"/>
        <v/>
      </c>
      <c r="G414" s="69"/>
      <c r="H414" s="69"/>
      <c r="I414" s="78">
        <f t="shared" si="40"/>
        <v>0</v>
      </c>
      <c r="J414" s="67"/>
      <c r="L414" t="str">
        <f t="shared" si="41"/>
        <v/>
      </c>
      <c r="M414" t="str">
        <f t="shared" si="42"/>
        <v/>
      </c>
    </row>
    <row r="415" spans="1:13">
      <c r="A415" s="64" t="str">
        <f>IF(E415="","",VLOOKUP('OPĆI DIO'!$C$3,'OPĆI DIO'!$L$6:$U$138,10,FALSE))</f>
        <v/>
      </c>
      <c r="B415" s="64" t="str">
        <f>IF(E415="","",VLOOKUP('OPĆI DIO'!$C$3,'OPĆI DIO'!$L$6:$U$138,9,FALSE))</f>
        <v/>
      </c>
      <c r="C415" s="65" t="str">
        <f t="shared" si="37"/>
        <v/>
      </c>
      <c r="D415" s="66" t="str">
        <f t="shared" si="38"/>
        <v/>
      </c>
      <c r="E415" s="67"/>
      <c r="F415" s="68" t="str">
        <f t="shared" si="39"/>
        <v/>
      </c>
      <c r="G415" s="69"/>
      <c r="H415" s="69"/>
      <c r="I415" s="78">
        <f t="shared" si="40"/>
        <v>0</v>
      </c>
      <c r="J415" s="67"/>
      <c r="L415" t="str">
        <f t="shared" si="41"/>
        <v/>
      </c>
      <c r="M415" t="str">
        <f t="shared" si="42"/>
        <v/>
      </c>
    </row>
    <row r="416" spans="1:13">
      <c r="A416" s="64" t="str">
        <f>IF(E416="","",VLOOKUP('OPĆI DIO'!$C$3,'OPĆI DIO'!$L$6:$U$138,10,FALSE))</f>
        <v/>
      </c>
      <c r="B416" s="64" t="str">
        <f>IF(E416="","",VLOOKUP('OPĆI DIO'!$C$3,'OPĆI DIO'!$L$6:$U$138,9,FALSE))</f>
        <v/>
      </c>
      <c r="C416" s="65" t="str">
        <f t="shared" si="37"/>
        <v/>
      </c>
      <c r="D416" s="66" t="str">
        <f t="shared" si="38"/>
        <v/>
      </c>
      <c r="E416" s="67"/>
      <c r="F416" s="68" t="str">
        <f t="shared" si="39"/>
        <v/>
      </c>
      <c r="G416" s="69"/>
      <c r="H416" s="69"/>
      <c r="I416" s="78">
        <f t="shared" si="40"/>
        <v>0</v>
      </c>
      <c r="J416" s="67"/>
      <c r="L416" t="str">
        <f t="shared" si="41"/>
        <v/>
      </c>
      <c r="M416" t="str">
        <f t="shared" si="42"/>
        <v/>
      </c>
    </row>
    <row r="417" spans="1:13">
      <c r="A417" s="64" t="str">
        <f>IF(E417="","",VLOOKUP('OPĆI DIO'!$C$3,'OPĆI DIO'!$L$6:$U$138,10,FALSE))</f>
        <v/>
      </c>
      <c r="B417" s="64" t="str">
        <f>IF(E417="","",VLOOKUP('OPĆI DIO'!$C$3,'OPĆI DIO'!$L$6:$U$138,9,FALSE))</f>
        <v/>
      </c>
      <c r="C417" s="65" t="str">
        <f t="shared" si="37"/>
        <v/>
      </c>
      <c r="D417" s="66" t="str">
        <f t="shared" si="38"/>
        <v/>
      </c>
      <c r="E417" s="67"/>
      <c r="F417" s="68" t="str">
        <f t="shared" si="39"/>
        <v/>
      </c>
      <c r="G417" s="69"/>
      <c r="H417" s="69"/>
      <c r="I417" s="78">
        <f t="shared" si="40"/>
        <v>0</v>
      </c>
      <c r="J417" s="67"/>
      <c r="L417" t="str">
        <f t="shared" si="41"/>
        <v/>
      </c>
      <c r="M417" t="str">
        <f t="shared" si="42"/>
        <v/>
      </c>
    </row>
    <row r="418" spans="1:13">
      <c r="A418" s="64" t="str">
        <f>IF(E418="","",VLOOKUP('OPĆI DIO'!$C$3,'OPĆI DIO'!$L$6:$U$138,10,FALSE))</f>
        <v/>
      </c>
      <c r="B418" s="64" t="str">
        <f>IF(E418="","",VLOOKUP('OPĆI DIO'!$C$3,'OPĆI DIO'!$L$6:$U$138,9,FALSE))</f>
        <v/>
      </c>
      <c r="C418" s="65" t="str">
        <f t="shared" si="37"/>
        <v/>
      </c>
      <c r="D418" s="66" t="str">
        <f t="shared" si="38"/>
        <v/>
      </c>
      <c r="E418" s="67"/>
      <c r="F418" s="68" t="str">
        <f t="shared" si="39"/>
        <v/>
      </c>
      <c r="G418" s="69"/>
      <c r="H418" s="69"/>
      <c r="I418" s="78">
        <f t="shared" si="40"/>
        <v>0</v>
      </c>
      <c r="J418" s="67"/>
      <c r="L418" t="str">
        <f t="shared" si="41"/>
        <v/>
      </c>
      <c r="M418" t="str">
        <f t="shared" si="42"/>
        <v/>
      </c>
    </row>
    <row r="419" spans="1:13">
      <c r="A419" s="64" t="str">
        <f>IF(E419="","",VLOOKUP('OPĆI DIO'!$C$3,'OPĆI DIO'!$L$6:$U$138,10,FALSE))</f>
        <v/>
      </c>
      <c r="B419" s="64" t="str">
        <f>IF(E419="","",VLOOKUP('OPĆI DIO'!$C$3,'OPĆI DIO'!$L$6:$U$138,9,FALSE))</f>
        <v/>
      </c>
      <c r="C419" s="65" t="str">
        <f t="shared" si="37"/>
        <v/>
      </c>
      <c r="D419" s="66" t="str">
        <f t="shared" si="38"/>
        <v/>
      </c>
      <c r="E419" s="67"/>
      <c r="F419" s="68" t="str">
        <f t="shared" si="39"/>
        <v/>
      </c>
      <c r="G419" s="69"/>
      <c r="H419" s="69"/>
      <c r="I419" s="78">
        <f t="shared" si="40"/>
        <v>0</v>
      </c>
      <c r="J419" s="67"/>
      <c r="L419" t="str">
        <f t="shared" si="41"/>
        <v/>
      </c>
      <c r="M419" t="str">
        <f t="shared" si="42"/>
        <v/>
      </c>
    </row>
    <row r="420" spans="1:13">
      <c r="A420" s="64" t="str">
        <f>IF(E420="","",VLOOKUP('OPĆI DIO'!$C$3,'OPĆI DIO'!$L$6:$U$138,10,FALSE))</f>
        <v/>
      </c>
      <c r="B420" s="64" t="str">
        <f>IF(E420="","",VLOOKUP('OPĆI DIO'!$C$3,'OPĆI DIO'!$L$6:$U$138,9,FALSE))</f>
        <v/>
      </c>
      <c r="C420" s="65" t="str">
        <f t="shared" si="37"/>
        <v/>
      </c>
      <c r="D420" s="66" t="str">
        <f t="shared" si="38"/>
        <v/>
      </c>
      <c r="E420" s="67"/>
      <c r="F420" s="68" t="str">
        <f t="shared" si="39"/>
        <v/>
      </c>
      <c r="G420" s="69"/>
      <c r="H420" s="69"/>
      <c r="I420" s="78">
        <f t="shared" si="40"/>
        <v>0</v>
      </c>
      <c r="J420" s="67"/>
      <c r="L420" t="str">
        <f t="shared" si="41"/>
        <v/>
      </c>
      <c r="M420" t="str">
        <f t="shared" si="42"/>
        <v/>
      </c>
    </row>
    <row r="421" spans="1:13">
      <c r="A421" s="64" t="str">
        <f>IF(E421="","",VLOOKUP('OPĆI DIO'!$C$3,'OPĆI DIO'!$L$6:$U$138,10,FALSE))</f>
        <v/>
      </c>
      <c r="B421" s="64" t="str">
        <f>IF(E421="","",VLOOKUP('OPĆI DIO'!$C$3,'OPĆI DIO'!$L$6:$U$138,9,FALSE))</f>
        <v/>
      </c>
      <c r="C421" s="65" t="str">
        <f t="shared" si="37"/>
        <v/>
      </c>
      <c r="D421" s="66" t="str">
        <f t="shared" si="38"/>
        <v/>
      </c>
      <c r="E421" s="67"/>
      <c r="F421" s="68" t="str">
        <f t="shared" si="39"/>
        <v/>
      </c>
      <c r="G421" s="69"/>
      <c r="H421" s="69"/>
      <c r="I421" s="78">
        <f t="shared" si="40"/>
        <v>0</v>
      </c>
      <c r="J421" s="67"/>
      <c r="L421" t="str">
        <f t="shared" si="41"/>
        <v/>
      </c>
      <c r="M421" t="str">
        <f t="shared" si="42"/>
        <v/>
      </c>
    </row>
    <row r="422" spans="1:13">
      <c r="A422" s="64" t="str">
        <f>IF(E422="","",VLOOKUP('OPĆI DIO'!$C$3,'OPĆI DIO'!$L$6:$U$138,10,FALSE))</f>
        <v/>
      </c>
      <c r="B422" s="64" t="str">
        <f>IF(E422="","",VLOOKUP('OPĆI DIO'!$C$3,'OPĆI DIO'!$L$6:$U$138,9,FALSE))</f>
        <v/>
      </c>
      <c r="C422" s="65" t="str">
        <f t="shared" si="37"/>
        <v/>
      </c>
      <c r="D422" s="66" t="str">
        <f t="shared" si="38"/>
        <v/>
      </c>
      <c r="E422" s="67"/>
      <c r="F422" s="68" t="str">
        <f t="shared" si="39"/>
        <v/>
      </c>
      <c r="G422" s="69"/>
      <c r="H422" s="69"/>
      <c r="I422" s="78">
        <f t="shared" si="40"/>
        <v>0</v>
      </c>
      <c r="J422" s="67"/>
      <c r="L422" t="str">
        <f t="shared" si="41"/>
        <v/>
      </c>
      <c r="M422" t="str">
        <f t="shared" si="42"/>
        <v/>
      </c>
    </row>
    <row r="423" spans="1:13">
      <c r="A423" s="64" t="str">
        <f>IF(E423="","",VLOOKUP('OPĆI DIO'!$C$3,'OPĆI DIO'!$L$6:$U$138,10,FALSE))</f>
        <v/>
      </c>
      <c r="B423" s="64" t="str">
        <f>IF(E423="","",VLOOKUP('OPĆI DIO'!$C$3,'OPĆI DIO'!$L$6:$U$138,9,FALSE))</f>
        <v/>
      </c>
      <c r="C423" s="65" t="str">
        <f t="shared" ref="C423:C486" si="43">IFERROR(VLOOKUP(E423,$R$6:$U$109,3,FALSE),"")</f>
        <v/>
      </c>
      <c r="D423" s="66" t="str">
        <f t="shared" ref="D423:D486" si="44">IFERROR(VLOOKUP(E423,$R$6:$U$109,4,FALSE),"")</f>
        <v/>
      </c>
      <c r="E423" s="67"/>
      <c r="F423" s="68" t="str">
        <f t="shared" ref="F423:F486" si="45">IFERROR(VLOOKUP(E423,$R$6:$U$109,2,FALSE),"")</f>
        <v/>
      </c>
      <c r="G423" s="69"/>
      <c r="H423" s="69"/>
      <c r="I423" s="78">
        <f t="shared" si="40"/>
        <v>0</v>
      </c>
      <c r="J423" s="67"/>
      <c r="L423" t="str">
        <f t="shared" si="41"/>
        <v/>
      </c>
      <c r="M423" t="str">
        <f t="shared" si="42"/>
        <v/>
      </c>
    </row>
    <row r="424" spans="1:13">
      <c r="A424" s="64" t="str">
        <f>IF(E424="","",VLOOKUP('OPĆI DIO'!$C$3,'OPĆI DIO'!$L$6:$U$138,10,FALSE))</f>
        <v/>
      </c>
      <c r="B424" s="64" t="str">
        <f>IF(E424="","",VLOOKUP('OPĆI DIO'!$C$3,'OPĆI DIO'!$L$6:$U$138,9,FALSE))</f>
        <v/>
      </c>
      <c r="C424" s="65" t="str">
        <f t="shared" si="43"/>
        <v/>
      </c>
      <c r="D424" s="66" t="str">
        <f t="shared" si="44"/>
        <v/>
      </c>
      <c r="E424" s="67"/>
      <c r="F424" s="68" t="str">
        <f t="shared" si="45"/>
        <v/>
      </c>
      <c r="G424" s="69"/>
      <c r="H424" s="69"/>
      <c r="I424" s="78">
        <f t="shared" si="40"/>
        <v>0</v>
      </c>
      <c r="J424" s="67"/>
      <c r="L424" t="str">
        <f t="shared" si="41"/>
        <v/>
      </c>
      <c r="M424" t="str">
        <f t="shared" si="42"/>
        <v/>
      </c>
    </row>
    <row r="425" spans="1:13">
      <c r="A425" s="64" t="str">
        <f>IF(E425="","",VLOOKUP('OPĆI DIO'!$C$3,'OPĆI DIO'!$L$6:$U$138,10,FALSE))</f>
        <v/>
      </c>
      <c r="B425" s="64" t="str">
        <f>IF(E425="","",VLOOKUP('OPĆI DIO'!$C$3,'OPĆI DIO'!$L$6:$U$138,9,FALSE))</f>
        <v/>
      </c>
      <c r="C425" s="65" t="str">
        <f t="shared" si="43"/>
        <v/>
      </c>
      <c r="D425" s="66" t="str">
        <f t="shared" si="44"/>
        <v/>
      </c>
      <c r="E425" s="67"/>
      <c r="F425" s="68" t="str">
        <f t="shared" si="45"/>
        <v/>
      </c>
      <c r="G425" s="69"/>
      <c r="H425" s="69"/>
      <c r="I425" s="78">
        <f t="shared" si="40"/>
        <v>0</v>
      </c>
      <c r="J425" s="67"/>
      <c r="L425" t="str">
        <f t="shared" si="41"/>
        <v/>
      </c>
      <c r="M425" t="str">
        <f t="shared" si="42"/>
        <v/>
      </c>
    </row>
    <row r="426" spans="1:13">
      <c r="A426" s="64" t="str">
        <f>IF(E426="","",VLOOKUP('OPĆI DIO'!$C$3,'OPĆI DIO'!$L$6:$U$138,10,FALSE))</f>
        <v/>
      </c>
      <c r="B426" s="64" t="str">
        <f>IF(E426="","",VLOOKUP('OPĆI DIO'!$C$3,'OPĆI DIO'!$L$6:$U$138,9,FALSE))</f>
        <v/>
      </c>
      <c r="C426" s="65" t="str">
        <f t="shared" si="43"/>
        <v/>
      </c>
      <c r="D426" s="66" t="str">
        <f t="shared" si="44"/>
        <v/>
      </c>
      <c r="E426" s="67"/>
      <c r="F426" s="68" t="str">
        <f t="shared" si="45"/>
        <v/>
      </c>
      <c r="G426" s="69"/>
      <c r="H426" s="69"/>
      <c r="I426" s="78">
        <f t="shared" si="40"/>
        <v>0</v>
      </c>
      <c r="J426" s="67"/>
      <c r="L426" t="str">
        <f t="shared" si="41"/>
        <v/>
      </c>
      <c r="M426" t="str">
        <f t="shared" si="42"/>
        <v/>
      </c>
    </row>
    <row r="427" spans="1:13">
      <c r="A427" s="64" t="str">
        <f>IF(E427="","",VLOOKUP('OPĆI DIO'!$C$3,'OPĆI DIO'!$L$6:$U$138,10,FALSE))</f>
        <v/>
      </c>
      <c r="B427" s="64" t="str">
        <f>IF(E427="","",VLOOKUP('OPĆI DIO'!$C$3,'OPĆI DIO'!$L$6:$U$138,9,FALSE))</f>
        <v/>
      </c>
      <c r="C427" s="65" t="str">
        <f t="shared" si="43"/>
        <v/>
      </c>
      <c r="D427" s="66" t="str">
        <f t="shared" si="44"/>
        <v/>
      </c>
      <c r="E427" s="67"/>
      <c r="F427" s="68" t="str">
        <f t="shared" si="45"/>
        <v/>
      </c>
      <c r="G427" s="69"/>
      <c r="H427" s="69"/>
      <c r="I427" s="78">
        <f t="shared" si="40"/>
        <v>0</v>
      </c>
      <c r="J427" s="67"/>
      <c r="L427" t="str">
        <f t="shared" si="41"/>
        <v/>
      </c>
      <c r="M427" t="str">
        <f t="shared" si="42"/>
        <v/>
      </c>
    </row>
    <row r="428" spans="1:13">
      <c r="A428" s="64" t="str">
        <f>IF(E428="","",VLOOKUP('OPĆI DIO'!$C$3,'OPĆI DIO'!$L$6:$U$138,10,FALSE))</f>
        <v/>
      </c>
      <c r="B428" s="64" t="str">
        <f>IF(E428="","",VLOOKUP('OPĆI DIO'!$C$3,'OPĆI DIO'!$L$6:$U$138,9,FALSE))</f>
        <v/>
      </c>
      <c r="C428" s="65" t="str">
        <f t="shared" si="43"/>
        <v/>
      </c>
      <c r="D428" s="66" t="str">
        <f t="shared" si="44"/>
        <v/>
      </c>
      <c r="E428" s="67"/>
      <c r="F428" s="68" t="str">
        <f t="shared" si="45"/>
        <v/>
      </c>
      <c r="G428" s="69"/>
      <c r="H428" s="69"/>
      <c r="I428" s="78">
        <f t="shared" si="40"/>
        <v>0</v>
      </c>
      <c r="J428" s="67"/>
      <c r="L428" t="str">
        <f t="shared" si="41"/>
        <v/>
      </c>
      <c r="M428" t="str">
        <f t="shared" si="42"/>
        <v/>
      </c>
    </row>
    <row r="429" spans="1:13">
      <c r="A429" s="64" t="str">
        <f>IF(E429="","",VLOOKUP('OPĆI DIO'!$C$3,'OPĆI DIO'!$L$6:$U$138,10,FALSE))</f>
        <v/>
      </c>
      <c r="B429" s="64" t="str">
        <f>IF(E429="","",VLOOKUP('OPĆI DIO'!$C$3,'OPĆI DIO'!$L$6:$U$138,9,FALSE))</f>
        <v/>
      </c>
      <c r="C429" s="65" t="str">
        <f t="shared" si="43"/>
        <v/>
      </c>
      <c r="D429" s="66" t="str">
        <f t="shared" si="44"/>
        <v/>
      </c>
      <c r="E429" s="67"/>
      <c r="F429" s="68" t="str">
        <f t="shared" si="45"/>
        <v/>
      </c>
      <c r="G429" s="69"/>
      <c r="H429" s="69"/>
      <c r="I429" s="78">
        <f t="shared" si="40"/>
        <v>0</v>
      </c>
      <c r="J429" s="67"/>
      <c r="L429" t="str">
        <f t="shared" si="41"/>
        <v/>
      </c>
      <c r="M429" t="str">
        <f t="shared" si="42"/>
        <v/>
      </c>
    </row>
    <row r="430" spans="1:13">
      <c r="A430" s="64" t="str">
        <f>IF(E430="","",VLOOKUP('OPĆI DIO'!$C$3,'OPĆI DIO'!$L$6:$U$138,10,FALSE))</f>
        <v/>
      </c>
      <c r="B430" s="64" t="str">
        <f>IF(E430="","",VLOOKUP('OPĆI DIO'!$C$3,'OPĆI DIO'!$L$6:$U$138,9,FALSE))</f>
        <v/>
      </c>
      <c r="C430" s="65" t="str">
        <f t="shared" si="43"/>
        <v/>
      </c>
      <c r="D430" s="66" t="str">
        <f t="shared" si="44"/>
        <v/>
      </c>
      <c r="E430" s="67"/>
      <c r="F430" s="68" t="str">
        <f t="shared" si="45"/>
        <v/>
      </c>
      <c r="G430" s="69"/>
      <c r="H430" s="69"/>
      <c r="I430" s="78">
        <f t="shared" si="40"/>
        <v>0</v>
      </c>
      <c r="J430" s="67"/>
      <c r="L430" t="str">
        <f t="shared" si="41"/>
        <v/>
      </c>
      <c r="M430" t="str">
        <f t="shared" si="42"/>
        <v/>
      </c>
    </row>
    <row r="431" spans="1:13">
      <c r="A431" s="64" t="str">
        <f>IF(E431="","",VLOOKUP('OPĆI DIO'!$C$3,'OPĆI DIO'!$L$6:$U$138,10,FALSE))</f>
        <v/>
      </c>
      <c r="B431" s="64" t="str">
        <f>IF(E431="","",VLOOKUP('OPĆI DIO'!$C$3,'OPĆI DIO'!$L$6:$U$138,9,FALSE))</f>
        <v/>
      </c>
      <c r="C431" s="65" t="str">
        <f t="shared" si="43"/>
        <v/>
      </c>
      <c r="D431" s="66" t="str">
        <f t="shared" si="44"/>
        <v/>
      </c>
      <c r="E431" s="67"/>
      <c r="F431" s="68" t="str">
        <f t="shared" si="45"/>
        <v/>
      </c>
      <c r="G431" s="69"/>
      <c r="H431" s="69"/>
      <c r="I431" s="78">
        <f t="shared" si="40"/>
        <v>0</v>
      </c>
      <c r="J431" s="67"/>
      <c r="L431" t="str">
        <f t="shared" si="41"/>
        <v/>
      </c>
      <c r="M431" t="str">
        <f t="shared" si="42"/>
        <v/>
      </c>
    </row>
    <row r="432" spans="1:13">
      <c r="A432" s="64" t="str">
        <f>IF(E432="","",VLOOKUP('OPĆI DIO'!$C$3,'OPĆI DIO'!$L$6:$U$138,10,FALSE))</f>
        <v/>
      </c>
      <c r="B432" s="64" t="str">
        <f>IF(E432="","",VLOOKUP('OPĆI DIO'!$C$3,'OPĆI DIO'!$L$6:$U$138,9,FALSE))</f>
        <v/>
      </c>
      <c r="C432" s="65" t="str">
        <f t="shared" si="43"/>
        <v/>
      </c>
      <c r="D432" s="66" t="str">
        <f t="shared" si="44"/>
        <v/>
      </c>
      <c r="E432" s="67"/>
      <c r="F432" s="68" t="str">
        <f t="shared" si="45"/>
        <v/>
      </c>
      <c r="G432" s="69"/>
      <c r="H432" s="69"/>
      <c r="I432" s="78">
        <f t="shared" si="40"/>
        <v>0</v>
      </c>
      <c r="J432" s="67"/>
      <c r="L432" t="str">
        <f t="shared" si="41"/>
        <v/>
      </c>
      <c r="M432" t="str">
        <f t="shared" si="42"/>
        <v/>
      </c>
    </row>
    <row r="433" spans="1:13">
      <c r="A433" s="64" t="str">
        <f>IF(E433="","",VLOOKUP('OPĆI DIO'!$C$3,'OPĆI DIO'!$L$6:$U$138,10,FALSE))</f>
        <v/>
      </c>
      <c r="B433" s="64" t="str">
        <f>IF(E433="","",VLOOKUP('OPĆI DIO'!$C$3,'OPĆI DIO'!$L$6:$U$138,9,FALSE))</f>
        <v/>
      </c>
      <c r="C433" s="65" t="str">
        <f t="shared" si="43"/>
        <v/>
      </c>
      <c r="D433" s="66" t="str">
        <f t="shared" si="44"/>
        <v/>
      </c>
      <c r="E433" s="67"/>
      <c r="F433" s="68" t="str">
        <f t="shared" si="45"/>
        <v/>
      </c>
      <c r="G433" s="69"/>
      <c r="H433" s="69"/>
      <c r="I433" s="78">
        <f t="shared" si="40"/>
        <v>0</v>
      </c>
      <c r="J433" s="67"/>
      <c r="L433" t="str">
        <f t="shared" si="41"/>
        <v/>
      </c>
      <c r="M433" t="str">
        <f t="shared" si="42"/>
        <v/>
      </c>
    </row>
    <row r="434" spans="1:13">
      <c r="A434" s="64" t="str">
        <f>IF(E434="","",VLOOKUP('OPĆI DIO'!$C$3,'OPĆI DIO'!$L$6:$U$138,10,FALSE))</f>
        <v/>
      </c>
      <c r="B434" s="64" t="str">
        <f>IF(E434="","",VLOOKUP('OPĆI DIO'!$C$3,'OPĆI DIO'!$L$6:$U$138,9,FALSE))</f>
        <v/>
      </c>
      <c r="C434" s="65" t="str">
        <f t="shared" si="43"/>
        <v/>
      </c>
      <c r="D434" s="66" t="str">
        <f t="shared" si="44"/>
        <v/>
      </c>
      <c r="E434" s="67"/>
      <c r="F434" s="68" t="str">
        <f t="shared" si="45"/>
        <v/>
      </c>
      <c r="G434" s="69"/>
      <c r="H434" s="69"/>
      <c r="I434" s="78">
        <f t="shared" si="40"/>
        <v>0</v>
      </c>
      <c r="J434" s="67"/>
      <c r="L434" t="str">
        <f t="shared" si="41"/>
        <v/>
      </c>
      <c r="M434" t="str">
        <f t="shared" si="42"/>
        <v/>
      </c>
    </row>
    <row r="435" spans="1:13">
      <c r="A435" s="64" t="str">
        <f>IF(E435="","",VLOOKUP('OPĆI DIO'!$C$3,'OPĆI DIO'!$L$6:$U$138,10,FALSE))</f>
        <v/>
      </c>
      <c r="B435" s="64" t="str">
        <f>IF(E435="","",VLOOKUP('OPĆI DIO'!$C$3,'OPĆI DIO'!$L$6:$U$138,9,FALSE))</f>
        <v/>
      </c>
      <c r="C435" s="65" t="str">
        <f t="shared" si="43"/>
        <v/>
      </c>
      <c r="D435" s="66" t="str">
        <f t="shared" si="44"/>
        <v/>
      </c>
      <c r="E435" s="67"/>
      <c r="F435" s="68" t="str">
        <f t="shared" si="45"/>
        <v/>
      </c>
      <c r="G435" s="69"/>
      <c r="H435" s="69"/>
      <c r="I435" s="78">
        <f t="shared" si="40"/>
        <v>0</v>
      </c>
      <c r="J435" s="67"/>
      <c r="L435" t="str">
        <f t="shared" si="41"/>
        <v/>
      </c>
      <c r="M435" t="str">
        <f t="shared" si="42"/>
        <v/>
      </c>
    </row>
    <row r="436" spans="1:13">
      <c r="A436" s="64" t="str">
        <f>IF(E436="","",VLOOKUP('OPĆI DIO'!$C$3,'OPĆI DIO'!$L$6:$U$138,10,FALSE))</f>
        <v/>
      </c>
      <c r="B436" s="64" t="str">
        <f>IF(E436="","",VLOOKUP('OPĆI DIO'!$C$3,'OPĆI DIO'!$L$6:$U$138,9,FALSE))</f>
        <v/>
      </c>
      <c r="C436" s="65" t="str">
        <f t="shared" si="43"/>
        <v/>
      </c>
      <c r="D436" s="66" t="str">
        <f t="shared" si="44"/>
        <v/>
      </c>
      <c r="E436" s="67"/>
      <c r="F436" s="68" t="str">
        <f t="shared" si="45"/>
        <v/>
      </c>
      <c r="G436" s="69"/>
      <c r="H436" s="69"/>
      <c r="I436" s="78">
        <f t="shared" si="40"/>
        <v>0</v>
      </c>
      <c r="J436" s="67"/>
      <c r="L436" t="str">
        <f t="shared" si="41"/>
        <v/>
      </c>
      <c r="M436" t="str">
        <f t="shared" si="42"/>
        <v/>
      </c>
    </row>
    <row r="437" spans="1:13">
      <c r="A437" s="64" t="str">
        <f>IF(E437="","",VLOOKUP('OPĆI DIO'!$C$3,'OPĆI DIO'!$L$6:$U$138,10,FALSE))</f>
        <v/>
      </c>
      <c r="B437" s="64" t="str">
        <f>IF(E437="","",VLOOKUP('OPĆI DIO'!$C$3,'OPĆI DIO'!$L$6:$U$138,9,FALSE))</f>
        <v/>
      </c>
      <c r="C437" s="65" t="str">
        <f t="shared" si="43"/>
        <v/>
      </c>
      <c r="D437" s="66" t="str">
        <f t="shared" si="44"/>
        <v/>
      </c>
      <c r="E437" s="67"/>
      <c r="F437" s="68" t="str">
        <f t="shared" si="45"/>
        <v/>
      </c>
      <c r="G437" s="69"/>
      <c r="H437" s="69"/>
      <c r="I437" s="78">
        <f t="shared" si="40"/>
        <v>0</v>
      </c>
      <c r="J437" s="67"/>
      <c r="L437" t="str">
        <f t="shared" si="41"/>
        <v/>
      </c>
      <c r="M437" t="str">
        <f t="shared" si="42"/>
        <v/>
      </c>
    </row>
    <row r="438" spans="1:13">
      <c r="A438" s="64" t="str">
        <f>IF(E438="","",VLOOKUP('OPĆI DIO'!$C$3,'OPĆI DIO'!$L$6:$U$138,10,FALSE))</f>
        <v/>
      </c>
      <c r="B438" s="64" t="str">
        <f>IF(E438="","",VLOOKUP('OPĆI DIO'!$C$3,'OPĆI DIO'!$L$6:$U$138,9,FALSE))</f>
        <v/>
      </c>
      <c r="C438" s="65" t="str">
        <f t="shared" si="43"/>
        <v/>
      </c>
      <c r="D438" s="66" t="str">
        <f t="shared" si="44"/>
        <v/>
      </c>
      <c r="E438" s="67"/>
      <c r="F438" s="68" t="str">
        <f t="shared" si="45"/>
        <v/>
      </c>
      <c r="G438" s="69"/>
      <c r="H438" s="69"/>
      <c r="I438" s="78">
        <f t="shared" si="40"/>
        <v>0</v>
      </c>
      <c r="J438" s="67"/>
      <c r="L438" t="str">
        <f t="shared" si="41"/>
        <v/>
      </c>
      <c r="M438" t="str">
        <f t="shared" si="42"/>
        <v/>
      </c>
    </row>
    <row r="439" spans="1:13">
      <c r="A439" s="64" t="str">
        <f>IF(E439="","",VLOOKUP('OPĆI DIO'!$C$3,'OPĆI DIO'!$L$6:$U$138,10,FALSE))</f>
        <v/>
      </c>
      <c r="B439" s="64" t="str">
        <f>IF(E439="","",VLOOKUP('OPĆI DIO'!$C$3,'OPĆI DIO'!$L$6:$U$138,9,FALSE))</f>
        <v/>
      </c>
      <c r="C439" s="65" t="str">
        <f t="shared" si="43"/>
        <v/>
      </c>
      <c r="D439" s="66" t="str">
        <f t="shared" si="44"/>
        <v/>
      </c>
      <c r="E439" s="67"/>
      <c r="F439" s="68" t="str">
        <f t="shared" si="45"/>
        <v/>
      </c>
      <c r="G439" s="69"/>
      <c r="H439" s="69"/>
      <c r="I439" s="78">
        <f t="shared" si="40"/>
        <v>0</v>
      </c>
      <c r="J439" s="67"/>
      <c r="L439" t="str">
        <f t="shared" si="41"/>
        <v/>
      </c>
      <c r="M439" t="str">
        <f t="shared" si="42"/>
        <v/>
      </c>
    </row>
    <row r="440" spans="1:13">
      <c r="A440" s="64" t="str">
        <f>IF(E440="","",VLOOKUP('OPĆI DIO'!$C$3,'OPĆI DIO'!$L$6:$U$138,10,FALSE))</f>
        <v/>
      </c>
      <c r="B440" s="64" t="str">
        <f>IF(E440="","",VLOOKUP('OPĆI DIO'!$C$3,'OPĆI DIO'!$L$6:$U$138,9,FALSE))</f>
        <v/>
      </c>
      <c r="C440" s="65" t="str">
        <f t="shared" si="43"/>
        <v/>
      </c>
      <c r="D440" s="66" t="str">
        <f t="shared" si="44"/>
        <v/>
      </c>
      <c r="E440" s="67"/>
      <c r="F440" s="68" t="str">
        <f t="shared" si="45"/>
        <v/>
      </c>
      <c r="G440" s="69"/>
      <c r="H440" s="69"/>
      <c r="I440" s="78">
        <f t="shared" si="40"/>
        <v>0</v>
      </c>
      <c r="J440" s="67"/>
      <c r="L440" t="str">
        <f t="shared" si="41"/>
        <v/>
      </c>
      <c r="M440" t="str">
        <f t="shared" si="42"/>
        <v/>
      </c>
    </row>
    <row r="441" spans="1:13">
      <c r="A441" s="64" t="str">
        <f>IF(E441="","",VLOOKUP('OPĆI DIO'!$C$3,'OPĆI DIO'!$L$6:$U$138,10,FALSE))</f>
        <v/>
      </c>
      <c r="B441" s="64" t="str">
        <f>IF(E441="","",VLOOKUP('OPĆI DIO'!$C$3,'OPĆI DIO'!$L$6:$U$138,9,FALSE))</f>
        <v/>
      </c>
      <c r="C441" s="65" t="str">
        <f t="shared" si="43"/>
        <v/>
      </c>
      <c r="D441" s="66" t="str">
        <f t="shared" si="44"/>
        <v/>
      </c>
      <c r="E441" s="67"/>
      <c r="F441" s="68" t="str">
        <f t="shared" si="45"/>
        <v/>
      </c>
      <c r="G441" s="69"/>
      <c r="H441" s="69"/>
      <c r="I441" s="78">
        <f t="shared" si="40"/>
        <v>0</v>
      </c>
      <c r="J441" s="67"/>
      <c r="L441" t="str">
        <f t="shared" si="41"/>
        <v/>
      </c>
      <c r="M441" t="str">
        <f t="shared" si="42"/>
        <v/>
      </c>
    </row>
    <row r="442" spans="1:13">
      <c r="A442" s="64" t="str">
        <f>IF(E442="","",VLOOKUP('OPĆI DIO'!$C$3,'OPĆI DIO'!$L$6:$U$138,10,FALSE))</f>
        <v/>
      </c>
      <c r="B442" s="64" t="str">
        <f>IF(E442="","",VLOOKUP('OPĆI DIO'!$C$3,'OPĆI DIO'!$L$6:$U$138,9,FALSE))</f>
        <v/>
      </c>
      <c r="C442" s="65" t="str">
        <f t="shared" si="43"/>
        <v/>
      </c>
      <c r="D442" s="66" t="str">
        <f t="shared" si="44"/>
        <v/>
      </c>
      <c r="E442" s="67"/>
      <c r="F442" s="68" t="str">
        <f t="shared" si="45"/>
        <v/>
      </c>
      <c r="G442" s="69"/>
      <c r="H442" s="69"/>
      <c r="I442" s="78">
        <f t="shared" si="40"/>
        <v>0</v>
      </c>
      <c r="J442" s="67"/>
      <c r="L442" t="str">
        <f t="shared" si="41"/>
        <v/>
      </c>
      <c r="M442" t="str">
        <f t="shared" si="42"/>
        <v/>
      </c>
    </row>
    <row r="443" spans="1:13">
      <c r="A443" s="64" t="str">
        <f>IF(E443="","",VLOOKUP('OPĆI DIO'!$C$3,'OPĆI DIO'!$L$6:$U$138,10,FALSE))</f>
        <v/>
      </c>
      <c r="B443" s="64" t="str">
        <f>IF(E443="","",VLOOKUP('OPĆI DIO'!$C$3,'OPĆI DIO'!$L$6:$U$138,9,FALSE))</f>
        <v/>
      </c>
      <c r="C443" s="65" t="str">
        <f t="shared" si="43"/>
        <v/>
      </c>
      <c r="D443" s="66" t="str">
        <f t="shared" si="44"/>
        <v/>
      </c>
      <c r="E443" s="67"/>
      <c r="F443" s="68" t="str">
        <f t="shared" si="45"/>
        <v/>
      </c>
      <c r="G443" s="69"/>
      <c r="H443" s="69"/>
      <c r="I443" s="78">
        <f t="shared" si="40"/>
        <v>0</v>
      </c>
      <c r="J443" s="67"/>
      <c r="L443" t="str">
        <f t="shared" si="41"/>
        <v/>
      </c>
      <c r="M443" t="str">
        <f t="shared" si="42"/>
        <v/>
      </c>
    </row>
    <row r="444" spans="1:13">
      <c r="A444" s="64" t="str">
        <f>IF(E444="","",VLOOKUP('OPĆI DIO'!$C$3,'OPĆI DIO'!$L$6:$U$138,10,FALSE))</f>
        <v/>
      </c>
      <c r="B444" s="64" t="str">
        <f>IF(E444="","",VLOOKUP('OPĆI DIO'!$C$3,'OPĆI DIO'!$L$6:$U$138,9,FALSE))</f>
        <v/>
      </c>
      <c r="C444" s="65" t="str">
        <f t="shared" si="43"/>
        <v/>
      </c>
      <c r="D444" s="66" t="str">
        <f t="shared" si="44"/>
        <v/>
      </c>
      <c r="E444" s="67"/>
      <c r="F444" s="68" t="str">
        <f t="shared" si="45"/>
        <v/>
      </c>
      <c r="G444" s="69"/>
      <c r="H444" s="69"/>
      <c r="I444" s="78">
        <f t="shared" si="40"/>
        <v>0</v>
      </c>
      <c r="J444" s="67"/>
      <c r="L444" t="str">
        <f t="shared" si="41"/>
        <v/>
      </c>
      <c r="M444" t="str">
        <f t="shared" si="42"/>
        <v/>
      </c>
    </row>
    <row r="445" spans="1:13">
      <c r="A445" s="64" t="str">
        <f>IF(E445="","",VLOOKUP('OPĆI DIO'!$C$3,'OPĆI DIO'!$L$6:$U$138,10,FALSE))</f>
        <v/>
      </c>
      <c r="B445" s="64" t="str">
        <f>IF(E445="","",VLOOKUP('OPĆI DIO'!$C$3,'OPĆI DIO'!$L$6:$U$138,9,FALSE))</f>
        <v/>
      </c>
      <c r="C445" s="65" t="str">
        <f t="shared" si="43"/>
        <v/>
      </c>
      <c r="D445" s="66" t="str">
        <f t="shared" si="44"/>
        <v/>
      </c>
      <c r="E445" s="67"/>
      <c r="F445" s="68" t="str">
        <f t="shared" si="45"/>
        <v/>
      </c>
      <c r="G445" s="69"/>
      <c r="H445" s="69"/>
      <c r="I445" s="78">
        <f t="shared" si="40"/>
        <v>0</v>
      </c>
      <c r="J445" s="67"/>
      <c r="L445" t="str">
        <f t="shared" si="41"/>
        <v/>
      </c>
      <c r="M445" t="str">
        <f t="shared" si="42"/>
        <v/>
      </c>
    </row>
    <row r="446" spans="1:13">
      <c r="A446" s="64" t="str">
        <f>IF(E446="","",VLOOKUP('OPĆI DIO'!$C$3,'OPĆI DIO'!$L$6:$U$138,10,FALSE))</f>
        <v/>
      </c>
      <c r="B446" s="64" t="str">
        <f>IF(E446="","",VLOOKUP('OPĆI DIO'!$C$3,'OPĆI DIO'!$L$6:$U$138,9,FALSE))</f>
        <v/>
      </c>
      <c r="C446" s="65" t="str">
        <f t="shared" si="43"/>
        <v/>
      </c>
      <c r="D446" s="66" t="str">
        <f t="shared" si="44"/>
        <v/>
      </c>
      <c r="E446" s="67"/>
      <c r="F446" s="68" t="str">
        <f t="shared" si="45"/>
        <v/>
      </c>
      <c r="G446" s="69"/>
      <c r="H446" s="69"/>
      <c r="I446" s="78">
        <f t="shared" si="40"/>
        <v>0</v>
      </c>
      <c r="J446" s="67"/>
      <c r="L446" t="str">
        <f t="shared" si="41"/>
        <v/>
      </c>
      <c r="M446" t="str">
        <f t="shared" si="42"/>
        <v/>
      </c>
    </row>
    <row r="447" spans="1:13">
      <c r="A447" s="64" t="str">
        <f>IF(E447="","",VLOOKUP('OPĆI DIO'!$C$3,'OPĆI DIO'!$L$6:$U$138,10,FALSE))</f>
        <v/>
      </c>
      <c r="B447" s="64" t="str">
        <f>IF(E447="","",VLOOKUP('OPĆI DIO'!$C$3,'OPĆI DIO'!$L$6:$U$138,9,FALSE))</f>
        <v/>
      </c>
      <c r="C447" s="65" t="str">
        <f t="shared" si="43"/>
        <v/>
      </c>
      <c r="D447" s="66" t="str">
        <f t="shared" si="44"/>
        <v/>
      </c>
      <c r="E447" s="67"/>
      <c r="F447" s="68" t="str">
        <f t="shared" si="45"/>
        <v/>
      </c>
      <c r="G447" s="69"/>
      <c r="H447" s="69"/>
      <c r="I447" s="78">
        <f t="shared" si="40"/>
        <v>0</v>
      </c>
      <c r="J447" s="67"/>
      <c r="L447" t="str">
        <f t="shared" si="41"/>
        <v/>
      </c>
      <c r="M447" t="str">
        <f t="shared" si="42"/>
        <v/>
      </c>
    </row>
    <row r="448" spans="1:13">
      <c r="A448" s="64" t="str">
        <f>IF(E448="","",VLOOKUP('OPĆI DIO'!$C$3,'OPĆI DIO'!$L$6:$U$138,10,FALSE))</f>
        <v/>
      </c>
      <c r="B448" s="64" t="str">
        <f>IF(E448="","",VLOOKUP('OPĆI DIO'!$C$3,'OPĆI DIO'!$L$6:$U$138,9,FALSE))</f>
        <v/>
      </c>
      <c r="C448" s="65" t="str">
        <f t="shared" si="43"/>
        <v/>
      </c>
      <c r="D448" s="66" t="str">
        <f t="shared" si="44"/>
        <v/>
      </c>
      <c r="E448" s="67"/>
      <c r="F448" s="68" t="str">
        <f t="shared" si="45"/>
        <v/>
      </c>
      <c r="G448" s="69"/>
      <c r="H448" s="69"/>
      <c r="I448" s="78">
        <f t="shared" si="40"/>
        <v>0</v>
      </c>
      <c r="J448" s="67"/>
      <c r="L448" t="str">
        <f t="shared" si="41"/>
        <v/>
      </c>
      <c r="M448" t="str">
        <f t="shared" si="42"/>
        <v/>
      </c>
    </row>
    <row r="449" spans="1:13">
      <c r="A449" s="64" t="str">
        <f>IF(E449="","",VLOOKUP('OPĆI DIO'!$C$3,'OPĆI DIO'!$L$6:$U$138,10,FALSE))</f>
        <v/>
      </c>
      <c r="B449" s="64" t="str">
        <f>IF(E449="","",VLOOKUP('OPĆI DIO'!$C$3,'OPĆI DIO'!$L$6:$U$138,9,FALSE))</f>
        <v/>
      </c>
      <c r="C449" s="65" t="str">
        <f t="shared" si="43"/>
        <v/>
      </c>
      <c r="D449" s="66" t="str">
        <f t="shared" si="44"/>
        <v/>
      </c>
      <c r="E449" s="67"/>
      <c r="F449" s="68" t="str">
        <f t="shared" si="45"/>
        <v/>
      </c>
      <c r="G449" s="69"/>
      <c r="H449" s="69"/>
      <c r="I449" s="78">
        <f t="shared" si="40"/>
        <v>0</v>
      </c>
      <c r="J449" s="67"/>
      <c r="L449" t="str">
        <f t="shared" si="41"/>
        <v/>
      </c>
      <c r="M449" t="str">
        <f t="shared" si="42"/>
        <v/>
      </c>
    </row>
    <row r="450" spans="1:13">
      <c r="A450" s="64" t="str">
        <f>IF(E450="","",VLOOKUP('OPĆI DIO'!$C$3,'OPĆI DIO'!$L$6:$U$138,10,FALSE))</f>
        <v/>
      </c>
      <c r="B450" s="64" t="str">
        <f>IF(E450="","",VLOOKUP('OPĆI DIO'!$C$3,'OPĆI DIO'!$L$6:$U$138,9,FALSE))</f>
        <v/>
      </c>
      <c r="C450" s="65" t="str">
        <f t="shared" si="43"/>
        <v/>
      </c>
      <c r="D450" s="66" t="str">
        <f t="shared" si="44"/>
        <v/>
      </c>
      <c r="E450" s="67"/>
      <c r="F450" s="68" t="str">
        <f t="shared" si="45"/>
        <v/>
      </c>
      <c r="G450" s="69"/>
      <c r="H450" s="69"/>
      <c r="I450" s="78">
        <f t="shared" si="40"/>
        <v>0</v>
      </c>
      <c r="J450" s="67"/>
      <c r="L450" t="str">
        <f t="shared" si="41"/>
        <v/>
      </c>
      <c r="M450" t="str">
        <f t="shared" si="42"/>
        <v/>
      </c>
    </row>
    <row r="451" spans="1:13">
      <c r="A451" s="64" t="str">
        <f>IF(E451="","",VLOOKUP('OPĆI DIO'!$C$3,'OPĆI DIO'!$L$6:$U$138,10,FALSE))</f>
        <v/>
      </c>
      <c r="B451" s="64" t="str">
        <f>IF(E451="","",VLOOKUP('OPĆI DIO'!$C$3,'OPĆI DIO'!$L$6:$U$138,9,FALSE))</f>
        <v/>
      </c>
      <c r="C451" s="65" t="str">
        <f t="shared" si="43"/>
        <v/>
      </c>
      <c r="D451" s="66" t="str">
        <f t="shared" si="44"/>
        <v/>
      </c>
      <c r="E451" s="67"/>
      <c r="F451" s="68" t="str">
        <f t="shared" si="45"/>
        <v/>
      </c>
      <c r="G451" s="69"/>
      <c r="H451" s="69"/>
      <c r="I451" s="78">
        <f t="shared" si="40"/>
        <v>0</v>
      </c>
      <c r="J451" s="67"/>
      <c r="L451" t="str">
        <f t="shared" si="41"/>
        <v/>
      </c>
      <c r="M451" t="str">
        <f t="shared" si="42"/>
        <v/>
      </c>
    </row>
    <row r="452" spans="1:13">
      <c r="A452" s="64" t="str">
        <f>IF(E452="","",VLOOKUP('OPĆI DIO'!$C$3,'OPĆI DIO'!$L$6:$U$138,10,FALSE))</f>
        <v/>
      </c>
      <c r="B452" s="64" t="str">
        <f>IF(E452="","",VLOOKUP('OPĆI DIO'!$C$3,'OPĆI DIO'!$L$6:$U$138,9,FALSE))</f>
        <v/>
      </c>
      <c r="C452" s="65" t="str">
        <f t="shared" si="43"/>
        <v/>
      </c>
      <c r="D452" s="66" t="str">
        <f t="shared" si="44"/>
        <v/>
      </c>
      <c r="E452" s="67"/>
      <c r="F452" s="68" t="str">
        <f t="shared" si="45"/>
        <v/>
      </c>
      <c r="G452" s="69"/>
      <c r="H452" s="69"/>
      <c r="I452" s="78">
        <f t="shared" ref="I452:I501" si="46">H452-G452</f>
        <v>0</v>
      </c>
      <c r="J452" s="67"/>
      <c r="L452" t="str">
        <f t="shared" ref="L452:L501" si="47">LEFT(E452,2)</f>
        <v/>
      </c>
      <c r="M452" t="str">
        <f t="shared" ref="M452:M501" si="48">LEFT(E452,3)</f>
        <v/>
      </c>
    </row>
    <row r="453" spans="1:13">
      <c r="A453" s="64" t="str">
        <f>IF(E453="","",VLOOKUP('OPĆI DIO'!$C$3,'OPĆI DIO'!$L$6:$U$138,10,FALSE))</f>
        <v/>
      </c>
      <c r="B453" s="64" t="str">
        <f>IF(E453="","",VLOOKUP('OPĆI DIO'!$C$3,'OPĆI DIO'!$L$6:$U$138,9,FALSE))</f>
        <v/>
      </c>
      <c r="C453" s="65" t="str">
        <f t="shared" si="43"/>
        <v/>
      </c>
      <c r="D453" s="66" t="str">
        <f t="shared" si="44"/>
        <v/>
      </c>
      <c r="E453" s="67"/>
      <c r="F453" s="68" t="str">
        <f t="shared" si="45"/>
        <v/>
      </c>
      <c r="G453" s="69"/>
      <c r="H453" s="69"/>
      <c r="I453" s="78">
        <f t="shared" si="46"/>
        <v>0</v>
      </c>
      <c r="J453" s="67"/>
      <c r="L453" t="str">
        <f t="shared" si="47"/>
        <v/>
      </c>
      <c r="M453" t="str">
        <f t="shared" si="48"/>
        <v/>
      </c>
    </row>
    <row r="454" spans="1:13">
      <c r="A454" s="64" t="str">
        <f>IF(E454="","",VLOOKUP('OPĆI DIO'!$C$3,'OPĆI DIO'!$L$6:$U$138,10,FALSE))</f>
        <v/>
      </c>
      <c r="B454" s="64" t="str">
        <f>IF(E454="","",VLOOKUP('OPĆI DIO'!$C$3,'OPĆI DIO'!$L$6:$U$138,9,FALSE))</f>
        <v/>
      </c>
      <c r="C454" s="65" t="str">
        <f t="shared" si="43"/>
        <v/>
      </c>
      <c r="D454" s="66" t="str">
        <f t="shared" si="44"/>
        <v/>
      </c>
      <c r="E454" s="67"/>
      <c r="F454" s="68" t="str">
        <f t="shared" si="45"/>
        <v/>
      </c>
      <c r="G454" s="69"/>
      <c r="H454" s="69"/>
      <c r="I454" s="78">
        <f t="shared" si="46"/>
        <v>0</v>
      </c>
      <c r="J454" s="67"/>
      <c r="L454" t="str">
        <f t="shared" si="47"/>
        <v/>
      </c>
      <c r="M454" t="str">
        <f t="shared" si="48"/>
        <v/>
      </c>
    </row>
    <row r="455" spans="1:13">
      <c r="A455" s="64" t="str">
        <f>IF(E455="","",VLOOKUP('OPĆI DIO'!$C$3,'OPĆI DIO'!$L$6:$U$138,10,FALSE))</f>
        <v/>
      </c>
      <c r="B455" s="64" t="str">
        <f>IF(E455="","",VLOOKUP('OPĆI DIO'!$C$3,'OPĆI DIO'!$L$6:$U$138,9,FALSE))</f>
        <v/>
      </c>
      <c r="C455" s="65" t="str">
        <f t="shared" si="43"/>
        <v/>
      </c>
      <c r="D455" s="66" t="str">
        <f t="shared" si="44"/>
        <v/>
      </c>
      <c r="E455" s="67"/>
      <c r="F455" s="68" t="str">
        <f t="shared" si="45"/>
        <v/>
      </c>
      <c r="G455" s="69"/>
      <c r="H455" s="69"/>
      <c r="I455" s="78">
        <f t="shared" si="46"/>
        <v>0</v>
      </c>
      <c r="J455" s="67"/>
      <c r="L455" t="str">
        <f t="shared" si="47"/>
        <v/>
      </c>
      <c r="M455" t="str">
        <f t="shared" si="48"/>
        <v/>
      </c>
    </row>
    <row r="456" spans="1:13">
      <c r="A456" s="64" t="str">
        <f>IF(E456="","",VLOOKUP('OPĆI DIO'!$C$3,'OPĆI DIO'!$L$6:$U$138,10,FALSE))</f>
        <v/>
      </c>
      <c r="B456" s="64" t="str">
        <f>IF(E456="","",VLOOKUP('OPĆI DIO'!$C$3,'OPĆI DIO'!$L$6:$U$138,9,FALSE))</f>
        <v/>
      </c>
      <c r="C456" s="65" t="str">
        <f t="shared" si="43"/>
        <v/>
      </c>
      <c r="D456" s="66" t="str">
        <f t="shared" si="44"/>
        <v/>
      </c>
      <c r="E456" s="67"/>
      <c r="F456" s="68" t="str">
        <f t="shared" si="45"/>
        <v/>
      </c>
      <c r="G456" s="69"/>
      <c r="H456" s="69"/>
      <c r="I456" s="78">
        <f t="shared" si="46"/>
        <v>0</v>
      </c>
      <c r="J456" s="67"/>
      <c r="L456" t="str">
        <f t="shared" si="47"/>
        <v/>
      </c>
      <c r="M456" t="str">
        <f t="shared" si="48"/>
        <v/>
      </c>
    </row>
    <row r="457" spans="1:13">
      <c r="A457" s="64" t="str">
        <f>IF(E457="","",VLOOKUP('OPĆI DIO'!$C$3,'OPĆI DIO'!$L$6:$U$138,10,FALSE))</f>
        <v/>
      </c>
      <c r="B457" s="64" t="str">
        <f>IF(E457="","",VLOOKUP('OPĆI DIO'!$C$3,'OPĆI DIO'!$L$6:$U$138,9,FALSE))</f>
        <v/>
      </c>
      <c r="C457" s="65" t="str">
        <f t="shared" si="43"/>
        <v/>
      </c>
      <c r="D457" s="66" t="str">
        <f t="shared" si="44"/>
        <v/>
      </c>
      <c r="E457" s="67"/>
      <c r="F457" s="68" t="str">
        <f t="shared" si="45"/>
        <v/>
      </c>
      <c r="G457" s="69"/>
      <c r="H457" s="69"/>
      <c r="I457" s="78">
        <f t="shared" si="46"/>
        <v>0</v>
      </c>
      <c r="J457" s="67"/>
      <c r="L457" t="str">
        <f t="shared" si="47"/>
        <v/>
      </c>
      <c r="M457" t="str">
        <f t="shared" si="48"/>
        <v/>
      </c>
    </row>
    <row r="458" spans="1:13">
      <c r="A458" s="64" t="str">
        <f>IF(E458="","",VLOOKUP('OPĆI DIO'!$C$3,'OPĆI DIO'!$L$6:$U$138,10,FALSE))</f>
        <v/>
      </c>
      <c r="B458" s="64" t="str">
        <f>IF(E458="","",VLOOKUP('OPĆI DIO'!$C$3,'OPĆI DIO'!$L$6:$U$138,9,FALSE))</f>
        <v/>
      </c>
      <c r="C458" s="65" t="str">
        <f t="shared" si="43"/>
        <v/>
      </c>
      <c r="D458" s="66" t="str">
        <f t="shared" si="44"/>
        <v/>
      </c>
      <c r="E458" s="67"/>
      <c r="F458" s="68" t="str">
        <f t="shared" si="45"/>
        <v/>
      </c>
      <c r="G458" s="69"/>
      <c r="H458" s="69"/>
      <c r="I458" s="78">
        <f t="shared" si="46"/>
        <v>0</v>
      </c>
      <c r="J458" s="67"/>
      <c r="L458" t="str">
        <f t="shared" si="47"/>
        <v/>
      </c>
      <c r="M458" t="str">
        <f t="shared" si="48"/>
        <v/>
      </c>
    </row>
    <row r="459" spans="1:13">
      <c r="A459" s="64" t="str">
        <f>IF(E459="","",VLOOKUP('OPĆI DIO'!$C$3,'OPĆI DIO'!$L$6:$U$138,10,FALSE))</f>
        <v/>
      </c>
      <c r="B459" s="64" t="str">
        <f>IF(E459="","",VLOOKUP('OPĆI DIO'!$C$3,'OPĆI DIO'!$L$6:$U$138,9,FALSE))</f>
        <v/>
      </c>
      <c r="C459" s="65" t="str">
        <f t="shared" si="43"/>
        <v/>
      </c>
      <c r="D459" s="66" t="str">
        <f t="shared" si="44"/>
        <v/>
      </c>
      <c r="E459" s="67"/>
      <c r="F459" s="68" t="str">
        <f t="shared" si="45"/>
        <v/>
      </c>
      <c r="G459" s="69"/>
      <c r="H459" s="69"/>
      <c r="I459" s="78">
        <f t="shared" si="46"/>
        <v>0</v>
      </c>
      <c r="J459" s="67"/>
      <c r="L459" t="str">
        <f t="shared" si="47"/>
        <v/>
      </c>
      <c r="M459" t="str">
        <f t="shared" si="48"/>
        <v/>
      </c>
    </row>
    <row r="460" spans="1:13">
      <c r="A460" s="64" t="str">
        <f>IF(E460="","",VLOOKUP('OPĆI DIO'!$C$3,'OPĆI DIO'!$L$6:$U$138,10,FALSE))</f>
        <v/>
      </c>
      <c r="B460" s="64" t="str">
        <f>IF(E460="","",VLOOKUP('OPĆI DIO'!$C$3,'OPĆI DIO'!$L$6:$U$138,9,FALSE))</f>
        <v/>
      </c>
      <c r="C460" s="65" t="str">
        <f t="shared" si="43"/>
        <v/>
      </c>
      <c r="D460" s="66" t="str">
        <f t="shared" si="44"/>
        <v/>
      </c>
      <c r="E460" s="67"/>
      <c r="F460" s="68" t="str">
        <f t="shared" si="45"/>
        <v/>
      </c>
      <c r="G460" s="69"/>
      <c r="H460" s="69"/>
      <c r="I460" s="78">
        <f t="shared" si="46"/>
        <v>0</v>
      </c>
      <c r="J460" s="67"/>
      <c r="L460" t="str">
        <f t="shared" si="47"/>
        <v/>
      </c>
      <c r="M460" t="str">
        <f t="shared" si="48"/>
        <v/>
      </c>
    </row>
    <row r="461" spans="1:13">
      <c r="A461" s="64" t="str">
        <f>IF(E461="","",VLOOKUP('OPĆI DIO'!$C$3,'OPĆI DIO'!$L$6:$U$138,10,FALSE))</f>
        <v/>
      </c>
      <c r="B461" s="64" t="str">
        <f>IF(E461="","",VLOOKUP('OPĆI DIO'!$C$3,'OPĆI DIO'!$L$6:$U$138,9,FALSE))</f>
        <v/>
      </c>
      <c r="C461" s="65" t="str">
        <f t="shared" si="43"/>
        <v/>
      </c>
      <c r="D461" s="66" t="str">
        <f t="shared" si="44"/>
        <v/>
      </c>
      <c r="E461" s="67"/>
      <c r="F461" s="68" t="str">
        <f t="shared" si="45"/>
        <v/>
      </c>
      <c r="G461" s="69"/>
      <c r="H461" s="69"/>
      <c r="I461" s="78">
        <f t="shared" si="46"/>
        <v>0</v>
      </c>
      <c r="J461" s="67"/>
      <c r="L461" t="str">
        <f t="shared" si="47"/>
        <v/>
      </c>
      <c r="M461" t="str">
        <f t="shared" si="48"/>
        <v/>
      </c>
    </row>
    <row r="462" spans="1:13">
      <c r="A462" s="64" t="str">
        <f>IF(E462="","",VLOOKUP('OPĆI DIO'!$C$3,'OPĆI DIO'!$L$6:$U$138,10,FALSE))</f>
        <v/>
      </c>
      <c r="B462" s="64" t="str">
        <f>IF(E462="","",VLOOKUP('OPĆI DIO'!$C$3,'OPĆI DIO'!$L$6:$U$138,9,FALSE))</f>
        <v/>
      </c>
      <c r="C462" s="65" t="str">
        <f t="shared" si="43"/>
        <v/>
      </c>
      <c r="D462" s="66" t="str">
        <f t="shared" si="44"/>
        <v/>
      </c>
      <c r="E462" s="67"/>
      <c r="F462" s="68" t="str">
        <f t="shared" si="45"/>
        <v/>
      </c>
      <c r="G462" s="69"/>
      <c r="H462" s="69"/>
      <c r="I462" s="78">
        <f t="shared" si="46"/>
        <v>0</v>
      </c>
      <c r="J462" s="67"/>
      <c r="L462" t="str">
        <f t="shared" si="47"/>
        <v/>
      </c>
      <c r="M462" t="str">
        <f t="shared" si="48"/>
        <v/>
      </c>
    </row>
    <row r="463" spans="1:13">
      <c r="A463" s="64" t="str">
        <f>IF(E463="","",VLOOKUP('OPĆI DIO'!$C$3,'OPĆI DIO'!$L$6:$U$138,10,FALSE))</f>
        <v/>
      </c>
      <c r="B463" s="64" t="str">
        <f>IF(E463="","",VLOOKUP('OPĆI DIO'!$C$3,'OPĆI DIO'!$L$6:$U$138,9,FALSE))</f>
        <v/>
      </c>
      <c r="C463" s="65" t="str">
        <f t="shared" si="43"/>
        <v/>
      </c>
      <c r="D463" s="66" t="str">
        <f t="shared" si="44"/>
        <v/>
      </c>
      <c r="E463" s="67"/>
      <c r="F463" s="68" t="str">
        <f t="shared" si="45"/>
        <v/>
      </c>
      <c r="G463" s="69"/>
      <c r="H463" s="69"/>
      <c r="I463" s="78">
        <f t="shared" si="46"/>
        <v>0</v>
      </c>
      <c r="J463" s="67"/>
      <c r="L463" t="str">
        <f t="shared" si="47"/>
        <v/>
      </c>
      <c r="M463" t="str">
        <f t="shared" si="48"/>
        <v/>
      </c>
    </row>
    <row r="464" spans="1:13">
      <c r="A464" s="64" t="str">
        <f>IF(E464="","",VLOOKUP('OPĆI DIO'!$C$3,'OPĆI DIO'!$L$6:$U$138,10,FALSE))</f>
        <v/>
      </c>
      <c r="B464" s="64" t="str">
        <f>IF(E464="","",VLOOKUP('OPĆI DIO'!$C$3,'OPĆI DIO'!$L$6:$U$138,9,FALSE))</f>
        <v/>
      </c>
      <c r="C464" s="65" t="str">
        <f t="shared" si="43"/>
        <v/>
      </c>
      <c r="D464" s="66" t="str">
        <f t="shared" si="44"/>
        <v/>
      </c>
      <c r="E464" s="67"/>
      <c r="F464" s="68" t="str">
        <f t="shared" si="45"/>
        <v/>
      </c>
      <c r="G464" s="69"/>
      <c r="H464" s="69"/>
      <c r="I464" s="78">
        <f t="shared" si="46"/>
        <v>0</v>
      </c>
      <c r="J464" s="67"/>
      <c r="L464" t="str">
        <f t="shared" si="47"/>
        <v/>
      </c>
      <c r="M464" t="str">
        <f t="shared" si="48"/>
        <v/>
      </c>
    </row>
    <row r="465" spans="1:13">
      <c r="A465" s="64" t="str">
        <f>IF(E465="","",VLOOKUP('OPĆI DIO'!$C$3,'OPĆI DIO'!$L$6:$U$138,10,FALSE))</f>
        <v/>
      </c>
      <c r="B465" s="64" t="str">
        <f>IF(E465="","",VLOOKUP('OPĆI DIO'!$C$3,'OPĆI DIO'!$L$6:$U$138,9,FALSE))</f>
        <v/>
      </c>
      <c r="C465" s="65" t="str">
        <f t="shared" si="43"/>
        <v/>
      </c>
      <c r="D465" s="66" t="str">
        <f t="shared" si="44"/>
        <v/>
      </c>
      <c r="E465" s="67"/>
      <c r="F465" s="68" t="str">
        <f t="shared" si="45"/>
        <v/>
      </c>
      <c r="G465" s="69"/>
      <c r="H465" s="69"/>
      <c r="I465" s="78">
        <f t="shared" si="46"/>
        <v>0</v>
      </c>
      <c r="J465" s="67"/>
      <c r="L465" t="str">
        <f t="shared" si="47"/>
        <v/>
      </c>
      <c r="M465" t="str">
        <f t="shared" si="48"/>
        <v/>
      </c>
    </row>
    <row r="466" spans="1:13">
      <c r="A466" s="64" t="str">
        <f>IF(E466="","",VLOOKUP('OPĆI DIO'!$C$3,'OPĆI DIO'!$L$6:$U$138,10,FALSE))</f>
        <v/>
      </c>
      <c r="B466" s="64" t="str">
        <f>IF(E466="","",VLOOKUP('OPĆI DIO'!$C$3,'OPĆI DIO'!$L$6:$U$138,9,FALSE))</f>
        <v/>
      </c>
      <c r="C466" s="65" t="str">
        <f t="shared" si="43"/>
        <v/>
      </c>
      <c r="D466" s="66" t="str">
        <f t="shared" si="44"/>
        <v/>
      </c>
      <c r="E466" s="67"/>
      <c r="F466" s="68" t="str">
        <f t="shared" si="45"/>
        <v/>
      </c>
      <c r="G466" s="69"/>
      <c r="H466" s="69"/>
      <c r="I466" s="78">
        <f t="shared" si="46"/>
        <v>0</v>
      </c>
      <c r="J466" s="67"/>
      <c r="L466" t="str">
        <f t="shared" si="47"/>
        <v/>
      </c>
      <c r="M466" t="str">
        <f t="shared" si="48"/>
        <v/>
      </c>
    </row>
    <row r="467" spans="1:13">
      <c r="A467" s="64" t="str">
        <f>IF(E467="","",VLOOKUP('OPĆI DIO'!$C$3,'OPĆI DIO'!$L$6:$U$138,10,FALSE))</f>
        <v/>
      </c>
      <c r="B467" s="64" t="str">
        <f>IF(E467="","",VLOOKUP('OPĆI DIO'!$C$3,'OPĆI DIO'!$L$6:$U$138,9,FALSE))</f>
        <v/>
      </c>
      <c r="C467" s="65" t="str">
        <f t="shared" si="43"/>
        <v/>
      </c>
      <c r="D467" s="66" t="str">
        <f t="shared" si="44"/>
        <v/>
      </c>
      <c r="E467" s="67"/>
      <c r="F467" s="68" t="str">
        <f t="shared" si="45"/>
        <v/>
      </c>
      <c r="G467" s="69"/>
      <c r="H467" s="69"/>
      <c r="I467" s="78">
        <f t="shared" si="46"/>
        <v>0</v>
      </c>
      <c r="J467" s="67"/>
      <c r="L467" t="str">
        <f t="shared" si="47"/>
        <v/>
      </c>
      <c r="M467" t="str">
        <f t="shared" si="48"/>
        <v/>
      </c>
    </row>
    <row r="468" spans="1:13">
      <c r="A468" s="64" t="str">
        <f>IF(E468="","",VLOOKUP('OPĆI DIO'!$C$3,'OPĆI DIO'!$L$6:$U$138,10,FALSE))</f>
        <v/>
      </c>
      <c r="B468" s="64" t="str">
        <f>IF(E468="","",VLOOKUP('OPĆI DIO'!$C$3,'OPĆI DIO'!$L$6:$U$138,9,FALSE))</f>
        <v/>
      </c>
      <c r="C468" s="65" t="str">
        <f t="shared" si="43"/>
        <v/>
      </c>
      <c r="D468" s="66" t="str">
        <f t="shared" si="44"/>
        <v/>
      </c>
      <c r="E468" s="67"/>
      <c r="F468" s="68" t="str">
        <f t="shared" si="45"/>
        <v/>
      </c>
      <c r="G468" s="69"/>
      <c r="H468" s="69"/>
      <c r="I468" s="78">
        <f t="shared" si="46"/>
        <v>0</v>
      </c>
      <c r="J468" s="67"/>
      <c r="L468" t="str">
        <f t="shared" si="47"/>
        <v/>
      </c>
      <c r="M468" t="str">
        <f t="shared" si="48"/>
        <v/>
      </c>
    </row>
    <row r="469" spans="1:13">
      <c r="A469" s="64" t="str">
        <f>IF(E469="","",VLOOKUP('OPĆI DIO'!$C$3,'OPĆI DIO'!$L$6:$U$138,10,FALSE))</f>
        <v/>
      </c>
      <c r="B469" s="64" t="str">
        <f>IF(E469="","",VLOOKUP('OPĆI DIO'!$C$3,'OPĆI DIO'!$L$6:$U$138,9,FALSE))</f>
        <v/>
      </c>
      <c r="C469" s="65" t="str">
        <f t="shared" si="43"/>
        <v/>
      </c>
      <c r="D469" s="66" t="str">
        <f t="shared" si="44"/>
        <v/>
      </c>
      <c r="E469" s="67"/>
      <c r="F469" s="68" t="str">
        <f t="shared" si="45"/>
        <v/>
      </c>
      <c r="G469" s="69"/>
      <c r="H469" s="69"/>
      <c r="I469" s="78">
        <f t="shared" si="46"/>
        <v>0</v>
      </c>
      <c r="J469" s="67"/>
      <c r="L469" t="str">
        <f t="shared" si="47"/>
        <v/>
      </c>
      <c r="M469" t="str">
        <f t="shared" si="48"/>
        <v/>
      </c>
    </row>
    <row r="470" spans="1:13">
      <c r="A470" s="64" t="str">
        <f>IF(E470="","",VLOOKUP('OPĆI DIO'!$C$3,'OPĆI DIO'!$L$6:$U$138,10,FALSE))</f>
        <v/>
      </c>
      <c r="B470" s="64" t="str">
        <f>IF(E470="","",VLOOKUP('OPĆI DIO'!$C$3,'OPĆI DIO'!$L$6:$U$138,9,FALSE))</f>
        <v/>
      </c>
      <c r="C470" s="65" t="str">
        <f t="shared" si="43"/>
        <v/>
      </c>
      <c r="D470" s="66" t="str">
        <f t="shared" si="44"/>
        <v/>
      </c>
      <c r="E470" s="67"/>
      <c r="F470" s="68" t="str">
        <f t="shared" si="45"/>
        <v/>
      </c>
      <c r="G470" s="69"/>
      <c r="H470" s="69"/>
      <c r="I470" s="78">
        <f t="shared" si="46"/>
        <v>0</v>
      </c>
      <c r="J470" s="67"/>
      <c r="L470" t="str">
        <f t="shared" si="47"/>
        <v/>
      </c>
      <c r="M470" t="str">
        <f t="shared" si="48"/>
        <v/>
      </c>
    </row>
    <row r="471" spans="1:13">
      <c r="A471" s="64" t="str">
        <f>IF(E471="","",VLOOKUP('OPĆI DIO'!$C$3,'OPĆI DIO'!$L$6:$U$138,10,FALSE))</f>
        <v/>
      </c>
      <c r="B471" s="64" t="str">
        <f>IF(E471="","",VLOOKUP('OPĆI DIO'!$C$3,'OPĆI DIO'!$L$6:$U$138,9,FALSE))</f>
        <v/>
      </c>
      <c r="C471" s="65" t="str">
        <f t="shared" si="43"/>
        <v/>
      </c>
      <c r="D471" s="66" t="str">
        <f t="shared" si="44"/>
        <v/>
      </c>
      <c r="E471" s="67"/>
      <c r="F471" s="68" t="str">
        <f t="shared" si="45"/>
        <v/>
      </c>
      <c r="G471" s="69"/>
      <c r="H471" s="69"/>
      <c r="I471" s="78">
        <f t="shared" si="46"/>
        <v>0</v>
      </c>
      <c r="J471" s="67"/>
      <c r="L471" t="str">
        <f t="shared" si="47"/>
        <v/>
      </c>
      <c r="M471" t="str">
        <f t="shared" si="48"/>
        <v/>
      </c>
    </row>
    <row r="472" spans="1:13">
      <c r="A472" s="64" t="str">
        <f>IF(E472="","",VLOOKUP('OPĆI DIO'!$C$3,'OPĆI DIO'!$L$6:$U$138,10,FALSE))</f>
        <v/>
      </c>
      <c r="B472" s="64" t="str">
        <f>IF(E472="","",VLOOKUP('OPĆI DIO'!$C$3,'OPĆI DIO'!$L$6:$U$138,9,FALSE))</f>
        <v/>
      </c>
      <c r="C472" s="65" t="str">
        <f t="shared" si="43"/>
        <v/>
      </c>
      <c r="D472" s="66" t="str">
        <f t="shared" si="44"/>
        <v/>
      </c>
      <c r="E472" s="67"/>
      <c r="F472" s="68" t="str">
        <f t="shared" si="45"/>
        <v/>
      </c>
      <c r="G472" s="69"/>
      <c r="H472" s="69"/>
      <c r="I472" s="78">
        <f t="shared" si="46"/>
        <v>0</v>
      </c>
      <c r="J472" s="67"/>
      <c r="L472" t="str">
        <f t="shared" si="47"/>
        <v/>
      </c>
      <c r="M472" t="str">
        <f t="shared" si="48"/>
        <v/>
      </c>
    </row>
    <row r="473" spans="1:13">
      <c r="A473" s="64" t="str">
        <f>IF(E473="","",VLOOKUP('OPĆI DIO'!$C$3,'OPĆI DIO'!$L$6:$U$138,10,FALSE))</f>
        <v/>
      </c>
      <c r="B473" s="64" t="str">
        <f>IF(E473="","",VLOOKUP('OPĆI DIO'!$C$3,'OPĆI DIO'!$L$6:$U$138,9,FALSE))</f>
        <v/>
      </c>
      <c r="C473" s="65" t="str">
        <f t="shared" si="43"/>
        <v/>
      </c>
      <c r="D473" s="66" t="str">
        <f t="shared" si="44"/>
        <v/>
      </c>
      <c r="E473" s="67"/>
      <c r="F473" s="68" t="str">
        <f t="shared" si="45"/>
        <v/>
      </c>
      <c r="G473" s="69"/>
      <c r="H473" s="69"/>
      <c r="I473" s="78">
        <f t="shared" si="46"/>
        <v>0</v>
      </c>
      <c r="J473" s="67"/>
      <c r="L473" t="str">
        <f t="shared" si="47"/>
        <v/>
      </c>
      <c r="M473" t="str">
        <f t="shared" si="48"/>
        <v/>
      </c>
    </row>
    <row r="474" spans="1:13">
      <c r="A474" s="64" t="str">
        <f>IF(E474="","",VLOOKUP('OPĆI DIO'!$C$3,'OPĆI DIO'!$L$6:$U$138,10,FALSE))</f>
        <v/>
      </c>
      <c r="B474" s="64" t="str">
        <f>IF(E474="","",VLOOKUP('OPĆI DIO'!$C$3,'OPĆI DIO'!$L$6:$U$138,9,FALSE))</f>
        <v/>
      </c>
      <c r="C474" s="65" t="str">
        <f t="shared" si="43"/>
        <v/>
      </c>
      <c r="D474" s="66" t="str">
        <f t="shared" si="44"/>
        <v/>
      </c>
      <c r="E474" s="67"/>
      <c r="F474" s="68" t="str">
        <f t="shared" si="45"/>
        <v/>
      </c>
      <c r="G474" s="69"/>
      <c r="H474" s="69"/>
      <c r="I474" s="78">
        <f t="shared" si="46"/>
        <v>0</v>
      </c>
      <c r="J474" s="67"/>
      <c r="L474" t="str">
        <f t="shared" si="47"/>
        <v/>
      </c>
      <c r="M474" t="str">
        <f t="shared" si="48"/>
        <v/>
      </c>
    </row>
    <row r="475" spans="1:13">
      <c r="A475" s="64" t="str">
        <f>IF(E475="","",VLOOKUP('OPĆI DIO'!$C$3,'OPĆI DIO'!$L$6:$U$138,10,FALSE))</f>
        <v/>
      </c>
      <c r="B475" s="64" t="str">
        <f>IF(E475="","",VLOOKUP('OPĆI DIO'!$C$3,'OPĆI DIO'!$L$6:$U$138,9,FALSE))</f>
        <v/>
      </c>
      <c r="C475" s="65" t="str">
        <f t="shared" si="43"/>
        <v/>
      </c>
      <c r="D475" s="66" t="str">
        <f t="shared" si="44"/>
        <v/>
      </c>
      <c r="E475" s="67"/>
      <c r="F475" s="68" t="str">
        <f t="shared" si="45"/>
        <v/>
      </c>
      <c r="G475" s="69"/>
      <c r="H475" s="69"/>
      <c r="I475" s="78">
        <f t="shared" si="46"/>
        <v>0</v>
      </c>
      <c r="J475" s="67"/>
      <c r="L475" t="str">
        <f t="shared" si="47"/>
        <v/>
      </c>
      <c r="M475" t="str">
        <f t="shared" si="48"/>
        <v/>
      </c>
    </row>
    <row r="476" spans="1:13">
      <c r="A476" s="64" t="str">
        <f>IF(E476="","",VLOOKUP('OPĆI DIO'!$C$3,'OPĆI DIO'!$L$6:$U$138,10,FALSE))</f>
        <v/>
      </c>
      <c r="B476" s="64" t="str">
        <f>IF(E476="","",VLOOKUP('OPĆI DIO'!$C$3,'OPĆI DIO'!$L$6:$U$138,9,FALSE))</f>
        <v/>
      </c>
      <c r="C476" s="65" t="str">
        <f t="shared" si="43"/>
        <v/>
      </c>
      <c r="D476" s="66" t="str">
        <f t="shared" si="44"/>
        <v/>
      </c>
      <c r="E476" s="67"/>
      <c r="F476" s="68" t="str">
        <f t="shared" si="45"/>
        <v/>
      </c>
      <c r="G476" s="69"/>
      <c r="H476" s="69"/>
      <c r="I476" s="78">
        <f t="shared" si="46"/>
        <v>0</v>
      </c>
      <c r="J476" s="67"/>
      <c r="L476" t="str">
        <f t="shared" si="47"/>
        <v/>
      </c>
      <c r="M476" t="str">
        <f t="shared" si="48"/>
        <v/>
      </c>
    </row>
    <row r="477" spans="1:13">
      <c r="A477" s="64" t="str">
        <f>IF(E477="","",VLOOKUP('OPĆI DIO'!$C$3,'OPĆI DIO'!$L$6:$U$138,10,FALSE))</f>
        <v/>
      </c>
      <c r="B477" s="64" t="str">
        <f>IF(E477="","",VLOOKUP('OPĆI DIO'!$C$3,'OPĆI DIO'!$L$6:$U$138,9,FALSE))</f>
        <v/>
      </c>
      <c r="C477" s="65" t="str">
        <f t="shared" si="43"/>
        <v/>
      </c>
      <c r="D477" s="66" t="str">
        <f t="shared" si="44"/>
        <v/>
      </c>
      <c r="E477" s="67"/>
      <c r="F477" s="68" t="str">
        <f t="shared" si="45"/>
        <v/>
      </c>
      <c r="G477" s="69"/>
      <c r="H477" s="69"/>
      <c r="I477" s="78">
        <f t="shared" si="46"/>
        <v>0</v>
      </c>
      <c r="J477" s="67"/>
      <c r="L477" t="str">
        <f t="shared" si="47"/>
        <v/>
      </c>
      <c r="M477" t="str">
        <f t="shared" si="48"/>
        <v/>
      </c>
    </row>
    <row r="478" spans="1:13">
      <c r="A478" s="64" t="str">
        <f>IF(E478="","",VLOOKUP('OPĆI DIO'!$C$3,'OPĆI DIO'!$L$6:$U$138,10,FALSE))</f>
        <v/>
      </c>
      <c r="B478" s="64" t="str">
        <f>IF(E478="","",VLOOKUP('OPĆI DIO'!$C$3,'OPĆI DIO'!$L$6:$U$138,9,FALSE))</f>
        <v/>
      </c>
      <c r="C478" s="65" t="str">
        <f t="shared" si="43"/>
        <v/>
      </c>
      <c r="D478" s="66" t="str">
        <f t="shared" si="44"/>
        <v/>
      </c>
      <c r="E478" s="67"/>
      <c r="F478" s="68" t="str">
        <f t="shared" si="45"/>
        <v/>
      </c>
      <c r="G478" s="69"/>
      <c r="H478" s="69"/>
      <c r="I478" s="78">
        <f t="shared" si="46"/>
        <v>0</v>
      </c>
      <c r="J478" s="67"/>
      <c r="L478" t="str">
        <f t="shared" si="47"/>
        <v/>
      </c>
      <c r="M478" t="str">
        <f t="shared" si="48"/>
        <v/>
      </c>
    </row>
    <row r="479" spans="1:13">
      <c r="A479" s="64" t="str">
        <f>IF(E479="","",VLOOKUP('OPĆI DIO'!$C$3,'OPĆI DIO'!$L$6:$U$138,10,FALSE))</f>
        <v/>
      </c>
      <c r="B479" s="64" t="str">
        <f>IF(E479="","",VLOOKUP('OPĆI DIO'!$C$3,'OPĆI DIO'!$L$6:$U$138,9,FALSE))</f>
        <v/>
      </c>
      <c r="C479" s="65" t="str">
        <f t="shared" si="43"/>
        <v/>
      </c>
      <c r="D479" s="66" t="str">
        <f t="shared" si="44"/>
        <v/>
      </c>
      <c r="E479" s="67"/>
      <c r="F479" s="68" t="str">
        <f t="shared" si="45"/>
        <v/>
      </c>
      <c r="G479" s="69"/>
      <c r="H479" s="69"/>
      <c r="I479" s="78">
        <f t="shared" si="46"/>
        <v>0</v>
      </c>
      <c r="J479" s="67"/>
      <c r="L479" t="str">
        <f t="shared" si="47"/>
        <v/>
      </c>
      <c r="M479" t="str">
        <f t="shared" si="48"/>
        <v/>
      </c>
    </row>
    <row r="480" spans="1:13">
      <c r="A480" s="64" t="str">
        <f>IF(E480="","",VLOOKUP('OPĆI DIO'!$C$3,'OPĆI DIO'!$L$6:$U$138,10,FALSE))</f>
        <v/>
      </c>
      <c r="B480" s="64" t="str">
        <f>IF(E480="","",VLOOKUP('OPĆI DIO'!$C$3,'OPĆI DIO'!$L$6:$U$138,9,FALSE))</f>
        <v/>
      </c>
      <c r="C480" s="65" t="str">
        <f t="shared" si="43"/>
        <v/>
      </c>
      <c r="D480" s="66" t="str">
        <f t="shared" si="44"/>
        <v/>
      </c>
      <c r="E480" s="67"/>
      <c r="F480" s="68" t="str">
        <f t="shared" si="45"/>
        <v/>
      </c>
      <c r="G480" s="69"/>
      <c r="H480" s="69"/>
      <c r="I480" s="78">
        <f t="shared" si="46"/>
        <v>0</v>
      </c>
      <c r="J480" s="67"/>
      <c r="L480" t="str">
        <f t="shared" si="47"/>
        <v/>
      </c>
      <c r="M480" t="str">
        <f t="shared" si="48"/>
        <v/>
      </c>
    </row>
    <row r="481" spans="1:13">
      <c r="A481" s="64" t="str">
        <f>IF(E481="","",VLOOKUP('OPĆI DIO'!$C$3,'OPĆI DIO'!$L$6:$U$138,10,FALSE))</f>
        <v/>
      </c>
      <c r="B481" s="64" t="str">
        <f>IF(E481="","",VLOOKUP('OPĆI DIO'!$C$3,'OPĆI DIO'!$L$6:$U$138,9,FALSE))</f>
        <v/>
      </c>
      <c r="C481" s="65" t="str">
        <f t="shared" si="43"/>
        <v/>
      </c>
      <c r="D481" s="66" t="str">
        <f t="shared" si="44"/>
        <v/>
      </c>
      <c r="E481" s="67"/>
      <c r="F481" s="68" t="str">
        <f t="shared" si="45"/>
        <v/>
      </c>
      <c r="G481" s="69"/>
      <c r="H481" s="69"/>
      <c r="I481" s="78">
        <f t="shared" si="46"/>
        <v>0</v>
      </c>
      <c r="J481" s="67"/>
      <c r="L481" t="str">
        <f t="shared" si="47"/>
        <v/>
      </c>
      <c r="M481" t="str">
        <f t="shared" si="48"/>
        <v/>
      </c>
    </row>
    <row r="482" spans="1:13">
      <c r="A482" s="64" t="str">
        <f>IF(E482="","",VLOOKUP('OPĆI DIO'!$C$3,'OPĆI DIO'!$L$6:$U$138,10,FALSE))</f>
        <v/>
      </c>
      <c r="B482" s="64" t="str">
        <f>IF(E482="","",VLOOKUP('OPĆI DIO'!$C$3,'OPĆI DIO'!$L$6:$U$138,9,FALSE))</f>
        <v/>
      </c>
      <c r="C482" s="65" t="str">
        <f t="shared" si="43"/>
        <v/>
      </c>
      <c r="D482" s="66" t="str">
        <f t="shared" si="44"/>
        <v/>
      </c>
      <c r="E482" s="67"/>
      <c r="F482" s="68" t="str">
        <f t="shared" si="45"/>
        <v/>
      </c>
      <c r="G482" s="69"/>
      <c r="H482" s="69"/>
      <c r="I482" s="78">
        <f t="shared" si="46"/>
        <v>0</v>
      </c>
      <c r="J482" s="67"/>
      <c r="L482" t="str">
        <f t="shared" si="47"/>
        <v/>
      </c>
      <c r="M482" t="str">
        <f t="shared" si="48"/>
        <v/>
      </c>
    </row>
    <row r="483" spans="1:13">
      <c r="A483" s="64" t="str">
        <f>IF(E483="","",VLOOKUP('OPĆI DIO'!$C$3,'OPĆI DIO'!$L$6:$U$138,10,FALSE))</f>
        <v/>
      </c>
      <c r="B483" s="64" t="str">
        <f>IF(E483="","",VLOOKUP('OPĆI DIO'!$C$3,'OPĆI DIO'!$L$6:$U$138,9,FALSE))</f>
        <v/>
      </c>
      <c r="C483" s="65" t="str">
        <f t="shared" si="43"/>
        <v/>
      </c>
      <c r="D483" s="66" t="str">
        <f t="shared" si="44"/>
        <v/>
      </c>
      <c r="E483" s="67"/>
      <c r="F483" s="68" t="str">
        <f t="shared" si="45"/>
        <v/>
      </c>
      <c r="G483" s="69"/>
      <c r="H483" s="69"/>
      <c r="I483" s="78">
        <f t="shared" si="46"/>
        <v>0</v>
      </c>
      <c r="J483" s="67"/>
      <c r="L483" t="str">
        <f t="shared" si="47"/>
        <v/>
      </c>
      <c r="M483" t="str">
        <f t="shared" si="48"/>
        <v/>
      </c>
    </row>
    <row r="484" spans="1:13">
      <c r="A484" s="64" t="str">
        <f>IF(E484="","",VLOOKUP('OPĆI DIO'!$C$3,'OPĆI DIO'!$L$6:$U$138,10,FALSE))</f>
        <v/>
      </c>
      <c r="B484" s="64" t="str">
        <f>IF(E484="","",VLOOKUP('OPĆI DIO'!$C$3,'OPĆI DIO'!$L$6:$U$138,9,FALSE))</f>
        <v/>
      </c>
      <c r="C484" s="65" t="str">
        <f t="shared" si="43"/>
        <v/>
      </c>
      <c r="D484" s="66" t="str">
        <f t="shared" si="44"/>
        <v/>
      </c>
      <c r="E484" s="67"/>
      <c r="F484" s="68" t="str">
        <f t="shared" si="45"/>
        <v/>
      </c>
      <c r="G484" s="69"/>
      <c r="H484" s="69"/>
      <c r="I484" s="78">
        <f t="shared" si="46"/>
        <v>0</v>
      </c>
      <c r="J484" s="67"/>
      <c r="L484" t="str">
        <f t="shared" si="47"/>
        <v/>
      </c>
      <c r="M484" t="str">
        <f t="shared" si="48"/>
        <v/>
      </c>
    </row>
    <row r="485" spans="1:13">
      <c r="A485" s="64" t="str">
        <f>IF(E485="","",VLOOKUP('OPĆI DIO'!$C$3,'OPĆI DIO'!$L$6:$U$138,10,FALSE))</f>
        <v/>
      </c>
      <c r="B485" s="64" t="str">
        <f>IF(E485="","",VLOOKUP('OPĆI DIO'!$C$3,'OPĆI DIO'!$L$6:$U$138,9,FALSE))</f>
        <v/>
      </c>
      <c r="C485" s="65" t="str">
        <f t="shared" si="43"/>
        <v/>
      </c>
      <c r="D485" s="66" t="str">
        <f t="shared" si="44"/>
        <v/>
      </c>
      <c r="E485" s="67"/>
      <c r="F485" s="68" t="str">
        <f t="shared" si="45"/>
        <v/>
      </c>
      <c r="G485" s="69"/>
      <c r="H485" s="69"/>
      <c r="I485" s="78">
        <f t="shared" si="46"/>
        <v>0</v>
      </c>
      <c r="J485" s="67"/>
      <c r="L485" t="str">
        <f t="shared" si="47"/>
        <v/>
      </c>
      <c r="M485" t="str">
        <f t="shared" si="48"/>
        <v/>
      </c>
    </row>
    <row r="486" spans="1:13">
      <c r="A486" s="64" t="str">
        <f>IF(E486="","",VLOOKUP('OPĆI DIO'!$C$3,'OPĆI DIO'!$L$6:$U$138,10,FALSE))</f>
        <v/>
      </c>
      <c r="B486" s="64" t="str">
        <f>IF(E486="","",VLOOKUP('OPĆI DIO'!$C$3,'OPĆI DIO'!$L$6:$U$138,9,FALSE))</f>
        <v/>
      </c>
      <c r="C486" s="65" t="str">
        <f t="shared" si="43"/>
        <v/>
      </c>
      <c r="D486" s="66" t="str">
        <f t="shared" si="44"/>
        <v/>
      </c>
      <c r="E486" s="67"/>
      <c r="F486" s="68" t="str">
        <f t="shared" si="45"/>
        <v/>
      </c>
      <c r="G486" s="69"/>
      <c r="H486" s="69"/>
      <c r="I486" s="78">
        <f t="shared" si="46"/>
        <v>0</v>
      </c>
      <c r="J486" s="67"/>
      <c r="L486" t="str">
        <f t="shared" si="47"/>
        <v/>
      </c>
      <c r="M486" t="str">
        <f t="shared" si="48"/>
        <v/>
      </c>
    </row>
    <row r="487" spans="1:13">
      <c r="A487" s="64" t="str">
        <f>IF(E487="","",VLOOKUP('OPĆI DIO'!$C$3,'OPĆI DIO'!$L$6:$U$138,10,FALSE))</f>
        <v/>
      </c>
      <c r="B487" s="64" t="str">
        <f>IF(E487="","",VLOOKUP('OPĆI DIO'!$C$3,'OPĆI DIO'!$L$6:$U$138,9,FALSE))</f>
        <v/>
      </c>
      <c r="C487" s="65" t="str">
        <f t="shared" ref="C487:C501" si="49">IFERROR(VLOOKUP(E487,$R$6:$U$109,3,FALSE),"")</f>
        <v/>
      </c>
      <c r="D487" s="66" t="str">
        <f t="shared" ref="D487:D501" si="50">IFERROR(VLOOKUP(E487,$R$6:$U$109,4,FALSE),"")</f>
        <v/>
      </c>
      <c r="E487" s="67"/>
      <c r="F487" s="68" t="str">
        <f t="shared" ref="F487:F501" si="51">IFERROR(VLOOKUP(E487,$R$6:$U$109,2,FALSE),"")</f>
        <v/>
      </c>
      <c r="G487" s="69"/>
      <c r="H487" s="69"/>
      <c r="I487" s="78">
        <f t="shared" si="46"/>
        <v>0</v>
      </c>
      <c r="J487" s="67"/>
      <c r="L487" t="str">
        <f t="shared" si="47"/>
        <v/>
      </c>
      <c r="M487" t="str">
        <f t="shared" si="48"/>
        <v/>
      </c>
    </row>
    <row r="488" spans="1:13">
      <c r="A488" s="64" t="str">
        <f>IF(E488="","",VLOOKUP('OPĆI DIO'!$C$3,'OPĆI DIO'!$L$6:$U$138,10,FALSE))</f>
        <v/>
      </c>
      <c r="B488" s="64" t="str">
        <f>IF(E488="","",VLOOKUP('OPĆI DIO'!$C$3,'OPĆI DIO'!$L$6:$U$138,9,FALSE))</f>
        <v/>
      </c>
      <c r="C488" s="65" t="str">
        <f t="shared" si="49"/>
        <v/>
      </c>
      <c r="D488" s="66" t="str">
        <f t="shared" si="50"/>
        <v/>
      </c>
      <c r="E488" s="67"/>
      <c r="F488" s="68" t="str">
        <f t="shared" si="51"/>
        <v/>
      </c>
      <c r="G488" s="69"/>
      <c r="H488" s="69"/>
      <c r="I488" s="78">
        <f t="shared" si="46"/>
        <v>0</v>
      </c>
      <c r="J488" s="67"/>
      <c r="L488" t="str">
        <f t="shared" si="47"/>
        <v/>
      </c>
      <c r="M488" t="str">
        <f t="shared" si="48"/>
        <v/>
      </c>
    </row>
    <row r="489" spans="1:13">
      <c r="A489" s="64" t="str">
        <f>IF(E489="","",VLOOKUP('OPĆI DIO'!$C$3,'OPĆI DIO'!$L$6:$U$138,10,FALSE))</f>
        <v/>
      </c>
      <c r="B489" s="64" t="str">
        <f>IF(E489="","",VLOOKUP('OPĆI DIO'!$C$3,'OPĆI DIO'!$L$6:$U$138,9,FALSE))</f>
        <v/>
      </c>
      <c r="C489" s="65" t="str">
        <f t="shared" si="49"/>
        <v/>
      </c>
      <c r="D489" s="66" t="str">
        <f t="shared" si="50"/>
        <v/>
      </c>
      <c r="E489" s="67"/>
      <c r="F489" s="68" t="str">
        <f t="shared" si="51"/>
        <v/>
      </c>
      <c r="G489" s="69"/>
      <c r="H489" s="69"/>
      <c r="I489" s="78">
        <f t="shared" si="46"/>
        <v>0</v>
      </c>
      <c r="J489" s="67"/>
      <c r="L489" t="str">
        <f t="shared" si="47"/>
        <v/>
      </c>
      <c r="M489" t="str">
        <f t="shared" si="48"/>
        <v/>
      </c>
    </row>
    <row r="490" spans="1:13">
      <c r="A490" s="64" t="str">
        <f>IF(E490="","",VLOOKUP('OPĆI DIO'!$C$3,'OPĆI DIO'!$L$6:$U$138,10,FALSE))</f>
        <v/>
      </c>
      <c r="B490" s="64" t="str">
        <f>IF(E490="","",VLOOKUP('OPĆI DIO'!$C$3,'OPĆI DIO'!$L$6:$U$138,9,FALSE))</f>
        <v/>
      </c>
      <c r="C490" s="65" t="str">
        <f t="shared" si="49"/>
        <v/>
      </c>
      <c r="D490" s="66" t="str">
        <f t="shared" si="50"/>
        <v/>
      </c>
      <c r="E490" s="67"/>
      <c r="F490" s="68" t="str">
        <f t="shared" si="51"/>
        <v/>
      </c>
      <c r="G490" s="69"/>
      <c r="H490" s="69"/>
      <c r="I490" s="78">
        <f t="shared" si="46"/>
        <v>0</v>
      </c>
      <c r="J490" s="67"/>
      <c r="L490" t="str">
        <f t="shared" si="47"/>
        <v/>
      </c>
      <c r="M490" t="str">
        <f t="shared" si="48"/>
        <v/>
      </c>
    </row>
    <row r="491" spans="1:13">
      <c r="A491" s="64" t="str">
        <f>IF(E491="","",VLOOKUP('OPĆI DIO'!$C$3,'OPĆI DIO'!$L$6:$U$138,10,FALSE))</f>
        <v/>
      </c>
      <c r="B491" s="64" t="str">
        <f>IF(E491="","",VLOOKUP('OPĆI DIO'!$C$3,'OPĆI DIO'!$L$6:$U$138,9,FALSE))</f>
        <v/>
      </c>
      <c r="C491" s="65" t="str">
        <f t="shared" si="49"/>
        <v/>
      </c>
      <c r="D491" s="66" t="str">
        <f t="shared" si="50"/>
        <v/>
      </c>
      <c r="E491" s="67"/>
      <c r="F491" s="68" t="str">
        <f t="shared" si="51"/>
        <v/>
      </c>
      <c r="G491" s="69"/>
      <c r="H491" s="69"/>
      <c r="I491" s="78">
        <f t="shared" si="46"/>
        <v>0</v>
      </c>
      <c r="J491" s="67"/>
      <c r="L491" t="str">
        <f t="shared" si="47"/>
        <v/>
      </c>
      <c r="M491" t="str">
        <f t="shared" si="48"/>
        <v/>
      </c>
    </row>
    <row r="492" spans="1:13">
      <c r="A492" s="64" t="str">
        <f>IF(E492="","",VLOOKUP('OPĆI DIO'!$C$3,'OPĆI DIO'!$L$6:$U$138,10,FALSE))</f>
        <v/>
      </c>
      <c r="B492" s="64" t="str">
        <f>IF(E492="","",VLOOKUP('OPĆI DIO'!$C$3,'OPĆI DIO'!$L$6:$U$138,9,FALSE))</f>
        <v/>
      </c>
      <c r="C492" s="65" t="str">
        <f t="shared" si="49"/>
        <v/>
      </c>
      <c r="D492" s="66" t="str">
        <f t="shared" si="50"/>
        <v/>
      </c>
      <c r="E492" s="67"/>
      <c r="F492" s="68" t="str">
        <f t="shared" si="51"/>
        <v/>
      </c>
      <c r="G492" s="69"/>
      <c r="H492" s="69"/>
      <c r="I492" s="78">
        <f t="shared" si="46"/>
        <v>0</v>
      </c>
      <c r="J492" s="67"/>
      <c r="L492" t="str">
        <f t="shared" si="47"/>
        <v/>
      </c>
      <c r="M492" t="str">
        <f t="shared" si="48"/>
        <v/>
      </c>
    </row>
    <row r="493" spans="1:13">
      <c r="A493" s="64" t="str">
        <f>IF(E493="","",VLOOKUP('OPĆI DIO'!$C$3,'OPĆI DIO'!$L$6:$U$138,10,FALSE))</f>
        <v/>
      </c>
      <c r="B493" s="64" t="str">
        <f>IF(E493="","",VLOOKUP('OPĆI DIO'!$C$3,'OPĆI DIO'!$L$6:$U$138,9,FALSE))</f>
        <v/>
      </c>
      <c r="C493" s="65" t="str">
        <f t="shared" si="49"/>
        <v/>
      </c>
      <c r="D493" s="66" t="str">
        <f t="shared" si="50"/>
        <v/>
      </c>
      <c r="E493" s="67"/>
      <c r="F493" s="68" t="str">
        <f t="shared" si="51"/>
        <v/>
      </c>
      <c r="G493" s="69"/>
      <c r="H493" s="69"/>
      <c r="I493" s="78">
        <f t="shared" si="46"/>
        <v>0</v>
      </c>
      <c r="J493" s="67"/>
      <c r="L493" t="str">
        <f t="shared" si="47"/>
        <v/>
      </c>
      <c r="M493" t="str">
        <f t="shared" si="48"/>
        <v/>
      </c>
    </row>
    <row r="494" spans="1:13">
      <c r="A494" s="64" t="str">
        <f>IF(E494="","",VLOOKUP('OPĆI DIO'!$C$3,'OPĆI DIO'!$L$6:$U$138,10,FALSE))</f>
        <v/>
      </c>
      <c r="B494" s="64" t="str">
        <f>IF(E494="","",VLOOKUP('OPĆI DIO'!$C$3,'OPĆI DIO'!$L$6:$U$138,9,FALSE))</f>
        <v/>
      </c>
      <c r="C494" s="65" t="str">
        <f t="shared" si="49"/>
        <v/>
      </c>
      <c r="D494" s="66" t="str">
        <f t="shared" si="50"/>
        <v/>
      </c>
      <c r="E494" s="67"/>
      <c r="F494" s="68" t="str">
        <f t="shared" si="51"/>
        <v/>
      </c>
      <c r="G494" s="69"/>
      <c r="H494" s="69"/>
      <c r="I494" s="78">
        <f t="shared" si="46"/>
        <v>0</v>
      </c>
      <c r="J494" s="67"/>
      <c r="L494" t="str">
        <f t="shared" si="47"/>
        <v/>
      </c>
      <c r="M494" t="str">
        <f t="shared" si="48"/>
        <v/>
      </c>
    </row>
    <row r="495" spans="1:13">
      <c r="A495" s="64" t="str">
        <f>IF(E495="","",VLOOKUP('OPĆI DIO'!$C$3,'OPĆI DIO'!$L$6:$U$138,10,FALSE))</f>
        <v/>
      </c>
      <c r="B495" s="64" t="str">
        <f>IF(E495="","",VLOOKUP('OPĆI DIO'!$C$3,'OPĆI DIO'!$L$6:$U$138,9,FALSE))</f>
        <v/>
      </c>
      <c r="C495" s="65" t="str">
        <f t="shared" si="49"/>
        <v/>
      </c>
      <c r="D495" s="66" t="str">
        <f t="shared" si="50"/>
        <v/>
      </c>
      <c r="E495" s="67"/>
      <c r="F495" s="68" t="str">
        <f t="shared" si="51"/>
        <v/>
      </c>
      <c r="G495" s="69"/>
      <c r="H495" s="69"/>
      <c r="I495" s="78">
        <f t="shared" si="46"/>
        <v>0</v>
      </c>
      <c r="J495" s="67"/>
      <c r="L495" t="str">
        <f t="shared" si="47"/>
        <v/>
      </c>
      <c r="M495" t="str">
        <f t="shared" si="48"/>
        <v/>
      </c>
    </row>
    <row r="496" spans="1:13">
      <c r="A496" s="64" t="str">
        <f>IF(E496="","",VLOOKUP('OPĆI DIO'!$C$3,'OPĆI DIO'!$L$6:$U$138,10,FALSE))</f>
        <v/>
      </c>
      <c r="B496" s="64" t="str">
        <f>IF(E496="","",VLOOKUP('OPĆI DIO'!$C$3,'OPĆI DIO'!$L$6:$U$138,9,FALSE))</f>
        <v/>
      </c>
      <c r="C496" s="65" t="str">
        <f t="shared" si="49"/>
        <v/>
      </c>
      <c r="D496" s="66" t="str">
        <f t="shared" si="50"/>
        <v/>
      </c>
      <c r="E496" s="67"/>
      <c r="F496" s="68" t="str">
        <f t="shared" si="51"/>
        <v/>
      </c>
      <c r="G496" s="69"/>
      <c r="H496" s="69"/>
      <c r="I496" s="78">
        <f t="shared" si="46"/>
        <v>0</v>
      </c>
      <c r="J496" s="67"/>
      <c r="L496" t="str">
        <f t="shared" si="47"/>
        <v/>
      </c>
      <c r="M496" t="str">
        <f t="shared" si="48"/>
        <v/>
      </c>
    </row>
    <row r="497" spans="1:13">
      <c r="A497" s="64" t="str">
        <f>IF(E497="","",VLOOKUP('OPĆI DIO'!$C$3,'OPĆI DIO'!$L$6:$U$138,10,FALSE))</f>
        <v/>
      </c>
      <c r="B497" s="64" t="str">
        <f>IF(E497="","",VLOOKUP('OPĆI DIO'!$C$3,'OPĆI DIO'!$L$6:$U$138,9,FALSE))</f>
        <v/>
      </c>
      <c r="C497" s="65" t="str">
        <f t="shared" si="49"/>
        <v/>
      </c>
      <c r="D497" s="66" t="str">
        <f t="shared" si="50"/>
        <v/>
      </c>
      <c r="E497" s="67"/>
      <c r="F497" s="68" t="str">
        <f t="shared" si="51"/>
        <v/>
      </c>
      <c r="G497" s="69"/>
      <c r="H497" s="69"/>
      <c r="I497" s="78">
        <f t="shared" si="46"/>
        <v>0</v>
      </c>
      <c r="J497" s="67"/>
      <c r="L497" t="str">
        <f t="shared" si="47"/>
        <v/>
      </c>
      <c r="M497" t="str">
        <f t="shared" si="48"/>
        <v/>
      </c>
    </row>
    <row r="498" spans="1:13">
      <c r="A498" s="64" t="str">
        <f>IF(E498="","",VLOOKUP('OPĆI DIO'!$C$3,'OPĆI DIO'!$L$6:$U$138,10,FALSE))</f>
        <v/>
      </c>
      <c r="B498" s="64" t="str">
        <f>IF(E498="","",VLOOKUP('OPĆI DIO'!$C$3,'OPĆI DIO'!$L$6:$U$138,9,FALSE))</f>
        <v/>
      </c>
      <c r="C498" s="65" t="str">
        <f t="shared" si="49"/>
        <v/>
      </c>
      <c r="D498" s="66" t="str">
        <f t="shared" si="50"/>
        <v/>
      </c>
      <c r="E498" s="67"/>
      <c r="F498" s="68" t="str">
        <f t="shared" si="51"/>
        <v/>
      </c>
      <c r="G498" s="69"/>
      <c r="H498" s="69"/>
      <c r="I498" s="78">
        <f t="shared" si="46"/>
        <v>0</v>
      </c>
      <c r="J498" s="67"/>
      <c r="L498" t="str">
        <f t="shared" si="47"/>
        <v/>
      </c>
      <c r="M498" t="str">
        <f t="shared" si="48"/>
        <v/>
      </c>
    </row>
    <row r="499" spans="1:13">
      <c r="A499" s="64" t="str">
        <f>IF(E499="","",VLOOKUP('OPĆI DIO'!$C$3,'OPĆI DIO'!$L$6:$U$138,10,FALSE))</f>
        <v/>
      </c>
      <c r="B499" s="64" t="str">
        <f>IF(E499="","",VLOOKUP('OPĆI DIO'!$C$3,'OPĆI DIO'!$L$6:$U$138,9,FALSE))</f>
        <v/>
      </c>
      <c r="C499" s="65" t="str">
        <f t="shared" si="49"/>
        <v/>
      </c>
      <c r="D499" s="66" t="str">
        <f t="shared" si="50"/>
        <v/>
      </c>
      <c r="E499" s="67"/>
      <c r="F499" s="68" t="str">
        <f t="shared" si="51"/>
        <v/>
      </c>
      <c r="G499" s="69"/>
      <c r="H499" s="69"/>
      <c r="I499" s="78">
        <f t="shared" si="46"/>
        <v>0</v>
      </c>
      <c r="J499" s="67"/>
      <c r="L499" t="str">
        <f t="shared" si="47"/>
        <v/>
      </c>
      <c r="M499" t="str">
        <f t="shared" si="48"/>
        <v/>
      </c>
    </row>
    <row r="500" spans="1:13">
      <c r="A500" s="64" t="str">
        <f>IF(E500="","",VLOOKUP('OPĆI DIO'!$C$3,'OPĆI DIO'!$L$6:$U$138,10,FALSE))</f>
        <v/>
      </c>
      <c r="B500" s="64" t="str">
        <f>IF(E500="","",VLOOKUP('OPĆI DIO'!$C$3,'OPĆI DIO'!$L$6:$U$138,9,FALSE))</f>
        <v/>
      </c>
      <c r="C500" s="65" t="str">
        <f t="shared" si="49"/>
        <v/>
      </c>
      <c r="D500" s="66" t="str">
        <f t="shared" si="50"/>
        <v/>
      </c>
      <c r="E500" s="67"/>
      <c r="F500" s="68" t="str">
        <f t="shared" si="51"/>
        <v/>
      </c>
      <c r="G500" s="69"/>
      <c r="H500" s="69"/>
      <c r="I500" s="78">
        <f t="shared" si="46"/>
        <v>0</v>
      </c>
      <c r="J500" s="67"/>
      <c r="L500" t="str">
        <f t="shared" si="47"/>
        <v/>
      </c>
      <c r="M500" t="str">
        <f t="shared" si="48"/>
        <v/>
      </c>
    </row>
    <row r="501" spans="1:13">
      <c r="A501" s="64" t="str">
        <f>IF(E501="","",VLOOKUP('OPĆI DIO'!$C$3,'OPĆI DIO'!$L$6:$U$138,10,FALSE))</f>
        <v/>
      </c>
      <c r="B501" s="64" t="str">
        <f>IF(E501="","",VLOOKUP('OPĆI DIO'!$C$3,'OPĆI DIO'!$L$6:$U$138,9,FALSE))</f>
        <v/>
      </c>
      <c r="C501" s="65" t="str">
        <f t="shared" si="49"/>
        <v/>
      </c>
      <c r="D501" s="66" t="str">
        <f t="shared" si="50"/>
        <v/>
      </c>
      <c r="E501" s="67"/>
      <c r="F501" s="68" t="str">
        <f t="shared" si="51"/>
        <v/>
      </c>
      <c r="G501" s="69"/>
      <c r="H501" s="69"/>
      <c r="I501" s="78">
        <f t="shared" si="46"/>
        <v>0</v>
      </c>
      <c r="J501" s="67"/>
      <c r="L501" t="str">
        <f t="shared" si="47"/>
        <v/>
      </c>
      <c r="M501" t="str">
        <f t="shared" si="48"/>
        <v/>
      </c>
    </row>
    <row r="502" spans="1:13">
      <c r="E502" s="289"/>
      <c r="G502" s="287"/>
    </row>
  </sheetData>
  <sheetProtection insertColumns="0" insertRows="0" deleteColumns="0" deleteRows="0"/>
  <mergeCells count="1">
    <mergeCell ref="A1:D1"/>
  </mergeCells>
  <conditionalFormatting sqref="J3:J499">
    <cfRule type="expression" dxfId="2" priority="1">
      <formula>IF(OR(E3=6391,E3=6392,E3=6393,E3=6394),1,0)</formula>
    </cfRule>
  </conditionalFormatting>
  <dataValidations count="3">
    <dataValidation type="list" allowBlank="1" showInputMessage="1" showErrorMessage="1" errorTitle="GREŠKA" error="Za unos odaberite vrijednost iz padajućeg izbornika!" prompt="Molimo odaberite vrijednost iz padajućeg izbornika!" sqref="E3:E36" xr:uid="{2F8442AD-E01D-4519-87EA-FB0DE61E367B}">
      <formula1>$R$6:$R$108</formula1>
    </dataValidation>
    <dataValidation type="whole" allowBlank="1" showInputMessage="1" showErrorMessage="1" errorTitle="GREŠKA" error="U ovo polje je dozvoljen unos samo brojčanih vrijednosti (bez decimala!)" sqref="G3:I501" xr:uid="{680C07F6-DB25-4A76-B1EF-22DB8788C294}">
      <formula1>0</formula1>
      <formula2>10000000000</formula2>
    </dataValidation>
    <dataValidation type="list" allowBlank="1" showInputMessage="1" showErrorMessage="1" sqref="E37:E502" xr:uid="{4B21769A-838C-47B4-B12D-DC9FD26AFB57}">
      <formula1>$R$6:$R$109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B339685-C786-4883-9ED9-C588EFFE830F}">
          <x14:formula1>
            <xm:f>'KORISNICI DP'!$D$4:$D$614</xm:f>
          </x14:formula1>
          <xm:sqref>J4:J501</xm:sqref>
        </x14:dataValidation>
        <x14:dataValidation type="list" allowBlank="1" showInputMessage="1" showErrorMessage="1" xr:uid="{88AA49B3-0609-4EE3-98B8-7E688B4A974C}">
          <x14:formula1>
            <xm:f>'KORISNICI DP'!$D$4:$D$614</xm:f>
          </x14:formula1>
          <xm:sqref>J3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82556-71D0-49EC-81A4-323383A9D931}">
  <sheetPr codeName="Sheet3"/>
  <dimension ref="A1:AG502"/>
  <sheetViews>
    <sheetView showGridLines="0" topLeftCell="A139" workbookViewId="0">
      <selection activeCell="K167" sqref="K167"/>
    </sheetView>
  </sheetViews>
  <sheetFormatPr defaultColWidth="0" defaultRowHeight="14.4" zeroHeight="1"/>
  <cols>
    <col min="1" max="1" width="8.33203125" customWidth="1"/>
    <col min="2" max="2" width="20.33203125" customWidth="1"/>
    <col min="3" max="3" width="11.5546875" customWidth="1"/>
    <col min="4" max="4" width="33" customWidth="1"/>
    <col min="5" max="5" width="11.33203125" customWidth="1"/>
    <col min="6" max="6" width="21.88671875" customWidth="1"/>
    <col min="7" max="7" width="12.5546875" customWidth="1"/>
    <col min="8" max="8" width="36.6640625" customWidth="1"/>
    <col min="9" max="9" width="8.5546875" customWidth="1"/>
    <col min="10" max="10" width="16.44140625" style="58" customWidth="1"/>
    <col min="11" max="11" width="15.6640625" style="58" customWidth="1"/>
    <col min="12" max="12" width="15.109375" style="58" customWidth="1"/>
    <col min="13" max="13" width="46.44140625" style="58" customWidth="1"/>
    <col min="14" max="14" width="13.6640625" customWidth="1"/>
    <col min="15" max="19" width="9.109375" hidden="1" customWidth="1"/>
    <col min="20" max="20" width="46.5546875" hidden="1" customWidth="1"/>
    <col min="21" max="22" width="9.109375" hidden="1" customWidth="1"/>
    <col min="23" max="23" width="58.88671875" hidden="1" customWidth="1"/>
    <col min="24" max="24" width="0" hidden="1" customWidth="1"/>
    <col min="25" max="25" width="0" style="80" hidden="1" customWidth="1"/>
    <col min="26" max="33" width="0" hidden="1" customWidth="1"/>
    <col min="34" max="16384" width="9.109375" hidden="1"/>
  </cols>
  <sheetData>
    <row r="1" spans="1:33" ht="35.25" customHeight="1">
      <c r="A1" s="305" t="s">
        <v>251</v>
      </c>
      <c r="B1" s="305"/>
      <c r="C1" s="305"/>
      <c r="D1" s="305"/>
      <c r="E1" s="57" t="str">
        <f>IF(OR('OPĆI DIO'!C3="odaberite -",'OPĆI DIO'!C3=""),"Molimo odaberite proračunskog korisnika na radnom listu Opći podaci!","")</f>
        <v/>
      </c>
      <c r="L1" s="79" t="s">
        <v>38</v>
      </c>
    </row>
    <row r="2" spans="1:33" ht="57.6">
      <c r="A2" s="81" t="s">
        <v>106</v>
      </c>
      <c r="B2" s="81" t="s">
        <v>107</v>
      </c>
      <c r="C2" s="60" t="s">
        <v>252</v>
      </c>
      <c r="D2" s="81" t="s">
        <v>109</v>
      </c>
      <c r="E2" s="60" t="s">
        <v>110</v>
      </c>
      <c r="F2" s="81" t="s">
        <v>111</v>
      </c>
      <c r="G2" s="60" t="s">
        <v>253</v>
      </c>
      <c r="H2" s="81" t="s">
        <v>254</v>
      </c>
      <c r="I2" s="81" t="s">
        <v>255</v>
      </c>
      <c r="J2" s="24" t="s">
        <v>43</v>
      </c>
      <c r="K2" s="24" t="s">
        <v>44</v>
      </c>
      <c r="L2" s="24" t="s">
        <v>45</v>
      </c>
      <c r="M2" s="61" t="s">
        <v>256</v>
      </c>
      <c r="O2" s="62" t="s">
        <v>113</v>
      </c>
      <c r="P2" s="62" t="s">
        <v>114</v>
      </c>
      <c r="Q2" s="82" t="s">
        <v>257</v>
      </c>
      <c r="R2" s="82"/>
    </row>
    <row r="3" spans="1:33">
      <c r="A3" s="83" t="str">
        <f>IF(C3="","",VLOOKUP('OPĆI DIO'!$C$3,'OPĆI DIO'!$L$6:$U$138,10,FALSE))</f>
        <v>08006</v>
      </c>
      <c r="B3" s="83" t="str">
        <f>IF(C3="","",VLOOKUP('OPĆI DIO'!$C$3,'OPĆI DIO'!$L$6:$U$138,9,FALSE))</f>
        <v>Sveučilišta i veleučilišta u Republici Hrvatskoj</v>
      </c>
      <c r="C3" s="288">
        <v>11</v>
      </c>
      <c r="D3" s="83" t="str">
        <f t="shared" ref="D3:D66" si="0">IFERROR(VLOOKUP(C3,$S$6:$T$24,2,FALSE),"")</f>
        <v>Opći prihodi i primici</v>
      </c>
      <c r="E3" s="288">
        <v>3111</v>
      </c>
      <c r="F3" s="83" t="str">
        <f t="shared" ref="F3:F66" si="1">IFERROR(VLOOKUP(E3,$V$5:$X$129,2,FALSE),"")</f>
        <v>Plaće za redovan rad</v>
      </c>
      <c r="G3" s="290" t="s">
        <v>258</v>
      </c>
      <c r="H3" s="83" t="str">
        <f t="shared" ref="H3:H66" si="2">IFERROR(VLOOKUP(G3,$AB$6:$AC$327,2,FALSE),"")</f>
        <v>REDOVNA DJELATNOST SVEUČILIŠTA U RIJECI</v>
      </c>
      <c r="I3" s="83" t="str">
        <f t="shared" ref="I3:I66" si="3">IFERROR(VLOOKUP(G3,$AB$6:$AF$327,3,FALSE),"")</f>
        <v>0942</v>
      </c>
      <c r="J3" s="78">
        <v>2861918</v>
      </c>
      <c r="K3" s="69">
        <v>2753336</v>
      </c>
      <c r="L3" s="78">
        <f>K3-J3</f>
        <v>-108582</v>
      </c>
      <c r="M3" s="286"/>
      <c r="O3" t="str">
        <f>LEFT(E3,3)</f>
        <v>311</v>
      </c>
      <c r="P3" t="str">
        <f>LEFT(E3,2)</f>
        <v>31</v>
      </c>
      <c r="Q3" t="str">
        <f>LEFT(C3,3)</f>
        <v>11</v>
      </c>
      <c r="R3" t="str">
        <f>MID(I3,2,2)</f>
        <v>94</v>
      </c>
    </row>
    <row r="4" spans="1:33">
      <c r="A4" s="83" t="str">
        <f>IF(C4="","",VLOOKUP('OPĆI DIO'!$C$3,'OPĆI DIO'!$L$6:$U$138,10,FALSE))</f>
        <v>08006</v>
      </c>
      <c r="B4" s="83" t="str">
        <f>IF(C4="","",VLOOKUP('OPĆI DIO'!$C$3,'OPĆI DIO'!$L$6:$U$138,9,FALSE))</f>
        <v>Sveučilišta i veleučilišta u Republici Hrvatskoj</v>
      </c>
      <c r="C4" s="288">
        <v>11</v>
      </c>
      <c r="D4" s="83" t="str">
        <f t="shared" si="0"/>
        <v>Opći prihodi i primici</v>
      </c>
      <c r="E4" s="288">
        <v>3114</v>
      </c>
      <c r="F4" s="83" t="str">
        <f t="shared" si="1"/>
        <v>Plaće za posebne uvjete rada</v>
      </c>
      <c r="G4" s="290" t="s">
        <v>258</v>
      </c>
      <c r="H4" s="83" t="str">
        <f t="shared" si="2"/>
        <v>REDOVNA DJELATNOST SVEUČILIŠTA U RIJECI</v>
      </c>
      <c r="I4" s="83" t="str">
        <f t="shared" si="3"/>
        <v>0942</v>
      </c>
      <c r="J4" s="78">
        <v>38732</v>
      </c>
      <c r="K4" s="69">
        <v>2305</v>
      </c>
      <c r="L4" s="78">
        <f t="shared" ref="L4:L67" si="4">K4-J4</f>
        <v>-36427</v>
      </c>
      <c r="M4" s="286"/>
      <c r="O4" t="str">
        <f t="shared" ref="O4:O67" si="5">LEFT(E4,3)</f>
        <v>311</v>
      </c>
      <c r="P4" t="str">
        <f t="shared" ref="P4:P67" si="6">LEFT(E4,2)</f>
        <v>31</v>
      </c>
      <c r="Q4" t="str">
        <f t="shared" ref="Q4:Q67" si="7">LEFT(C4,3)</f>
        <v>11</v>
      </c>
      <c r="R4" t="str">
        <f t="shared" ref="R4:R67" si="8">MID(I4,2,2)</f>
        <v>94</v>
      </c>
      <c r="V4" s="86"/>
      <c r="W4" s="86"/>
    </row>
    <row r="5" spans="1:33">
      <c r="A5" s="83" t="str">
        <f>IF(C5="","",VLOOKUP('OPĆI DIO'!$C$3,'OPĆI DIO'!$L$6:$U$138,10,FALSE))</f>
        <v>08006</v>
      </c>
      <c r="B5" s="83" t="str">
        <f>IF(C5="","",VLOOKUP('OPĆI DIO'!$C$3,'OPĆI DIO'!$L$6:$U$138,9,FALSE))</f>
        <v>Sveučilišta i veleučilišta u Republici Hrvatskoj</v>
      </c>
      <c r="C5" s="288">
        <v>11</v>
      </c>
      <c r="D5" s="83" t="str">
        <f t="shared" si="0"/>
        <v>Opći prihodi i primici</v>
      </c>
      <c r="E5" s="288">
        <v>3121</v>
      </c>
      <c r="F5" s="83" t="str">
        <f t="shared" si="1"/>
        <v>Ostali rashodi za zaposlene</v>
      </c>
      <c r="G5" s="290" t="s">
        <v>258</v>
      </c>
      <c r="H5" s="83" t="str">
        <f t="shared" si="2"/>
        <v>REDOVNA DJELATNOST SVEUČILIŠTA U RIJECI</v>
      </c>
      <c r="I5" s="83" t="str">
        <f t="shared" si="3"/>
        <v>0942</v>
      </c>
      <c r="J5" s="78">
        <v>63538</v>
      </c>
      <c r="K5" s="69">
        <v>99185</v>
      </c>
      <c r="L5" s="78">
        <f t="shared" si="4"/>
        <v>35647</v>
      </c>
      <c r="M5" s="286"/>
      <c r="O5" t="str">
        <f t="shared" si="5"/>
        <v>312</v>
      </c>
      <c r="P5" t="str">
        <f t="shared" si="6"/>
        <v>31</v>
      </c>
      <c r="Q5" t="str">
        <f t="shared" si="7"/>
        <v>11</v>
      </c>
      <c r="R5" t="str">
        <f t="shared" si="8"/>
        <v>94</v>
      </c>
      <c r="S5" t="s">
        <v>108</v>
      </c>
      <c r="T5" t="s">
        <v>109</v>
      </c>
      <c r="V5">
        <v>3111</v>
      </c>
      <c r="W5" t="s">
        <v>259</v>
      </c>
      <c r="Y5" s="80" t="str">
        <f>LEFT(V5,2)</f>
        <v>31</v>
      </c>
      <c r="Z5" t="str">
        <f>LEFT(V5,3)</f>
        <v>311</v>
      </c>
      <c r="AB5" t="s">
        <v>260</v>
      </c>
      <c r="AC5" t="s">
        <v>254</v>
      </c>
    </row>
    <row r="6" spans="1:33">
      <c r="A6" s="83" t="str">
        <f>IF(C6="","",VLOOKUP('OPĆI DIO'!$C$3,'OPĆI DIO'!$L$6:$U$138,10,FALSE))</f>
        <v>08006</v>
      </c>
      <c r="B6" s="83" t="str">
        <f>IF(C6="","",VLOOKUP('OPĆI DIO'!$C$3,'OPĆI DIO'!$L$6:$U$138,9,FALSE))</f>
        <v>Sveučilišta i veleučilišta u Republici Hrvatskoj</v>
      </c>
      <c r="C6" s="288">
        <v>11</v>
      </c>
      <c r="D6" s="83" t="str">
        <f t="shared" si="0"/>
        <v>Opći prihodi i primici</v>
      </c>
      <c r="E6" s="288">
        <v>3132</v>
      </c>
      <c r="F6" s="83" t="str">
        <f t="shared" si="1"/>
        <v>Doprinosi za obvezno zdravstveno osiguranje</v>
      </c>
      <c r="G6" s="290" t="s">
        <v>258</v>
      </c>
      <c r="H6" s="83" t="str">
        <f t="shared" si="2"/>
        <v>REDOVNA DJELATNOST SVEUČILIŠTA U RIJECI</v>
      </c>
      <c r="I6" s="83" t="str">
        <f t="shared" si="3"/>
        <v>0942</v>
      </c>
      <c r="J6" s="78">
        <v>472216</v>
      </c>
      <c r="K6" s="69">
        <v>454300</v>
      </c>
      <c r="L6" s="78">
        <f t="shared" si="4"/>
        <v>-17916</v>
      </c>
      <c r="M6" s="286"/>
      <c r="O6" t="str">
        <f t="shared" si="5"/>
        <v>313</v>
      </c>
      <c r="P6" t="str">
        <f t="shared" si="6"/>
        <v>31</v>
      </c>
      <c r="Q6" t="str">
        <f t="shared" si="7"/>
        <v>11</v>
      </c>
      <c r="R6" t="str">
        <f t="shared" si="8"/>
        <v>94</v>
      </c>
      <c r="S6">
        <v>11</v>
      </c>
      <c r="T6" t="s">
        <v>123</v>
      </c>
      <c r="V6">
        <v>3112</v>
      </c>
      <c r="W6" t="s">
        <v>261</v>
      </c>
      <c r="Y6" s="80" t="str">
        <f>LEFT(V6,2)</f>
        <v>31</v>
      </c>
      <c r="Z6" t="str">
        <f>LEFT(V6,3)</f>
        <v>311</v>
      </c>
      <c r="AB6" t="s">
        <v>262</v>
      </c>
      <c r="AC6" t="s">
        <v>262</v>
      </c>
      <c r="AD6" t="s">
        <v>262</v>
      </c>
      <c r="AE6" t="s">
        <v>262</v>
      </c>
      <c r="AF6" t="s">
        <v>262</v>
      </c>
      <c r="AG6" t="s">
        <v>262</v>
      </c>
    </row>
    <row r="7" spans="1:33">
      <c r="A7" s="83" t="str">
        <f>IF(C7="","",VLOOKUP('OPĆI DIO'!$C$3,'OPĆI DIO'!$L$6:$U$138,10,FALSE))</f>
        <v>08006</v>
      </c>
      <c r="B7" s="83" t="str">
        <f>IF(C7="","",VLOOKUP('OPĆI DIO'!$C$3,'OPĆI DIO'!$L$6:$U$138,9,FALSE))</f>
        <v>Sveučilišta i veleučilišta u Republici Hrvatskoj</v>
      </c>
      <c r="C7" s="288">
        <v>11</v>
      </c>
      <c r="D7" s="83" t="str">
        <f t="shared" si="0"/>
        <v>Opći prihodi i primici</v>
      </c>
      <c r="E7" s="288">
        <v>3212</v>
      </c>
      <c r="F7" s="83" t="str">
        <f t="shared" si="1"/>
        <v>Naknade za prijevoz, za rad na terenu i odvojeni život</v>
      </c>
      <c r="G7" s="290" t="s">
        <v>258</v>
      </c>
      <c r="H7" s="83" t="str">
        <f t="shared" si="2"/>
        <v>REDOVNA DJELATNOST SVEUČILIŠTA U RIJECI</v>
      </c>
      <c r="I7" s="83" t="str">
        <f t="shared" si="3"/>
        <v>0942</v>
      </c>
      <c r="J7" s="78">
        <v>70537</v>
      </c>
      <c r="K7" s="69">
        <v>61916</v>
      </c>
      <c r="L7" s="78">
        <f t="shared" si="4"/>
        <v>-8621</v>
      </c>
      <c r="M7" s="286"/>
      <c r="O7" t="str">
        <f t="shared" si="5"/>
        <v>321</v>
      </c>
      <c r="P7" t="str">
        <f t="shared" si="6"/>
        <v>32</v>
      </c>
      <c r="Q7" t="str">
        <f t="shared" si="7"/>
        <v>11</v>
      </c>
      <c r="R7" t="str">
        <f t="shared" si="8"/>
        <v>94</v>
      </c>
      <c r="S7">
        <v>12</v>
      </c>
      <c r="T7" t="s">
        <v>125</v>
      </c>
      <c r="V7">
        <v>3113</v>
      </c>
      <c r="W7" t="s">
        <v>263</v>
      </c>
      <c r="Y7" s="80" t="str">
        <f>LEFT(V7,2)</f>
        <v>31</v>
      </c>
      <c r="Z7" t="str">
        <f>LEFT(V7,3)</f>
        <v>311</v>
      </c>
      <c r="AB7" t="s">
        <v>264</v>
      </c>
      <c r="AC7" t="s">
        <v>265</v>
      </c>
      <c r="AD7" t="s">
        <v>266</v>
      </c>
      <c r="AE7" t="s">
        <v>267</v>
      </c>
      <c r="AF7" t="s">
        <v>268</v>
      </c>
      <c r="AG7" t="s">
        <v>269</v>
      </c>
    </row>
    <row r="8" spans="1:33">
      <c r="A8" s="83" t="str">
        <f>IF(C8="","",VLOOKUP('OPĆI DIO'!$C$3,'OPĆI DIO'!$L$6:$U$138,10,FALSE))</f>
        <v>08006</v>
      </c>
      <c r="B8" s="83" t="str">
        <f>IF(C8="","",VLOOKUP('OPĆI DIO'!$C$3,'OPĆI DIO'!$L$6:$U$138,9,FALSE))</f>
        <v>Sveučilišta i veleučilišta u Republici Hrvatskoj</v>
      </c>
      <c r="C8" s="288">
        <v>11</v>
      </c>
      <c r="D8" s="83" t="str">
        <f t="shared" si="0"/>
        <v>Opći prihodi i primici</v>
      </c>
      <c r="E8" s="288">
        <v>3236</v>
      </c>
      <c r="F8" s="83" t="str">
        <f t="shared" si="1"/>
        <v>Zdravstvene i veterinarske usluge</v>
      </c>
      <c r="G8" s="290" t="s">
        <v>258</v>
      </c>
      <c r="H8" s="83" t="str">
        <f t="shared" si="2"/>
        <v>REDOVNA DJELATNOST SVEUČILIŠTA U RIJECI</v>
      </c>
      <c r="I8" s="83" t="str">
        <f t="shared" si="3"/>
        <v>0942</v>
      </c>
      <c r="J8" s="78">
        <v>7300</v>
      </c>
      <c r="K8" s="69">
        <v>6530</v>
      </c>
      <c r="L8" s="78">
        <f t="shared" si="4"/>
        <v>-770</v>
      </c>
      <c r="M8" s="286"/>
      <c r="O8" t="str">
        <f t="shared" si="5"/>
        <v>323</v>
      </c>
      <c r="P8" t="str">
        <f t="shared" si="6"/>
        <v>32</v>
      </c>
      <c r="Q8" t="str">
        <f t="shared" si="7"/>
        <v>11</v>
      </c>
      <c r="R8" t="str">
        <f t="shared" si="8"/>
        <v>94</v>
      </c>
      <c r="S8">
        <v>31</v>
      </c>
      <c r="T8" t="s">
        <v>126</v>
      </c>
      <c r="V8">
        <v>3114</v>
      </c>
      <c r="W8" t="s">
        <v>270</v>
      </c>
      <c r="Y8" s="80" t="str">
        <f>LEFT(V8,2)</f>
        <v>31</v>
      </c>
      <c r="Z8" t="str">
        <f>LEFT(V8,3)</f>
        <v>311</v>
      </c>
      <c r="AB8" t="s">
        <v>271</v>
      </c>
      <c r="AC8" t="s">
        <v>272</v>
      </c>
      <c r="AD8" t="s">
        <v>273</v>
      </c>
      <c r="AE8" t="s">
        <v>274</v>
      </c>
      <c r="AF8" t="s">
        <v>275</v>
      </c>
      <c r="AG8" t="s">
        <v>276</v>
      </c>
    </row>
    <row r="9" spans="1:33">
      <c r="A9" s="83" t="str">
        <f>IF(C9="","",VLOOKUP('OPĆI DIO'!$C$3,'OPĆI DIO'!$L$6:$U$138,10,FALSE))</f>
        <v>08006</v>
      </c>
      <c r="B9" s="83" t="str">
        <f>IF(C9="","",VLOOKUP('OPĆI DIO'!$C$3,'OPĆI DIO'!$L$6:$U$138,9,FALSE))</f>
        <v>Sveučilišta i veleučilišta u Republici Hrvatskoj</v>
      </c>
      <c r="C9" s="288">
        <v>11</v>
      </c>
      <c r="D9" s="83" t="str">
        <f t="shared" si="0"/>
        <v>Opći prihodi i primici</v>
      </c>
      <c r="E9" s="288">
        <v>3295</v>
      </c>
      <c r="F9" s="83" t="str">
        <f t="shared" si="1"/>
        <v>Pristojbe i naknade</v>
      </c>
      <c r="G9" s="290" t="s">
        <v>258</v>
      </c>
      <c r="H9" s="83" t="str">
        <f t="shared" si="2"/>
        <v>REDOVNA DJELATNOST SVEUČILIŠTA U RIJECI</v>
      </c>
      <c r="I9" s="83" t="str">
        <f t="shared" si="3"/>
        <v>0942</v>
      </c>
      <c r="J9" s="78">
        <v>4447</v>
      </c>
      <c r="K9" s="69">
        <v>4309</v>
      </c>
      <c r="L9" s="78">
        <f t="shared" si="4"/>
        <v>-138</v>
      </c>
      <c r="M9" s="286"/>
      <c r="O9" t="str">
        <f t="shared" si="5"/>
        <v>329</v>
      </c>
      <c r="P9" t="str">
        <f t="shared" si="6"/>
        <v>32</v>
      </c>
      <c r="Q9" t="str">
        <f t="shared" si="7"/>
        <v>11</v>
      </c>
      <c r="R9" t="str">
        <f t="shared" si="8"/>
        <v>94</v>
      </c>
      <c r="S9">
        <v>41</v>
      </c>
      <c r="T9" t="s">
        <v>128</v>
      </c>
      <c r="V9">
        <v>3121</v>
      </c>
      <c r="W9" t="s">
        <v>277</v>
      </c>
      <c r="Y9" s="80" t="str">
        <f>LEFT(V9,2)</f>
        <v>31</v>
      </c>
      <c r="Z9" t="str">
        <f>LEFT(V9,3)</f>
        <v>312</v>
      </c>
      <c r="AB9" t="s">
        <v>278</v>
      </c>
      <c r="AC9" t="s">
        <v>279</v>
      </c>
      <c r="AD9" t="s">
        <v>280</v>
      </c>
      <c r="AE9" t="s">
        <v>281</v>
      </c>
      <c r="AF9" t="s">
        <v>268</v>
      </c>
      <c r="AG9" t="s">
        <v>282</v>
      </c>
    </row>
    <row r="10" spans="1:33">
      <c r="A10" s="83" t="str">
        <f>IF(C10="","",VLOOKUP('OPĆI DIO'!$C$3,'OPĆI DIO'!$L$6:$U$138,10,FALSE))</f>
        <v/>
      </c>
      <c r="B10" s="83" t="str">
        <f>IF(C10="","",VLOOKUP('OPĆI DIO'!$C$3,'OPĆI DIO'!$L$6:$U$138,9,FALSE))</f>
        <v/>
      </c>
      <c r="C10" s="288"/>
      <c r="D10" s="83" t="str">
        <f t="shared" si="0"/>
        <v/>
      </c>
      <c r="E10" s="288"/>
      <c r="F10" s="83" t="str">
        <f t="shared" si="1"/>
        <v/>
      </c>
      <c r="G10" s="290"/>
      <c r="H10" s="83" t="str">
        <f t="shared" si="2"/>
        <v/>
      </c>
      <c r="I10" s="83" t="str">
        <f t="shared" si="3"/>
        <v/>
      </c>
      <c r="J10" s="78"/>
      <c r="K10" s="69"/>
      <c r="L10" s="78">
        <f t="shared" si="4"/>
        <v>0</v>
      </c>
      <c r="M10" s="286"/>
      <c r="O10" t="str">
        <f t="shared" si="5"/>
        <v/>
      </c>
      <c r="P10" t="str">
        <f t="shared" si="6"/>
        <v/>
      </c>
      <c r="Q10" t="str">
        <f t="shared" si="7"/>
        <v/>
      </c>
      <c r="R10" t="str">
        <f t="shared" si="8"/>
        <v/>
      </c>
      <c r="S10">
        <v>43</v>
      </c>
      <c r="T10" t="s">
        <v>130</v>
      </c>
      <c r="V10" s="87">
        <v>3132</v>
      </c>
      <c r="W10" s="87" t="s">
        <v>283</v>
      </c>
      <c r="X10" s="87"/>
      <c r="Y10" s="80" t="str">
        <f t="shared" ref="Y10:Y73" si="9">LEFT(V10,2)</f>
        <v>31</v>
      </c>
      <c r="Z10" s="87" t="str">
        <f t="shared" ref="Z10:Z73" si="10">LEFT(V10,3)</f>
        <v>313</v>
      </c>
      <c r="AB10" t="s">
        <v>284</v>
      </c>
      <c r="AC10" t="s">
        <v>285</v>
      </c>
      <c r="AD10" t="s">
        <v>280</v>
      </c>
      <c r="AE10" t="s">
        <v>281</v>
      </c>
      <c r="AF10" t="s">
        <v>268</v>
      </c>
      <c r="AG10" t="s">
        <v>282</v>
      </c>
    </row>
    <row r="11" spans="1:33">
      <c r="A11" s="83" t="str">
        <f>IF(C11="","",VLOOKUP('OPĆI DIO'!$C$3,'OPĆI DIO'!$L$6:$U$138,10,FALSE))</f>
        <v>08006</v>
      </c>
      <c r="B11" s="83" t="str">
        <f>IF(C11="","",VLOOKUP('OPĆI DIO'!$C$3,'OPĆI DIO'!$L$6:$U$138,9,FALSE))</f>
        <v>Sveučilišta i veleučilišta u Republici Hrvatskoj</v>
      </c>
      <c r="C11" s="288">
        <v>11</v>
      </c>
      <c r="D11" s="83" t="str">
        <f t="shared" si="0"/>
        <v>Opći prihodi i primici</v>
      </c>
      <c r="E11" s="288">
        <v>3211</v>
      </c>
      <c r="F11" s="83" t="str">
        <f t="shared" si="1"/>
        <v>Službena putovanja</v>
      </c>
      <c r="G11" s="290" t="s">
        <v>286</v>
      </c>
      <c r="H11" s="83" t="str">
        <f t="shared" si="2"/>
        <v>PROGRAMSKO FINANCIRANJE JAVNIH VISOKIH UČILIŠTA</v>
      </c>
      <c r="I11" s="83" t="str">
        <f t="shared" si="3"/>
        <v>0942</v>
      </c>
      <c r="J11" s="78">
        <v>6636</v>
      </c>
      <c r="K11" s="69">
        <v>9598</v>
      </c>
      <c r="L11" s="78">
        <f t="shared" si="4"/>
        <v>2962</v>
      </c>
      <c r="M11" s="286"/>
      <c r="O11" t="str">
        <f t="shared" si="5"/>
        <v>321</v>
      </c>
      <c r="P11" t="str">
        <f t="shared" si="6"/>
        <v>32</v>
      </c>
      <c r="Q11" t="str">
        <f t="shared" si="7"/>
        <v>11</v>
      </c>
      <c r="R11" t="str">
        <f t="shared" si="8"/>
        <v>94</v>
      </c>
      <c r="S11">
        <v>51</v>
      </c>
      <c r="T11" t="s">
        <v>132</v>
      </c>
      <c r="V11">
        <v>3211</v>
      </c>
      <c r="W11" t="s">
        <v>287</v>
      </c>
      <c r="Y11" s="80" t="str">
        <f t="shared" si="9"/>
        <v>32</v>
      </c>
      <c r="Z11" t="str">
        <f t="shared" si="10"/>
        <v>321</v>
      </c>
      <c r="AB11" t="s">
        <v>284</v>
      </c>
      <c r="AC11" t="s">
        <v>285</v>
      </c>
      <c r="AD11" t="s">
        <v>288</v>
      </c>
      <c r="AE11" t="s">
        <v>289</v>
      </c>
      <c r="AF11" t="s">
        <v>268</v>
      </c>
      <c r="AG11" t="s">
        <v>290</v>
      </c>
    </row>
    <row r="12" spans="1:33">
      <c r="A12" s="83" t="str">
        <f>IF(C12="","",VLOOKUP('OPĆI DIO'!$C$3,'OPĆI DIO'!$L$6:$U$138,10,FALSE))</f>
        <v>08006</v>
      </c>
      <c r="B12" s="83" t="str">
        <f>IF(C12="","",VLOOKUP('OPĆI DIO'!$C$3,'OPĆI DIO'!$L$6:$U$138,9,FALSE))</f>
        <v>Sveučilišta i veleučilišta u Republici Hrvatskoj</v>
      </c>
      <c r="C12" s="288">
        <v>11</v>
      </c>
      <c r="D12" s="83" t="str">
        <f t="shared" si="0"/>
        <v>Opći prihodi i primici</v>
      </c>
      <c r="E12" s="288">
        <v>3213</v>
      </c>
      <c r="F12" s="83" t="str">
        <f t="shared" si="1"/>
        <v>Stručno usavršavanje zaposlenika</v>
      </c>
      <c r="G12" s="290" t="s">
        <v>286</v>
      </c>
      <c r="H12" s="83" t="str">
        <f t="shared" si="2"/>
        <v>PROGRAMSKO FINANCIRANJE JAVNIH VISOKIH UČILIŠTA</v>
      </c>
      <c r="I12" s="83" t="str">
        <f t="shared" si="3"/>
        <v>0942</v>
      </c>
      <c r="J12" s="78">
        <v>6636</v>
      </c>
      <c r="K12" s="69">
        <v>2945</v>
      </c>
      <c r="L12" s="78">
        <f t="shared" si="4"/>
        <v>-3691</v>
      </c>
      <c r="M12" s="286"/>
      <c r="O12" t="str">
        <f t="shared" si="5"/>
        <v>321</v>
      </c>
      <c r="P12" t="str">
        <f t="shared" si="6"/>
        <v>32</v>
      </c>
      <c r="Q12" t="str">
        <f t="shared" si="7"/>
        <v>11</v>
      </c>
      <c r="R12" t="str">
        <f t="shared" si="8"/>
        <v>94</v>
      </c>
      <c r="S12">
        <v>52</v>
      </c>
      <c r="T12" t="s">
        <v>134</v>
      </c>
      <c r="V12">
        <v>3212</v>
      </c>
      <c r="W12" t="s">
        <v>291</v>
      </c>
      <c r="Y12" s="80" t="str">
        <f t="shared" si="9"/>
        <v>32</v>
      </c>
      <c r="Z12" t="str">
        <f t="shared" si="10"/>
        <v>321</v>
      </c>
      <c r="AB12" t="s">
        <v>292</v>
      </c>
      <c r="AC12" t="s">
        <v>293</v>
      </c>
      <c r="AD12" t="s">
        <v>280</v>
      </c>
      <c r="AE12" t="s">
        <v>281</v>
      </c>
      <c r="AF12" t="s">
        <v>268</v>
      </c>
      <c r="AG12" t="s">
        <v>282</v>
      </c>
    </row>
    <row r="13" spans="1:33">
      <c r="A13" s="83" t="str">
        <f>IF(C13="","",VLOOKUP('OPĆI DIO'!$C$3,'OPĆI DIO'!$L$6:$U$138,10,FALSE))</f>
        <v>08006</v>
      </c>
      <c r="B13" s="83" t="str">
        <f>IF(C13="","",VLOOKUP('OPĆI DIO'!$C$3,'OPĆI DIO'!$L$6:$U$138,9,FALSE))</f>
        <v>Sveučilišta i veleučilišta u Republici Hrvatskoj</v>
      </c>
      <c r="C13" s="288">
        <v>11</v>
      </c>
      <c r="D13" s="83" t="str">
        <f t="shared" si="0"/>
        <v>Opći prihodi i primici</v>
      </c>
      <c r="E13" s="288">
        <v>3221</v>
      </c>
      <c r="F13" s="83" t="str">
        <f t="shared" si="1"/>
        <v>Uredski materijal i ostali materijalni rashodi</v>
      </c>
      <c r="G13" s="290" t="s">
        <v>286</v>
      </c>
      <c r="H13" s="83" t="str">
        <f t="shared" si="2"/>
        <v>PROGRAMSKO FINANCIRANJE JAVNIH VISOKIH UČILIŠTA</v>
      </c>
      <c r="I13" s="83" t="str">
        <f t="shared" si="3"/>
        <v>0942</v>
      </c>
      <c r="J13" s="78">
        <v>17872</v>
      </c>
      <c r="K13" s="69">
        <v>19287</v>
      </c>
      <c r="L13" s="78">
        <f t="shared" si="4"/>
        <v>1415</v>
      </c>
      <c r="M13" s="286"/>
      <c r="O13" t="str">
        <f t="shared" si="5"/>
        <v>322</v>
      </c>
      <c r="P13" t="str">
        <f t="shared" si="6"/>
        <v>32</v>
      </c>
      <c r="Q13" t="str">
        <f t="shared" si="7"/>
        <v>11</v>
      </c>
      <c r="R13" t="str">
        <f t="shared" si="8"/>
        <v>94</v>
      </c>
      <c r="S13">
        <v>552</v>
      </c>
      <c r="T13" t="s">
        <v>137</v>
      </c>
      <c r="V13">
        <v>3213</v>
      </c>
      <c r="W13" t="s">
        <v>294</v>
      </c>
      <c r="Y13" s="80" t="str">
        <f t="shared" si="9"/>
        <v>32</v>
      </c>
      <c r="Z13" t="str">
        <f t="shared" si="10"/>
        <v>321</v>
      </c>
      <c r="AB13" t="s">
        <v>295</v>
      </c>
      <c r="AC13" t="s">
        <v>296</v>
      </c>
      <c r="AD13" t="s">
        <v>280</v>
      </c>
      <c r="AE13" t="s">
        <v>281</v>
      </c>
      <c r="AF13" t="s">
        <v>268</v>
      </c>
      <c r="AG13" t="s">
        <v>282</v>
      </c>
    </row>
    <row r="14" spans="1:33">
      <c r="A14" s="83" t="str">
        <f>IF(C14="","",VLOOKUP('OPĆI DIO'!$C$3,'OPĆI DIO'!$L$6:$U$138,10,FALSE))</f>
        <v>08006</v>
      </c>
      <c r="B14" s="83" t="str">
        <f>IF(C14="","",VLOOKUP('OPĆI DIO'!$C$3,'OPĆI DIO'!$L$6:$U$138,9,FALSE))</f>
        <v>Sveučilišta i veleučilišta u Republici Hrvatskoj</v>
      </c>
      <c r="C14" s="288">
        <v>11</v>
      </c>
      <c r="D14" s="83" t="str">
        <f t="shared" si="0"/>
        <v>Opći prihodi i primici</v>
      </c>
      <c r="E14" s="288">
        <v>3222</v>
      </c>
      <c r="F14" s="83" t="str">
        <f t="shared" si="1"/>
        <v>Materijal i sirovine</v>
      </c>
      <c r="G14" s="290" t="s">
        <v>286</v>
      </c>
      <c r="H14" s="83" t="str">
        <f t="shared" si="2"/>
        <v>PROGRAMSKO FINANCIRANJE JAVNIH VISOKIH UČILIŠTA</v>
      </c>
      <c r="I14" s="83" t="str">
        <f t="shared" si="3"/>
        <v>0942</v>
      </c>
      <c r="J14" s="78">
        <v>2654</v>
      </c>
      <c r="K14" s="69">
        <v>687</v>
      </c>
      <c r="L14" s="78">
        <f t="shared" si="4"/>
        <v>-1967</v>
      </c>
      <c r="M14" s="286"/>
      <c r="O14" t="str">
        <f t="shared" si="5"/>
        <v>322</v>
      </c>
      <c r="P14" t="str">
        <f t="shared" si="6"/>
        <v>32</v>
      </c>
      <c r="Q14" t="str">
        <f t="shared" si="7"/>
        <v>11</v>
      </c>
      <c r="R14" t="str">
        <f t="shared" si="8"/>
        <v>94</v>
      </c>
      <c r="S14">
        <v>559</v>
      </c>
      <c r="T14" t="s">
        <v>139</v>
      </c>
      <c r="V14">
        <v>3214</v>
      </c>
      <c r="W14" t="s">
        <v>297</v>
      </c>
      <c r="Y14" s="80" t="str">
        <f t="shared" si="9"/>
        <v>32</v>
      </c>
      <c r="Z14" t="str">
        <f t="shared" si="10"/>
        <v>321</v>
      </c>
      <c r="AB14" t="s">
        <v>298</v>
      </c>
      <c r="AC14" t="s">
        <v>299</v>
      </c>
      <c r="AD14" t="s">
        <v>300</v>
      </c>
      <c r="AE14" t="s">
        <v>301</v>
      </c>
      <c r="AF14" t="s">
        <v>268</v>
      </c>
      <c r="AG14" t="s">
        <v>302</v>
      </c>
    </row>
    <row r="15" spans="1:33">
      <c r="A15" s="83" t="str">
        <f>IF(C15="","",VLOOKUP('OPĆI DIO'!$C$3,'OPĆI DIO'!$L$6:$U$138,10,FALSE))</f>
        <v>08006</v>
      </c>
      <c r="B15" s="83" t="str">
        <f>IF(C15="","",VLOOKUP('OPĆI DIO'!$C$3,'OPĆI DIO'!$L$6:$U$138,9,FALSE))</f>
        <v>Sveučilišta i veleučilišta u Republici Hrvatskoj</v>
      </c>
      <c r="C15" s="288">
        <v>11</v>
      </c>
      <c r="D15" s="83" t="str">
        <f t="shared" si="0"/>
        <v>Opći prihodi i primici</v>
      </c>
      <c r="E15" s="288">
        <v>3223</v>
      </c>
      <c r="F15" s="83" t="str">
        <f t="shared" si="1"/>
        <v>Energija</v>
      </c>
      <c r="G15" s="290" t="s">
        <v>286</v>
      </c>
      <c r="H15" s="83" t="str">
        <f t="shared" si="2"/>
        <v>PROGRAMSKO FINANCIRANJE JAVNIH VISOKIH UČILIŠTA</v>
      </c>
      <c r="I15" s="83" t="str">
        <f t="shared" si="3"/>
        <v>0942</v>
      </c>
      <c r="J15" s="78">
        <v>82906</v>
      </c>
      <c r="K15" s="69">
        <v>44403</v>
      </c>
      <c r="L15" s="78">
        <f t="shared" si="4"/>
        <v>-38503</v>
      </c>
      <c r="M15" s="286"/>
      <c r="O15" t="str">
        <f t="shared" si="5"/>
        <v>322</v>
      </c>
      <c r="P15" t="str">
        <f t="shared" si="6"/>
        <v>32</v>
      </c>
      <c r="Q15" t="str">
        <f t="shared" si="7"/>
        <v>11</v>
      </c>
      <c r="R15" t="str">
        <f t="shared" si="8"/>
        <v>94</v>
      </c>
      <c r="S15">
        <v>561</v>
      </c>
      <c r="T15" t="s">
        <v>141</v>
      </c>
      <c r="V15">
        <v>3221</v>
      </c>
      <c r="W15" t="s">
        <v>303</v>
      </c>
      <c r="Y15" s="80" t="str">
        <f t="shared" si="9"/>
        <v>32</v>
      </c>
      <c r="Z15" t="str">
        <f t="shared" si="10"/>
        <v>322</v>
      </c>
      <c r="AB15" t="s">
        <v>304</v>
      </c>
      <c r="AC15" t="s">
        <v>305</v>
      </c>
      <c r="AD15" t="s">
        <v>266</v>
      </c>
      <c r="AE15" t="s">
        <v>267</v>
      </c>
      <c r="AF15" t="s">
        <v>268</v>
      </c>
      <c r="AG15" t="s">
        <v>269</v>
      </c>
    </row>
    <row r="16" spans="1:33">
      <c r="A16" s="83" t="str">
        <f>IF(C16="","",VLOOKUP('OPĆI DIO'!$C$3,'OPĆI DIO'!$L$6:$U$138,10,FALSE))</f>
        <v>08006</v>
      </c>
      <c r="B16" s="83" t="str">
        <f>IF(C16="","",VLOOKUP('OPĆI DIO'!$C$3,'OPĆI DIO'!$L$6:$U$138,9,FALSE))</f>
        <v>Sveučilišta i veleučilišta u Republici Hrvatskoj</v>
      </c>
      <c r="C16" s="288">
        <v>11</v>
      </c>
      <c r="D16" s="83" t="str">
        <f t="shared" si="0"/>
        <v>Opći prihodi i primici</v>
      </c>
      <c r="E16" s="288">
        <v>3224</v>
      </c>
      <c r="F16" s="83" t="str">
        <f t="shared" si="1"/>
        <v>Materijal i dijelovi za tekuće i investicijsko održavanje</v>
      </c>
      <c r="G16" s="290" t="s">
        <v>286</v>
      </c>
      <c r="H16" s="83" t="str">
        <f t="shared" si="2"/>
        <v>PROGRAMSKO FINANCIRANJE JAVNIH VISOKIH UČILIŠTA</v>
      </c>
      <c r="I16" s="83" t="str">
        <f t="shared" si="3"/>
        <v>0942</v>
      </c>
      <c r="J16" s="78">
        <v>15927</v>
      </c>
      <c r="K16" s="69">
        <v>16009</v>
      </c>
      <c r="L16" s="78">
        <f t="shared" si="4"/>
        <v>82</v>
      </c>
      <c r="M16" s="286"/>
      <c r="O16" t="str">
        <f t="shared" si="5"/>
        <v>322</v>
      </c>
      <c r="P16" t="str">
        <f t="shared" si="6"/>
        <v>32</v>
      </c>
      <c r="Q16" t="str">
        <f t="shared" si="7"/>
        <v>11</v>
      </c>
      <c r="R16" t="str">
        <f t="shared" si="8"/>
        <v>94</v>
      </c>
      <c r="S16">
        <v>563</v>
      </c>
      <c r="T16" t="s">
        <v>143</v>
      </c>
      <c r="V16">
        <v>3222</v>
      </c>
      <c r="W16" t="s">
        <v>306</v>
      </c>
      <c r="Y16" s="80" t="str">
        <f t="shared" si="9"/>
        <v>32</v>
      </c>
      <c r="Z16" t="str">
        <f t="shared" si="10"/>
        <v>322</v>
      </c>
      <c r="AB16" t="s">
        <v>307</v>
      </c>
      <c r="AC16" t="s">
        <v>308</v>
      </c>
      <c r="AD16" t="s">
        <v>309</v>
      </c>
      <c r="AE16" t="s">
        <v>310</v>
      </c>
      <c r="AF16" t="s">
        <v>311</v>
      </c>
      <c r="AG16" t="s">
        <v>312</v>
      </c>
    </row>
    <row r="17" spans="1:33">
      <c r="A17" s="83" t="str">
        <f>IF(C17="","",VLOOKUP('OPĆI DIO'!$C$3,'OPĆI DIO'!$L$6:$U$138,10,FALSE))</f>
        <v>08006</v>
      </c>
      <c r="B17" s="83" t="str">
        <f>IF(C17="","",VLOOKUP('OPĆI DIO'!$C$3,'OPĆI DIO'!$L$6:$U$138,9,FALSE))</f>
        <v>Sveučilišta i veleučilišta u Republici Hrvatskoj</v>
      </c>
      <c r="C17" s="288">
        <v>11</v>
      </c>
      <c r="D17" s="83" t="str">
        <f t="shared" si="0"/>
        <v>Opći prihodi i primici</v>
      </c>
      <c r="E17" s="288">
        <v>3227</v>
      </c>
      <c r="F17" s="83" t="str">
        <f t="shared" si="1"/>
        <v>Službena, radna i zaštitna odjeća i obuća</v>
      </c>
      <c r="G17" s="290" t="s">
        <v>286</v>
      </c>
      <c r="H17" s="83" t="str">
        <f t="shared" si="2"/>
        <v>PROGRAMSKO FINANCIRANJE JAVNIH VISOKIH UČILIŠTA</v>
      </c>
      <c r="I17" s="83" t="str">
        <f t="shared" si="3"/>
        <v>0942</v>
      </c>
      <c r="J17" s="78">
        <v>1327</v>
      </c>
      <c r="K17" s="69">
        <v>542</v>
      </c>
      <c r="L17" s="78">
        <f t="shared" si="4"/>
        <v>-785</v>
      </c>
      <c r="M17" s="286"/>
      <c r="O17" t="str">
        <f t="shared" si="5"/>
        <v>322</v>
      </c>
      <c r="P17" t="str">
        <f t="shared" si="6"/>
        <v>32</v>
      </c>
      <c r="Q17" t="str">
        <f t="shared" si="7"/>
        <v>11</v>
      </c>
      <c r="R17" t="str">
        <f t="shared" si="8"/>
        <v>94</v>
      </c>
      <c r="S17">
        <v>573</v>
      </c>
      <c r="T17" t="s">
        <v>146</v>
      </c>
      <c r="V17">
        <v>3223</v>
      </c>
      <c r="W17" t="s">
        <v>313</v>
      </c>
      <c r="Y17" s="80" t="str">
        <f t="shared" si="9"/>
        <v>32</v>
      </c>
      <c r="Z17" t="str">
        <f t="shared" si="10"/>
        <v>322</v>
      </c>
      <c r="AB17" t="s">
        <v>314</v>
      </c>
      <c r="AC17" t="s">
        <v>315</v>
      </c>
      <c r="AD17" t="s">
        <v>280</v>
      </c>
      <c r="AE17" t="s">
        <v>281</v>
      </c>
      <c r="AF17" t="s">
        <v>268</v>
      </c>
      <c r="AG17" t="s">
        <v>282</v>
      </c>
    </row>
    <row r="18" spans="1:33">
      <c r="A18" s="83" t="str">
        <f>IF(C18="","",VLOOKUP('OPĆI DIO'!$C$3,'OPĆI DIO'!$L$6:$U$138,10,FALSE))</f>
        <v>08006</v>
      </c>
      <c r="B18" s="83" t="str">
        <f>IF(C18="","",VLOOKUP('OPĆI DIO'!$C$3,'OPĆI DIO'!$L$6:$U$138,9,FALSE))</f>
        <v>Sveučilišta i veleučilišta u Republici Hrvatskoj</v>
      </c>
      <c r="C18" s="288">
        <v>11</v>
      </c>
      <c r="D18" s="83" t="str">
        <f t="shared" si="0"/>
        <v>Opći prihodi i primici</v>
      </c>
      <c r="E18" s="288">
        <v>3231</v>
      </c>
      <c r="F18" s="83" t="str">
        <f t="shared" si="1"/>
        <v>Usluge telefona, pošte i prijevoza</v>
      </c>
      <c r="G18" s="290" t="s">
        <v>286</v>
      </c>
      <c r="H18" s="83" t="str">
        <f t="shared" si="2"/>
        <v>PROGRAMSKO FINANCIRANJE JAVNIH VISOKIH UČILIŠTA</v>
      </c>
      <c r="I18" s="83" t="str">
        <f t="shared" si="3"/>
        <v>0942</v>
      </c>
      <c r="J18" s="78">
        <v>5309</v>
      </c>
      <c r="K18" s="69">
        <v>2563</v>
      </c>
      <c r="L18" s="78">
        <f t="shared" si="4"/>
        <v>-2746</v>
      </c>
      <c r="M18" s="286"/>
      <c r="O18" t="str">
        <f t="shared" si="5"/>
        <v>323</v>
      </c>
      <c r="P18" t="str">
        <f t="shared" si="6"/>
        <v>32</v>
      </c>
      <c r="Q18" t="str">
        <f t="shared" si="7"/>
        <v>11</v>
      </c>
      <c r="R18" t="str">
        <f t="shared" si="8"/>
        <v>94</v>
      </c>
      <c r="S18">
        <v>575</v>
      </c>
      <c r="T18" t="s">
        <v>149</v>
      </c>
      <c r="V18">
        <v>3224</v>
      </c>
      <c r="W18" t="s">
        <v>316</v>
      </c>
      <c r="Y18" s="80" t="str">
        <f t="shared" si="9"/>
        <v>32</v>
      </c>
      <c r="Z18" t="str">
        <f t="shared" si="10"/>
        <v>322</v>
      </c>
      <c r="AB18" t="s">
        <v>317</v>
      </c>
      <c r="AC18" t="s">
        <v>318</v>
      </c>
      <c r="AD18" t="s">
        <v>280</v>
      </c>
      <c r="AE18" t="s">
        <v>281</v>
      </c>
      <c r="AF18" t="s">
        <v>268</v>
      </c>
      <c r="AG18" t="s">
        <v>282</v>
      </c>
    </row>
    <row r="19" spans="1:33">
      <c r="A19" s="83" t="str">
        <f>IF(C19="","",VLOOKUP('OPĆI DIO'!$C$3,'OPĆI DIO'!$L$6:$U$138,10,FALSE))</f>
        <v>08006</v>
      </c>
      <c r="B19" s="83" t="str">
        <f>IF(C19="","",VLOOKUP('OPĆI DIO'!$C$3,'OPĆI DIO'!$L$6:$U$138,9,FALSE))</f>
        <v>Sveučilišta i veleučilišta u Republici Hrvatskoj</v>
      </c>
      <c r="C19" s="288">
        <v>11</v>
      </c>
      <c r="D19" s="83" t="str">
        <f t="shared" si="0"/>
        <v>Opći prihodi i primici</v>
      </c>
      <c r="E19" s="288">
        <v>3232</v>
      </c>
      <c r="F19" s="83" t="str">
        <f t="shared" si="1"/>
        <v>Usluge tekućeg i investicijskog održavanja</v>
      </c>
      <c r="G19" s="290" t="s">
        <v>286</v>
      </c>
      <c r="H19" s="83" t="str">
        <f t="shared" si="2"/>
        <v>PROGRAMSKO FINANCIRANJE JAVNIH VISOKIH UČILIŠTA</v>
      </c>
      <c r="I19" s="83" t="str">
        <f t="shared" si="3"/>
        <v>0942</v>
      </c>
      <c r="J19" s="78">
        <v>24513</v>
      </c>
      <c r="K19" s="69">
        <v>26541</v>
      </c>
      <c r="L19" s="78">
        <f t="shared" si="4"/>
        <v>2028</v>
      </c>
      <c r="M19" s="286"/>
      <c r="O19" t="str">
        <f t="shared" si="5"/>
        <v>323</v>
      </c>
      <c r="P19" t="str">
        <f t="shared" si="6"/>
        <v>32</v>
      </c>
      <c r="Q19" t="str">
        <f t="shared" si="7"/>
        <v>11</v>
      </c>
      <c r="R19" t="str">
        <f t="shared" si="8"/>
        <v>94</v>
      </c>
      <c r="S19" s="73">
        <v>5761</v>
      </c>
      <c r="T19" s="74" t="s">
        <v>151</v>
      </c>
      <c r="V19">
        <v>3225</v>
      </c>
      <c r="W19" t="s">
        <v>319</v>
      </c>
      <c r="Y19" s="80" t="str">
        <f t="shared" si="9"/>
        <v>32</v>
      </c>
      <c r="Z19" t="str">
        <f t="shared" si="10"/>
        <v>322</v>
      </c>
      <c r="AB19" t="s">
        <v>320</v>
      </c>
      <c r="AC19" t="s">
        <v>321</v>
      </c>
      <c r="AD19" t="s">
        <v>280</v>
      </c>
      <c r="AE19" t="s">
        <v>281</v>
      </c>
      <c r="AF19" t="s">
        <v>268</v>
      </c>
      <c r="AG19" t="s">
        <v>282</v>
      </c>
    </row>
    <row r="20" spans="1:33">
      <c r="A20" s="83" t="str">
        <f>IF(C20="","",VLOOKUP('OPĆI DIO'!$C$3,'OPĆI DIO'!$L$6:$U$138,10,FALSE))</f>
        <v>08006</v>
      </c>
      <c r="B20" s="83" t="str">
        <f>IF(C20="","",VLOOKUP('OPĆI DIO'!$C$3,'OPĆI DIO'!$L$6:$U$138,9,FALSE))</f>
        <v>Sveučilišta i veleučilišta u Republici Hrvatskoj</v>
      </c>
      <c r="C20" s="288">
        <v>11</v>
      </c>
      <c r="D20" s="83" t="str">
        <f t="shared" si="0"/>
        <v>Opći prihodi i primici</v>
      </c>
      <c r="E20" s="288">
        <v>3233</v>
      </c>
      <c r="F20" s="83" t="str">
        <f t="shared" si="1"/>
        <v>Usluge promidžbe i informiranja</v>
      </c>
      <c r="G20" s="290" t="s">
        <v>286</v>
      </c>
      <c r="H20" s="83" t="str">
        <f t="shared" si="2"/>
        <v>PROGRAMSKO FINANCIRANJE JAVNIH VISOKIH UČILIŠTA</v>
      </c>
      <c r="I20" s="83" t="str">
        <f t="shared" si="3"/>
        <v>0942</v>
      </c>
      <c r="J20" s="78">
        <v>19908</v>
      </c>
      <c r="K20" s="69">
        <v>9188</v>
      </c>
      <c r="L20" s="78">
        <f t="shared" si="4"/>
        <v>-10720</v>
      </c>
      <c r="M20" s="286"/>
      <c r="O20" t="str">
        <f t="shared" si="5"/>
        <v>323</v>
      </c>
      <c r="P20" t="str">
        <f t="shared" si="6"/>
        <v>32</v>
      </c>
      <c r="Q20" t="str">
        <f t="shared" si="7"/>
        <v>11</v>
      </c>
      <c r="R20" t="str">
        <f t="shared" si="8"/>
        <v>94</v>
      </c>
      <c r="S20" s="73">
        <v>5762</v>
      </c>
      <c r="T20" s="74" t="s">
        <v>151</v>
      </c>
      <c r="V20">
        <v>3226</v>
      </c>
      <c r="W20" t="s">
        <v>322</v>
      </c>
      <c r="Y20" s="80" t="str">
        <f t="shared" si="9"/>
        <v>32</v>
      </c>
      <c r="Z20" t="str">
        <f t="shared" si="10"/>
        <v>322</v>
      </c>
      <c r="AB20" t="s">
        <v>323</v>
      </c>
      <c r="AC20" t="s">
        <v>324</v>
      </c>
      <c r="AD20" t="s">
        <v>280</v>
      </c>
      <c r="AE20" t="s">
        <v>281</v>
      </c>
      <c r="AF20" t="s">
        <v>268</v>
      </c>
      <c r="AG20" t="s">
        <v>282</v>
      </c>
    </row>
    <row r="21" spans="1:33">
      <c r="A21" s="83" t="str">
        <f>IF(C21="","",VLOOKUP('OPĆI DIO'!$C$3,'OPĆI DIO'!$L$6:$U$138,10,FALSE))</f>
        <v>08006</v>
      </c>
      <c r="B21" s="83" t="str">
        <f>IF(C21="","",VLOOKUP('OPĆI DIO'!$C$3,'OPĆI DIO'!$L$6:$U$138,9,FALSE))</f>
        <v>Sveučilišta i veleučilišta u Republici Hrvatskoj</v>
      </c>
      <c r="C21" s="288">
        <v>11</v>
      </c>
      <c r="D21" s="83" t="str">
        <f t="shared" si="0"/>
        <v>Opći prihodi i primici</v>
      </c>
      <c r="E21" s="288">
        <v>3234</v>
      </c>
      <c r="F21" s="83" t="str">
        <f t="shared" si="1"/>
        <v>Komunalne usluge</v>
      </c>
      <c r="G21" s="290" t="s">
        <v>286</v>
      </c>
      <c r="H21" s="83" t="str">
        <f t="shared" si="2"/>
        <v>PROGRAMSKO FINANCIRANJE JAVNIH VISOKIH UČILIŠTA</v>
      </c>
      <c r="I21" s="83" t="str">
        <f t="shared" si="3"/>
        <v>0942</v>
      </c>
      <c r="J21" s="78">
        <v>24629</v>
      </c>
      <c r="K21" s="69">
        <v>23097</v>
      </c>
      <c r="L21" s="78">
        <f t="shared" si="4"/>
        <v>-1532</v>
      </c>
      <c r="M21" s="286"/>
      <c r="O21" t="str">
        <f t="shared" si="5"/>
        <v>323</v>
      </c>
      <c r="P21" t="str">
        <f t="shared" si="6"/>
        <v>32</v>
      </c>
      <c r="Q21" t="str">
        <f t="shared" si="7"/>
        <v>11</v>
      </c>
      <c r="R21" t="str">
        <f t="shared" si="8"/>
        <v>94</v>
      </c>
      <c r="S21" s="74">
        <v>581</v>
      </c>
      <c r="T21" s="88" t="s">
        <v>155</v>
      </c>
      <c r="V21">
        <v>3227</v>
      </c>
      <c r="W21" t="s">
        <v>325</v>
      </c>
      <c r="Y21" s="80" t="str">
        <f t="shared" si="9"/>
        <v>32</v>
      </c>
      <c r="Z21" t="str">
        <f t="shared" si="10"/>
        <v>322</v>
      </c>
      <c r="AB21" t="s">
        <v>326</v>
      </c>
      <c r="AC21" t="s">
        <v>327</v>
      </c>
      <c r="AD21" t="s">
        <v>266</v>
      </c>
      <c r="AE21" t="s">
        <v>267</v>
      </c>
      <c r="AF21" t="s">
        <v>268</v>
      </c>
      <c r="AG21" t="s">
        <v>269</v>
      </c>
    </row>
    <row r="22" spans="1:33">
      <c r="A22" s="83" t="str">
        <f>IF(C22="","",VLOOKUP('OPĆI DIO'!$C$3,'OPĆI DIO'!$L$6:$U$138,10,FALSE))</f>
        <v>08006</v>
      </c>
      <c r="B22" s="83" t="str">
        <f>IF(C22="","",VLOOKUP('OPĆI DIO'!$C$3,'OPĆI DIO'!$L$6:$U$138,9,FALSE))</f>
        <v>Sveučilišta i veleučilišta u Republici Hrvatskoj</v>
      </c>
      <c r="C22" s="288">
        <v>11</v>
      </c>
      <c r="D22" s="83" t="str">
        <f t="shared" si="0"/>
        <v>Opći prihodi i primici</v>
      </c>
      <c r="E22" s="288">
        <v>3235</v>
      </c>
      <c r="F22" s="83" t="str">
        <f t="shared" si="1"/>
        <v>Zakupnine i najamnine</v>
      </c>
      <c r="G22" s="290" t="s">
        <v>286</v>
      </c>
      <c r="H22" s="83" t="str">
        <f t="shared" si="2"/>
        <v>PROGRAMSKO FINANCIRANJE JAVNIH VISOKIH UČILIŠTA</v>
      </c>
      <c r="I22" s="83" t="str">
        <f t="shared" si="3"/>
        <v>0942</v>
      </c>
      <c r="J22" s="78">
        <v>31190</v>
      </c>
      <c r="K22" s="69">
        <v>60235</v>
      </c>
      <c r="L22" s="78">
        <f t="shared" si="4"/>
        <v>29045</v>
      </c>
      <c r="M22" s="286"/>
      <c r="O22" t="str">
        <f t="shared" si="5"/>
        <v>323</v>
      </c>
      <c r="P22" t="str">
        <f t="shared" si="6"/>
        <v>32</v>
      </c>
      <c r="Q22" t="str">
        <f t="shared" si="7"/>
        <v>11</v>
      </c>
      <c r="R22" t="str">
        <f t="shared" si="8"/>
        <v>94</v>
      </c>
      <c r="S22">
        <v>61</v>
      </c>
      <c r="T22" t="s">
        <v>157</v>
      </c>
      <c r="V22">
        <v>3231</v>
      </c>
      <c r="W22" t="s">
        <v>328</v>
      </c>
      <c r="Y22" s="80" t="str">
        <f t="shared" si="9"/>
        <v>32</v>
      </c>
      <c r="Z22" t="str">
        <f t="shared" si="10"/>
        <v>323</v>
      </c>
      <c r="AB22" t="s">
        <v>329</v>
      </c>
      <c r="AC22" t="s">
        <v>330</v>
      </c>
      <c r="AD22" t="s">
        <v>280</v>
      </c>
      <c r="AE22" t="s">
        <v>281</v>
      </c>
      <c r="AF22" t="s">
        <v>268</v>
      </c>
      <c r="AG22" t="s">
        <v>282</v>
      </c>
    </row>
    <row r="23" spans="1:33">
      <c r="A23" s="83" t="str">
        <f>IF(C23="","",VLOOKUP('OPĆI DIO'!$C$3,'OPĆI DIO'!$L$6:$U$138,10,FALSE))</f>
        <v>08006</v>
      </c>
      <c r="B23" s="83" t="str">
        <f>IF(C23="","",VLOOKUP('OPĆI DIO'!$C$3,'OPĆI DIO'!$L$6:$U$138,9,FALSE))</f>
        <v>Sveučilišta i veleučilišta u Republici Hrvatskoj</v>
      </c>
      <c r="C23" s="288">
        <v>11</v>
      </c>
      <c r="D23" s="83" t="str">
        <f t="shared" si="0"/>
        <v>Opći prihodi i primici</v>
      </c>
      <c r="E23" s="288">
        <v>3237</v>
      </c>
      <c r="F23" s="83" t="str">
        <f t="shared" si="1"/>
        <v>Intelektualne i osobne usluge</v>
      </c>
      <c r="G23" s="290" t="s">
        <v>286</v>
      </c>
      <c r="H23" s="83" t="str">
        <f t="shared" si="2"/>
        <v>PROGRAMSKO FINANCIRANJE JAVNIH VISOKIH UČILIŠTA</v>
      </c>
      <c r="I23" s="83" t="str">
        <f t="shared" si="3"/>
        <v>0942</v>
      </c>
      <c r="J23" s="78">
        <v>85883</v>
      </c>
      <c r="K23" s="69">
        <v>100035</v>
      </c>
      <c r="L23" s="78">
        <f t="shared" si="4"/>
        <v>14152</v>
      </c>
      <c r="M23" s="286"/>
      <c r="O23" t="str">
        <f t="shared" si="5"/>
        <v>323</v>
      </c>
      <c r="P23" t="str">
        <f t="shared" si="6"/>
        <v>32</v>
      </c>
      <c r="Q23" t="str">
        <f t="shared" si="7"/>
        <v>11</v>
      </c>
      <c r="R23" t="str">
        <f t="shared" si="8"/>
        <v>94</v>
      </c>
      <c r="S23">
        <v>71</v>
      </c>
      <c r="T23" t="s">
        <v>161</v>
      </c>
      <c r="V23">
        <v>3232</v>
      </c>
      <c r="W23" t="s">
        <v>331</v>
      </c>
      <c r="Y23" s="80" t="str">
        <f t="shared" si="9"/>
        <v>32</v>
      </c>
      <c r="Z23" t="str">
        <f t="shared" si="10"/>
        <v>323</v>
      </c>
      <c r="AB23" t="s">
        <v>332</v>
      </c>
      <c r="AC23" t="s">
        <v>333</v>
      </c>
      <c r="AD23" t="s">
        <v>288</v>
      </c>
      <c r="AE23" t="s">
        <v>289</v>
      </c>
      <c r="AF23" t="s">
        <v>268</v>
      </c>
      <c r="AG23" t="s">
        <v>290</v>
      </c>
    </row>
    <row r="24" spans="1:33">
      <c r="A24" s="83" t="str">
        <f>IF(C24="","",VLOOKUP('OPĆI DIO'!$C$3,'OPĆI DIO'!$L$6:$U$138,10,FALSE))</f>
        <v>08006</v>
      </c>
      <c r="B24" s="83" t="str">
        <f>IF(C24="","",VLOOKUP('OPĆI DIO'!$C$3,'OPĆI DIO'!$L$6:$U$138,9,FALSE))</f>
        <v>Sveučilišta i veleučilišta u Republici Hrvatskoj</v>
      </c>
      <c r="C24" s="288">
        <v>11</v>
      </c>
      <c r="D24" s="83" t="str">
        <f t="shared" si="0"/>
        <v>Opći prihodi i primici</v>
      </c>
      <c r="E24" s="288">
        <v>3238</v>
      </c>
      <c r="F24" s="83" t="str">
        <f t="shared" si="1"/>
        <v>Računalne usluge</v>
      </c>
      <c r="G24" s="290" t="s">
        <v>286</v>
      </c>
      <c r="H24" s="83" t="str">
        <f t="shared" si="2"/>
        <v>PROGRAMSKO FINANCIRANJE JAVNIH VISOKIH UČILIŠTA</v>
      </c>
      <c r="I24" s="83" t="str">
        <f t="shared" si="3"/>
        <v>0942</v>
      </c>
      <c r="J24" s="78">
        <v>15927</v>
      </c>
      <c r="K24" s="69">
        <v>12838</v>
      </c>
      <c r="L24" s="78">
        <f t="shared" si="4"/>
        <v>-3089</v>
      </c>
      <c r="M24" s="286"/>
      <c r="O24" t="str">
        <f t="shared" si="5"/>
        <v>323</v>
      </c>
      <c r="P24" t="str">
        <f t="shared" si="6"/>
        <v>32</v>
      </c>
      <c r="Q24" t="str">
        <f t="shared" si="7"/>
        <v>11</v>
      </c>
      <c r="R24" t="str">
        <f t="shared" si="8"/>
        <v>94</v>
      </c>
      <c r="S24">
        <v>81</v>
      </c>
      <c r="T24" t="s">
        <v>164</v>
      </c>
      <c r="V24">
        <v>3233</v>
      </c>
      <c r="W24" t="s">
        <v>334</v>
      </c>
      <c r="Y24" s="80" t="str">
        <f t="shared" si="9"/>
        <v>32</v>
      </c>
      <c r="Z24" t="str">
        <f t="shared" si="10"/>
        <v>323</v>
      </c>
      <c r="AB24" t="s">
        <v>335</v>
      </c>
      <c r="AC24" t="s">
        <v>336</v>
      </c>
      <c r="AD24" t="s">
        <v>337</v>
      </c>
      <c r="AE24" t="s">
        <v>338</v>
      </c>
      <c r="AF24" t="s">
        <v>268</v>
      </c>
      <c r="AG24" t="s">
        <v>269</v>
      </c>
    </row>
    <row r="25" spans="1:33">
      <c r="A25" s="83" t="str">
        <f>IF(C25="","",VLOOKUP('OPĆI DIO'!$C$3,'OPĆI DIO'!$L$6:$U$138,10,FALSE))</f>
        <v>08006</v>
      </c>
      <c r="B25" s="83" t="str">
        <f>IF(C25="","",VLOOKUP('OPĆI DIO'!$C$3,'OPĆI DIO'!$L$6:$U$138,9,FALSE))</f>
        <v>Sveučilišta i veleučilišta u Republici Hrvatskoj</v>
      </c>
      <c r="C25" s="288">
        <v>11</v>
      </c>
      <c r="D25" s="83" t="str">
        <f t="shared" si="0"/>
        <v>Opći prihodi i primici</v>
      </c>
      <c r="E25" s="288">
        <v>3239</v>
      </c>
      <c r="F25" s="83" t="str">
        <f t="shared" si="1"/>
        <v>Ostale usluge</v>
      </c>
      <c r="G25" s="290" t="s">
        <v>286</v>
      </c>
      <c r="H25" s="83" t="str">
        <f t="shared" si="2"/>
        <v>PROGRAMSKO FINANCIRANJE JAVNIH VISOKIH UČILIŠTA</v>
      </c>
      <c r="I25" s="83" t="str">
        <f t="shared" si="3"/>
        <v>0942</v>
      </c>
      <c r="J25" s="78">
        <v>19908</v>
      </c>
      <c r="K25" s="69">
        <v>3985</v>
      </c>
      <c r="L25" s="78">
        <f t="shared" si="4"/>
        <v>-15923</v>
      </c>
      <c r="M25" s="286"/>
      <c r="O25" t="str">
        <f t="shared" si="5"/>
        <v>323</v>
      </c>
      <c r="P25" t="str">
        <f t="shared" si="6"/>
        <v>32</v>
      </c>
      <c r="Q25" t="str">
        <f t="shared" si="7"/>
        <v>11</v>
      </c>
      <c r="R25" t="str">
        <f t="shared" si="8"/>
        <v>94</v>
      </c>
      <c r="V25">
        <v>3234</v>
      </c>
      <c r="W25" t="s">
        <v>339</v>
      </c>
      <c r="Y25" s="80" t="str">
        <f t="shared" si="9"/>
        <v>32</v>
      </c>
      <c r="Z25" t="str">
        <f t="shared" si="10"/>
        <v>323</v>
      </c>
      <c r="AB25" t="s">
        <v>340</v>
      </c>
      <c r="AC25" t="s">
        <v>341</v>
      </c>
      <c r="AD25" t="s">
        <v>337</v>
      </c>
      <c r="AE25" t="s">
        <v>338</v>
      </c>
      <c r="AF25" t="s">
        <v>268</v>
      </c>
      <c r="AG25" t="s">
        <v>269</v>
      </c>
    </row>
    <row r="26" spans="1:33">
      <c r="A26" s="83" t="str">
        <f>IF(C26="","",VLOOKUP('OPĆI DIO'!$C$3,'OPĆI DIO'!$L$6:$U$138,10,FALSE))</f>
        <v>08006</v>
      </c>
      <c r="B26" s="83" t="str">
        <f>IF(C26="","",VLOOKUP('OPĆI DIO'!$C$3,'OPĆI DIO'!$L$6:$U$138,9,FALSE))</f>
        <v>Sveučilišta i veleučilišta u Republici Hrvatskoj</v>
      </c>
      <c r="C26" s="288">
        <v>11</v>
      </c>
      <c r="D26" s="83" t="str">
        <f t="shared" si="0"/>
        <v>Opći prihodi i primici</v>
      </c>
      <c r="E26" s="288">
        <v>3241</v>
      </c>
      <c r="F26" s="83" t="str">
        <f t="shared" si="1"/>
        <v>Naknade troškova osobama izvan radnog odnosa</v>
      </c>
      <c r="G26" s="290" t="s">
        <v>286</v>
      </c>
      <c r="H26" s="83" t="str">
        <f t="shared" si="2"/>
        <v>PROGRAMSKO FINANCIRANJE JAVNIH VISOKIH UČILIŠTA</v>
      </c>
      <c r="I26" s="83" t="str">
        <f t="shared" si="3"/>
        <v>0942</v>
      </c>
      <c r="J26" s="78">
        <v>133</v>
      </c>
      <c r="K26" s="69">
        <v>1765</v>
      </c>
      <c r="L26" s="78">
        <f t="shared" si="4"/>
        <v>1632</v>
      </c>
      <c r="M26" s="286"/>
      <c r="O26" t="str">
        <f t="shared" si="5"/>
        <v>324</v>
      </c>
      <c r="P26" t="str">
        <f t="shared" si="6"/>
        <v>32</v>
      </c>
      <c r="Q26" t="str">
        <f t="shared" si="7"/>
        <v>11</v>
      </c>
      <c r="R26" t="str">
        <f t="shared" si="8"/>
        <v>94</v>
      </c>
      <c r="V26">
        <v>3235</v>
      </c>
      <c r="W26" t="s">
        <v>342</v>
      </c>
      <c r="Y26" s="80" t="str">
        <f t="shared" si="9"/>
        <v>32</v>
      </c>
      <c r="Z26" t="str">
        <f t="shared" si="10"/>
        <v>323</v>
      </c>
      <c r="AB26" t="s">
        <v>343</v>
      </c>
      <c r="AC26" t="s">
        <v>344</v>
      </c>
      <c r="AD26" t="s">
        <v>337</v>
      </c>
      <c r="AE26" t="s">
        <v>338</v>
      </c>
      <c r="AF26" t="s">
        <v>268</v>
      </c>
      <c r="AG26" t="s">
        <v>269</v>
      </c>
    </row>
    <row r="27" spans="1:33">
      <c r="A27" s="83" t="str">
        <f>IF(C27="","",VLOOKUP('OPĆI DIO'!$C$3,'OPĆI DIO'!$L$6:$U$138,10,FALSE))</f>
        <v>08006</v>
      </c>
      <c r="B27" s="83" t="str">
        <f>IF(C27="","",VLOOKUP('OPĆI DIO'!$C$3,'OPĆI DIO'!$L$6:$U$138,9,FALSE))</f>
        <v>Sveučilišta i veleučilišta u Republici Hrvatskoj</v>
      </c>
      <c r="C27" s="288">
        <v>11</v>
      </c>
      <c r="D27" s="83" t="str">
        <f t="shared" si="0"/>
        <v>Opći prihodi i primici</v>
      </c>
      <c r="E27" s="288">
        <v>3292</v>
      </c>
      <c r="F27" s="83" t="str">
        <f t="shared" si="1"/>
        <v>Premije osiguranja</v>
      </c>
      <c r="G27" s="290" t="s">
        <v>286</v>
      </c>
      <c r="H27" s="83" t="str">
        <f t="shared" si="2"/>
        <v>PROGRAMSKO FINANCIRANJE JAVNIH VISOKIH UČILIŠTA</v>
      </c>
      <c r="I27" s="83" t="str">
        <f t="shared" si="3"/>
        <v>0942</v>
      </c>
      <c r="J27" s="78">
        <v>4911</v>
      </c>
      <c r="K27" s="69">
        <v>3997</v>
      </c>
      <c r="L27" s="78">
        <f t="shared" si="4"/>
        <v>-914</v>
      </c>
      <c r="M27" s="286"/>
      <c r="O27" t="str">
        <f t="shared" si="5"/>
        <v>329</v>
      </c>
      <c r="P27" t="str">
        <f t="shared" si="6"/>
        <v>32</v>
      </c>
      <c r="Q27" t="str">
        <f t="shared" si="7"/>
        <v>11</v>
      </c>
      <c r="R27" t="str">
        <f t="shared" si="8"/>
        <v>94</v>
      </c>
      <c r="V27">
        <v>3236</v>
      </c>
      <c r="W27" t="s">
        <v>345</v>
      </c>
      <c r="Y27" s="80" t="str">
        <f t="shared" si="9"/>
        <v>32</v>
      </c>
      <c r="Z27" t="str">
        <f t="shared" si="10"/>
        <v>323</v>
      </c>
      <c r="AB27" t="s">
        <v>346</v>
      </c>
      <c r="AC27" t="s">
        <v>347</v>
      </c>
      <c r="AD27" t="s">
        <v>337</v>
      </c>
      <c r="AE27" t="s">
        <v>338</v>
      </c>
      <c r="AF27" t="s">
        <v>268</v>
      </c>
      <c r="AG27" t="s">
        <v>269</v>
      </c>
    </row>
    <row r="28" spans="1:33">
      <c r="A28" s="83" t="str">
        <f>IF(C28="","",VLOOKUP('OPĆI DIO'!$C$3,'OPĆI DIO'!$L$6:$U$138,10,FALSE))</f>
        <v>08006</v>
      </c>
      <c r="B28" s="83" t="str">
        <f>IF(C28="","",VLOOKUP('OPĆI DIO'!$C$3,'OPĆI DIO'!$L$6:$U$138,9,FALSE))</f>
        <v>Sveučilišta i veleučilišta u Republici Hrvatskoj</v>
      </c>
      <c r="C28" s="288">
        <v>11</v>
      </c>
      <c r="D28" s="83" t="str">
        <f t="shared" si="0"/>
        <v>Opći prihodi i primici</v>
      </c>
      <c r="E28" s="288">
        <v>3293</v>
      </c>
      <c r="F28" s="83" t="str">
        <f t="shared" si="1"/>
        <v>Reprezentacija</v>
      </c>
      <c r="G28" s="290" t="s">
        <v>286</v>
      </c>
      <c r="H28" s="83" t="str">
        <f t="shared" si="2"/>
        <v>PROGRAMSKO FINANCIRANJE JAVNIH VISOKIH UČILIŠTA</v>
      </c>
      <c r="I28" s="83" t="str">
        <f t="shared" si="3"/>
        <v>0942</v>
      </c>
      <c r="J28" s="78">
        <v>1327</v>
      </c>
      <c r="K28" s="69">
        <v>4293</v>
      </c>
      <c r="L28" s="78">
        <f t="shared" si="4"/>
        <v>2966</v>
      </c>
      <c r="M28" s="286"/>
      <c r="O28" t="str">
        <f t="shared" si="5"/>
        <v>329</v>
      </c>
      <c r="P28" t="str">
        <f t="shared" si="6"/>
        <v>32</v>
      </c>
      <c r="Q28" t="str">
        <f t="shared" si="7"/>
        <v>11</v>
      </c>
      <c r="R28" t="str">
        <f t="shared" si="8"/>
        <v>94</v>
      </c>
      <c r="V28">
        <v>3237</v>
      </c>
      <c r="W28" t="s">
        <v>348</v>
      </c>
      <c r="Y28" s="80" t="str">
        <f t="shared" si="9"/>
        <v>32</v>
      </c>
      <c r="Z28" t="str">
        <f t="shared" si="10"/>
        <v>323</v>
      </c>
      <c r="AB28" t="s">
        <v>349</v>
      </c>
      <c r="AC28" t="s">
        <v>350</v>
      </c>
      <c r="AD28" t="s">
        <v>280</v>
      </c>
      <c r="AE28" t="s">
        <v>281</v>
      </c>
      <c r="AF28" t="s">
        <v>268</v>
      </c>
      <c r="AG28" t="s">
        <v>282</v>
      </c>
    </row>
    <row r="29" spans="1:33">
      <c r="A29" s="83" t="str">
        <f>IF(C29="","",VLOOKUP('OPĆI DIO'!$C$3,'OPĆI DIO'!$L$6:$U$138,10,FALSE))</f>
        <v>08006</v>
      </c>
      <c r="B29" s="83" t="str">
        <f>IF(C29="","",VLOOKUP('OPĆI DIO'!$C$3,'OPĆI DIO'!$L$6:$U$138,9,FALSE))</f>
        <v>Sveučilišta i veleučilišta u Republici Hrvatskoj</v>
      </c>
      <c r="C29" s="288">
        <v>11</v>
      </c>
      <c r="D29" s="83" t="str">
        <f t="shared" si="0"/>
        <v>Opći prihodi i primici</v>
      </c>
      <c r="E29" s="288">
        <v>3294</v>
      </c>
      <c r="F29" s="83" t="str">
        <f t="shared" si="1"/>
        <v>Članarine i norme</v>
      </c>
      <c r="G29" s="290" t="s">
        <v>286</v>
      </c>
      <c r="H29" s="83" t="str">
        <f t="shared" si="2"/>
        <v>PROGRAMSKO FINANCIRANJE JAVNIH VISOKIH UČILIŠTA</v>
      </c>
      <c r="I29" s="83" t="str">
        <f t="shared" si="3"/>
        <v>0942</v>
      </c>
      <c r="J29" s="78">
        <v>3982</v>
      </c>
      <c r="K29" s="69">
        <v>2369</v>
      </c>
      <c r="L29" s="78">
        <f t="shared" si="4"/>
        <v>-1613</v>
      </c>
      <c r="M29" s="286"/>
      <c r="O29" t="str">
        <f t="shared" si="5"/>
        <v>329</v>
      </c>
      <c r="P29" t="str">
        <f t="shared" si="6"/>
        <v>32</v>
      </c>
      <c r="Q29" t="str">
        <f t="shared" si="7"/>
        <v>11</v>
      </c>
      <c r="R29" t="str">
        <f t="shared" si="8"/>
        <v>94</v>
      </c>
      <c r="V29">
        <v>3238</v>
      </c>
      <c r="W29" t="s">
        <v>351</v>
      </c>
      <c r="Y29" s="80" t="str">
        <f t="shared" si="9"/>
        <v>32</v>
      </c>
      <c r="Z29" t="str">
        <f t="shared" si="10"/>
        <v>323</v>
      </c>
      <c r="AB29" t="s">
        <v>352</v>
      </c>
      <c r="AC29" t="s">
        <v>353</v>
      </c>
      <c r="AD29" t="s">
        <v>288</v>
      </c>
      <c r="AE29" t="s">
        <v>289</v>
      </c>
      <c r="AF29" t="s">
        <v>268</v>
      </c>
      <c r="AG29" t="s">
        <v>290</v>
      </c>
    </row>
    <row r="30" spans="1:33">
      <c r="A30" s="83" t="str">
        <f>IF(C30="","",VLOOKUP('OPĆI DIO'!$C$3,'OPĆI DIO'!$L$6:$U$138,10,FALSE))</f>
        <v>08006</v>
      </c>
      <c r="B30" s="83" t="str">
        <f>IF(C30="","",VLOOKUP('OPĆI DIO'!$C$3,'OPĆI DIO'!$L$6:$U$138,9,FALSE))</f>
        <v>Sveučilišta i veleučilišta u Republici Hrvatskoj</v>
      </c>
      <c r="C30" s="288">
        <v>11</v>
      </c>
      <c r="D30" s="83" t="str">
        <f t="shared" si="0"/>
        <v>Opći prihodi i primici</v>
      </c>
      <c r="E30" s="288">
        <v>3295</v>
      </c>
      <c r="F30" s="83" t="str">
        <f t="shared" si="1"/>
        <v>Pristojbe i naknade</v>
      </c>
      <c r="G30" s="290" t="s">
        <v>286</v>
      </c>
      <c r="H30" s="83" t="str">
        <f t="shared" si="2"/>
        <v>PROGRAMSKO FINANCIRANJE JAVNIH VISOKIH UČILIŠTA</v>
      </c>
      <c r="I30" s="83" t="str">
        <f t="shared" si="3"/>
        <v>0942</v>
      </c>
      <c r="J30" s="78">
        <v>664</v>
      </c>
      <c r="K30" s="69">
        <v>1481</v>
      </c>
      <c r="L30" s="78">
        <f t="shared" si="4"/>
        <v>817</v>
      </c>
      <c r="M30" s="286"/>
      <c r="O30" t="str">
        <f t="shared" si="5"/>
        <v>329</v>
      </c>
      <c r="P30" t="str">
        <f t="shared" si="6"/>
        <v>32</v>
      </c>
      <c r="Q30" t="str">
        <f t="shared" si="7"/>
        <v>11</v>
      </c>
      <c r="R30" t="str">
        <f t="shared" si="8"/>
        <v>94</v>
      </c>
      <c r="V30">
        <v>3239</v>
      </c>
      <c r="W30" t="s">
        <v>354</v>
      </c>
      <c r="Y30" s="80" t="str">
        <f t="shared" si="9"/>
        <v>32</v>
      </c>
      <c r="Z30" t="str">
        <f t="shared" si="10"/>
        <v>323</v>
      </c>
      <c r="AB30" t="s">
        <v>355</v>
      </c>
      <c r="AC30" t="s">
        <v>356</v>
      </c>
      <c r="AD30" t="s">
        <v>280</v>
      </c>
      <c r="AE30" t="s">
        <v>281</v>
      </c>
      <c r="AF30" t="s">
        <v>268</v>
      </c>
      <c r="AG30" t="s">
        <v>282</v>
      </c>
    </row>
    <row r="31" spans="1:33">
      <c r="A31" s="83" t="str">
        <f>IF(C31="","",VLOOKUP('OPĆI DIO'!$C$3,'OPĆI DIO'!$L$6:$U$138,10,FALSE))</f>
        <v>08006</v>
      </c>
      <c r="B31" s="83" t="str">
        <f>IF(C31="","",VLOOKUP('OPĆI DIO'!$C$3,'OPĆI DIO'!$L$6:$U$138,9,FALSE))</f>
        <v>Sveučilišta i veleučilišta u Republici Hrvatskoj</v>
      </c>
      <c r="C31" s="288">
        <v>11</v>
      </c>
      <c r="D31" s="83" t="str">
        <f t="shared" si="0"/>
        <v>Opći prihodi i primici</v>
      </c>
      <c r="E31" s="288">
        <v>3299</v>
      </c>
      <c r="F31" s="83" t="str">
        <f t="shared" si="1"/>
        <v>Ostali nespomenuti rashodi poslovanja</v>
      </c>
      <c r="G31" s="290" t="s">
        <v>286</v>
      </c>
      <c r="H31" s="83" t="str">
        <f t="shared" si="2"/>
        <v>PROGRAMSKO FINANCIRANJE JAVNIH VISOKIH UČILIŠTA</v>
      </c>
      <c r="I31" s="83" t="str">
        <f t="shared" si="3"/>
        <v>0942</v>
      </c>
      <c r="J31" s="78">
        <v>9954</v>
      </c>
      <c r="K31" s="69">
        <v>8047</v>
      </c>
      <c r="L31" s="78">
        <f t="shared" si="4"/>
        <v>-1907</v>
      </c>
      <c r="M31" s="286"/>
      <c r="O31" t="str">
        <f t="shared" si="5"/>
        <v>329</v>
      </c>
      <c r="P31" t="str">
        <f t="shared" si="6"/>
        <v>32</v>
      </c>
      <c r="Q31" t="str">
        <f t="shared" si="7"/>
        <v>11</v>
      </c>
      <c r="R31" t="str">
        <f t="shared" si="8"/>
        <v>94</v>
      </c>
      <c r="V31">
        <v>3241</v>
      </c>
      <c r="W31" t="s">
        <v>357</v>
      </c>
      <c r="Y31" s="80" t="str">
        <f t="shared" si="9"/>
        <v>32</v>
      </c>
      <c r="Z31" t="str">
        <f t="shared" si="10"/>
        <v>324</v>
      </c>
      <c r="AB31" t="s">
        <v>358</v>
      </c>
      <c r="AC31" t="s">
        <v>359</v>
      </c>
      <c r="AD31" t="s">
        <v>273</v>
      </c>
      <c r="AE31" t="s">
        <v>274</v>
      </c>
      <c r="AF31" t="s">
        <v>275</v>
      </c>
      <c r="AG31" t="s">
        <v>276</v>
      </c>
    </row>
    <row r="32" spans="1:33">
      <c r="A32" s="83" t="str">
        <f>IF(C32="","",VLOOKUP('OPĆI DIO'!$C$3,'OPĆI DIO'!$L$6:$U$138,10,FALSE))</f>
        <v>08006</v>
      </c>
      <c r="B32" s="83" t="str">
        <f>IF(C32="","",VLOOKUP('OPĆI DIO'!$C$3,'OPĆI DIO'!$L$6:$U$138,9,FALSE))</f>
        <v>Sveučilišta i veleučilišta u Republici Hrvatskoj</v>
      </c>
      <c r="C32" s="288">
        <v>11</v>
      </c>
      <c r="D32" s="83" t="str">
        <f t="shared" si="0"/>
        <v>Opći prihodi i primici</v>
      </c>
      <c r="E32" s="288">
        <v>3431</v>
      </c>
      <c r="F32" s="83" t="str">
        <f t="shared" si="1"/>
        <v>Bankarske usluge i usluge platnog prometa</v>
      </c>
      <c r="G32" s="290" t="s">
        <v>286</v>
      </c>
      <c r="H32" s="83" t="str">
        <f t="shared" si="2"/>
        <v>PROGRAMSKO FINANCIRANJE JAVNIH VISOKIH UČILIŠTA</v>
      </c>
      <c r="I32" s="83" t="str">
        <f t="shared" si="3"/>
        <v>0942</v>
      </c>
      <c r="J32" s="78">
        <v>2294</v>
      </c>
      <c r="K32" s="69">
        <v>2561</v>
      </c>
      <c r="L32" s="78">
        <f t="shared" si="4"/>
        <v>267</v>
      </c>
      <c r="M32" s="286"/>
      <c r="O32" t="str">
        <f t="shared" si="5"/>
        <v>343</v>
      </c>
      <c r="P32" t="str">
        <f t="shared" si="6"/>
        <v>34</v>
      </c>
      <c r="Q32" t="str">
        <f t="shared" si="7"/>
        <v>11</v>
      </c>
      <c r="R32" t="str">
        <f t="shared" si="8"/>
        <v>94</v>
      </c>
      <c r="V32">
        <v>3291</v>
      </c>
      <c r="W32" t="s">
        <v>360</v>
      </c>
      <c r="Y32" s="80" t="str">
        <f t="shared" si="9"/>
        <v>32</v>
      </c>
      <c r="Z32" t="str">
        <f t="shared" si="10"/>
        <v>329</v>
      </c>
      <c r="AB32" t="s">
        <v>361</v>
      </c>
      <c r="AC32" t="s">
        <v>362</v>
      </c>
      <c r="AD32" t="s">
        <v>273</v>
      </c>
      <c r="AE32" t="s">
        <v>274</v>
      </c>
      <c r="AF32" t="s">
        <v>275</v>
      </c>
      <c r="AG32" t="s">
        <v>276</v>
      </c>
    </row>
    <row r="33" spans="1:33">
      <c r="A33" s="83" t="str">
        <f>IF(C33="","",VLOOKUP('OPĆI DIO'!$C$3,'OPĆI DIO'!$L$6:$U$138,10,FALSE))</f>
        <v>08006</v>
      </c>
      <c r="B33" s="83" t="str">
        <f>IF(C33="","",VLOOKUP('OPĆI DIO'!$C$3,'OPĆI DIO'!$L$6:$U$138,9,FALSE))</f>
        <v>Sveučilišta i veleučilišta u Republici Hrvatskoj</v>
      </c>
      <c r="C33" s="288">
        <v>11</v>
      </c>
      <c r="D33" s="83" t="str">
        <f t="shared" si="0"/>
        <v>Opći prihodi i primici</v>
      </c>
      <c r="E33" s="288">
        <v>3433</v>
      </c>
      <c r="F33" s="83" t="str">
        <f t="shared" si="1"/>
        <v>Zatezne kamate</v>
      </c>
      <c r="G33" s="290" t="s">
        <v>286</v>
      </c>
      <c r="H33" s="83" t="str">
        <f t="shared" si="2"/>
        <v>PROGRAMSKO FINANCIRANJE JAVNIH VISOKIH UČILIŠTA</v>
      </c>
      <c r="I33" s="83" t="str">
        <f t="shared" si="3"/>
        <v>0942</v>
      </c>
      <c r="J33" s="78">
        <v>40</v>
      </c>
      <c r="K33" s="69"/>
      <c r="L33" s="78">
        <f t="shared" si="4"/>
        <v>-40</v>
      </c>
      <c r="M33" s="286"/>
      <c r="O33" t="str">
        <f t="shared" si="5"/>
        <v>343</v>
      </c>
      <c r="P33" t="str">
        <f t="shared" si="6"/>
        <v>34</v>
      </c>
      <c r="Q33" t="str">
        <f t="shared" si="7"/>
        <v>11</v>
      </c>
      <c r="R33" t="str">
        <f t="shared" si="8"/>
        <v>94</v>
      </c>
      <c r="V33">
        <v>3292</v>
      </c>
      <c r="W33" t="s">
        <v>363</v>
      </c>
      <c r="Y33" s="80" t="str">
        <f t="shared" si="9"/>
        <v>32</v>
      </c>
      <c r="Z33" t="str">
        <f t="shared" si="10"/>
        <v>329</v>
      </c>
      <c r="AB33" t="s">
        <v>364</v>
      </c>
      <c r="AC33" t="s">
        <v>365</v>
      </c>
      <c r="AD33" t="s">
        <v>280</v>
      </c>
      <c r="AE33" t="s">
        <v>281</v>
      </c>
      <c r="AF33" t="s">
        <v>268</v>
      </c>
      <c r="AG33" t="s">
        <v>282</v>
      </c>
    </row>
    <row r="34" spans="1:33">
      <c r="A34" s="83" t="str">
        <f>IF(C34="","",VLOOKUP('OPĆI DIO'!$C$3,'OPĆI DIO'!$L$6:$U$138,10,FALSE))</f>
        <v>08006</v>
      </c>
      <c r="B34" s="83" t="str">
        <f>IF(C34="","",VLOOKUP('OPĆI DIO'!$C$3,'OPĆI DIO'!$L$6:$U$138,9,FALSE))</f>
        <v>Sveučilišta i veleučilišta u Republici Hrvatskoj</v>
      </c>
      <c r="C34" s="288">
        <v>11</v>
      </c>
      <c r="D34" s="83" t="str">
        <f t="shared" si="0"/>
        <v>Opći prihodi i primici</v>
      </c>
      <c r="E34" s="288">
        <v>3721</v>
      </c>
      <c r="F34" s="83" t="str">
        <f t="shared" si="1"/>
        <v>Naknade građanima i kućanstvima u novcu</v>
      </c>
      <c r="G34" s="290" t="s">
        <v>286</v>
      </c>
      <c r="H34" s="83" t="str">
        <f t="shared" si="2"/>
        <v>PROGRAMSKO FINANCIRANJE JAVNIH VISOKIH UČILIŠTA</v>
      </c>
      <c r="I34" s="83" t="str">
        <f t="shared" si="3"/>
        <v>0942</v>
      </c>
      <c r="J34" s="78">
        <v>4383</v>
      </c>
      <c r="K34" s="69">
        <v>972</v>
      </c>
      <c r="L34" s="78">
        <f t="shared" si="4"/>
        <v>-3411</v>
      </c>
      <c r="M34" s="286"/>
      <c r="O34" t="str">
        <f t="shared" si="5"/>
        <v>372</v>
      </c>
      <c r="P34" t="str">
        <f t="shared" si="6"/>
        <v>37</v>
      </c>
      <c r="Q34" t="str">
        <f t="shared" si="7"/>
        <v>11</v>
      </c>
      <c r="R34" t="str">
        <f t="shared" si="8"/>
        <v>94</v>
      </c>
      <c r="V34">
        <v>3293</v>
      </c>
      <c r="W34" t="s">
        <v>366</v>
      </c>
      <c r="Y34" s="80" t="str">
        <f t="shared" si="9"/>
        <v>32</v>
      </c>
      <c r="Z34" t="str">
        <f t="shared" si="10"/>
        <v>329</v>
      </c>
      <c r="AB34" t="s">
        <v>367</v>
      </c>
      <c r="AC34" t="s">
        <v>368</v>
      </c>
      <c r="AD34" t="s">
        <v>273</v>
      </c>
      <c r="AE34" t="s">
        <v>274</v>
      </c>
      <c r="AF34" t="s">
        <v>275</v>
      </c>
      <c r="AG34" t="s">
        <v>276</v>
      </c>
    </row>
    <row r="35" spans="1:33">
      <c r="A35" s="83" t="str">
        <f>IF(C35="","",VLOOKUP('OPĆI DIO'!$C$3,'OPĆI DIO'!$L$6:$U$138,10,FALSE))</f>
        <v>08006</v>
      </c>
      <c r="B35" s="83" t="str">
        <f>IF(C35="","",VLOOKUP('OPĆI DIO'!$C$3,'OPĆI DIO'!$L$6:$U$138,9,FALSE))</f>
        <v>Sveučilišta i veleučilišta u Republici Hrvatskoj</v>
      </c>
      <c r="C35" s="288">
        <v>11</v>
      </c>
      <c r="D35" s="83" t="str">
        <f t="shared" si="0"/>
        <v>Opći prihodi i primici</v>
      </c>
      <c r="E35" s="288">
        <v>4221</v>
      </c>
      <c r="F35" s="83" t="str">
        <f t="shared" si="1"/>
        <v>Uredska oprema i namještaj</v>
      </c>
      <c r="G35" s="290" t="s">
        <v>286</v>
      </c>
      <c r="H35" s="83" t="str">
        <f t="shared" si="2"/>
        <v>PROGRAMSKO FINANCIRANJE JAVNIH VISOKIH UČILIŠTA</v>
      </c>
      <c r="I35" s="83" t="str">
        <f t="shared" si="3"/>
        <v>0942</v>
      </c>
      <c r="J35" s="78">
        <v>1096</v>
      </c>
      <c r="K35" s="69">
        <v>4542</v>
      </c>
      <c r="L35" s="78">
        <f t="shared" si="4"/>
        <v>3446</v>
      </c>
      <c r="M35" s="286"/>
      <c r="O35" t="str">
        <f t="shared" si="5"/>
        <v>422</v>
      </c>
      <c r="P35" t="str">
        <f t="shared" si="6"/>
        <v>42</v>
      </c>
      <c r="Q35" t="str">
        <f t="shared" si="7"/>
        <v>11</v>
      </c>
      <c r="R35" t="str">
        <f t="shared" si="8"/>
        <v>94</v>
      </c>
      <c r="V35">
        <v>3293</v>
      </c>
      <c r="W35" t="s">
        <v>369</v>
      </c>
      <c r="Y35" s="80" t="str">
        <f t="shared" si="9"/>
        <v>32</v>
      </c>
      <c r="Z35" t="str">
        <f t="shared" si="10"/>
        <v>329</v>
      </c>
      <c r="AB35" t="s">
        <v>370</v>
      </c>
      <c r="AC35" t="s">
        <v>371</v>
      </c>
      <c r="AD35" t="s">
        <v>280</v>
      </c>
      <c r="AE35" t="s">
        <v>281</v>
      </c>
      <c r="AF35" t="s">
        <v>268</v>
      </c>
      <c r="AG35" t="s">
        <v>282</v>
      </c>
    </row>
    <row r="36" spans="1:33">
      <c r="A36" s="83" t="str">
        <f>IF(C36="","",VLOOKUP('OPĆI DIO'!$C$3,'OPĆI DIO'!$L$6:$U$138,10,FALSE))</f>
        <v/>
      </c>
      <c r="B36" s="83" t="str">
        <f>IF(C36="","",VLOOKUP('OPĆI DIO'!$C$3,'OPĆI DIO'!$L$6:$U$138,9,FALSE))</f>
        <v/>
      </c>
      <c r="C36" s="288"/>
      <c r="D36" s="83" t="str">
        <f t="shared" si="0"/>
        <v/>
      </c>
      <c r="E36" s="288"/>
      <c r="F36" s="83" t="str">
        <f t="shared" si="1"/>
        <v/>
      </c>
      <c r="G36" s="290"/>
      <c r="H36" s="83" t="str">
        <f t="shared" si="2"/>
        <v/>
      </c>
      <c r="I36" s="83" t="str">
        <f t="shared" si="3"/>
        <v/>
      </c>
      <c r="J36" s="78"/>
      <c r="K36" s="69"/>
      <c r="L36" s="78">
        <f t="shared" si="4"/>
        <v>0</v>
      </c>
      <c r="M36" s="286"/>
      <c r="O36" t="str">
        <f t="shared" si="5"/>
        <v/>
      </c>
      <c r="P36" t="str">
        <f t="shared" si="6"/>
        <v/>
      </c>
      <c r="Q36" t="str">
        <f t="shared" si="7"/>
        <v/>
      </c>
      <c r="R36" t="str">
        <f t="shared" si="8"/>
        <v/>
      </c>
      <c r="V36">
        <v>3294</v>
      </c>
      <c r="W36" t="s">
        <v>372</v>
      </c>
      <c r="Y36" s="80" t="str">
        <f t="shared" si="9"/>
        <v>32</v>
      </c>
      <c r="Z36" t="str">
        <f t="shared" si="10"/>
        <v>329</v>
      </c>
      <c r="AB36" t="s">
        <v>373</v>
      </c>
      <c r="AC36" t="s">
        <v>374</v>
      </c>
      <c r="AD36" t="s">
        <v>280</v>
      </c>
      <c r="AE36" t="s">
        <v>281</v>
      </c>
      <c r="AF36" t="s">
        <v>268</v>
      </c>
      <c r="AG36" t="s">
        <v>282</v>
      </c>
    </row>
    <row r="37" spans="1:33">
      <c r="A37" s="83" t="str">
        <f>IF(C37="","",VLOOKUP('OPĆI DIO'!$C$3,'OPĆI DIO'!$L$6:$U$138,10,FALSE))</f>
        <v/>
      </c>
      <c r="B37" s="83" t="str">
        <f>IF(C37="","",VLOOKUP('OPĆI DIO'!$C$3,'OPĆI DIO'!$L$6:$U$138,9,FALSE))</f>
        <v/>
      </c>
      <c r="C37" s="288"/>
      <c r="D37" s="83" t="str">
        <f t="shared" si="0"/>
        <v/>
      </c>
      <c r="E37" s="288"/>
      <c r="F37" s="83" t="str">
        <f t="shared" si="1"/>
        <v/>
      </c>
      <c r="G37" s="290"/>
      <c r="H37" s="83" t="str">
        <f t="shared" si="2"/>
        <v/>
      </c>
      <c r="I37" s="83" t="str">
        <f t="shared" si="3"/>
        <v/>
      </c>
      <c r="J37" s="78"/>
      <c r="K37" s="69"/>
      <c r="L37" s="78">
        <f t="shared" si="4"/>
        <v>0</v>
      </c>
      <c r="M37" s="286"/>
      <c r="O37" t="str">
        <f t="shared" si="5"/>
        <v/>
      </c>
      <c r="P37" t="str">
        <f t="shared" si="6"/>
        <v/>
      </c>
      <c r="Q37" t="str">
        <f t="shared" si="7"/>
        <v/>
      </c>
      <c r="R37" t="str">
        <f t="shared" si="8"/>
        <v/>
      </c>
      <c r="V37">
        <v>3295</v>
      </c>
      <c r="W37" t="s">
        <v>375</v>
      </c>
      <c r="Y37" s="80" t="str">
        <f t="shared" si="9"/>
        <v>32</v>
      </c>
      <c r="Z37" t="str">
        <f t="shared" si="10"/>
        <v>329</v>
      </c>
      <c r="AB37" t="s">
        <v>376</v>
      </c>
      <c r="AC37" t="s">
        <v>377</v>
      </c>
      <c r="AD37" t="s">
        <v>280</v>
      </c>
      <c r="AE37" t="s">
        <v>281</v>
      </c>
      <c r="AF37" t="s">
        <v>268</v>
      </c>
      <c r="AG37" t="s">
        <v>282</v>
      </c>
    </row>
    <row r="38" spans="1:33">
      <c r="A38" s="83" t="str">
        <f>IF(C38="","",VLOOKUP('OPĆI DIO'!$C$3,'OPĆI DIO'!$L$6:$U$138,10,FALSE))</f>
        <v>08006</v>
      </c>
      <c r="B38" s="83" t="str">
        <f>IF(C38="","",VLOOKUP('OPĆI DIO'!$C$3,'OPĆI DIO'!$L$6:$U$138,9,FALSE))</f>
        <v>Sveučilišta i veleučilišta u Republici Hrvatskoj</v>
      </c>
      <c r="C38" s="288">
        <v>11</v>
      </c>
      <c r="D38" s="83" t="str">
        <f t="shared" si="0"/>
        <v>Opći prihodi i primici</v>
      </c>
      <c r="E38" s="288">
        <v>3111</v>
      </c>
      <c r="F38" s="83" t="str">
        <f t="shared" si="1"/>
        <v>Plaće za redovan rad</v>
      </c>
      <c r="G38" s="290" t="s">
        <v>378</v>
      </c>
      <c r="H38" s="83" t="str">
        <f t="shared" si="2"/>
        <v>PRAVOMOĆNE SUDSKE PRESUDE</v>
      </c>
      <c r="I38" s="83" t="str">
        <f t="shared" si="3"/>
        <v>0942</v>
      </c>
      <c r="J38" s="78">
        <v>18420</v>
      </c>
      <c r="K38" s="69">
        <v>5206</v>
      </c>
      <c r="L38" s="78">
        <f t="shared" si="4"/>
        <v>-13214</v>
      </c>
      <c r="M38" s="286"/>
      <c r="O38" t="str">
        <f t="shared" si="5"/>
        <v>311</v>
      </c>
      <c r="P38" t="str">
        <f t="shared" si="6"/>
        <v>31</v>
      </c>
      <c r="Q38" t="str">
        <f t="shared" si="7"/>
        <v>11</v>
      </c>
      <c r="R38" t="str">
        <f t="shared" si="8"/>
        <v>94</v>
      </c>
      <c r="V38">
        <v>3296</v>
      </c>
      <c r="W38" t="s">
        <v>379</v>
      </c>
      <c r="Y38" s="80" t="str">
        <f t="shared" si="9"/>
        <v>32</v>
      </c>
      <c r="Z38" t="str">
        <f t="shared" si="10"/>
        <v>329</v>
      </c>
      <c r="AB38" t="s">
        <v>380</v>
      </c>
      <c r="AC38" t="s">
        <v>381</v>
      </c>
      <c r="AD38" t="s">
        <v>382</v>
      </c>
      <c r="AE38" t="s">
        <v>383</v>
      </c>
      <c r="AF38" t="s">
        <v>275</v>
      </c>
      <c r="AG38" t="s">
        <v>384</v>
      </c>
    </row>
    <row r="39" spans="1:33">
      <c r="A39" s="83" t="str">
        <f>IF(C39="","",VLOOKUP('OPĆI DIO'!$C$3,'OPĆI DIO'!$L$6:$U$138,10,FALSE))</f>
        <v>08006</v>
      </c>
      <c r="B39" s="83" t="str">
        <f>IF(C39="","",VLOOKUP('OPĆI DIO'!$C$3,'OPĆI DIO'!$L$6:$U$138,9,FALSE))</f>
        <v>Sveučilišta i veleučilišta u Republici Hrvatskoj</v>
      </c>
      <c r="C39" s="288">
        <v>11</v>
      </c>
      <c r="D39" s="83" t="str">
        <f t="shared" si="0"/>
        <v>Opći prihodi i primici</v>
      </c>
      <c r="E39" s="288">
        <v>3132</v>
      </c>
      <c r="F39" s="83" t="str">
        <f t="shared" si="1"/>
        <v>Doprinosi za obvezno zdravstveno osiguranje</v>
      </c>
      <c r="G39" s="290" t="s">
        <v>378</v>
      </c>
      <c r="H39" s="83" t="str">
        <f t="shared" si="2"/>
        <v>PRAVOMOĆNE SUDSKE PRESUDE</v>
      </c>
      <c r="I39" s="83" t="str">
        <f t="shared" si="3"/>
        <v>0942</v>
      </c>
      <c r="J39" s="78">
        <v>3039</v>
      </c>
      <c r="K39" s="69">
        <v>894</v>
      </c>
      <c r="L39" s="78">
        <f t="shared" si="4"/>
        <v>-2145</v>
      </c>
      <c r="M39" s="286"/>
      <c r="O39" t="str">
        <f t="shared" si="5"/>
        <v>313</v>
      </c>
      <c r="P39" t="str">
        <f t="shared" si="6"/>
        <v>31</v>
      </c>
      <c r="Q39" t="str">
        <f t="shared" si="7"/>
        <v>11</v>
      </c>
      <c r="R39" t="str">
        <f t="shared" si="8"/>
        <v>94</v>
      </c>
      <c r="V39">
        <v>3299</v>
      </c>
      <c r="W39" t="s">
        <v>385</v>
      </c>
      <c r="Y39" s="80" t="str">
        <f t="shared" si="9"/>
        <v>32</v>
      </c>
      <c r="Z39" t="str">
        <f t="shared" si="10"/>
        <v>329</v>
      </c>
      <c r="AB39" t="s">
        <v>380</v>
      </c>
      <c r="AC39" t="s">
        <v>381</v>
      </c>
      <c r="AD39" t="s">
        <v>266</v>
      </c>
      <c r="AE39" t="s">
        <v>267</v>
      </c>
      <c r="AF39" t="s">
        <v>268</v>
      </c>
      <c r="AG39" t="s">
        <v>269</v>
      </c>
    </row>
    <row r="40" spans="1:33">
      <c r="A40" s="83" t="str">
        <f>IF(C40="","",VLOOKUP('OPĆI DIO'!$C$3,'OPĆI DIO'!$L$6:$U$138,10,FALSE))</f>
        <v>08006</v>
      </c>
      <c r="B40" s="83" t="str">
        <f>IF(C40="","",VLOOKUP('OPĆI DIO'!$C$3,'OPĆI DIO'!$L$6:$U$138,9,FALSE))</f>
        <v>Sveučilišta i veleučilišta u Republici Hrvatskoj</v>
      </c>
      <c r="C40" s="288">
        <v>11</v>
      </c>
      <c r="D40" s="83" t="str">
        <f t="shared" si="0"/>
        <v>Opći prihodi i primici</v>
      </c>
      <c r="E40" s="288">
        <v>3433</v>
      </c>
      <c r="F40" s="83" t="str">
        <f t="shared" si="1"/>
        <v>Zatezne kamate</v>
      </c>
      <c r="G40" s="290" t="s">
        <v>378</v>
      </c>
      <c r="H40" s="83" t="str">
        <f t="shared" si="2"/>
        <v>PRAVOMOĆNE SUDSKE PRESUDE</v>
      </c>
      <c r="I40" s="83" t="str">
        <f t="shared" si="3"/>
        <v>0942</v>
      </c>
      <c r="J40" s="78">
        <v>1951</v>
      </c>
      <c r="K40" s="69">
        <v>2029</v>
      </c>
      <c r="L40" s="78">
        <f t="shared" si="4"/>
        <v>78</v>
      </c>
      <c r="M40" s="286"/>
      <c r="O40" t="str">
        <f t="shared" si="5"/>
        <v>343</v>
      </c>
      <c r="P40" t="str">
        <f t="shared" si="6"/>
        <v>34</v>
      </c>
      <c r="Q40" t="str">
        <f t="shared" si="7"/>
        <v>11</v>
      </c>
      <c r="R40" t="str">
        <f t="shared" si="8"/>
        <v>94</v>
      </c>
      <c r="V40">
        <v>3411</v>
      </c>
      <c r="W40" t="s">
        <v>386</v>
      </c>
      <c r="Y40" s="80" t="str">
        <f t="shared" si="9"/>
        <v>34</v>
      </c>
      <c r="Z40" t="str">
        <f t="shared" si="10"/>
        <v>341</v>
      </c>
      <c r="AB40" t="s">
        <v>387</v>
      </c>
      <c r="AC40" t="s">
        <v>388</v>
      </c>
      <c r="AD40" t="s">
        <v>266</v>
      </c>
      <c r="AE40" t="s">
        <v>267</v>
      </c>
      <c r="AF40" t="s">
        <v>268</v>
      </c>
      <c r="AG40" t="s">
        <v>269</v>
      </c>
    </row>
    <row r="41" spans="1:33">
      <c r="A41" s="83" t="str">
        <f>IF(C41="","",VLOOKUP('OPĆI DIO'!$C$3,'OPĆI DIO'!$L$6:$U$138,10,FALSE))</f>
        <v>08006</v>
      </c>
      <c r="B41" s="83" t="str">
        <f>IF(C41="","",VLOOKUP('OPĆI DIO'!$C$3,'OPĆI DIO'!$L$6:$U$138,9,FALSE))</f>
        <v>Sveučilišta i veleučilišta u Republici Hrvatskoj</v>
      </c>
      <c r="C41" s="288">
        <v>11</v>
      </c>
      <c r="D41" s="83" t="str">
        <f t="shared" si="0"/>
        <v>Opći prihodi i primici</v>
      </c>
      <c r="E41" s="288">
        <v>3295</v>
      </c>
      <c r="F41" s="83" t="str">
        <f t="shared" si="1"/>
        <v>Pristojbe i naknade</v>
      </c>
      <c r="G41" s="290" t="s">
        <v>378</v>
      </c>
      <c r="H41" s="83" t="str">
        <f t="shared" si="2"/>
        <v>PRAVOMOĆNE SUDSKE PRESUDE</v>
      </c>
      <c r="I41" s="83" t="str">
        <f t="shared" si="3"/>
        <v>0942</v>
      </c>
      <c r="J41" s="78">
        <v>100000</v>
      </c>
      <c r="K41" s="69">
        <v>511</v>
      </c>
      <c r="L41" s="78">
        <f t="shared" si="4"/>
        <v>-99489</v>
      </c>
      <c r="M41" s="286"/>
      <c r="O41" t="str">
        <f t="shared" si="5"/>
        <v>329</v>
      </c>
      <c r="P41" t="str">
        <f t="shared" si="6"/>
        <v>32</v>
      </c>
      <c r="Q41" t="str">
        <f t="shared" si="7"/>
        <v>11</v>
      </c>
      <c r="R41" t="str">
        <f t="shared" si="8"/>
        <v>94</v>
      </c>
      <c r="V41">
        <v>3422</v>
      </c>
      <c r="W41" t="s">
        <v>389</v>
      </c>
      <c r="Y41" s="80" t="str">
        <f t="shared" si="9"/>
        <v>34</v>
      </c>
      <c r="Z41" t="str">
        <f t="shared" si="10"/>
        <v>342</v>
      </c>
      <c r="AB41" t="s">
        <v>390</v>
      </c>
      <c r="AC41" t="s">
        <v>391</v>
      </c>
      <c r="AD41" t="s">
        <v>280</v>
      </c>
      <c r="AE41" t="s">
        <v>281</v>
      </c>
      <c r="AF41" t="s">
        <v>268</v>
      </c>
      <c r="AG41" t="s">
        <v>282</v>
      </c>
    </row>
    <row r="42" spans="1:33">
      <c r="A42" s="83" t="str">
        <f>IF(C42="","",VLOOKUP('OPĆI DIO'!$C$3,'OPĆI DIO'!$L$6:$U$138,10,FALSE))</f>
        <v>08006</v>
      </c>
      <c r="B42" s="83" t="str">
        <f>IF(C42="","",VLOOKUP('OPĆI DIO'!$C$3,'OPĆI DIO'!$L$6:$U$138,9,FALSE))</f>
        <v>Sveučilišta i veleučilišta u Republici Hrvatskoj</v>
      </c>
      <c r="C42" s="288">
        <v>11</v>
      </c>
      <c r="D42" s="83" t="str">
        <f t="shared" si="0"/>
        <v>Opći prihodi i primici</v>
      </c>
      <c r="E42" s="288">
        <v>3296</v>
      </c>
      <c r="F42" s="83" t="str">
        <f t="shared" si="1"/>
        <v>Troškovi sudskih postupaka</v>
      </c>
      <c r="G42" s="290" t="s">
        <v>378</v>
      </c>
      <c r="H42" s="83" t="str">
        <f t="shared" si="2"/>
        <v>PRAVOMOĆNE SUDSKE PRESUDE</v>
      </c>
      <c r="I42" s="83" t="str">
        <f t="shared" si="3"/>
        <v>0942</v>
      </c>
      <c r="J42" s="78">
        <v>26800</v>
      </c>
      <c r="K42" s="69">
        <v>1918</v>
      </c>
      <c r="L42" s="78">
        <f t="shared" si="4"/>
        <v>-24882</v>
      </c>
      <c r="M42" s="286"/>
      <c r="O42" t="str">
        <f t="shared" si="5"/>
        <v>329</v>
      </c>
      <c r="P42" t="str">
        <f t="shared" si="6"/>
        <v>32</v>
      </c>
      <c r="Q42" t="str">
        <f t="shared" si="7"/>
        <v>11</v>
      </c>
      <c r="R42" t="str">
        <f t="shared" si="8"/>
        <v>94</v>
      </c>
      <c r="V42">
        <v>3423</v>
      </c>
      <c r="W42" t="s">
        <v>389</v>
      </c>
      <c r="Y42" s="80" t="str">
        <f t="shared" si="9"/>
        <v>34</v>
      </c>
      <c r="Z42" t="str">
        <f t="shared" si="10"/>
        <v>342</v>
      </c>
      <c r="AB42" t="s">
        <v>392</v>
      </c>
      <c r="AC42" t="s">
        <v>393</v>
      </c>
      <c r="AD42" t="s">
        <v>382</v>
      </c>
      <c r="AE42" t="s">
        <v>383</v>
      </c>
      <c r="AF42" t="s">
        <v>275</v>
      </c>
      <c r="AG42" t="s">
        <v>384</v>
      </c>
    </row>
    <row r="43" spans="1:33">
      <c r="A43" s="83" t="str">
        <f>IF(C43="","",VLOOKUP('OPĆI DIO'!$C$3,'OPĆI DIO'!$L$6:$U$138,10,FALSE))</f>
        <v/>
      </c>
      <c r="B43" s="83" t="str">
        <f>IF(C43="","",VLOOKUP('OPĆI DIO'!$C$3,'OPĆI DIO'!$L$6:$U$138,9,FALSE))</f>
        <v/>
      </c>
      <c r="C43" s="288"/>
      <c r="D43" s="83" t="str">
        <f t="shared" si="0"/>
        <v/>
      </c>
      <c r="E43" s="288"/>
      <c r="F43" s="83" t="str">
        <f t="shared" si="1"/>
        <v/>
      </c>
      <c r="G43" s="290"/>
      <c r="H43" s="83" t="str">
        <f t="shared" si="2"/>
        <v/>
      </c>
      <c r="I43" s="83" t="str">
        <f t="shared" si="3"/>
        <v/>
      </c>
      <c r="J43" s="78"/>
      <c r="K43" s="69"/>
      <c r="L43" s="78">
        <f t="shared" si="4"/>
        <v>0</v>
      </c>
      <c r="M43" s="286"/>
      <c r="O43" t="str">
        <f t="shared" si="5"/>
        <v/>
      </c>
      <c r="P43" t="str">
        <f t="shared" si="6"/>
        <v/>
      </c>
      <c r="Q43" t="str">
        <f t="shared" si="7"/>
        <v/>
      </c>
      <c r="R43" t="str">
        <f t="shared" si="8"/>
        <v/>
      </c>
      <c r="V43">
        <v>3427</v>
      </c>
      <c r="W43" t="s">
        <v>394</v>
      </c>
      <c r="Y43" s="80" t="str">
        <f t="shared" si="9"/>
        <v>34</v>
      </c>
      <c r="Z43" t="str">
        <f t="shared" si="10"/>
        <v>342</v>
      </c>
      <c r="AB43" t="s">
        <v>392</v>
      </c>
      <c r="AC43" t="s">
        <v>393</v>
      </c>
      <c r="AD43" t="s">
        <v>266</v>
      </c>
      <c r="AE43" t="s">
        <v>267</v>
      </c>
      <c r="AF43" t="s">
        <v>268</v>
      </c>
      <c r="AG43" t="s">
        <v>269</v>
      </c>
    </row>
    <row r="44" spans="1:33">
      <c r="A44" s="83" t="str">
        <f>IF(C44="","",VLOOKUP('OPĆI DIO'!$C$3,'OPĆI DIO'!$L$6:$U$138,10,FALSE))</f>
        <v>08006</v>
      </c>
      <c r="B44" s="83" t="str">
        <f>IF(C44="","",VLOOKUP('OPĆI DIO'!$C$3,'OPĆI DIO'!$L$6:$U$138,9,FALSE))</f>
        <v>Sveučilišta i veleučilišta u Republici Hrvatskoj</v>
      </c>
      <c r="C44" s="288">
        <v>31</v>
      </c>
      <c r="D44" s="83" t="str">
        <f t="shared" si="0"/>
        <v>Vlastiti prihodi</v>
      </c>
      <c r="E44" s="288">
        <v>3111</v>
      </c>
      <c r="F44" s="83" t="str">
        <f t="shared" si="1"/>
        <v>Plaće za redovan rad</v>
      </c>
      <c r="G44" s="290" t="s">
        <v>395</v>
      </c>
      <c r="H44" s="83" t="str">
        <f t="shared" si="2"/>
        <v>REDOVNA DJELATNOST SVEUČILIŠTA U RIJECI (IZ EVIDENCIJSKIH PRIHODA)</v>
      </c>
      <c r="I44" s="83" t="str">
        <f t="shared" si="3"/>
        <v>0942</v>
      </c>
      <c r="J44" s="78">
        <v>263455</v>
      </c>
      <c r="K44" s="69">
        <v>229900</v>
      </c>
      <c r="L44" s="78">
        <f t="shared" si="4"/>
        <v>-33555</v>
      </c>
      <c r="M44" s="286"/>
      <c r="O44" t="str">
        <f t="shared" si="5"/>
        <v>311</v>
      </c>
      <c r="P44" t="str">
        <f t="shared" si="6"/>
        <v>31</v>
      </c>
      <c r="Q44" t="str">
        <f t="shared" si="7"/>
        <v>31</v>
      </c>
      <c r="R44" t="str">
        <f t="shared" si="8"/>
        <v>94</v>
      </c>
      <c r="V44">
        <v>3431</v>
      </c>
      <c r="W44" t="s">
        <v>396</v>
      </c>
      <c r="Y44" s="80" t="str">
        <f t="shared" si="9"/>
        <v>34</v>
      </c>
      <c r="Z44" t="str">
        <f t="shared" si="10"/>
        <v>343</v>
      </c>
      <c r="AB44" t="s">
        <v>397</v>
      </c>
      <c r="AC44" t="s">
        <v>398</v>
      </c>
      <c r="AD44" t="s">
        <v>266</v>
      </c>
      <c r="AE44" t="s">
        <v>267</v>
      </c>
      <c r="AF44" t="s">
        <v>268</v>
      </c>
      <c r="AG44" t="s">
        <v>269</v>
      </c>
    </row>
    <row r="45" spans="1:33">
      <c r="A45" s="83" t="str">
        <f>IF(C45="","",VLOOKUP('OPĆI DIO'!$C$3,'OPĆI DIO'!$L$6:$U$138,10,FALSE))</f>
        <v>08006</v>
      </c>
      <c r="B45" s="83" t="str">
        <f>IF(C45="","",VLOOKUP('OPĆI DIO'!$C$3,'OPĆI DIO'!$L$6:$U$138,9,FALSE))</f>
        <v>Sveučilišta i veleučilišta u Republici Hrvatskoj</v>
      </c>
      <c r="C45" s="288">
        <v>31</v>
      </c>
      <c r="D45" s="83" t="str">
        <f t="shared" si="0"/>
        <v>Vlastiti prihodi</v>
      </c>
      <c r="E45" s="288">
        <v>3112</v>
      </c>
      <c r="F45" s="83" t="str">
        <f t="shared" si="1"/>
        <v>Plaće u naravi</v>
      </c>
      <c r="G45" s="290" t="s">
        <v>395</v>
      </c>
      <c r="H45" s="83" t="str">
        <f t="shared" si="2"/>
        <v>REDOVNA DJELATNOST SVEUČILIŠTA U RIJECI (IZ EVIDENCIJSKIH PRIHODA)</v>
      </c>
      <c r="I45" s="83" t="str">
        <f t="shared" si="3"/>
        <v>0942</v>
      </c>
      <c r="J45" s="78">
        <v>664</v>
      </c>
      <c r="K45" s="69">
        <v>3200</v>
      </c>
      <c r="L45" s="78">
        <f t="shared" si="4"/>
        <v>2536</v>
      </c>
      <c r="M45" s="286"/>
      <c r="O45" t="str">
        <f t="shared" si="5"/>
        <v>311</v>
      </c>
      <c r="P45" t="str">
        <f t="shared" si="6"/>
        <v>31</v>
      </c>
      <c r="Q45" t="str">
        <f t="shared" si="7"/>
        <v>31</v>
      </c>
      <c r="R45" t="str">
        <f t="shared" si="8"/>
        <v>94</v>
      </c>
      <c r="V45">
        <v>3432</v>
      </c>
      <c r="W45" t="s">
        <v>399</v>
      </c>
      <c r="Y45" s="80" t="str">
        <f t="shared" si="9"/>
        <v>34</v>
      </c>
      <c r="Z45" t="str">
        <f t="shared" si="10"/>
        <v>343</v>
      </c>
      <c r="AB45" t="s">
        <v>400</v>
      </c>
      <c r="AC45" t="s">
        <v>401</v>
      </c>
      <c r="AD45" t="s">
        <v>382</v>
      </c>
      <c r="AE45" t="s">
        <v>383</v>
      </c>
      <c r="AF45" t="s">
        <v>275</v>
      </c>
      <c r="AG45" t="s">
        <v>384</v>
      </c>
    </row>
    <row r="46" spans="1:33">
      <c r="A46" s="83" t="str">
        <f>IF(C46="","",VLOOKUP('OPĆI DIO'!$C$3,'OPĆI DIO'!$L$6:$U$138,10,FALSE))</f>
        <v>08006</v>
      </c>
      <c r="B46" s="83" t="str">
        <f>IF(C46="","",VLOOKUP('OPĆI DIO'!$C$3,'OPĆI DIO'!$L$6:$U$138,9,FALSE))</f>
        <v>Sveučilišta i veleučilišta u Republici Hrvatskoj</v>
      </c>
      <c r="C46" s="288">
        <v>31</v>
      </c>
      <c r="D46" s="83" t="str">
        <f t="shared" si="0"/>
        <v>Vlastiti prihodi</v>
      </c>
      <c r="E46" s="288">
        <v>3121</v>
      </c>
      <c r="F46" s="83" t="str">
        <f t="shared" si="1"/>
        <v>Ostali rashodi za zaposlene</v>
      </c>
      <c r="G46" s="290" t="s">
        <v>395</v>
      </c>
      <c r="H46" s="83" t="str">
        <f t="shared" si="2"/>
        <v>REDOVNA DJELATNOST SVEUČILIŠTA U RIJECI (IZ EVIDENCIJSKIH PRIHODA)</v>
      </c>
      <c r="I46" s="83" t="str">
        <f t="shared" si="3"/>
        <v>0942</v>
      </c>
      <c r="J46" s="78">
        <v>121574</v>
      </c>
      <c r="K46" s="69">
        <v>120000</v>
      </c>
      <c r="L46" s="78">
        <f t="shared" si="4"/>
        <v>-1574</v>
      </c>
      <c r="M46" s="286"/>
      <c r="O46" t="str">
        <f t="shared" si="5"/>
        <v>312</v>
      </c>
      <c r="P46" t="str">
        <f t="shared" si="6"/>
        <v>31</v>
      </c>
      <c r="Q46" t="str">
        <f t="shared" si="7"/>
        <v>31</v>
      </c>
      <c r="R46" t="str">
        <f t="shared" si="8"/>
        <v>94</v>
      </c>
      <c r="V46">
        <v>3433</v>
      </c>
      <c r="W46" t="s">
        <v>402</v>
      </c>
      <c r="Y46" s="80" t="str">
        <f t="shared" si="9"/>
        <v>34</v>
      </c>
      <c r="Z46" t="str">
        <f t="shared" si="10"/>
        <v>343</v>
      </c>
      <c r="AB46" t="s">
        <v>400</v>
      </c>
      <c r="AC46" t="s">
        <v>401</v>
      </c>
      <c r="AD46" t="s">
        <v>403</v>
      </c>
      <c r="AE46" t="s">
        <v>404</v>
      </c>
      <c r="AF46" t="s">
        <v>268</v>
      </c>
      <c r="AG46" t="s">
        <v>405</v>
      </c>
    </row>
    <row r="47" spans="1:33">
      <c r="A47" s="83" t="str">
        <f>IF(C47="","",VLOOKUP('OPĆI DIO'!$C$3,'OPĆI DIO'!$L$6:$U$138,10,FALSE))</f>
        <v>08006</v>
      </c>
      <c r="B47" s="83" t="str">
        <f>IF(C47="","",VLOOKUP('OPĆI DIO'!$C$3,'OPĆI DIO'!$L$6:$U$138,9,FALSE))</f>
        <v>Sveučilišta i veleučilišta u Republici Hrvatskoj</v>
      </c>
      <c r="C47" s="288">
        <v>31</v>
      </c>
      <c r="D47" s="83" t="str">
        <f t="shared" si="0"/>
        <v>Vlastiti prihodi</v>
      </c>
      <c r="E47" s="288">
        <v>3132</v>
      </c>
      <c r="F47" s="83" t="str">
        <f t="shared" si="1"/>
        <v>Doprinosi za obvezno zdravstveno osiguranje</v>
      </c>
      <c r="G47" s="290" t="s">
        <v>395</v>
      </c>
      <c r="H47" s="83" t="str">
        <f t="shared" si="2"/>
        <v>REDOVNA DJELATNOST SVEUČILIŠTA U RIJECI (IZ EVIDENCIJSKIH PRIHODA)</v>
      </c>
      <c r="I47" s="83" t="str">
        <f t="shared" si="3"/>
        <v>0942</v>
      </c>
      <c r="J47" s="78">
        <v>43470</v>
      </c>
      <c r="K47" s="69">
        <v>37933</v>
      </c>
      <c r="L47" s="78">
        <f t="shared" si="4"/>
        <v>-5537</v>
      </c>
      <c r="M47" s="286"/>
      <c r="O47" t="str">
        <f t="shared" si="5"/>
        <v>313</v>
      </c>
      <c r="P47" t="str">
        <f t="shared" si="6"/>
        <v>31</v>
      </c>
      <c r="Q47" t="str">
        <f t="shared" si="7"/>
        <v>31</v>
      </c>
      <c r="R47" t="str">
        <f t="shared" si="8"/>
        <v>94</v>
      </c>
      <c r="V47">
        <v>3434</v>
      </c>
      <c r="W47" t="s">
        <v>406</v>
      </c>
      <c r="Y47" s="80" t="str">
        <f t="shared" si="9"/>
        <v>34</v>
      </c>
      <c r="Z47" t="str">
        <f t="shared" si="10"/>
        <v>343</v>
      </c>
      <c r="AB47" t="s">
        <v>407</v>
      </c>
      <c r="AC47" t="s">
        <v>408</v>
      </c>
      <c r="AD47" t="s">
        <v>403</v>
      </c>
      <c r="AE47" t="s">
        <v>404</v>
      </c>
      <c r="AF47" t="s">
        <v>268</v>
      </c>
      <c r="AG47" t="s">
        <v>405</v>
      </c>
    </row>
    <row r="48" spans="1:33">
      <c r="A48" s="83" t="str">
        <f>IF(C48="","",VLOOKUP('OPĆI DIO'!$C$3,'OPĆI DIO'!$L$6:$U$138,10,FALSE))</f>
        <v>08006</v>
      </c>
      <c r="B48" s="83" t="str">
        <f>IF(C48="","",VLOOKUP('OPĆI DIO'!$C$3,'OPĆI DIO'!$L$6:$U$138,9,FALSE))</f>
        <v>Sveučilišta i veleučilišta u Republici Hrvatskoj</v>
      </c>
      <c r="C48" s="288">
        <v>31</v>
      </c>
      <c r="D48" s="83" t="str">
        <f t="shared" si="0"/>
        <v>Vlastiti prihodi</v>
      </c>
      <c r="E48" s="288">
        <v>3211</v>
      </c>
      <c r="F48" s="83" t="str">
        <f t="shared" si="1"/>
        <v>Službena putovanja</v>
      </c>
      <c r="G48" s="290" t="s">
        <v>395</v>
      </c>
      <c r="H48" s="83" t="str">
        <f t="shared" si="2"/>
        <v>REDOVNA DJELATNOST SVEUČILIŠTA U RIJECI (IZ EVIDENCIJSKIH PRIHODA)</v>
      </c>
      <c r="I48" s="83" t="str">
        <f t="shared" si="3"/>
        <v>0942</v>
      </c>
      <c r="J48" s="78">
        <v>8892</v>
      </c>
      <c r="K48" s="69">
        <v>12500</v>
      </c>
      <c r="L48" s="78">
        <f t="shared" si="4"/>
        <v>3608</v>
      </c>
      <c r="M48" s="286"/>
      <c r="O48" t="str">
        <f t="shared" si="5"/>
        <v>321</v>
      </c>
      <c r="P48" t="str">
        <f t="shared" si="6"/>
        <v>32</v>
      </c>
      <c r="Q48" t="str">
        <f t="shared" si="7"/>
        <v>31</v>
      </c>
      <c r="R48" t="str">
        <f t="shared" si="8"/>
        <v>94</v>
      </c>
      <c r="V48">
        <v>3511</v>
      </c>
      <c r="W48" t="s">
        <v>409</v>
      </c>
      <c r="Y48" s="80" t="str">
        <f t="shared" si="9"/>
        <v>35</v>
      </c>
      <c r="Z48" t="str">
        <f t="shared" si="10"/>
        <v>351</v>
      </c>
      <c r="AB48" t="s">
        <v>410</v>
      </c>
      <c r="AC48" t="s">
        <v>411</v>
      </c>
      <c r="AD48" t="s">
        <v>403</v>
      </c>
      <c r="AE48" t="s">
        <v>404</v>
      </c>
      <c r="AF48" t="s">
        <v>268</v>
      </c>
      <c r="AG48" t="s">
        <v>405</v>
      </c>
    </row>
    <row r="49" spans="1:33">
      <c r="A49" s="83" t="str">
        <f>IF(C49="","",VLOOKUP('OPĆI DIO'!$C$3,'OPĆI DIO'!$L$6:$U$138,10,FALSE))</f>
        <v>08006</v>
      </c>
      <c r="B49" s="83" t="str">
        <f>IF(C49="","",VLOOKUP('OPĆI DIO'!$C$3,'OPĆI DIO'!$L$6:$U$138,9,FALSE))</f>
        <v>Sveučilišta i veleučilišta u Republici Hrvatskoj</v>
      </c>
      <c r="C49" s="288">
        <v>31</v>
      </c>
      <c r="D49" s="83" t="str">
        <f t="shared" si="0"/>
        <v>Vlastiti prihodi</v>
      </c>
      <c r="E49" s="288">
        <v>3212</v>
      </c>
      <c r="F49" s="83" t="str">
        <f t="shared" si="1"/>
        <v>Naknade za prijevoz, za rad na terenu i odvojeni život</v>
      </c>
      <c r="G49" s="290" t="s">
        <v>395</v>
      </c>
      <c r="H49" s="83" t="str">
        <f t="shared" si="2"/>
        <v>REDOVNA DJELATNOST SVEUČILIŠTA U RIJECI (IZ EVIDENCIJSKIH PRIHODA)</v>
      </c>
      <c r="I49" s="83" t="str">
        <f t="shared" si="3"/>
        <v>0942</v>
      </c>
      <c r="J49" s="78">
        <v>5043</v>
      </c>
      <c r="K49" s="69">
        <v>1524</v>
      </c>
      <c r="L49" s="78">
        <f t="shared" si="4"/>
        <v>-3519</v>
      </c>
      <c r="M49" s="286"/>
      <c r="O49" t="str">
        <f t="shared" si="5"/>
        <v>321</v>
      </c>
      <c r="P49" t="str">
        <f t="shared" si="6"/>
        <v>32</v>
      </c>
      <c r="Q49" t="str">
        <f t="shared" si="7"/>
        <v>31</v>
      </c>
      <c r="R49" t="str">
        <f t="shared" si="8"/>
        <v>94</v>
      </c>
      <c r="V49">
        <v>3512</v>
      </c>
      <c r="W49" t="s">
        <v>412</v>
      </c>
      <c r="Y49" s="80" t="str">
        <f t="shared" si="9"/>
        <v>35</v>
      </c>
      <c r="Z49" t="str">
        <f t="shared" si="10"/>
        <v>351</v>
      </c>
      <c r="AB49" t="s">
        <v>413</v>
      </c>
      <c r="AC49" t="s">
        <v>393</v>
      </c>
      <c r="AD49" t="s">
        <v>382</v>
      </c>
      <c r="AE49" t="s">
        <v>383</v>
      </c>
      <c r="AF49" t="s">
        <v>275</v>
      </c>
      <c r="AG49" t="s">
        <v>384</v>
      </c>
    </row>
    <row r="50" spans="1:33">
      <c r="A50" s="83" t="str">
        <f>IF(C50="","",VLOOKUP('OPĆI DIO'!$C$3,'OPĆI DIO'!$L$6:$U$138,10,FALSE))</f>
        <v>08006</v>
      </c>
      <c r="B50" s="83" t="str">
        <f>IF(C50="","",VLOOKUP('OPĆI DIO'!$C$3,'OPĆI DIO'!$L$6:$U$138,9,FALSE))</f>
        <v>Sveučilišta i veleučilišta u Republici Hrvatskoj</v>
      </c>
      <c r="C50" s="288">
        <v>31</v>
      </c>
      <c r="D50" s="83" t="str">
        <f t="shared" si="0"/>
        <v>Vlastiti prihodi</v>
      </c>
      <c r="E50" s="288">
        <v>3213</v>
      </c>
      <c r="F50" s="83" t="str">
        <f t="shared" si="1"/>
        <v>Stručno usavršavanje zaposlenika</v>
      </c>
      <c r="G50" s="290" t="s">
        <v>395</v>
      </c>
      <c r="H50" s="83" t="str">
        <f t="shared" si="2"/>
        <v>REDOVNA DJELATNOST SVEUČILIŠTA U RIJECI (IZ EVIDENCIJSKIH PRIHODA)</v>
      </c>
      <c r="I50" s="83" t="str">
        <f t="shared" si="3"/>
        <v>0942</v>
      </c>
      <c r="J50" s="78">
        <v>1327</v>
      </c>
      <c r="K50" s="69">
        <v>1000</v>
      </c>
      <c r="L50" s="78">
        <f t="shared" si="4"/>
        <v>-327</v>
      </c>
      <c r="M50" s="286"/>
      <c r="O50" t="str">
        <f t="shared" si="5"/>
        <v>321</v>
      </c>
      <c r="P50" t="str">
        <f t="shared" si="6"/>
        <v>32</v>
      </c>
      <c r="Q50" t="str">
        <f t="shared" si="7"/>
        <v>31</v>
      </c>
      <c r="R50" t="str">
        <f t="shared" si="8"/>
        <v>94</v>
      </c>
      <c r="V50">
        <v>3522</v>
      </c>
      <c r="W50" t="s">
        <v>414</v>
      </c>
      <c r="Y50" s="80" t="str">
        <f t="shared" si="9"/>
        <v>35</v>
      </c>
      <c r="Z50" t="str">
        <f t="shared" si="10"/>
        <v>352</v>
      </c>
      <c r="AB50" t="s">
        <v>415</v>
      </c>
      <c r="AC50" t="s">
        <v>416</v>
      </c>
      <c r="AD50" t="s">
        <v>403</v>
      </c>
      <c r="AE50" t="s">
        <v>404</v>
      </c>
      <c r="AF50" t="s">
        <v>268</v>
      </c>
      <c r="AG50" t="s">
        <v>405</v>
      </c>
    </row>
    <row r="51" spans="1:33">
      <c r="A51" s="83" t="str">
        <f>IF(C51="","",VLOOKUP('OPĆI DIO'!$C$3,'OPĆI DIO'!$L$6:$U$138,10,FALSE))</f>
        <v>08006</v>
      </c>
      <c r="B51" s="83" t="str">
        <f>IF(C51="","",VLOOKUP('OPĆI DIO'!$C$3,'OPĆI DIO'!$L$6:$U$138,9,FALSE))</f>
        <v>Sveučilišta i veleučilišta u Republici Hrvatskoj</v>
      </c>
      <c r="C51" s="288">
        <v>31</v>
      </c>
      <c r="D51" s="83" t="str">
        <f t="shared" si="0"/>
        <v>Vlastiti prihodi</v>
      </c>
      <c r="E51" s="288">
        <v>3214</v>
      </c>
      <c r="F51" s="83" t="str">
        <f t="shared" si="1"/>
        <v>Ostale naknade troškova zaposlenima</v>
      </c>
      <c r="G51" s="290" t="s">
        <v>395</v>
      </c>
      <c r="H51" s="83" t="str">
        <f t="shared" si="2"/>
        <v>REDOVNA DJELATNOST SVEUČILIŠTA U RIJECI (IZ EVIDENCIJSKIH PRIHODA)</v>
      </c>
      <c r="I51" s="83" t="str">
        <f t="shared" si="3"/>
        <v>0942</v>
      </c>
      <c r="J51" s="78">
        <v>133</v>
      </c>
      <c r="K51" s="69"/>
      <c r="L51" s="78">
        <f t="shared" si="4"/>
        <v>-133</v>
      </c>
      <c r="M51" s="286"/>
      <c r="O51" t="str">
        <f t="shared" si="5"/>
        <v>321</v>
      </c>
      <c r="P51" t="str">
        <f t="shared" si="6"/>
        <v>32</v>
      </c>
      <c r="Q51" t="str">
        <f t="shared" si="7"/>
        <v>31</v>
      </c>
      <c r="R51" t="str">
        <f t="shared" si="8"/>
        <v>94</v>
      </c>
      <c r="V51">
        <v>3531</v>
      </c>
      <c r="W51" t="s">
        <v>417</v>
      </c>
      <c r="Y51" s="80" t="str">
        <f t="shared" si="9"/>
        <v>35</v>
      </c>
      <c r="Z51" t="str">
        <f t="shared" si="10"/>
        <v>353</v>
      </c>
      <c r="AB51" t="s">
        <v>418</v>
      </c>
      <c r="AC51" t="s">
        <v>419</v>
      </c>
      <c r="AD51" t="s">
        <v>403</v>
      </c>
      <c r="AE51" t="s">
        <v>404</v>
      </c>
      <c r="AF51" t="s">
        <v>268</v>
      </c>
      <c r="AG51" t="s">
        <v>405</v>
      </c>
    </row>
    <row r="52" spans="1:33">
      <c r="A52" s="83" t="str">
        <f>IF(C52="","",VLOOKUP('OPĆI DIO'!$C$3,'OPĆI DIO'!$L$6:$U$138,10,FALSE))</f>
        <v>08006</v>
      </c>
      <c r="B52" s="83" t="str">
        <f>IF(C52="","",VLOOKUP('OPĆI DIO'!$C$3,'OPĆI DIO'!$L$6:$U$138,9,FALSE))</f>
        <v>Sveučilišta i veleučilišta u Republici Hrvatskoj</v>
      </c>
      <c r="C52" s="288">
        <v>31</v>
      </c>
      <c r="D52" s="83" t="str">
        <f t="shared" si="0"/>
        <v>Vlastiti prihodi</v>
      </c>
      <c r="E52" s="288">
        <v>3221</v>
      </c>
      <c r="F52" s="83" t="str">
        <f t="shared" si="1"/>
        <v>Uredski materijal i ostali materijalni rashodi</v>
      </c>
      <c r="G52" s="290" t="s">
        <v>395</v>
      </c>
      <c r="H52" s="83" t="str">
        <f t="shared" si="2"/>
        <v>REDOVNA DJELATNOST SVEUČILIŠTA U RIJECI (IZ EVIDENCIJSKIH PRIHODA)</v>
      </c>
      <c r="I52" s="83" t="str">
        <f t="shared" si="3"/>
        <v>0942</v>
      </c>
      <c r="J52" s="78">
        <v>531</v>
      </c>
      <c r="K52" s="69">
        <v>800</v>
      </c>
      <c r="L52" s="78">
        <f t="shared" si="4"/>
        <v>269</v>
      </c>
      <c r="M52" s="286"/>
      <c r="O52" t="str">
        <f t="shared" si="5"/>
        <v>322</v>
      </c>
      <c r="P52" t="str">
        <f t="shared" si="6"/>
        <v>32</v>
      </c>
      <c r="Q52" t="str">
        <f t="shared" si="7"/>
        <v>31</v>
      </c>
      <c r="R52" t="str">
        <f t="shared" si="8"/>
        <v>94</v>
      </c>
      <c r="V52">
        <v>3611</v>
      </c>
      <c r="W52" t="s">
        <v>420</v>
      </c>
      <c r="Y52" s="80" t="str">
        <f t="shared" si="9"/>
        <v>36</v>
      </c>
      <c r="Z52" t="str">
        <f t="shared" si="10"/>
        <v>361</v>
      </c>
      <c r="AB52" t="s">
        <v>421</v>
      </c>
      <c r="AC52" t="s">
        <v>422</v>
      </c>
      <c r="AD52" t="s">
        <v>403</v>
      </c>
      <c r="AE52" t="s">
        <v>404</v>
      </c>
      <c r="AF52" t="s">
        <v>268</v>
      </c>
      <c r="AG52" t="s">
        <v>405</v>
      </c>
    </row>
    <row r="53" spans="1:33">
      <c r="A53" s="83" t="str">
        <f>IF(C53="","",VLOOKUP('OPĆI DIO'!$C$3,'OPĆI DIO'!$L$6:$U$138,10,FALSE))</f>
        <v>08006</v>
      </c>
      <c r="B53" s="83" t="str">
        <f>IF(C53="","",VLOOKUP('OPĆI DIO'!$C$3,'OPĆI DIO'!$L$6:$U$138,9,FALSE))</f>
        <v>Sveučilišta i veleučilišta u Republici Hrvatskoj</v>
      </c>
      <c r="C53" s="288">
        <v>31</v>
      </c>
      <c r="D53" s="83" t="str">
        <f t="shared" si="0"/>
        <v>Vlastiti prihodi</v>
      </c>
      <c r="E53" s="288">
        <v>3222</v>
      </c>
      <c r="F53" s="83" t="str">
        <f t="shared" si="1"/>
        <v>Materijal i sirovine</v>
      </c>
      <c r="G53" s="290" t="s">
        <v>395</v>
      </c>
      <c r="H53" s="83" t="str">
        <f t="shared" si="2"/>
        <v>REDOVNA DJELATNOST SVEUČILIŠTA U RIJECI (IZ EVIDENCIJSKIH PRIHODA)</v>
      </c>
      <c r="I53" s="83" t="str">
        <f t="shared" si="3"/>
        <v>0942</v>
      </c>
      <c r="J53" s="78">
        <v>531</v>
      </c>
      <c r="K53" s="69">
        <v>1500</v>
      </c>
      <c r="L53" s="78">
        <f t="shared" si="4"/>
        <v>969</v>
      </c>
      <c r="M53" s="286"/>
      <c r="O53" t="str">
        <f t="shared" si="5"/>
        <v>322</v>
      </c>
      <c r="P53" t="str">
        <f t="shared" si="6"/>
        <v>32</v>
      </c>
      <c r="Q53" t="str">
        <f t="shared" si="7"/>
        <v>31</v>
      </c>
      <c r="R53" t="str">
        <f t="shared" si="8"/>
        <v>94</v>
      </c>
      <c r="V53">
        <v>3621</v>
      </c>
      <c r="W53" t="s">
        <v>423</v>
      </c>
      <c r="Y53" s="80" t="str">
        <f t="shared" si="9"/>
        <v>36</v>
      </c>
      <c r="Z53" t="str">
        <f t="shared" si="10"/>
        <v>362</v>
      </c>
      <c r="AB53" t="s">
        <v>424</v>
      </c>
      <c r="AC53" t="s">
        <v>425</v>
      </c>
      <c r="AD53" t="s">
        <v>426</v>
      </c>
      <c r="AE53" t="s">
        <v>427</v>
      </c>
      <c r="AF53" t="s">
        <v>268</v>
      </c>
      <c r="AG53" t="s">
        <v>428</v>
      </c>
    </row>
    <row r="54" spans="1:33">
      <c r="A54" s="83" t="str">
        <f>IF(C54="","",VLOOKUP('OPĆI DIO'!$C$3,'OPĆI DIO'!$L$6:$U$138,10,FALSE))</f>
        <v>08006</v>
      </c>
      <c r="B54" s="83" t="str">
        <f>IF(C54="","",VLOOKUP('OPĆI DIO'!$C$3,'OPĆI DIO'!$L$6:$U$138,9,FALSE))</f>
        <v>Sveučilišta i veleučilišta u Republici Hrvatskoj</v>
      </c>
      <c r="C54" s="288">
        <v>31</v>
      </c>
      <c r="D54" s="83" t="str">
        <f t="shared" si="0"/>
        <v>Vlastiti prihodi</v>
      </c>
      <c r="E54" s="288">
        <v>3223</v>
      </c>
      <c r="F54" s="83" t="str">
        <f t="shared" si="1"/>
        <v>Energija</v>
      </c>
      <c r="G54" s="290" t="s">
        <v>395</v>
      </c>
      <c r="H54" s="83" t="str">
        <f t="shared" si="2"/>
        <v>REDOVNA DJELATNOST SVEUČILIŠTA U RIJECI (IZ EVIDENCIJSKIH PRIHODA)</v>
      </c>
      <c r="I54" s="83" t="str">
        <f t="shared" si="3"/>
        <v>0942</v>
      </c>
      <c r="J54" s="78">
        <v>2256</v>
      </c>
      <c r="K54" s="69">
        <v>2000</v>
      </c>
      <c r="L54" s="78">
        <f t="shared" si="4"/>
        <v>-256</v>
      </c>
      <c r="M54" s="286"/>
      <c r="O54" t="str">
        <f t="shared" si="5"/>
        <v>322</v>
      </c>
      <c r="P54" t="str">
        <f t="shared" si="6"/>
        <v>32</v>
      </c>
      <c r="Q54" t="str">
        <f t="shared" si="7"/>
        <v>31</v>
      </c>
      <c r="R54" t="str">
        <f t="shared" si="8"/>
        <v>94</v>
      </c>
      <c r="V54">
        <v>3631</v>
      </c>
      <c r="W54" t="s">
        <v>429</v>
      </c>
      <c r="Y54" s="80" t="str">
        <f t="shared" si="9"/>
        <v>36</v>
      </c>
      <c r="Z54" t="str">
        <f t="shared" si="10"/>
        <v>363</v>
      </c>
      <c r="AB54" t="s">
        <v>430</v>
      </c>
      <c r="AC54" t="s">
        <v>431</v>
      </c>
      <c r="AD54" t="s">
        <v>426</v>
      </c>
      <c r="AE54" t="s">
        <v>427</v>
      </c>
      <c r="AF54" t="s">
        <v>268</v>
      </c>
      <c r="AG54" t="s">
        <v>428</v>
      </c>
    </row>
    <row r="55" spans="1:33">
      <c r="A55" s="83" t="str">
        <f>IF(C55="","",VLOOKUP('OPĆI DIO'!$C$3,'OPĆI DIO'!$L$6:$U$138,10,FALSE))</f>
        <v>08006</v>
      </c>
      <c r="B55" s="83" t="str">
        <f>IF(C55="","",VLOOKUP('OPĆI DIO'!$C$3,'OPĆI DIO'!$L$6:$U$138,9,FALSE))</f>
        <v>Sveučilišta i veleučilišta u Republici Hrvatskoj</v>
      </c>
      <c r="C55" s="288">
        <v>31</v>
      </c>
      <c r="D55" s="83" t="str">
        <f t="shared" si="0"/>
        <v>Vlastiti prihodi</v>
      </c>
      <c r="E55" s="288">
        <v>3231</v>
      </c>
      <c r="F55" s="83" t="str">
        <f t="shared" si="1"/>
        <v>Usluge telefona, pošte i prijevoza</v>
      </c>
      <c r="G55" s="290" t="s">
        <v>395</v>
      </c>
      <c r="H55" s="83" t="str">
        <f t="shared" si="2"/>
        <v>REDOVNA DJELATNOST SVEUČILIŠTA U RIJECI (IZ EVIDENCIJSKIH PRIHODA)</v>
      </c>
      <c r="I55" s="83" t="str">
        <f t="shared" si="3"/>
        <v>0942</v>
      </c>
      <c r="J55" s="78">
        <v>929</v>
      </c>
      <c r="K55" s="69"/>
      <c r="L55" s="78">
        <f t="shared" si="4"/>
        <v>-929</v>
      </c>
      <c r="M55" s="286"/>
      <c r="O55" t="str">
        <f t="shared" si="5"/>
        <v>323</v>
      </c>
      <c r="P55" t="str">
        <f t="shared" si="6"/>
        <v>32</v>
      </c>
      <c r="Q55" t="str">
        <f t="shared" si="7"/>
        <v>31</v>
      </c>
      <c r="R55" t="str">
        <f t="shared" si="8"/>
        <v>94</v>
      </c>
      <c r="V55">
        <v>3632</v>
      </c>
      <c r="W55" t="s">
        <v>432</v>
      </c>
      <c r="Y55" s="80" t="str">
        <f t="shared" si="9"/>
        <v>36</v>
      </c>
      <c r="Z55" t="str">
        <f t="shared" si="10"/>
        <v>363</v>
      </c>
      <c r="AB55" t="s">
        <v>433</v>
      </c>
      <c r="AC55" t="s">
        <v>434</v>
      </c>
      <c r="AD55" t="s">
        <v>426</v>
      </c>
      <c r="AE55" t="s">
        <v>427</v>
      </c>
      <c r="AF55" t="s">
        <v>268</v>
      </c>
      <c r="AG55" t="s">
        <v>428</v>
      </c>
    </row>
    <row r="56" spans="1:33">
      <c r="A56" s="83" t="str">
        <f>IF(C56="","",VLOOKUP('OPĆI DIO'!$C$3,'OPĆI DIO'!$L$6:$U$138,10,FALSE))</f>
        <v>08006</v>
      </c>
      <c r="B56" s="83" t="str">
        <f>IF(C56="","",VLOOKUP('OPĆI DIO'!$C$3,'OPĆI DIO'!$L$6:$U$138,9,FALSE))</f>
        <v>Sveučilišta i veleučilišta u Republici Hrvatskoj</v>
      </c>
      <c r="C56" s="288">
        <v>31</v>
      </c>
      <c r="D56" s="83" t="str">
        <f t="shared" si="0"/>
        <v>Vlastiti prihodi</v>
      </c>
      <c r="E56" s="288">
        <v>3233</v>
      </c>
      <c r="F56" s="83" t="str">
        <f t="shared" si="1"/>
        <v>Usluge promidžbe i informiranja</v>
      </c>
      <c r="G56" s="290" t="s">
        <v>395</v>
      </c>
      <c r="H56" s="83" t="str">
        <f t="shared" si="2"/>
        <v>REDOVNA DJELATNOST SVEUČILIŠTA U RIJECI (IZ EVIDENCIJSKIH PRIHODA)</v>
      </c>
      <c r="I56" s="83" t="str">
        <f t="shared" si="3"/>
        <v>0942</v>
      </c>
      <c r="J56" s="78">
        <v>1991</v>
      </c>
      <c r="K56" s="69">
        <v>11500</v>
      </c>
      <c r="L56" s="78">
        <f t="shared" si="4"/>
        <v>9509</v>
      </c>
      <c r="M56" s="286"/>
      <c r="O56" t="str">
        <f t="shared" si="5"/>
        <v>323</v>
      </c>
      <c r="P56" t="str">
        <f t="shared" si="6"/>
        <v>32</v>
      </c>
      <c r="Q56" t="str">
        <f t="shared" si="7"/>
        <v>31</v>
      </c>
      <c r="R56" t="str">
        <f t="shared" si="8"/>
        <v>94</v>
      </c>
      <c r="V56">
        <v>3661</v>
      </c>
      <c r="W56" t="s">
        <v>435</v>
      </c>
      <c r="Y56" s="80" t="str">
        <f t="shared" si="9"/>
        <v>36</v>
      </c>
      <c r="Z56" t="str">
        <f t="shared" si="10"/>
        <v>366</v>
      </c>
      <c r="AB56" t="s">
        <v>436</v>
      </c>
      <c r="AC56" t="s">
        <v>437</v>
      </c>
      <c r="AD56" t="s">
        <v>426</v>
      </c>
      <c r="AE56" t="s">
        <v>427</v>
      </c>
      <c r="AF56" t="s">
        <v>268</v>
      </c>
      <c r="AG56" t="s">
        <v>428</v>
      </c>
    </row>
    <row r="57" spans="1:33">
      <c r="A57" s="83" t="str">
        <f>IF(C57="","",VLOOKUP('OPĆI DIO'!$C$3,'OPĆI DIO'!$L$6:$U$138,10,FALSE))</f>
        <v>08006</v>
      </c>
      <c r="B57" s="83" t="str">
        <f>IF(C57="","",VLOOKUP('OPĆI DIO'!$C$3,'OPĆI DIO'!$L$6:$U$138,9,FALSE))</f>
        <v>Sveučilišta i veleučilišta u Republici Hrvatskoj</v>
      </c>
      <c r="C57" s="288">
        <v>31</v>
      </c>
      <c r="D57" s="83" t="str">
        <f t="shared" si="0"/>
        <v>Vlastiti prihodi</v>
      </c>
      <c r="E57" s="288">
        <v>3235</v>
      </c>
      <c r="F57" s="83" t="str">
        <f t="shared" si="1"/>
        <v>Zakupnine i najamnine</v>
      </c>
      <c r="G57" s="290" t="s">
        <v>395</v>
      </c>
      <c r="H57" s="83" t="str">
        <f t="shared" si="2"/>
        <v>REDOVNA DJELATNOST SVEUČILIŠTA U RIJECI (IZ EVIDENCIJSKIH PRIHODA)</v>
      </c>
      <c r="I57" s="83" t="str">
        <f t="shared" si="3"/>
        <v>0942</v>
      </c>
      <c r="J57" s="78">
        <v>10751</v>
      </c>
      <c r="K57" s="69">
        <v>6500</v>
      </c>
      <c r="L57" s="78">
        <f t="shared" si="4"/>
        <v>-4251</v>
      </c>
      <c r="M57" s="286"/>
      <c r="O57" t="str">
        <f t="shared" si="5"/>
        <v>323</v>
      </c>
      <c r="P57" t="str">
        <f t="shared" si="6"/>
        <v>32</v>
      </c>
      <c r="Q57" t="str">
        <f t="shared" si="7"/>
        <v>31</v>
      </c>
      <c r="R57" t="str">
        <f t="shared" si="8"/>
        <v>94</v>
      </c>
      <c r="V57">
        <v>3662</v>
      </c>
      <c r="W57" t="s">
        <v>438</v>
      </c>
      <c r="Y57" s="80" t="str">
        <f t="shared" si="9"/>
        <v>36</v>
      </c>
      <c r="Z57" t="str">
        <f t="shared" si="10"/>
        <v>366</v>
      </c>
      <c r="AB57" t="s">
        <v>439</v>
      </c>
      <c r="AC57" t="s">
        <v>440</v>
      </c>
      <c r="AD57" t="s">
        <v>426</v>
      </c>
      <c r="AE57" t="s">
        <v>427</v>
      </c>
      <c r="AF57" t="s">
        <v>268</v>
      </c>
      <c r="AG57" t="s">
        <v>428</v>
      </c>
    </row>
    <row r="58" spans="1:33">
      <c r="A58" s="83" t="str">
        <f>IF(C58="","",VLOOKUP('OPĆI DIO'!$C$3,'OPĆI DIO'!$L$6:$U$138,10,FALSE))</f>
        <v>08006</v>
      </c>
      <c r="B58" s="83" t="str">
        <f>IF(C58="","",VLOOKUP('OPĆI DIO'!$C$3,'OPĆI DIO'!$L$6:$U$138,9,FALSE))</f>
        <v>Sveučilišta i veleučilišta u Republici Hrvatskoj</v>
      </c>
      <c r="C58" s="288">
        <v>31</v>
      </c>
      <c r="D58" s="83" t="str">
        <f t="shared" si="0"/>
        <v>Vlastiti prihodi</v>
      </c>
      <c r="E58" s="288">
        <v>3236</v>
      </c>
      <c r="F58" s="83" t="str">
        <f t="shared" si="1"/>
        <v>Zdravstvene i veterinarske usluge</v>
      </c>
      <c r="G58" s="290" t="s">
        <v>395</v>
      </c>
      <c r="H58" s="83" t="str">
        <f t="shared" si="2"/>
        <v>REDOVNA DJELATNOST SVEUČILIŠTA U RIJECI (IZ EVIDENCIJSKIH PRIHODA)</v>
      </c>
      <c r="I58" s="83" t="str">
        <f t="shared" si="3"/>
        <v>0942</v>
      </c>
      <c r="J58" s="78">
        <v>664</v>
      </c>
      <c r="K58" s="69"/>
      <c r="L58" s="78">
        <f t="shared" si="4"/>
        <v>-664</v>
      </c>
      <c r="M58" s="286"/>
      <c r="O58" t="str">
        <f t="shared" si="5"/>
        <v>323</v>
      </c>
      <c r="P58" t="str">
        <f t="shared" si="6"/>
        <v>32</v>
      </c>
      <c r="Q58" t="str">
        <f t="shared" si="7"/>
        <v>31</v>
      </c>
      <c r="R58" t="str">
        <f t="shared" si="8"/>
        <v>94</v>
      </c>
      <c r="V58">
        <v>3681</v>
      </c>
      <c r="W58" t="s">
        <v>441</v>
      </c>
      <c r="Y58" s="80" t="str">
        <f t="shared" si="9"/>
        <v>36</v>
      </c>
      <c r="Z58" t="str">
        <f t="shared" si="10"/>
        <v>368</v>
      </c>
      <c r="AB58" t="s">
        <v>442</v>
      </c>
      <c r="AC58" t="s">
        <v>443</v>
      </c>
      <c r="AD58" t="s">
        <v>426</v>
      </c>
      <c r="AE58" t="s">
        <v>427</v>
      </c>
      <c r="AF58" t="s">
        <v>268</v>
      </c>
      <c r="AG58" t="s">
        <v>428</v>
      </c>
    </row>
    <row r="59" spans="1:33">
      <c r="A59" s="83" t="str">
        <f>IF(C59="","",VLOOKUP('OPĆI DIO'!$C$3,'OPĆI DIO'!$L$6:$U$138,10,FALSE))</f>
        <v>08006</v>
      </c>
      <c r="B59" s="83" t="str">
        <f>IF(C59="","",VLOOKUP('OPĆI DIO'!$C$3,'OPĆI DIO'!$L$6:$U$138,9,FALSE))</f>
        <v>Sveučilišta i veleučilišta u Republici Hrvatskoj</v>
      </c>
      <c r="C59" s="288">
        <v>31</v>
      </c>
      <c r="D59" s="83" t="str">
        <f t="shared" si="0"/>
        <v>Vlastiti prihodi</v>
      </c>
      <c r="E59" s="288">
        <v>3237</v>
      </c>
      <c r="F59" s="83" t="str">
        <f t="shared" si="1"/>
        <v>Intelektualne i osobne usluge</v>
      </c>
      <c r="G59" s="290" t="s">
        <v>395</v>
      </c>
      <c r="H59" s="83" t="str">
        <f t="shared" si="2"/>
        <v>REDOVNA DJELATNOST SVEUČILIŠTA U RIJECI (IZ EVIDENCIJSKIH PRIHODA)</v>
      </c>
      <c r="I59" s="83" t="str">
        <f t="shared" si="3"/>
        <v>0942</v>
      </c>
      <c r="J59" s="78">
        <v>295972</v>
      </c>
      <c r="K59" s="69">
        <v>380296</v>
      </c>
      <c r="L59" s="78">
        <f t="shared" si="4"/>
        <v>84324</v>
      </c>
      <c r="M59" s="286"/>
      <c r="O59" t="str">
        <f t="shared" si="5"/>
        <v>323</v>
      </c>
      <c r="P59" t="str">
        <f t="shared" si="6"/>
        <v>32</v>
      </c>
      <c r="Q59" t="str">
        <f t="shared" si="7"/>
        <v>31</v>
      </c>
      <c r="R59" t="str">
        <f t="shared" si="8"/>
        <v>94</v>
      </c>
      <c r="V59">
        <v>3682</v>
      </c>
      <c r="W59" t="s">
        <v>444</v>
      </c>
      <c r="Y59" s="80" t="str">
        <f t="shared" si="9"/>
        <v>36</v>
      </c>
      <c r="Z59" t="str">
        <f t="shared" si="10"/>
        <v>368</v>
      </c>
      <c r="AB59" t="s">
        <v>445</v>
      </c>
      <c r="AC59" t="s">
        <v>446</v>
      </c>
      <c r="AD59" t="s">
        <v>426</v>
      </c>
      <c r="AE59" t="s">
        <v>427</v>
      </c>
      <c r="AF59" t="s">
        <v>268</v>
      </c>
      <c r="AG59" t="s">
        <v>428</v>
      </c>
    </row>
    <row r="60" spans="1:33">
      <c r="A60" s="83" t="str">
        <f>IF(C60="","",VLOOKUP('OPĆI DIO'!$C$3,'OPĆI DIO'!$L$6:$U$138,10,FALSE))</f>
        <v>08006</v>
      </c>
      <c r="B60" s="83" t="str">
        <f>IF(C60="","",VLOOKUP('OPĆI DIO'!$C$3,'OPĆI DIO'!$L$6:$U$138,9,FALSE))</f>
        <v>Sveučilišta i veleučilišta u Republici Hrvatskoj</v>
      </c>
      <c r="C60" s="288">
        <v>31</v>
      </c>
      <c r="D60" s="83" t="str">
        <f t="shared" si="0"/>
        <v>Vlastiti prihodi</v>
      </c>
      <c r="E60" s="288">
        <v>3239</v>
      </c>
      <c r="F60" s="83" t="str">
        <f t="shared" si="1"/>
        <v>Ostale usluge</v>
      </c>
      <c r="G60" s="290" t="s">
        <v>395</v>
      </c>
      <c r="H60" s="83" t="str">
        <f t="shared" si="2"/>
        <v>REDOVNA DJELATNOST SVEUČILIŠTA U RIJECI (IZ EVIDENCIJSKIH PRIHODA)</v>
      </c>
      <c r="I60" s="83" t="str">
        <f t="shared" si="3"/>
        <v>0942</v>
      </c>
      <c r="J60" s="78">
        <v>8494</v>
      </c>
      <c r="K60" s="69">
        <v>100</v>
      </c>
      <c r="L60" s="78">
        <f t="shared" si="4"/>
        <v>-8394</v>
      </c>
      <c r="M60" s="286"/>
      <c r="O60" t="str">
        <f t="shared" si="5"/>
        <v>323</v>
      </c>
      <c r="P60" t="str">
        <f t="shared" si="6"/>
        <v>32</v>
      </c>
      <c r="Q60" t="str">
        <f t="shared" si="7"/>
        <v>31</v>
      </c>
      <c r="R60" t="str">
        <f t="shared" si="8"/>
        <v>94</v>
      </c>
      <c r="V60">
        <v>3691</v>
      </c>
      <c r="W60" t="s">
        <v>447</v>
      </c>
      <c r="Y60" s="80" t="str">
        <f t="shared" si="9"/>
        <v>36</v>
      </c>
      <c r="Z60" t="str">
        <f t="shared" si="10"/>
        <v>369</v>
      </c>
      <c r="AB60" t="s">
        <v>448</v>
      </c>
      <c r="AC60" t="s">
        <v>449</v>
      </c>
      <c r="AD60" t="s">
        <v>426</v>
      </c>
      <c r="AE60" t="s">
        <v>427</v>
      </c>
      <c r="AF60" t="s">
        <v>268</v>
      </c>
      <c r="AG60" t="s">
        <v>428</v>
      </c>
    </row>
    <row r="61" spans="1:33">
      <c r="A61" s="83" t="str">
        <f>IF(C61="","",VLOOKUP('OPĆI DIO'!$C$3,'OPĆI DIO'!$L$6:$U$138,10,FALSE))</f>
        <v>08006</v>
      </c>
      <c r="B61" s="83" t="str">
        <f>IF(C61="","",VLOOKUP('OPĆI DIO'!$C$3,'OPĆI DIO'!$L$6:$U$138,9,FALSE))</f>
        <v>Sveučilišta i veleučilišta u Republici Hrvatskoj</v>
      </c>
      <c r="C61" s="288">
        <v>31</v>
      </c>
      <c r="D61" s="83" t="str">
        <f t="shared" si="0"/>
        <v>Vlastiti prihodi</v>
      </c>
      <c r="E61" s="288">
        <v>3241</v>
      </c>
      <c r="F61" s="83" t="str">
        <f t="shared" si="1"/>
        <v>Naknade troškova osobama izvan radnog odnosa</v>
      </c>
      <c r="G61" s="290" t="s">
        <v>395</v>
      </c>
      <c r="H61" s="83" t="str">
        <f t="shared" si="2"/>
        <v>REDOVNA DJELATNOST SVEUČILIŠTA U RIJECI (IZ EVIDENCIJSKIH PRIHODA)</v>
      </c>
      <c r="I61" s="83" t="str">
        <f t="shared" si="3"/>
        <v>0942</v>
      </c>
      <c r="J61" s="78">
        <v>1327</v>
      </c>
      <c r="K61" s="69">
        <v>3470</v>
      </c>
      <c r="L61" s="78">
        <f t="shared" si="4"/>
        <v>2143</v>
      </c>
      <c r="M61" s="286"/>
      <c r="O61" t="str">
        <f t="shared" si="5"/>
        <v>324</v>
      </c>
      <c r="P61" t="str">
        <f t="shared" si="6"/>
        <v>32</v>
      </c>
      <c r="Q61" t="str">
        <f t="shared" si="7"/>
        <v>31</v>
      </c>
      <c r="R61" t="str">
        <f t="shared" si="8"/>
        <v>94</v>
      </c>
      <c r="V61">
        <v>3692</v>
      </c>
      <c r="W61" t="s">
        <v>450</v>
      </c>
      <c r="Y61" s="80" t="str">
        <f t="shared" si="9"/>
        <v>36</v>
      </c>
      <c r="Z61" t="str">
        <f t="shared" si="10"/>
        <v>369</v>
      </c>
      <c r="AB61" t="s">
        <v>451</v>
      </c>
      <c r="AC61" t="s">
        <v>452</v>
      </c>
      <c r="AD61" t="s">
        <v>426</v>
      </c>
      <c r="AE61" t="s">
        <v>427</v>
      </c>
      <c r="AF61" t="s">
        <v>268</v>
      </c>
      <c r="AG61" t="s">
        <v>428</v>
      </c>
    </row>
    <row r="62" spans="1:33">
      <c r="A62" s="83" t="str">
        <f>IF(C62="","",VLOOKUP('OPĆI DIO'!$C$3,'OPĆI DIO'!$L$6:$U$138,10,FALSE))</f>
        <v>08006</v>
      </c>
      <c r="B62" s="83" t="str">
        <f>IF(C62="","",VLOOKUP('OPĆI DIO'!$C$3,'OPĆI DIO'!$L$6:$U$138,9,FALSE))</f>
        <v>Sveučilišta i veleučilišta u Republici Hrvatskoj</v>
      </c>
      <c r="C62" s="288">
        <v>31</v>
      </c>
      <c r="D62" s="83" t="str">
        <f t="shared" si="0"/>
        <v>Vlastiti prihodi</v>
      </c>
      <c r="E62" s="288">
        <v>3293</v>
      </c>
      <c r="F62" s="83" t="str">
        <f t="shared" si="1"/>
        <v>Reprezentacija</v>
      </c>
      <c r="G62" s="290" t="s">
        <v>395</v>
      </c>
      <c r="H62" s="83" t="str">
        <f t="shared" si="2"/>
        <v>REDOVNA DJELATNOST SVEUČILIŠTA U RIJECI (IZ EVIDENCIJSKIH PRIHODA)</v>
      </c>
      <c r="I62" s="83" t="str">
        <f t="shared" si="3"/>
        <v>0942</v>
      </c>
      <c r="J62" s="78">
        <v>10751</v>
      </c>
      <c r="K62" s="69">
        <v>18019</v>
      </c>
      <c r="L62" s="78">
        <f t="shared" si="4"/>
        <v>7268</v>
      </c>
      <c r="M62" s="286"/>
      <c r="O62" t="str">
        <f t="shared" si="5"/>
        <v>329</v>
      </c>
      <c r="P62" t="str">
        <f t="shared" si="6"/>
        <v>32</v>
      </c>
      <c r="Q62" t="str">
        <f t="shared" si="7"/>
        <v>31</v>
      </c>
      <c r="R62" t="str">
        <f t="shared" si="8"/>
        <v>94</v>
      </c>
      <c r="V62">
        <v>3693</v>
      </c>
      <c r="W62" t="s">
        <v>447</v>
      </c>
      <c r="Y62" s="80" t="str">
        <f t="shared" si="9"/>
        <v>36</v>
      </c>
      <c r="Z62" t="str">
        <f t="shared" si="10"/>
        <v>369</v>
      </c>
      <c r="AB62" t="s">
        <v>453</v>
      </c>
      <c r="AC62" t="s">
        <v>454</v>
      </c>
      <c r="AD62" t="s">
        <v>300</v>
      </c>
      <c r="AE62" t="s">
        <v>301</v>
      </c>
      <c r="AF62" t="s">
        <v>268</v>
      </c>
      <c r="AG62" t="s">
        <v>302</v>
      </c>
    </row>
    <row r="63" spans="1:33">
      <c r="A63" s="83" t="str">
        <f>IF(C63="","",VLOOKUP('OPĆI DIO'!$C$3,'OPĆI DIO'!$L$6:$U$138,10,FALSE))</f>
        <v>08006</v>
      </c>
      <c r="B63" s="83" t="str">
        <f>IF(C63="","",VLOOKUP('OPĆI DIO'!$C$3,'OPĆI DIO'!$L$6:$U$138,9,FALSE))</f>
        <v>Sveučilišta i veleučilišta u Republici Hrvatskoj</v>
      </c>
      <c r="C63" s="288">
        <v>31</v>
      </c>
      <c r="D63" s="83" t="str">
        <f t="shared" si="0"/>
        <v>Vlastiti prihodi</v>
      </c>
      <c r="E63" s="288">
        <v>3295</v>
      </c>
      <c r="F63" s="83" t="str">
        <f t="shared" si="1"/>
        <v>Pristojbe i naknade</v>
      </c>
      <c r="G63" s="290" t="s">
        <v>395</v>
      </c>
      <c r="H63" s="83" t="str">
        <f t="shared" si="2"/>
        <v>REDOVNA DJELATNOST SVEUČILIŠTA U RIJECI (IZ EVIDENCIJSKIH PRIHODA)</v>
      </c>
      <c r="I63" s="83" t="str">
        <f t="shared" si="3"/>
        <v>0942</v>
      </c>
      <c r="J63" s="78">
        <v>3982</v>
      </c>
      <c r="K63" s="69">
        <v>3500</v>
      </c>
      <c r="L63" s="78">
        <f t="shared" si="4"/>
        <v>-482</v>
      </c>
      <c r="M63" s="286"/>
      <c r="O63" t="str">
        <f t="shared" si="5"/>
        <v>329</v>
      </c>
      <c r="P63" t="str">
        <f t="shared" si="6"/>
        <v>32</v>
      </c>
      <c r="Q63" t="str">
        <f t="shared" si="7"/>
        <v>31</v>
      </c>
      <c r="R63" t="str">
        <f t="shared" si="8"/>
        <v>94</v>
      </c>
      <c r="V63">
        <v>3694</v>
      </c>
      <c r="W63" t="s">
        <v>450</v>
      </c>
      <c r="Y63" s="80" t="str">
        <f t="shared" si="9"/>
        <v>36</v>
      </c>
      <c r="Z63" t="str">
        <f t="shared" si="10"/>
        <v>369</v>
      </c>
      <c r="AB63" t="s">
        <v>455</v>
      </c>
      <c r="AC63" t="s">
        <v>456</v>
      </c>
      <c r="AD63" t="s">
        <v>300</v>
      </c>
      <c r="AE63" t="s">
        <v>301</v>
      </c>
      <c r="AF63" t="s">
        <v>268</v>
      </c>
      <c r="AG63" t="s">
        <v>302</v>
      </c>
    </row>
    <row r="64" spans="1:33">
      <c r="A64" s="83" t="str">
        <f>IF(C64="","",VLOOKUP('OPĆI DIO'!$C$3,'OPĆI DIO'!$L$6:$U$138,10,FALSE))</f>
        <v>08006</v>
      </c>
      <c r="B64" s="83" t="str">
        <f>IF(C64="","",VLOOKUP('OPĆI DIO'!$C$3,'OPĆI DIO'!$L$6:$U$138,9,FALSE))</f>
        <v>Sveučilišta i veleučilišta u Republici Hrvatskoj</v>
      </c>
      <c r="C64" s="288">
        <v>31</v>
      </c>
      <c r="D64" s="83" t="str">
        <f t="shared" si="0"/>
        <v>Vlastiti prihodi</v>
      </c>
      <c r="E64" s="288">
        <v>3299</v>
      </c>
      <c r="F64" s="83" t="str">
        <f t="shared" si="1"/>
        <v>Ostali nespomenuti rashodi poslovanja</v>
      </c>
      <c r="G64" s="290" t="s">
        <v>395</v>
      </c>
      <c r="H64" s="83" t="str">
        <f t="shared" si="2"/>
        <v>REDOVNA DJELATNOST SVEUČILIŠTA U RIJECI (IZ EVIDENCIJSKIH PRIHODA)</v>
      </c>
      <c r="I64" s="83" t="str">
        <f t="shared" si="3"/>
        <v>0942</v>
      </c>
      <c r="J64" s="78">
        <v>265</v>
      </c>
      <c r="K64" s="69">
        <v>7200</v>
      </c>
      <c r="L64" s="78">
        <f t="shared" si="4"/>
        <v>6935</v>
      </c>
      <c r="M64" s="286"/>
      <c r="O64" t="str">
        <f t="shared" si="5"/>
        <v>329</v>
      </c>
      <c r="P64" t="str">
        <f t="shared" si="6"/>
        <v>32</v>
      </c>
      <c r="Q64" t="str">
        <f t="shared" si="7"/>
        <v>31</v>
      </c>
      <c r="R64" t="str">
        <f t="shared" si="8"/>
        <v>94</v>
      </c>
      <c r="V64">
        <v>3711</v>
      </c>
      <c r="W64" t="s">
        <v>457</v>
      </c>
      <c r="Y64" s="80" t="str">
        <f t="shared" si="9"/>
        <v>37</v>
      </c>
      <c r="Z64" t="str">
        <f t="shared" si="10"/>
        <v>371</v>
      </c>
      <c r="AB64" t="s">
        <v>458</v>
      </c>
      <c r="AC64" t="s">
        <v>459</v>
      </c>
      <c r="AD64" t="s">
        <v>300</v>
      </c>
      <c r="AE64" t="s">
        <v>301</v>
      </c>
      <c r="AF64" t="s">
        <v>268</v>
      </c>
      <c r="AG64" t="s">
        <v>302</v>
      </c>
    </row>
    <row r="65" spans="1:33">
      <c r="A65" s="83" t="str">
        <f>IF(C65="","",VLOOKUP('OPĆI DIO'!$C$3,'OPĆI DIO'!$L$6:$U$138,10,FALSE))</f>
        <v>08006</v>
      </c>
      <c r="B65" s="83" t="str">
        <f>IF(C65="","",VLOOKUP('OPĆI DIO'!$C$3,'OPĆI DIO'!$L$6:$U$138,9,FALSE))</f>
        <v>Sveučilišta i veleučilišta u Republici Hrvatskoj</v>
      </c>
      <c r="C65" s="288">
        <v>31</v>
      </c>
      <c r="D65" s="83" t="str">
        <f t="shared" si="0"/>
        <v>Vlastiti prihodi</v>
      </c>
      <c r="E65" s="288">
        <v>3431</v>
      </c>
      <c r="F65" s="83" t="str">
        <f t="shared" si="1"/>
        <v>Bankarske usluge i usluge platnog prometa</v>
      </c>
      <c r="G65" s="290" t="s">
        <v>395</v>
      </c>
      <c r="H65" s="83" t="str">
        <f t="shared" si="2"/>
        <v>REDOVNA DJELATNOST SVEUČILIŠTA U RIJECI (IZ EVIDENCIJSKIH PRIHODA)</v>
      </c>
      <c r="I65" s="83" t="str">
        <f t="shared" si="3"/>
        <v>0942</v>
      </c>
      <c r="J65" s="78">
        <v>1593</v>
      </c>
      <c r="K65" s="69">
        <v>650</v>
      </c>
      <c r="L65" s="78">
        <f t="shared" si="4"/>
        <v>-943</v>
      </c>
      <c r="M65" s="286"/>
      <c r="O65" t="str">
        <f t="shared" si="5"/>
        <v>343</v>
      </c>
      <c r="P65" t="str">
        <f t="shared" si="6"/>
        <v>34</v>
      </c>
      <c r="Q65" t="str">
        <f t="shared" si="7"/>
        <v>31</v>
      </c>
      <c r="R65" t="str">
        <f t="shared" si="8"/>
        <v>94</v>
      </c>
      <c r="V65">
        <v>3712</v>
      </c>
      <c r="W65" t="s">
        <v>460</v>
      </c>
      <c r="Y65" s="80" t="str">
        <f t="shared" si="9"/>
        <v>37</v>
      </c>
      <c r="Z65" t="str">
        <f t="shared" si="10"/>
        <v>371</v>
      </c>
      <c r="AB65" t="s">
        <v>461</v>
      </c>
      <c r="AC65" t="s">
        <v>462</v>
      </c>
      <c r="AD65" t="s">
        <v>426</v>
      </c>
      <c r="AE65" t="s">
        <v>427</v>
      </c>
      <c r="AF65" t="s">
        <v>268</v>
      </c>
      <c r="AG65" t="s">
        <v>428</v>
      </c>
    </row>
    <row r="66" spans="1:33">
      <c r="A66" s="83" t="str">
        <f>IF(C66="","",VLOOKUP('OPĆI DIO'!$C$3,'OPĆI DIO'!$L$6:$U$138,10,FALSE))</f>
        <v>08006</v>
      </c>
      <c r="B66" s="83" t="str">
        <f>IF(C66="","",VLOOKUP('OPĆI DIO'!$C$3,'OPĆI DIO'!$L$6:$U$138,9,FALSE))</f>
        <v>Sveučilišta i veleučilišta u Republici Hrvatskoj</v>
      </c>
      <c r="C66" s="288">
        <v>31</v>
      </c>
      <c r="D66" s="83" t="str">
        <f t="shared" si="0"/>
        <v>Vlastiti prihodi</v>
      </c>
      <c r="E66" s="288">
        <v>3433</v>
      </c>
      <c r="F66" s="83" t="str">
        <f t="shared" si="1"/>
        <v>Zatezne kamate</v>
      </c>
      <c r="G66" s="290" t="s">
        <v>395</v>
      </c>
      <c r="H66" s="83" t="str">
        <f t="shared" si="2"/>
        <v>REDOVNA DJELATNOST SVEUČILIŠTA U RIJECI (IZ EVIDENCIJSKIH PRIHODA)</v>
      </c>
      <c r="I66" s="83" t="str">
        <f t="shared" si="3"/>
        <v>0942</v>
      </c>
      <c r="J66" s="78">
        <v>133</v>
      </c>
      <c r="K66" s="69">
        <v>16</v>
      </c>
      <c r="L66" s="78">
        <f t="shared" si="4"/>
        <v>-117</v>
      </c>
      <c r="M66" s="286"/>
      <c r="O66" t="str">
        <f t="shared" si="5"/>
        <v>343</v>
      </c>
      <c r="P66" t="str">
        <f t="shared" si="6"/>
        <v>34</v>
      </c>
      <c r="Q66" t="str">
        <f t="shared" si="7"/>
        <v>31</v>
      </c>
      <c r="R66" t="str">
        <f t="shared" si="8"/>
        <v>94</v>
      </c>
      <c r="V66">
        <v>3713</v>
      </c>
      <c r="W66" t="s">
        <v>463</v>
      </c>
      <c r="Y66" s="80" t="str">
        <f t="shared" si="9"/>
        <v>37</v>
      </c>
      <c r="Z66" t="str">
        <f t="shared" si="10"/>
        <v>371</v>
      </c>
      <c r="AB66" t="s">
        <v>464</v>
      </c>
      <c r="AC66" t="s">
        <v>465</v>
      </c>
      <c r="AD66" t="s">
        <v>300</v>
      </c>
      <c r="AE66" t="s">
        <v>301</v>
      </c>
      <c r="AF66" t="s">
        <v>268</v>
      </c>
      <c r="AG66" t="s">
        <v>302</v>
      </c>
    </row>
    <row r="67" spans="1:33">
      <c r="A67" s="83" t="str">
        <f>IF(C67="","",VLOOKUP('OPĆI DIO'!$C$3,'OPĆI DIO'!$L$6:$U$138,10,FALSE))</f>
        <v>08006</v>
      </c>
      <c r="B67" s="83" t="str">
        <f>IF(C67="","",VLOOKUP('OPĆI DIO'!$C$3,'OPĆI DIO'!$L$6:$U$138,9,FALSE))</f>
        <v>Sveučilišta i veleučilišta u Republici Hrvatskoj</v>
      </c>
      <c r="C67" s="288">
        <v>31</v>
      </c>
      <c r="D67" s="83" t="str">
        <f t="shared" ref="D67:D130" si="11">IFERROR(VLOOKUP(C67,$S$6:$T$24,2,FALSE),"")</f>
        <v>Vlastiti prihodi</v>
      </c>
      <c r="E67" s="288">
        <v>3691</v>
      </c>
      <c r="F67" s="83" t="str">
        <f t="shared" ref="F67:F130" si="12">IFERROR(VLOOKUP(E67,$V$5:$X$129,2,FALSE),"")</f>
        <v>Tekući prijenosi između proračunskih korisnika istog proraču</v>
      </c>
      <c r="G67" s="290" t="s">
        <v>395</v>
      </c>
      <c r="H67" s="83" t="str">
        <f t="shared" ref="H67:H130" si="13">IFERROR(VLOOKUP(G67,$AB$6:$AC$327,2,FALSE),"")</f>
        <v>REDOVNA DJELATNOST SVEUČILIŠTA U RIJECI (IZ EVIDENCIJSKIH PRIHODA)</v>
      </c>
      <c r="I67" s="83" t="str">
        <f t="shared" ref="I67:I130" si="14">IFERROR(VLOOKUP(G67,$AB$6:$AF$327,3,FALSE),"")</f>
        <v>0942</v>
      </c>
      <c r="J67" s="78">
        <v>18581</v>
      </c>
      <c r="K67" s="69">
        <v>28096</v>
      </c>
      <c r="L67" s="78">
        <f t="shared" si="4"/>
        <v>9515</v>
      </c>
      <c r="M67" s="286" t="s">
        <v>148</v>
      </c>
      <c r="O67" t="str">
        <f t="shared" si="5"/>
        <v>369</v>
      </c>
      <c r="P67" t="str">
        <f t="shared" si="6"/>
        <v>36</v>
      </c>
      <c r="Q67" t="str">
        <f t="shared" si="7"/>
        <v>31</v>
      </c>
      <c r="R67" t="str">
        <f t="shared" si="8"/>
        <v>94</v>
      </c>
      <c r="V67">
        <v>3714</v>
      </c>
      <c r="W67" t="s">
        <v>466</v>
      </c>
      <c r="Y67" s="80" t="str">
        <f t="shared" si="9"/>
        <v>37</v>
      </c>
      <c r="Z67" t="str">
        <f t="shared" si="10"/>
        <v>371</v>
      </c>
      <c r="AB67" t="s">
        <v>467</v>
      </c>
      <c r="AC67" t="s">
        <v>468</v>
      </c>
      <c r="AD67" t="s">
        <v>273</v>
      </c>
      <c r="AE67" t="s">
        <v>274</v>
      </c>
      <c r="AF67" t="s">
        <v>275</v>
      </c>
      <c r="AG67" t="s">
        <v>276</v>
      </c>
    </row>
    <row r="68" spans="1:33">
      <c r="A68" s="83" t="str">
        <f>IF(C68="","",VLOOKUP('OPĆI DIO'!$C$3,'OPĆI DIO'!$L$6:$U$138,10,FALSE))</f>
        <v>08006</v>
      </c>
      <c r="B68" s="83" t="str">
        <f>IF(C68="","",VLOOKUP('OPĆI DIO'!$C$3,'OPĆI DIO'!$L$6:$U$138,9,FALSE))</f>
        <v>Sveučilišta i veleučilišta u Republici Hrvatskoj</v>
      </c>
      <c r="C68" s="288">
        <v>31</v>
      </c>
      <c r="D68" s="83" t="str">
        <f t="shared" si="11"/>
        <v>Vlastiti prihodi</v>
      </c>
      <c r="E68" s="288">
        <v>3811</v>
      </c>
      <c r="F68" s="83" t="str">
        <f t="shared" si="12"/>
        <v>Tekuće donacije u novcu</v>
      </c>
      <c r="G68" s="290" t="s">
        <v>395</v>
      </c>
      <c r="H68" s="83" t="str">
        <f t="shared" si="13"/>
        <v>REDOVNA DJELATNOST SVEUČILIŠTA U RIJECI (IZ EVIDENCIJSKIH PRIHODA)</v>
      </c>
      <c r="I68" s="83" t="str">
        <f t="shared" si="14"/>
        <v>0942</v>
      </c>
      <c r="J68" s="78">
        <v>5309</v>
      </c>
      <c r="K68" s="69">
        <v>5500</v>
      </c>
      <c r="L68" s="78">
        <f t="shared" ref="L68:L131" si="15">K68-J68</f>
        <v>191</v>
      </c>
      <c r="M68" s="286"/>
      <c r="O68" t="str">
        <f t="shared" ref="O68:O131" si="16">LEFT(E68,3)</f>
        <v>381</v>
      </c>
      <c r="P68" t="str">
        <f t="shared" ref="P68:P131" si="17">LEFT(E68,2)</f>
        <v>38</v>
      </c>
      <c r="Q68" t="str">
        <f t="shared" ref="Q68:Q131" si="18">LEFT(C68,3)</f>
        <v>31</v>
      </c>
      <c r="R68" t="str">
        <f t="shared" ref="R68:R131" si="19">MID(I68,2,2)</f>
        <v>94</v>
      </c>
      <c r="V68">
        <v>3715</v>
      </c>
      <c r="W68" t="s">
        <v>469</v>
      </c>
      <c r="Y68" s="80" t="str">
        <f t="shared" si="9"/>
        <v>37</v>
      </c>
      <c r="Z68" t="str">
        <f t="shared" si="10"/>
        <v>371</v>
      </c>
      <c r="AB68" t="s">
        <v>470</v>
      </c>
      <c r="AC68" t="s">
        <v>471</v>
      </c>
      <c r="AD68" t="s">
        <v>273</v>
      </c>
      <c r="AE68" t="s">
        <v>274</v>
      </c>
      <c r="AF68" t="s">
        <v>275</v>
      </c>
      <c r="AG68" t="s">
        <v>276</v>
      </c>
    </row>
    <row r="69" spans="1:33">
      <c r="A69" s="83" t="str">
        <f>IF(C69="","",VLOOKUP('OPĆI DIO'!$C$3,'OPĆI DIO'!$L$6:$U$138,10,FALSE))</f>
        <v>08006</v>
      </c>
      <c r="B69" s="83" t="str">
        <f>IF(C69="","",VLOOKUP('OPĆI DIO'!$C$3,'OPĆI DIO'!$L$6:$U$138,9,FALSE))</f>
        <v>Sveučilišta i veleučilišta u Republici Hrvatskoj</v>
      </c>
      <c r="C69" s="288">
        <v>31</v>
      </c>
      <c r="D69" s="83" t="str">
        <f t="shared" si="11"/>
        <v>Vlastiti prihodi</v>
      </c>
      <c r="E69" s="288">
        <v>3812</v>
      </c>
      <c r="F69" s="83" t="str">
        <f t="shared" si="12"/>
        <v>Tekuće donacije u naravi</v>
      </c>
      <c r="G69" s="290" t="s">
        <v>395</v>
      </c>
      <c r="H69" s="83" t="str">
        <f t="shared" si="13"/>
        <v>REDOVNA DJELATNOST SVEUČILIŠTA U RIJECI (IZ EVIDENCIJSKIH PRIHODA)</v>
      </c>
      <c r="I69" s="83" t="str">
        <f t="shared" si="14"/>
        <v>0942</v>
      </c>
      <c r="J69" s="78">
        <v>4645</v>
      </c>
      <c r="K69" s="69">
        <v>8716</v>
      </c>
      <c r="L69" s="78">
        <f t="shared" si="15"/>
        <v>4071</v>
      </c>
      <c r="M69" s="286"/>
      <c r="O69" t="str">
        <f t="shared" si="16"/>
        <v>381</v>
      </c>
      <c r="P69" t="str">
        <f t="shared" si="17"/>
        <v>38</v>
      </c>
      <c r="Q69" t="str">
        <f t="shared" si="18"/>
        <v>31</v>
      </c>
      <c r="R69" t="str">
        <f t="shared" si="19"/>
        <v>94</v>
      </c>
      <c r="V69">
        <v>3721</v>
      </c>
      <c r="W69" t="s">
        <v>472</v>
      </c>
      <c r="Y69" s="80" t="str">
        <f t="shared" si="9"/>
        <v>37</v>
      </c>
      <c r="Z69" t="str">
        <f t="shared" si="10"/>
        <v>372</v>
      </c>
      <c r="AB69" t="s">
        <v>473</v>
      </c>
      <c r="AC69" t="s">
        <v>474</v>
      </c>
      <c r="AD69" t="s">
        <v>273</v>
      </c>
      <c r="AE69" t="s">
        <v>274</v>
      </c>
      <c r="AF69" t="s">
        <v>275</v>
      </c>
      <c r="AG69" t="s">
        <v>276</v>
      </c>
    </row>
    <row r="70" spans="1:33">
      <c r="A70" s="83" t="str">
        <f>IF(C70="","",VLOOKUP('OPĆI DIO'!$C$3,'OPĆI DIO'!$L$6:$U$138,10,FALSE))</f>
        <v>08006</v>
      </c>
      <c r="B70" s="83" t="str">
        <f>IF(C70="","",VLOOKUP('OPĆI DIO'!$C$3,'OPĆI DIO'!$L$6:$U$138,9,FALSE))</f>
        <v>Sveučilišta i veleučilišta u Republici Hrvatskoj</v>
      </c>
      <c r="C70" s="288">
        <v>31</v>
      </c>
      <c r="D70" s="83" t="str">
        <f t="shared" si="11"/>
        <v>Vlastiti prihodi</v>
      </c>
      <c r="E70" s="288">
        <v>4221</v>
      </c>
      <c r="F70" s="83" t="str">
        <f t="shared" si="12"/>
        <v>Uredska oprema i namještaj</v>
      </c>
      <c r="G70" s="290" t="s">
        <v>395</v>
      </c>
      <c r="H70" s="83" t="str">
        <f t="shared" si="13"/>
        <v>REDOVNA DJELATNOST SVEUČILIŠTA U RIJECI (IZ EVIDENCIJSKIH PRIHODA)</v>
      </c>
      <c r="I70" s="83" t="str">
        <f t="shared" si="14"/>
        <v>0942</v>
      </c>
      <c r="J70" s="78">
        <v>27872</v>
      </c>
      <c r="K70" s="69">
        <v>500</v>
      </c>
      <c r="L70" s="78">
        <f t="shared" si="15"/>
        <v>-27372</v>
      </c>
      <c r="M70" s="286"/>
      <c r="O70" t="str">
        <f t="shared" si="16"/>
        <v>422</v>
      </c>
      <c r="P70" t="str">
        <f t="shared" si="17"/>
        <v>42</v>
      </c>
      <c r="Q70" t="str">
        <f t="shared" si="18"/>
        <v>31</v>
      </c>
      <c r="R70" t="str">
        <f t="shared" si="19"/>
        <v>94</v>
      </c>
      <c r="V70">
        <v>3722</v>
      </c>
      <c r="W70" t="s">
        <v>475</v>
      </c>
      <c r="Y70" s="80" t="str">
        <f t="shared" si="9"/>
        <v>37</v>
      </c>
      <c r="Z70" t="str">
        <f t="shared" si="10"/>
        <v>372</v>
      </c>
      <c r="AB70" t="s">
        <v>476</v>
      </c>
      <c r="AC70" t="s">
        <v>477</v>
      </c>
      <c r="AD70" t="s">
        <v>273</v>
      </c>
      <c r="AE70" t="s">
        <v>274</v>
      </c>
      <c r="AF70" t="s">
        <v>275</v>
      </c>
      <c r="AG70" t="s">
        <v>276</v>
      </c>
    </row>
    <row r="71" spans="1:33">
      <c r="A71" s="83" t="str">
        <f>IF(C71="","",VLOOKUP('OPĆI DIO'!$C$3,'OPĆI DIO'!$L$6:$U$138,10,FALSE))</f>
        <v/>
      </c>
      <c r="B71" s="83" t="str">
        <f>IF(C71="","",VLOOKUP('OPĆI DIO'!$C$3,'OPĆI DIO'!$L$6:$U$138,9,FALSE))</f>
        <v/>
      </c>
      <c r="C71" s="288"/>
      <c r="D71" s="83" t="str">
        <f t="shared" si="11"/>
        <v/>
      </c>
      <c r="E71" s="288"/>
      <c r="F71" s="83" t="str">
        <f t="shared" si="12"/>
        <v/>
      </c>
      <c r="G71" s="290"/>
      <c r="H71" s="83" t="str">
        <f t="shared" si="13"/>
        <v/>
      </c>
      <c r="I71" s="83" t="str">
        <f t="shared" si="14"/>
        <v/>
      </c>
      <c r="J71" s="78"/>
      <c r="K71" s="69"/>
      <c r="L71" s="78">
        <f t="shared" si="15"/>
        <v>0</v>
      </c>
      <c r="M71" s="286"/>
      <c r="O71" t="str">
        <f t="shared" si="16"/>
        <v/>
      </c>
      <c r="P71" t="str">
        <f t="shared" si="17"/>
        <v/>
      </c>
      <c r="Q71" t="str">
        <f t="shared" si="18"/>
        <v/>
      </c>
      <c r="R71" t="str">
        <f t="shared" si="19"/>
        <v/>
      </c>
      <c r="V71">
        <v>3723</v>
      </c>
      <c r="W71" t="s">
        <v>478</v>
      </c>
      <c r="Y71" s="80" t="str">
        <f t="shared" si="9"/>
        <v>37</v>
      </c>
      <c r="Z71" t="str">
        <f t="shared" si="10"/>
        <v>372</v>
      </c>
      <c r="AB71" t="s">
        <v>479</v>
      </c>
      <c r="AC71" t="s">
        <v>480</v>
      </c>
      <c r="AD71" t="s">
        <v>273</v>
      </c>
      <c r="AE71" t="s">
        <v>274</v>
      </c>
      <c r="AF71" t="s">
        <v>275</v>
      </c>
      <c r="AG71" t="s">
        <v>276</v>
      </c>
    </row>
    <row r="72" spans="1:33">
      <c r="A72" s="83" t="str">
        <f>IF(C72="","",VLOOKUP('OPĆI DIO'!$C$3,'OPĆI DIO'!$L$6:$U$138,10,FALSE))</f>
        <v/>
      </c>
      <c r="B72" s="83" t="str">
        <f>IF(C72="","",VLOOKUP('OPĆI DIO'!$C$3,'OPĆI DIO'!$L$6:$U$138,9,FALSE))</f>
        <v/>
      </c>
      <c r="C72" s="288"/>
      <c r="D72" s="83" t="str">
        <f t="shared" si="11"/>
        <v/>
      </c>
      <c r="E72" s="288"/>
      <c r="F72" s="83" t="str">
        <f t="shared" si="12"/>
        <v/>
      </c>
      <c r="G72" s="290"/>
      <c r="H72" s="83" t="str">
        <f t="shared" si="13"/>
        <v/>
      </c>
      <c r="I72" s="83" t="str">
        <f t="shared" si="14"/>
        <v/>
      </c>
      <c r="J72" s="78"/>
      <c r="K72" s="69"/>
      <c r="L72" s="78">
        <f t="shared" si="15"/>
        <v>0</v>
      </c>
      <c r="M72" s="286"/>
      <c r="O72" t="str">
        <f t="shared" si="16"/>
        <v/>
      </c>
      <c r="P72" t="str">
        <f t="shared" si="17"/>
        <v/>
      </c>
      <c r="Q72" t="str">
        <f t="shared" si="18"/>
        <v/>
      </c>
      <c r="R72" t="str">
        <f t="shared" si="19"/>
        <v/>
      </c>
      <c r="V72">
        <v>3811</v>
      </c>
      <c r="W72" t="s">
        <v>481</v>
      </c>
      <c r="Y72" s="80" t="str">
        <f t="shared" si="9"/>
        <v>38</v>
      </c>
      <c r="Z72" t="str">
        <f t="shared" si="10"/>
        <v>381</v>
      </c>
      <c r="AB72" t="s">
        <v>482</v>
      </c>
      <c r="AC72" t="s">
        <v>483</v>
      </c>
      <c r="AD72" t="s">
        <v>273</v>
      </c>
      <c r="AE72" t="s">
        <v>274</v>
      </c>
      <c r="AF72" t="s">
        <v>275</v>
      </c>
      <c r="AG72" t="s">
        <v>276</v>
      </c>
    </row>
    <row r="73" spans="1:33">
      <c r="A73" s="83" t="str">
        <f>IF(C73="","",VLOOKUP('OPĆI DIO'!$C$3,'OPĆI DIO'!$L$6:$U$138,10,FALSE))</f>
        <v>08006</v>
      </c>
      <c r="B73" s="83" t="str">
        <f>IF(C73="","",VLOOKUP('OPĆI DIO'!$C$3,'OPĆI DIO'!$L$6:$U$138,9,FALSE))</f>
        <v>Sveučilišta i veleučilišta u Republici Hrvatskoj</v>
      </c>
      <c r="C73" s="288">
        <v>43</v>
      </c>
      <c r="D73" s="83" t="str">
        <f t="shared" si="11"/>
        <v>Ostali prihodi za posebne namjene</v>
      </c>
      <c r="E73" s="288">
        <v>3111</v>
      </c>
      <c r="F73" s="83" t="str">
        <f t="shared" si="12"/>
        <v>Plaće za redovan rad</v>
      </c>
      <c r="G73" s="290" t="s">
        <v>395</v>
      </c>
      <c r="H73" s="83" t="str">
        <f t="shared" si="13"/>
        <v>REDOVNA DJELATNOST SVEUČILIŠTA U RIJECI (IZ EVIDENCIJSKIH PRIHODA)</v>
      </c>
      <c r="I73" s="83" t="str">
        <f t="shared" si="14"/>
        <v>0942</v>
      </c>
      <c r="J73" s="78">
        <v>161774</v>
      </c>
      <c r="K73" s="69">
        <v>308220</v>
      </c>
      <c r="L73" s="78">
        <f t="shared" si="15"/>
        <v>146446</v>
      </c>
      <c r="M73" s="286"/>
      <c r="O73" t="str">
        <f t="shared" si="16"/>
        <v>311</v>
      </c>
      <c r="P73" t="str">
        <f t="shared" si="17"/>
        <v>31</v>
      </c>
      <c r="Q73" t="str">
        <f t="shared" si="18"/>
        <v>43</v>
      </c>
      <c r="R73" t="str">
        <f t="shared" si="19"/>
        <v>94</v>
      </c>
      <c r="V73">
        <v>3812</v>
      </c>
      <c r="W73" t="s">
        <v>484</v>
      </c>
      <c r="Y73" s="80" t="str">
        <f t="shared" si="9"/>
        <v>38</v>
      </c>
      <c r="Z73" t="str">
        <f t="shared" si="10"/>
        <v>381</v>
      </c>
      <c r="AB73" t="s">
        <v>485</v>
      </c>
      <c r="AC73" t="s">
        <v>486</v>
      </c>
      <c r="AD73" t="s">
        <v>273</v>
      </c>
      <c r="AE73" t="s">
        <v>274</v>
      </c>
      <c r="AF73" t="s">
        <v>275</v>
      </c>
      <c r="AG73" t="s">
        <v>276</v>
      </c>
    </row>
    <row r="74" spans="1:33">
      <c r="A74" s="83" t="str">
        <f>IF(C74="","",VLOOKUP('OPĆI DIO'!$C$3,'OPĆI DIO'!$L$6:$U$138,10,FALSE))</f>
        <v>08006</v>
      </c>
      <c r="B74" s="83" t="str">
        <f>IF(C74="","",VLOOKUP('OPĆI DIO'!$C$3,'OPĆI DIO'!$L$6:$U$138,9,FALSE))</f>
        <v>Sveučilišta i veleučilišta u Republici Hrvatskoj</v>
      </c>
      <c r="C74" s="288">
        <v>43</v>
      </c>
      <c r="D74" s="83" t="str">
        <f t="shared" si="11"/>
        <v>Ostali prihodi za posebne namjene</v>
      </c>
      <c r="E74" s="288">
        <v>3112</v>
      </c>
      <c r="F74" s="83" t="str">
        <f t="shared" si="12"/>
        <v>Plaće u naravi</v>
      </c>
      <c r="G74" s="290" t="s">
        <v>395</v>
      </c>
      <c r="H74" s="83" t="str">
        <f t="shared" si="13"/>
        <v>REDOVNA DJELATNOST SVEUČILIŠTA U RIJECI (IZ EVIDENCIJSKIH PRIHODA)</v>
      </c>
      <c r="I74" s="83" t="str">
        <f t="shared" si="14"/>
        <v>0942</v>
      </c>
      <c r="J74" s="78">
        <v>2256</v>
      </c>
      <c r="K74" s="69">
        <v>2000</v>
      </c>
      <c r="L74" s="78">
        <f t="shared" si="15"/>
        <v>-256</v>
      </c>
      <c r="M74" s="286"/>
      <c r="O74" t="str">
        <f t="shared" si="16"/>
        <v>311</v>
      </c>
      <c r="P74" t="str">
        <f t="shared" si="17"/>
        <v>31</v>
      </c>
      <c r="Q74" t="str">
        <f t="shared" si="18"/>
        <v>43</v>
      </c>
      <c r="R74" t="str">
        <f t="shared" si="19"/>
        <v>94</v>
      </c>
      <c r="V74">
        <v>3813</v>
      </c>
      <c r="W74" t="s">
        <v>487</v>
      </c>
      <c r="Y74" s="80" t="str">
        <f t="shared" ref="Y74:Y80" si="20">LEFT(V74,2)</f>
        <v>38</v>
      </c>
      <c r="Z74" t="str">
        <f t="shared" ref="Z74:Z80" si="21">LEFT(V74,3)</f>
        <v>381</v>
      </c>
      <c r="AB74" t="s">
        <v>488</v>
      </c>
      <c r="AC74" t="s">
        <v>489</v>
      </c>
      <c r="AD74" t="s">
        <v>280</v>
      </c>
      <c r="AE74" t="s">
        <v>281</v>
      </c>
      <c r="AF74" t="s">
        <v>268</v>
      </c>
      <c r="AG74" t="s">
        <v>282</v>
      </c>
    </row>
    <row r="75" spans="1:33">
      <c r="A75" s="83" t="str">
        <f>IF(C75="","",VLOOKUP('OPĆI DIO'!$C$3,'OPĆI DIO'!$L$6:$U$138,10,FALSE))</f>
        <v>08006</v>
      </c>
      <c r="B75" s="83" t="str">
        <f>IF(C75="","",VLOOKUP('OPĆI DIO'!$C$3,'OPĆI DIO'!$L$6:$U$138,9,FALSE))</f>
        <v>Sveučilišta i veleučilišta u Republici Hrvatskoj</v>
      </c>
      <c r="C75" s="288">
        <v>43</v>
      </c>
      <c r="D75" s="83" t="str">
        <f t="shared" si="11"/>
        <v>Ostali prihodi za posebne namjene</v>
      </c>
      <c r="E75" s="288">
        <v>3132</v>
      </c>
      <c r="F75" s="83" t="str">
        <f t="shared" si="12"/>
        <v>Doprinosi za obvezno zdravstveno osiguranje</v>
      </c>
      <c r="G75" s="290" t="s">
        <v>395</v>
      </c>
      <c r="H75" s="83" t="str">
        <f t="shared" si="13"/>
        <v>REDOVNA DJELATNOST SVEUČILIŠTA U RIJECI (IZ EVIDENCIJSKIH PRIHODA)</v>
      </c>
      <c r="I75" s="83" t="str">
        <f t="shared" si="14"/>
        <v>0942</v>
      </c>
      <c r="J75" s="78">
        <v>26692</v>
      </c>
      <c r="K75" s="69">
        <v>50850</v>
      </c>
      <c r="L75" s="78">
        <f t="shared" si="15"/>
        <v>24158</v>
      </c>
      <c r="M75" s="286"/>
      <c r="O75" t="str">
        <f t="shared" si="16"/>
        <v>313</v>
      </c>
      <c r="P75" t="str">
        <f t="shared" si="17"/>
        <v>31</v>
      </c>
      <c r="Q75" t="str">
        <f t="shared" si="18"/>
        <v>43</v>
      </c>
      <c r="R75" t="str">
        <f t="shared" si="19"/>
        <v>94</v>
      </c>
      <c r="V75">
        <v>3821</v>
      </c>
      <c r="W75" t="s">
        <v>490</v>
      </c>
      <c r="Y75" s="80" t="str">
        <f t="shared" si="20"/>
        <v>38</v>
      </c>
      <c r="Z75" t="str">
        <f t="shared" si="21"/>
        <v>382</v>
      </c>
      <c r="AB75" t="s">
        <v>491</v>
      </c>
      <c r="AC75" t="s">
        <v>492</v>
      </c>
      <c r="AD75" t="s">
        <v>280</v>
      </c>
      <c r="AE75" t="s">
        <v>281</v>
      </c>
      <c r="AF75" t="s">
        <v>268</v>
      </c>
      <c r="AG75" t="s">
        <v>282</v>
      </c>
    </row>
    <row r="76" spans="1:33">
      <c r="A76" s="83" t="str">
        <f>IF(C76="","",VLOOKUP('OPĆI DIO'!$C$3,'OPĆI DIO'!$L$6:$U$138,10,FALSE))</f>
        <v>08006</v>
      </c>
      <c r="B76" s="83" t="str">
        <f>IF(C76="","",VLOOKUP('OPĆI DIO'!$C$3,'OPĆI DIO'!$L$6:$U$138,9,FALSE))</f>
        <v>Sveučilišta i veleučilišta u Republici Hrvatskoj</v>
      </c>
      <c r="C76" s="288">
        <v>43</v>
      </c>
      <c r="D76" s="83" t="str">
        <f t="shared" si="11"/>
        <v>Ostali prihodi za posebne namjene</v>
      </c>
      <c r="E76" s="288">
        <v>3211</v>
      </c>
      <c r="F76" s="83" t="str">
        <f t="shared" si="12"/>
        <v>Službena putovanja</v>
      </c>
      <c r="G76" s="290" t="s">
        <v>395</v>
      </c>
      <c r="H76" s="83" t="str">
        <f t="shared" si="13"/>
        <v>REDOVNA DJELATNOST SVEUČILIŠTA U RIJECI (IZ EVIDENCIJSKIH PRIHODA)</v>
      </c>
      <c r="I76" s="83" t="str">
        <f t="shared" si="14"/>
        <v>0942</v>
      </c>
      <c r="J76" s="78">
        <v>33844</v>
      </c>
      <c r="K76" s="69">
        <v>43233</v>
      </c>
      <c r="L76" s="78">
        <f t="shared" si="15"/>
        <v>9389</v>
      </c>
      <c r="M76" s="286"/>
      <c r="O76" t="str">
        <f t="shared" si="16"/>
        <v>321</v>
      </c>
      <c r="P76" t="str">
        <f t="shared" si="17"/>
        <v>32</v>
      </c>
      <c r="Q76" t="str">
        <f t="shared" si="18"/>
        <v>43</v>
      </c>
      <c r="R76" t="str">
        <f t="shared" si="19"/>
        <v>94</v>
      </c>
      <c r="V76">
        <v>3831</v>
      </c>
      <c r="W76" t="s">
        <v>493</v>
      </c>
      <c r="Y76" s="80" t="str">
        <f t="shared" si="20"/>
        <v>38</v>
      </c>
      <c r="Z76" t="str">
        <f t="shared" si="21"/>
        <v>383</v>
      </c>
      <c r="AB76" t="s">
        <v>494</v>
      </c>
      <c r="AC76" t="s">
        <v>495</v>
      </c>
      <c r="AD76" t="s">
        <v>273</v>
      </c>
      <c r="AE76" t="s">
        <v>274</v>
      </c>
      <c r="AF76" t="s">
        <v>275</v>
      </c>
      <c r="AG76" t="s">
        <v>276</v>
      </c>
    </row>
    <row r="77" spans="1:33">
      <c r="A77" s="83" t="str">
        <f>IF(C77="","",VLOOKUP('OPĆI DIO'!$C$3,'OPĆI DIO'!$L$6:$U$138,10,FALSE))</f>
        <v>08006</v>
      </c>
      <c r="B77" s="83" t="str">
        <f>IF(C77="","",VLOOKUP('OPĆI DIO'!$C$3,'OPĆI DIO'!$L$6:$U$138,9,FALSE))</f>
        <v>Sveučilišta i veleučilišta u Republici Hrvatskoj</v>
      </c>
      <c r="C77" s="288">
        <v>43</v>
      </c>
      <c r="D77" s="83" t="str">
        <f t="shared" si="11"/>
        <v>Ostali prihodi za posebne namjene</v>
      </c>
      <c r="E77" s="288">
        <v>3213</v>
      </c>
      <c r="F77" s="83" t="str">
        <f t="shared" si="12"/>
        <v>Stručno usavršavanje zaposlenika</v>
      </c>
      <c r="G77" s="290" t="s">
        <v>395</v>
      </c>
      <c r="H77" s="83" t="str">
        <f t="shared" si="13"/>
        <v>REDOVNA DJELATNOST SVEUČILIŠTA U RIJECI (IZ EVIDENCIJSKIH PRIHODA)</v>
      </c>
      <c r="I77" s="83" t="str">
        <f t="shared" si="14"/>
        <v>0942</v>
      </c>
      <c r="J77" s="78">
        <v>12343</v>
      </c>
      <c r="K77" s="69">
        <v>15810</v>
      </c>
      <c r="L77" s="78">
        <f t="shared" si="15"/>
        <v>3467</v>
      </c>
      <c r="M77" s="286"/>
      <c r="O77" t="str">
        <f t="shared" si="16"/>
        <v>321</v>
      </c>
      <c r="P77" t="str">
        <f t="shared" si="17"/>
        <v>32</v>
      </c>
      <c r="Q77" t="str">
        <f t="shared" si="18"/>
        <v>43</v>
      </c>
      <c r="R77" t="str">
        <f t="shared" si="19"/>
        <v>94</v>
      </c>
      <c r="V77">
        <v>3832</v>
      </c>
      <c r="W77" t="s">
        <v>496</v>
      </c>
      <c r="Y77" s="80" t="str">
        <f t="shared" si="20"/>
        <v>38</v>
      </c>
      <c r="Z77" t="str">
        <f t="shared" si="21"/>
        <v>383</v>
      </c>
      <c r="AB77" t="s">
        <v>497</v>
      </c>
      <c r="AC77" t="s">
        <v>498</v>
      </c>
      <c r="AD77" t="s">
        <v>280</v>
      </c>
      <c r="AE77" t="s">
        <v>281</v>
      </c>
      <c r="AF77" t="s">
        <v>268</v>
      </c>
      <c r="AG77" t="s">
        <v>282</v>
      </c>
    </row>
    <row r="78" spans="1:33">
      <c r="A78" s="83" t="str">
        <f>IF(C78="","",VLOOKUP('OPĆI DIO'!$C$3,'OPĆI DIO'!$L$6:$U$138,10,FALSE))</f>
        <v>08006</v>
      </c>
      <c r="B78" s="83" t="str">
        <f>IF(C78="","",VLOOKUP('OPĆI DIO'!$C$3,'OPĆI DIO'!$L$6:$U$138,9,FALSE))</f>
        <v>Sveučilišta i veleučilišta u Republici Hrvatskoj</v>
      </c>
      <c r="C78" s="288">
        <v>43</v>
      </c>
      <c r="D78" s="83" t="str">
        <f t="shared" si="11"/>
        <v>Ostali prihodi za posebne namjene</v>
      </c>
      <c r="E78" s="288">
        <v>3221</v>
      </c>
      <c r="F78" s="83" t="str">
        <f t="shared" si="12"/>
        <v>Uredski materijal i ostali materijalni rashodi</v>
      </c>
      <c r="G78" s="290" t="s">
        <v>395</v>
      </c>
      <c r="H78" s="83" t="str">
        <f t="shared" si="13"/>
        <v>REDOVNA DJELATNOST SVEUČILIŠTA U RIJECI (IZ EVIDENCIJSKIH PRIHODA)</v>
      </c>
      <c r="I78" s="83" t="str">
        <f t="shared" si="14"/>
        <v>0942</v>
      </c>
      <c r="J78" s="78">
        <v>6636</v>
      </c>
      <c r="K78" s="69">
        <v>15020</v>
      </c>
      <c r="L78" s="78">
        <f t="shared" si="15"/>
        <v>8384</v>
      </c>
      <c r="M78" s="286"/>
      <c r="O78" t="str">
        <f t="shared" si="16"/>
        <v>322</v>
      </c>
      <c r="P78" t="str">
        <f t="shared" si="17"/>
        <v>32</v>
      </c>
      <c r="Q78" t="str">
        <f t="shared" si="18"/>
        <v>43</v>
      </c>
      <c r="R78" t="str">
        <f t="shared" si="19"/>
        <v>94</v>
      </c>
      <c r="V78">
        <v>3833</v>
      </c>
      <c r="W78" t="s">
        <v>499</v>
      </c>
      <c r="Y78" s="80" t="str">
        <f t="shared" si="20"/>
        <v>38</v>
      </c>
      <c r="Z78" t="str">
        <f t="shared" si="21"/>
        <v>383</v>
      </c>
      <c r="AB78" t="s">
        <v>500</v>
      </c>
      <c r="AC78" t="s">
        <v>501</v>
      </c>
      <c r="AD78" t="s">
        <v>280</v>
      </c>
      <c r="AE78" t="s">
        <v>281</v>
      </c>
      <c r="AF78" t="s">
        <v>268</v>
      </c>
      <c r="AG78" t="s">
        <v>282</v>
      </c>
    </row>
    <row r="79" spans="1:33">
      <c r="A79" s="83" t="str">
        <f>IF(C79="","",VLOOKUP('OPĆI DIO'!$C$3,'OPĆI DIO'!$L$6:$U$138,10,FALSE))</f>
        <v>08006</v>
      </c>
      <c r="B79" s="83" t="str">
        <f>IF(C79="","",VLOOKUP('OPĆI DIO'!$C$3,'OPĆI DIO'!$L$6:$U$138,9,FALSE))</f>
        <v>Sveučilišta i veleučilišta u Republici Hrvatskoj</v>
      </c>
      <c r="C79" s="288">
        <v>43</v>
      </c>
      <c r="D79" s="83" t="str">
        <f t="shared" si="11"/>
        <v>Ostali prihodi za posebne namjene</v>
      </c>
      <c r="E79" s="288">
        <v>3222</v>
      </c>
      <c r="F79" s="83" t="str">
        <f t="shared" si="12"/>
        <v>Materijal i sirovine</v>
      </c>
      <c r="G79" s="290" t="s">
        <v>395</v>
      </c>
      <c r="H79" s="83" t="str">
        <f t="shared" si="13"/>
        <v>REDOVNA DJELATNOST SVEUČILIŠTA U RIJECI (IZ EVIDENCIJSKIH PRIHODA)</v>
      </c>
      <c r="I79" s="83" t="str">
        <f t="shared" si="14"/>
        <v>0942</v>
      </c>
      <c r="J79" s="78">
        <v>929</v>
      </c>
      <c r="K79" s="69">
        <v>2500</v>
      </c>
      <c r="L79" s="78">
        <f t="shared" si="15"/>
        <v>1571</v>
      </c>
      <c r="M79" s="286"/>
      <c r="O79" t="str">
        <f t="shared" si="16"/>
        <v>322</v>
      </c>
      <c r="P79" t="str">
        <f t="shared" si="17"/>
        <v>32</v>
      </c>
      <c r="Q79" t="str">
        <f t="shared" si="18"/>
        <v>43</v>
      </c>
      <c r="R79" t="str">
        <f t="shared" si="19"/>
        <v>94</v>
      </c>
      <c r="V79">
        <v>3834</v>
      </c>
      <c r="W79" t="s">
        <v>502</v>
      </c>
      <c r="Y79" s="80" t="str">
        <f t="shared" si="20"/>
        <v>38</v>
      </c>
      <c r="Z79" t="str">
        <f t="shared" si="21"/>
        <v>383</v>
      </c>
      <c r="AB79" t="s">
        <v>503</v>
      </c>
      <c r="AC79" t="s">
        <v>504</v>
      </c>
      <c r="AD79" t="s">
        <v>273</v>
      </c>
      <c r="AE79" t="s">
        <v>274</v>
      </c>
      <c r="AF79" t="s">
        <v>275</v>
      </c>
      <c r="AG79" t="s">
        <v>276</v>
      </c>
    </row>
    <row r="80" spans="1:33">
      <c r="A80" s="83" t="str">
        <f>IF(C80="","",VLOOKUP('OPĆI DIO'!$C$3,'OPĆI DIO'!$L$6:$U$138,10,FALSE))</f>
        <v>08006</v>
      </c>
      <c r="B80" s="83" t="str">
        <f>IF(C80="","",VLOOKUP('OPĆI DIO'!$C$3,'OPĆI DIO'!$L$6:$U$138,9,FALSE))</f>
        <v>Sveučilišta i veleučilišta u Republici Hrvatskoj</v>
      </c>
      <c r="C80" s="288">
        <v>43</v>
      </c>
      <c r="D80" s="83" t="str">
        <f t="shared" si="11"/>
        <v>Ostali prihodi za posebne namjene</v>
      </c>
      <c r="E80" s="288">
        <v>3223</v>
      </c>
      <c r="F80" s="83" t="str">
        <f t="shared" si="12"/>
        <v>Energija</v>
      </c>
      <c r="G80" s="290" t="s">
        <v>395</v>
      </c>
      <c r="H80" s="83" t="str">
        <f t="shared" si="13"/>
        <v>REDOVNA DJELATNOST SVEUČILIŠTA U RIJECI (IZ EVIDENCIJSKIH PRIHODA)</v>
      </c>
      <c r="I80" s="83" t="str">
        <f t="shared" si="14"/>
        <v>0942</v>
      </c>
      <c r="J80" s="78">
        <v>5309</v>
      </c>
      <c r="K80" s="69">
        <v>18025</v>
      </c>
      <c r="L80" s="78">
        <f t="shared" si="15"/>
        <v>12716</v>
      </c>
      <c r="M80" s="286"/>
      <c r="O80" t="str">
        <f t="shared" si="16"/>
        <v>322</v>
      </c>
      <c r="P80" t="str">
        <f t="shared" si="17"/>
        <v>32</v>
      </c>
      <c r="Q80" t="str">
        <f t="shared" si="18"/>
        <v>43</v>
      </c>
      <c r="R80" t="str">
        <f t="shared" si="19"/>
        <v>94</v>
      </c>
      <c r="V80">
        <v>3835</v>
      </c>
      <c r="W80" t="s">
        <v>505</v>
      </c>
      <c r="Y80" s="80" t="str">
        <f t="shared" si="20"/>
        <v>38</v>
      </c>
      <c r="Z80" t="str">
        <f t="shared" si="21"/>
        <v>383</v>
      </c>
      <c r="AB80" t="s">
        <v>506</v>
      </c>
      <c r="AC80" t="s">
        <v>507</v>
      </c>
      <c r="AD80" t="s">
        <v>280</v>
      </c>
      <c r="AE80" t="s">
        <v>281</v>
      </c>
      <c r="AF80" t="s">
        <v>268</v>
      </c>
      <c r="AG80" t="s">
        <v>282</v>
      </c>
    </row>
    <row r="81" spans="1:33">
      <c r="A81" s="83" t="str">
        <f>IF(C81="","",VLOOKUP('OPĆI DIO'!$C$3,'OPĆI DIO'!$L$6:$U$138,10,FALSE))</f>
        <v>08006</v>
      </c>
      <c r="B81" s="83" t="str">
        <f>IF(C81="","",VLOOKUP('OPĆI DIO'!$C$3,'OPĆI DIO'!$L$6:$U$138,9,FALSE))</f>
        <v>Sveučilišta i veleučilišta u Republici Hrvatskoj</v>
      </c>
      <c r="C81" s="288">
        <v>43</v>
      </c>
      <c r="D81" s="83" t="str">
        <f t="shared" si="11"/>
        <v>Ostali prihodi za posebne namjene</v>
      </c>
      <c r="E81" s="288">
        <v>3224</v>
      </c>
      <c r="F81" s="83" t="str">
        <f t="shared" si="12"/>
        <v>Materijal i dijelovi za tekuće i investicijsko održavanje</v>
      </c>
      <c r="G81" s="290" t="s">
        <v>395</v>
      </c>
      <c r="H81" s="83" t="str">
        <f t="shared" si="13"/>
        <v>REDOVNA DJELATNOST SVEUČILIŠTA U RIJECI (IZ EVIDENCIJSKIH PRIHODA)</v>
      </c>
      <c r="I81" s="83" t="str">
        <f t="shared" si="14"/>
        <v>0942</v>
      </c>
      <c r="J81" s="78">
        <v>15927</v>
      </c>
      <c r="K81" s="69">
        <v>10100</v>
      </c>
      <c r="L81" s="78">
        <f t="shared" si="15"/>
        <v>-5827</v>
      </c>
      <c r="M81" s="286"/>
      <c r="O81" t="str">
        <f t="shared" si="16"/>
        <v>322</v>
      </c>
      <c r="P81" t="str">
        <f t="shared" si="17"/>
        <v>32</v>
      </c>
      <c r="Q81" t="str">
        <f t="shared" si="18"/>
        <v>43</v>
      </c>
      <c r="R81" t="str">
        <f t="shared" si="19"/>
        <v>94</v>
      </c>
      <c r="V81">
        <v>3861</v>
      </c>
      <c r="W81" t="s">
        <v>508</v>
      </c>
      <c r="Y81" s="80" t="str">
        <f>LEFT(V81,2)</f>
        <v>38</v>
      </c>
      <c r="Z81" t="str">
        <f>LEFT(V81,3)</f>
        <v>386</v>
      </c>
      <c r="AB81" t="s">
        <v>509</v>
      </c>
      <c r="AC81" t="s">
        <v>510</v>
      </c>
      <c r="AD81" t="s">
        <v>300</v>
      </c>
      <c r="AE81" t="s">
        <v>301</v>
      </c>
      <c r="AF81" t="s">
        <v>268</v>
      </c>
      <c r="AG81" t="s">
        <v>302</v>
      </c>
    </row>
    <row r="82" spans="1:33">
      <c r="A82" s="83" t="str">
        <f>IF(C82="","",VLOOKUP('OPĆI DIO'!$C$3,'OPĆI DIO'!$L$6:$U$138,10,FALSE))</f>
        <v>08006</v>
      </c>
      <c r="B82" s="83" t="str">
        <f>IF(C82="","",VLOOKUP('OPĆI DIO'!$C$3,'OPĆI DIO'!$L$6:$U$138,9,FALSE))</f>
        <v>Sveučilišta i veleučilišta u Republici Hrvatskoj</v>
      </c>
      <c r="C82" s="288">
        <v>43</v>
      </c>
      <c r="D82" s="83" t="str">
        <f t="shared" si="11"/>
        <v>Ostali prihodi za posebne namjene</v>
      </c>
      <c r="E82" s="288">
        <v>3231</v>
      </c>
      <c r="F82" s="83" t="str">
        <f t="shared" si="12"/>
        <v>Usluge telefona, pošte i prijevoza</v>
      </c>
      <c r="G82" s="290" t="s">
        <v>395</v>
      </c>
      <c r="H82" s="83" t="str">
        <f t="shared" si="13"/>
        <v>REDOVNA DJELATNOST SVEUČILIŠTA U RIJECI (IZ EVIDENCIJSKIH PRIHODA)</v>
      </c>
      <c r="I82" s="83" t="str">
        <f t="shared" si="14"/>
        <v>0942</v>
      </c>
      <c r="J82" s="78">
        <v>1327</v>
      </c>
      <c r="K82" s="69">
        <v>2500</v>
      </c>
      <c r="L82" s="78">
        <f t="shared" si="15"/>
        <v>1173</v>
      </c>
      <c r="M82" s="286"/>
      <c r="O82" t="str">
        <f t="shared" si="16"/>
        <v>323</v>
      </c>
      <c r="P82" t="str">
        <f t="shared" si="17"/>
        <v>32</v>
      </c>
      <c r="Q82" t="str">
        <f t="shared" si="18"/>
        <v>43</v>
      </c>
      <c r="R82" t="str">
        <f t="shared" si="19"/>
        <v>94</v>
      </c>
      <c r="V82">
        <v>3862</v>
      </c>
      <c r="W82" t="s">
        <v>511</v>
      </c>
      <c r="Y82" s="80" t="str">
        <f>LEFT(V82,2)</f>
        <v>38</v>
      </c>
      <c r="Z82" t="str">
        <f>LEFT(V82,3)</f>
        <v>386</v>
      </c>
      <c r="AB82" t="s">
        <v>512</v>
      </c>
      <c r="AC82" t="s">
        <v>513</v>
      </c>
      <c r="AD82" t="s">
        <v>300</v>
      </c>
      <c r="AE82" t="s">
        <v>301</v>
      </c>
      <c r="AF82" t="s">
        <v>268</v>
      </c>
      <c r="AG82" t="s">
        <v>302</v>
      </c>
    </row>
    <row r="83" spans="1:33">
      <c r="A83" s="83" t="str">
        <f>IF(C83="","",VLOOKUP('OPĆI DIO'!$C$3,'OPĆI DIO'!$L$6:$U$138,10,FALSE))</f>
        <v>08006</v>
      </c>
      <c r="B83" s="83" t="str">
        <f>IF(C83="","",VLOOKUP('OPĆI DIO'!$C$3,'OPĆI DIO'!$L$6:$U$138,9,FALSE))</f>
        <v>Sveučilišta i veleučilišta u Republici Hrvatskoj</v>
      </c>
      <c r="C83" s="288">
        <v>43</v>
      </c>
      <c r="D83" s="83" t="str">
        <f t="shared" si="11"/>
        <v>Ostali prihodi za posebne namjene</v>
      </c>
      <c r="E83" s="288">
        <v>3232</v>
      </c>
      <c r="F83" s="83" t="str">
        <f t="shared" si="12"/>
        <v>Usluge tekućeg i investicijskog održavanja</v>
      </c>
      <c r="G83" s="290" t="s">
        <v>395</v>
      </c>
      <c r="H83" s="83" t="str">
        <f t="shared" si="13"/>
        <v>REDOVNA DJELATNOST SVEUČILIŠTA U RIJECI (IZ EVIDENCIJSKIH PRIHODA)</v>
      </c>
      <c r="I83" s="83" t="str">
        <f t="shared" si="14"/>
        <v>0942</v>
      </c>
      <c r="J83" s="78">
        <v>65406</v>
      </c>
      <c r="K83" s="69">
        <v>7000</v>
      </c>
      <c r="L83" s="78">
        <f t="shared" si="15"/>
        <v>-58406</v>
      </c>
      <c r="M83" s="286"/>
      <c r="O83" t="str">
        <f t="shared" si="16"/>
        <v>323</v>
      </c>
      <c r="P83" t="str">
        <f t="shared" si="17"/>
        <v>32</v>
      </c>
      <c r="Q83" t="str">
        <f t="shared" si="18"/>
        <v>43</v>
      </c>
      <c r="R83" t="str">
        <f t="shared" si="19"/>
        <v>94</v>
      </c>
      <c r="V83">
        <v>3863</v>
      </c>
      <c r="W83" t="s">
        <v>514</v>
      </c>
      <c r="Y83" s="80" t="str">
        <f>LEFT(V83,2)</f>
        <v>38</v>
      </c>
      <c r="Z83" t="str">
        <f>LEFT(V83,3)</f>
        <v>386</v>
      </c>
      <c r="AB83" t="s">
        <v>515</v>
      </c>
      <c r="AC83" t="s">
        <v>516</v>
      </c>
      <c r="AD83" t="s">
        <v>300</v>
      </c>
      <c r="AE83" t="s">
        <v>301</v>
      </c>
      <c r="AF83" t="s">
        <v>268</v>
      </c>
      <c r="AG83" t="s">
        <v>302</v>
      </c>
    </row>
    <row r="84" spans="1:33">
      <c r="A84" s="83" t="str">
        <f>IF(C84="","",VLOOKUP('OPĆI DIO'!$C$3,'OPĆI DIO'!$L$6:$U$138,10,FALSE))</f>
        <v>08006</v>
      </c>
      <c r="B84" s="83" t="str">
        <f>IF(C84="","",VLOOKUP('OPĆI DIO'!$C$3,'OPĆI DIO'!$L$6:$U$138,9,FALSE))</f>
        <v>Sveučilišta i veleučilišta u Republici Hrvatskoj</v>
      </c>
      <c r="C84" s="288">
        <v>43</v>
      </c>
      <c r="D84" s="83" t="str">
        <f t="shared" si="11"/>
        <v>Ostali prihodi za posebne namjene</v>
      </c>
      <c r="E84" s="288">
        <v>3233</v>
      </c>
      <c r="F84" s="83" t="str">
        <f t="shared" si="12"/>
        <v>Usluge promidžbe i informiranja</v>
      </c>
      <c r="G84" s="290" t="s">
        <v>395</v>
      </c>
      <c r="H84" s="83" t="str">
        <f t="shared" si="13"/>
        <v>REDOVNA DJELATNOST SVEUČILIŠTA U RIJECI (IZ EVIDENCIJSKIH PRIHODA)</v>
      </c>
      <c r="I84" s="83" t="str">
        <f t="shared" si="14"/>
        <v>0942</v>
      </c>
      <c r="J84" s="78">
        <v>2654</v>
      </c>
      <c r="K84" s="69">
        <v>10700</v>
      </c>
      <c r="L84" s="78">
        <f t="shared" si="15"/>
        <v>8046</v>
      </c>
      <c r="M84" s="286"/>
      <c r="O84" t="str">
        <f t="shared" si="16"/>
        <v>323</v>
      </c>
      <c r="P84" t="str">
        <f t="shared" si="17"/>
        <v>32</v>
      </c>
      <c r="Q84" t="str">
        <f t="shared" si="18"/>
        <v>43</v>
      </c>
      <c r="R84" t="str">
        <f t="shared" si="19"/>
        <v>94</v>
      </c>
      <c r="V84">
        <v>4111</v>
      </c>
      <c r="W84" t="s">
        <v>517</v>
      </c>
      <c r="Y84" s="80" t="str">
        <f t="shared" ref="Y84:Y129" si="22">LEFT(V84,2)</f>
        <v>41</v>
      </c>
      <c r="Z84" t="str">
        <f t="shared" ref="Z84:Z129" si="23">LEFT(V84,3)</f>
        <v>411</v>
      </c>
      <c r="AB84" t="s">
        <v>518</v>
      </c>
      <c r="AC84" t="s">
        <v>519</v>
      </c>
      <c r="AD84" t="s">
        <v>300</v>
      </c>
      <c r="AE84" t="s">
        <v>301</v>
      </c>
      <c r="AF84" t="s">
        <v>268</v>
      </c>
      <c r="AG84" t="s">
        <v>302</v>
      </c>
    </row>
    <row r="85" spans="1:33">
      <c r="A85" s="83" t="str">
        <f>IF(C85="","",VLOOKUP('OPĆI DIO'!$C$3,'OPĆI DIO'!$L$6:$U$138,10,FALSE))</f>
        <v>08006</v>
      </c>
      <c r="B85" s="83" t="str">
        <f>IF(C85="","",VLOOKUP('OPĆI DIO'!$C$3,'OPĆI DIO'!$L$6:$U$138,9,FALSE))</f>
        <v>Sveučilišta i veleučilišta u Republici Hrvatskoj</v>
      </c>
      <c r="C85" s="288">
        <v>43</v>
      </c>
      <c r="D85" s="83" t="str">
        <f t="shared" si="11"/>
        <v>Ostali prihodi za posebne namjene</v>
      </c>
      <c r="E85" s="288">
        <v>3234</v>
      </c>
      <c r="F85" s="83" t="str">
        <f t="shared" si="12"/>
        <v>Komunalne usluge</v>
      </c>
      <c r="G85" s="290" t="s">
        <v>395</v>
      </c>
      <c r="H85" s="83" t="str">
        <f t="shared" si="13"/>
        <v>REDOVNA DJELATNOST SVEUČILIŠTA U RIJECI (IZ EVIDENCIJSKIH PRIHODA)</v>
      </c>
      <c r="I85" s="83" t="str">
        <f t="shared" si="14"/>
        <v>0942</v>
      </c>
      <c r="J85" s="78">
        <v>1593</v>
      </c>
      <c r="K85" s="69">
        <v>12000</v>
      </c>
      <c r="L85" s="78">
        <f t="shared" si="15"/>
        <v>10407</v>
      </c>
      <c r="M85" s="286"/>
      <c r="O85" t="str">
        <f t="shared" si="16"/>
        <v>323</v>
      </c>
      <c r="P85" t="str">
        <f t="shared" si="17"/>
        <v>32</v>
      </c>
      <c r="Q85" t="str">
        <f t="shared" si="18"/>
        <v>43</v>
      </c>
      <c r="R85" t="str">
        <f t="shared" si="19"/>
        <v>94</v>
      </c>
      <c r="V85">
        <v>4113</v>
      </c>
      <c r="W85" t="s">
        <v>520</v>
      </c>
      <c r="Y85" s="80" t="str">
        <f t="shared" si="22"/>
        <v>41</v>
      </c>
      <c r="Z85" t="str">
        <f t="shared" si="23"/>
        <v>411</v>
      </c>
      <c r="AB85" t="s">
        <v>521</v>
      </c>
      <c r="AC85" t="s">
        <v>522</v>
      </c>
      <c r="AD85" t="s">
        <v>300</v>
      </c>
      <c r="AE85" t="s">
        <v>301</v>
      </c>
      <c r="AF85" t="s">
        <v>268</v>
      </c>
      <c r="AG85" t="s">
        <v>302</v>
      </c>
    </row>
    <row r="86" spans="1:33">
      <c r="A86" s="83" t="str">
        <f>IF(C86="","",VLOOKUP('OPĆI DIO'!$C$3,'OPĆI DIO'!$L$6:$U$138,10,FALSE))</f>
        <v>08006</v>
      </c>
      <c r="B86" s="83" t="str">
        <f>IF(C86="","",VLOOKUP('OPĆI DIO'!$C$3,'OPĆI DIO'!$L$6:$U$138,9,FALSE))</f>
        <v>Sveučilišta i veleučilišta u Republici Hrvatskoj</v>
      </c>
      <c r="C86" s="288">
        <v>43</v>
      </c>
      <c r="D86" s="83" t="str">
        <f t="shared" si="11"/>
        <v>Ostali prihodi za posebne namjene</v>
      </c>
      <c r="E86" s="288">
        <v>3235</v>
      </c>
      <c r="F86" s="83" t="str">
        <f t="shared" si="12"/>
        <v>Zakupnine i najamnine</v>
      </c>
      <c r="G86" s="290" t="s">
        <v>395</v>
      </c>
      <c r="H86" s="83" t="str">
        <f t="shared" si="13"/>
        <v>REDOVNA DJELATNOST SVEUČILIŠTA U RIJECI (IZ EVIDENCIJSKIH PRIHODA)</v>
      </c>
      <c r="I86" s="83" t="str">
        <f t="shared" si="14"/>
        <v>0942</v>
      </c>
      <c r="J86" s="78">
        <v>43400</v>
      </c>
      <c r="K86" s="69">
        <v>21600</v>
      </c>
      <c r="L86" s="78">
        <f t="shared" si="15"/>
        <v>-21800</v>
      </c>
      <c r="M86" s="286"/>
      <c r="O86" t="str">
        <f t="shared" si="16"/>
        <v>323</v>
      </c>
      <c r="P86" t="str">
        <f t="shared" si="17"/>
        <v>32</v>
      </c>
      <c r="Q86" t="str">
        <f t="shared" si="18"/>
        <v>43</v>
      </c>
      <c r="R86" t="str">
        <f t="shared" si="19"/>
        <v>94</v>
      </c>
      <c r="V86">
        <v>4122</v>
      </c>
      <c r="W86" t="s">
        <v>523</v>
      </c>
      <c r="Y86" s="80" t="str">
        <f t="shared" si="22"/>
        <v>41</v>
      </c>
      <c r="Z86" t="str">
        <f t="shared" si="23"/>
        <v>412</v>
      </c>
      <c r="AB86" t="s">
        <v>524</v>
      </c>
      <c r="AC86" t="s">
        <v>525</v>
      </c>
      <c r="AD86" t="s">
        <v>280</v>
      </c>
      <c r="AE86" t="s">
        <v>281</v>
      </c>
      <c r="AF86" t="s">
        <v>268</v>
      </c>
      <c r="AG86" t="s">
        <v>282</v>
      </c>
    </row>
    <row r="87" spans="1:33">
      <c r="A87" s="83" t="str">
        <f>IF(C87="","",VLOOKUP('OPĆI DIO'!$C$3,'OPĆI DIO'!$L$6:$U$138,10,FALSE))</f>
        <v>08006</v>
      </c>
      <c r="B87" s="83" t="str">
        <f>IF(C87="","",VLOOKUP('OPĆI DIO'!$C$3,'OPĆI DIO'!$L$6:$U$138,9,FALSE))</f>
        <v>Sveučilišta i veleučilišta u Republici Hrvatskoj</v>
      </c>
      <c r="C87" s="288">
        <v>43</v>
      </c>
      <c r="D87" s="83" t="str">
        <f t="shared" si="11"/>
        <v>Ostali prihodi za posebne namjene</v>
      </c>
      <c r="E87" s="288">
        <v>3236</v>
      </c>
      <c r="F87" s="83" t="str">
        <f t="shared" si="12"/>
        <v>Zdravstvene i veterinarske usluge</v>
      </c>
      <c r="G87" s="290" t="s">
        <v>395</v>
      </c>
      <c r="H87" s="83" t="str">
        <f t="shared" si="13"/>
        <v>REDOVNA DJELATNOST SVEUČILIŠTA U RIJECI (IZ EVIDENCIJSKIH PRIHODA)</v>
      </c>
      <c r="I87" s="83" t="str">
        <f t="shared" si="14"/>
        <v>0942</v>
      </c>
      <c r="J87" s="78">
        <v>66</v>
      </c>
      <c r="K87" s="69">
        <v>100</v>
      </c>
      <c r="L87" s="78">
        <f t="shared" si="15"/>
        <v>34</v>
      </c>
      <c r="M87" s="286"/>
      <c r="O87" t="str">
        <f t="shared" si="16"/>
        <v>323</v>
      </c>
      <c r="P87" t="str">
        <f t="shared" si="17"/>
        <v>32</v>
      </c>
      <c r="Q87" t="str">
        <f t="shared" si="18"/>
        <v>43</v>
      </c>
      <c r="R87" t="str">
        <f t="shared" si="19"/>
        <v>94</v>
      </c>
      <c r="V87">
        <v>4123</v>
      </c>
      <c r="W87" t="s">
        <v>526</v>
      </c>
      <c r="Y87" s="80" t="str">
        <f t="shared" si="22"/>
        <v>41</v>
      </c>
      <c r="Z87" t="str">
        <f t="shared" si="23"/>
        <v>412</v>
      </c>
      <c r="AB87" t="s">
        <v>527</v>
      </c>
      <c r="AC87" t="s">
        <v>528</v>
      </c>
      <c r="AD87" t="s">
        <v>273</v>
      </c>
      <c r="AE87" t="s">
        <v>274</v>
      </c>
      <c r="AF87" t="s">
        <v>275</v>
      </c>
      <c r="AG87" t="s">
        <v>276</v>
      </c>
    </row>
    <row r="88" spans="1:33">
      <c r="A88" s="83" t="str">
        <f>IF(C88="","",VLOOKUP('OPĆI DIO'!$C$3,'OPĆI DIO'!$L$6:$U$138,10,FALSE))</f>
        <v>08006</v>
      </c>
      <c r="B88" s="83" t="str">
        <f>IF(C88="","",VLOOKUP('OPĆI DIO'!$C$3,'OPĆI DIO'!$L$6:$U$138,9,FALSE))</f>
        <v>Sveučilišta i veleučilišta u Republici Hrvatskoj</v>
      </c>
      <c r="C88" s="288">
        <v>43</v>
      </c>
      <c r="D88" s="83" t="str">
        <f t="shared" si="11"/>
        <v>Ostali prihodi za posebne namjene</v>
      </c>
      <c r="E88" s="288">
        <v>3237</v>
      </c>
      <c r="F88" s="83" t="str">
        <f t="shared" si="12"/>
        <v>Intelektualne i osobne usluge</v>
      </c>
      <c r="G88" s="290" t="s">
        <v>395</v>
      </c>
      <c r="H88" s="83" t="str">
        <f t="shared" si="13"/>
        <v>REDOVNA DJELATNOST SVEUČILIŠTA U RIJECI (IZ EVIDENCIJSKIH PRIHODA)</v>
      </c>
      <c r="I88" s="83" t="str">
        <f t="shared" si="14"/>
        <v>0942</v>
      </c>
      <c r="J88" s="78">
        <v>80204</v>
      </c>
      <c r="K88" s="69">
        <v>63100</v>
      </c>
      <c r="L88" s="78">
        <f t="shared" si="15"/>
        <v>-17104</v>
      </c>
      <c r="M88" s="286"/>
      <c r="O88" t="str">
        <f t="shared" si="16"/>
        <v>323</v>
      </c>
      <c r="P88" t="str">
        <f t="shared" si="17"/>
        <v>32</v>
      </c>
      <c r="Q88" t="str">
        <f t="shared" si="18"/>
        <v>43</v>
      </c>
      <c r="R88" t="str">
        <f t="shared" si="19"/>
        <v>94</v>
      </c>
      <c r="V88">
        <v>4124</v>
      </c>
      <c r="W88" t="s">
        <v>529</v>
      </c>
      <c r="Y88" s="80" t="str">
        <f t="shared" si="22"/>
        <v>41</v>
      </c>
      <c r="Z88" t="str">
        <f t="shared" si="23"/>
        <v>412</v>
      </c>
      <c r="AB88" t="s">
        <v>527</v>
      </c>
      <c r="AC88" t="s">
        <v>528</v>
      </c>
      <c r="AD88" t="s">
        <v>280</v>
      </c>
      <c r="AE88" t="s">
        <v>281</v>
      </c>
      <c r="AF88" t="s">
        <v>268</v>
      </c>
      <c r="AG88" t="s">
        <v>282</v>
      </c>
    </row>
    <row r="89" spans="1:33">
      <c r="A89" s="83" t="str">
        <f>IF(C89="","",VLOOKUP('OPĆI DIO'!$C$3,'OPĆI DIO'!$L$6:$U$138,10,FALSE))</f>
        <v>08006</v>
      </c>
      <c r="B89" s="83" t="str">
        <f>IF(C89="","",VLOOKUP('OPĆI DIO'!$C$3,'OPĆI DIO'!$L$6:$U$138,9,FALSE))</f>
        <v>Sveučilišta i veleučilišta u Republici Hrvatskoj</v>
      </c>
      <c r="C89" s="288">
        <v>43</v>
      </c>
      <c r="D89" s="83" t="str">
        <f t="shared" si="11"/>
        <v>Ostali prihodi za posebne namjene</v>
      </c>
      <c r="E89" s="288">
        <v>3238</v>
      </c>
      <c r="F89" s="83" t="str">
        <f t="shared" si="12"/>
        <v>Računalne usluge</v>
      </c>
      <c r="G89" s="290" t="s">
        <v>395</v>
      </c>
      <c r="H89" s="83" t="str">
        <f t="shared" si="13"/>
        <v>REDOVNA DJELATNOST SVEUČILIŠTA U RIJECI (IZ EVIDENCIJSKIH PRIHODA)</v>
      </c>
      <c r="I89" s="83" t="str">
        <f t="shared" si="14"/>
        <v>0942</v>
      </c>
      <c r="J89" s="78">
        <v>2654</v>
      </c>
      <c r="K89" s="69">
        <v>7000</v>
      </c>
      <c r="L89" s="78">
        <f t="shared" si="15"/>
        <v>4346</v>
      </c>
      <c r="M89" s="286"/>
      <c r="O89" t="str">
        <f t="shared" si="16"/>
        <v>323</v>
      </c>
      <c r="P89" t="str">
        <f t="shared" si="17"/>
        <v>32</v>
      </c>
      <c r="Q89" t="str">
        <f t="shared" si="18"/>
        <v>43</v>
      </c>
      <c r="R89" t="str">
        <f t="shared" si="19"/>
        <v>94</v>
      </c>
      <c r="V89">
        <v>4126</v>
      </c>
      <c r="W89" t="s">
        <v>530</v>
      </c>
      <c r="Y89" s="80" t="str">
        <f t="shared" si="22"/>
        <v>41</v>
      </c>
      <c r="Z89" t="str">
        <f t="shared" si="23"/>
        <v>412</v>
      </c>
      <c r="AB89" t="s">
        <v>531</v>
      </c>
      <c r="AC89" t="s">
        <v>532</v>
      </c>
      <c r="AD89" t="s">
        <v>280</v>
      </c>
      <c r="AE89" t="s">
        <v>281</v>
      </c>
      <c r="AF89" t="s">
        <v>268</v>
      </c>
      <c r="AG89" t="s">
        <v>282</v>
      </c>
    </row>
    <row r="90" spans="1:33">
      <c r="A90" s="83" t="str">
        <f>IF(C90="","",VLOOKUP('OPĆI DIO'!$C$3,'OPĆI DIO'!$L$6:$U$138,10,FALSE))</f>
        <v>08006</v>
      </c>
      <c r="B90" s="83" t="str">
        <f>IF(C90="","",VLOOKUP('OPĆI DIO'!$C$3,'OPĆI DIO'!$L$6:$U$138,9,FALSE))</f>
        <v>Sveučilišta i veleučilišta u Republici Hrvatskoj</v>
      </c>
      <c r="C90" s="288">
        <v>43</v>
      </c>
      <c r="D90" s="83" t="str">
        <f t="shared" si="11"/>
        <v>Ostali prihodi za posebne namjene</v>
      </c>
      <c r="E90" s="288">
        <v>3239</v>
      </c>
      <c r="F90" s="83" t="str">
        <f t="shared" si="12"/>
        <v>Ostale usluge</v>
      </c>
      <c r="G90" s="290" t="s">
        <v>395</v>
      </c>
      <c r="H90" s="83" t="str">
        <f t="shared" si="13"/>
        <v>REDOVNA DJELATNOST SVEUČILIŠTA U RIJECI (IZ EVIDENCIJSKIH PRIHODA)</v>
      </c>
      <c r="I90" s="83" t="str">
        <f t="shared" si="14"/>
        <v>0942</v>
      </c>
      <c r="J90" s="78">
        <v>14600</v>
      </c>
      <c r="K90" s="69">
        <v>18498</v>
      </c>
      <c r="L90" s="78">
        <f t="shared" si="15"/>
        <v>3898</v>
      </c>
      <c r="M90" s="286"/>
      <c r="O90" t="str">
        <f t="shared" si="16"/>
        <v>323</v>
      </c>
      <c r="P90" t="str">
        <f t="shared" si="17"/>
        <v>32</v>
      </c>
      <c r="Q90" t="str">
        <f t="shared" si="18"/>
        <v>43</v>
      </c>
      <c r="R90" t="str">
        <f t="shared" si="19"/>
        <v>94</v>
      </c>
      <c r="V90">
        <v>4211</v>
      </c>
      <c r="W90" t="s">
        <v>533</v>
      </c>
      <c r="Y90" s="80" t="str">
        <f t="shared" si="22"/>
        <v>42</v>
      </c>
      <c r="Z90" t="str">
        <f t="shared" si="23"/>
        <v>421</v>
      </c>
      <c r="AB90" t="s">
        <v>534</v>
      </c>
      <c r="AC90" t="s">
        <v>535</v>
      </c>
      <c r="AD90" t="s">
        <v>280</v>
      </c>
      <c r="AE90" t="s">
        <v>281</v>
      </c>
      <c r="AF90" t="s">
        <v>268</v>
      </c>
      <c r="AG90" t="s">
        <v>282</v>
      </c>
    </row>
    <row r="91" spans="1:33">
      <c r="A91" s="83" t="str">
        <f>IF(C91="","",VLOOKUP('OPĆI DIO'!$C$3,'OPĆI DIO'!$L$6:$U$138,10,FALSE))</f>
        <v>08006</v>
      </c>
      <c r="B91" s="83" t="str">
        <f>IF(C91="","",VLOOKUP('OPĆI DIO'!$C$3,'OPĆI DIO'!$L$6:$U$138,9,FALSE))</f>
        <v>Sveučilišta i veleučilišta u Republici Hrvatskoj</v>
      </c>
      <c r="C91" s="288">
        <v>43</v>
      </c>
      <c r="D91" s="83" t="str">
        <f t="shared" si="11"/>
        <v>Ostali prihodi za posebne namjene</v>
      </c>
      <c r="E91" s="288">
        <v>3241</v>
      </c>
      <c r="F91" s="83" t="str">
        <f t="shared" si="12"/>
        <v>Naknade troškova osobama izvan radnog odnosa</v>
      </c>
      <c r="G91" s="290" t="s">
        <v>395</v>
      </c>
      <c r="H91" s="83" t="str">
        <f t="shared" si="13"/>
        <v>REDOVNA DJELATNOST SVEUČILIŠTA U RIJECI (IZ EVIDENCIJSKIH PRIHODA)</v>
      </c>
      <c r="I91" s="83" t="str">
        <f t="shared" si="14"/>
        <v>0942</v>
      </c>
      <c r="J91" s="78">
        <v>2787</v>
      </c>
      <c r="K91" s="69">
        <v>2016</v>
      </c>
      <c r="L91" s="78">
        <f t="shared" si="15"/>
        <v>-771</v>
      </c>
      <c r="M91" s="286"/>
      <c r="O91" t="str">
        <f t="shared" si="16"/>
        <v>324</v>
      </c>
      <c r="P91" t="str">
        <f t="shared" si="17"/>
        <v>32</v>
      </c>
      <c r="Q91" t="str">
        <f t="shared" si="18"/>
        <v>43</v>
      </c>
      <c r="R91" t="str">
        <f t="shared" si="19"/>
        <v>94</v>
      </c>
      <c r="V91">
        <v>4212</v>
      </c>
      <c r="W91" t="s">
        <v>536</v>
      </c>
      <c r="Y91" s="80" t="str">
        <f t="shared" si="22"/>
        <v>42</v>
      </c>
      <c r="Z91" t="str">
        <f t="shared" si="23"/>
        <v>421</v>
      </c>
      <c r="AB91" t="s">
        <v>537</v>
      </c>
      <c r="AC91" t="s">
        <v>538</v>
      </c>
      <c r="AD91" t="s">
        <v>273</v>
      </c>
      <c r="AE91" t="s">
        <v>274</v>
      </c>
      <c r="AF91" t="s">
        <v>275</v>
      </c>
      <c r="AG91" t="s">
        <v>276</v>
      </c>
    </row>
    <row r="92" spans="1:33">
      <c r="A92" s="83" t="str">
        <f>IF(C92="","",VLOOKUP('OPĆI DIO'!$C$3,'OPĆI DIO'!$L$6:$U$138,10,FALSE))</f>
        <v>08006</v>
      </c>
      <c r="B92" s="83" t="str">
        <f>IF(C92="","",VLOOKUP('OPĆI DIO'!$C$3,'OPĆI DIO'!$L$6:$U$138,9,FALSE))</f>
        <v>Sveučilišta i veleučilišta u Republici Hrvatskoj</v>
      </c>
      <c r="C92" s="288">
        <v>43</v>
      </c>
      <c r="D92" s="83" t="str">
        <f t="shared" si="11"/>
        <v>Ostali prihodi za posebne namjene</v>
      </c>
      <c r="E92" s="288">
        <v>3293</v>
      </c>
      <c r="F92" s="83" t="str">
        <f t="shared" si="12"/>
        <v>Reprezentacija</v>
      </c>
      <c r="G92" s="290" t="s">
        <v>395</v>
      </c>
      <c r="H92" s="83" t="str">
        <f t="shared" si="13"/>
        <v>REDOVNA DJELATNOST SVEUČILIŠTA U RIJECI (IZ EVIDENCIJSKIH PRIHODA)</v>
      </c>
      <c r="I92" s="83" t="str">
        <f t="shared" si="14"/>
        <v>0942</v>
      </c>
      <c r="J92" s="78">
        <v>1327</v>
      </c>
      <c r="K92" s="69">
        <v>5800</v>
      </c>
      <c r="L92" s="78">
        <f t="shared" si="15"/>
        <v>4473</v>
      </c>
      <c r="M92" s="286"/>
      <c r="O92" t="str">
        <f t="shared" si="16"/>
        <v>329</v>
      </c>
      <c r="P92" t="str">
        <f t="shared" si="17"/>
        <v>32</v>
      </c>
      <c r="Q92" t="str">
        <f t="shared" si="18"/>
        <v>43</v>
      </c>
      <c r="R92" t="str">
        <f t="shared" si="19"/>
        <v>94</v>
      </c>
      <c r="V92">
        <v>4213</v>
      </c>
      <c r="W92" t="s">
        <v>539</v>
      </c>
      <c r="Y92" s="80" t="str">
        <f t="shared" si="22"/>
        <v>42</v>
      </c>
      <c r="Z92" t="str">
        <f t="shared" si="23"/>
        <v>421</v>
      </c>
      <c r="AB92" t="s">
        <v>540</v>
      </c>
      <c r="AC92" t="s">
        <v>541</v>
      </c>
      <c r="AD92" t="s">
        <v>273</v>
      </c>
      <c r="AE92" t="s">
        <v>274</v>
      </c>
      <c r="AF92" t="s">
        <v>275</v>
      </c>
      <c r="AG92" t="s">
        <v>276</v>
      </c>
    </row>
    <row r="93" spans="1:33">
      <c r="A93" s="83" t="str">
        <f>IF(C93="","",VLOOKUP('OPĆI DIO'!$C$3,'OPĆI DIO'!$L$6:$U$138,10,FALSE))</f>
        <v>08006</v>
      </c>
      <c r="B93" s="83" t="str">
        <f>IF(C93="","",VLOOKUP('OPĆI DIO'!$C$3,'OPĆI DIO'!$L$6:$U$138,9,FALSE))</f>
        <v>Sveučilišta i veleučilišta u Republici Hrvatskoj</v>
      </c>
      <c r="C93" s="288">
        <v>43</v>
      </c>
      <c r="D93" s="83" t="str">
        <f t="shared" si="11"/>
        <v>Ostali prihodi za posebne namjene</v>
      </c>
      <c r="E93" s="288">
        <v>3294</v>
      </c>
      <c r="F93" s="83" t="str">
        <f t="shared" si="12"/>
        <v>Članarine i norme</v>
      </c>
      <c r="G93" s="290" t="s">
        <v>395</v>
      </c>
      <c r="H93" s="83" t="str">
        <f t="shared" si="13"/>
        <v>REDOVNA DJELATNOST SVEUČILIŠTA U RIJECI (IZ EVIDENCIJSKIH PRIHODA)</v>
      </c>
      <c r="I93" s="83" t="str">
        <f t="shared" si="14"/>
        <v>0942</v>
      </c>
      <c r="J93" s="78">
        <v>796</v>
      </c>
      <c r="K93" s="69">
        <v>3000</v>
      </c>
      <c r="L93" s="78">
        <f t="shared" si="15"/>
        <v>2204</v>
      </c>
      <c r="M93" s="286"/>
      <c r="O93" t="str">
        <f t="shared" si="16"/>
        <v>329</v>
      </c>
      <c r="P93" t="str">
        <f t="shared" si="17"/>
        <v>32</v>
      </c>
      <c r="Q93" t="str">
        <f t="shared" si="18"/>
        <v>43</v>
      </c>
      <c r="R93" t="str">
        <f t="shared" si="19"/>
        <v>94</v>
      </c>
      <c r="V93">
        <v>4214</v>
      </c>
      <c r="W93" t="s">
        <v>542</v>
      </c>
      <c r="Y93" s="80" t="str">
        <f t="shared" si="22"/>
        <v>42</v>
      </c>
      <c r="Z93" t="str">
        <f t="shared" si="23"/>
        <v>421</v>
      </c>
      <c r="AB93" t="s">
        <v>543</v>
      </c>
      <c r="AC93" t="s">
        <v>544</v>
      </c>
      <c r="AD93" t="s">
        <v>273</v>
      </c>
      <c r="AE93" t="s">
        <v>274</v>
      </c>
      <c r="AF93" t="s">
        <v>275</v>
      </c>
      <c r="AG93" t="s">
        <v>276</v>
      </c>
    </row>
    <row r="94" spans="1:33">
      <c r="A94" s="83" t="str">
        <f>IF(C94="","",VLOOKUP('OPĆI DIO'!$C$3,'OPĆI DIO'!$L$6:$U$138,10,FALSE))</f>
        <v>08006</v>
      </c>
      <c r="B94" s="83" t="str">
        <f>IF(C94="","",VLOOKUP('OPĆI DIO'!$C$3,'OPĆI DIO'!$L$6:$U$138,9,FALSE))</f>
        <v>Sveučilišta i veleučilišta u Republici Hrvatskoj</v>
      </c>
      <c r="C94" s="288">
        <v>43</v>
      </c>
      <c r="D94" s="83" t="str">
        <f t="shared" si="11"/>
        <v>Ostali prihodi za posebne namjene</v>
      </c>
      <c r="E94" s="288">
        <v>3295</v>
      </c>
      <c r="F94" s="83" t="str">
        <f t="shared" si="12"/>
        <v>Pristojbe i naknade</v>
      </c>
      <c r="G94" s="290" t="s">
        <v>395</v>
      </c>
      <c r="H94" s="83" t="str">
        <f t="shared" si="13"/>
        <v>REDOVNA DJELATNOST SVEUČILIŠTA U RIJECI (IZ EVIDENCIJSKIH PRIHODA)</v>
      </c>
      <c r="I94" s="83" t="str">
        <f t="shared" si="14"/>
        <v>0942</v>
      </c>
      <c r="J94" s="78">
        <v>664</v>
      </c>
      <c r="K94" s="69">
        <v>460</v>
      </c>
      <c r="L94" s="78">
        <f t="shared" si="15"/>
        <v>-204</v>
      </c>
      <c r="M94" s="286"/>
      <c r="O94" t="str">
        <f t="shared" si="16"/>
        <v>329</v>
      </c>
      <c r="P94" t="str">
        <f t="shared" si="17"/>
        <v>32</v>
      </c>
      <c r="Q94" t="str">
        <f t="shared" si="18"/>
        <v>43</v>
      </c>
      <c r="R94" t="str">
        <f t="shared" si="19"/>
        <v>94</v>
      </c>
      <c r="V94">
        <v>4221</v>
      </c>
      <c r="W94" t="s">
        <v>545</v>
      </c>
      <c r="Y94" s="80" t="str">
        <f t="shared" si="22"/>
        <v>42</v>
      </c>
      <c r="Z94" t="str">
        <f t="shared" si="23"/>
        <v>422</v>
      </c>
      <c r="AB94" t="s">
        <v>546</v>
      </c>
      <c r="AC94" t="s">
        <v>547</v>
      </c>
      <c r="AD94" t="s">
        <v>280</v>
      </c>
      <c r="AE94" t="s">
        <v>281</v>
      </c>
      <c r="AF94" t="s">
        <v>268</v>
      </c>
      <c r="AG94" t="s">
        <v>282</v>
      </c>
    </row>
    <row r="95" spans="1:33">
      <c r="A95" s="83" t="str">
        <f>IF(C95="","",VLOOKUP('OPĆI DIO'!$C$3,'OPĆI DIO'!$L$6:$U$138,10,FALSE))</f>
        <v>08006</v>
      </c>
      <c r="B95" s="83" t="str">
        <f>IF(C95="","",VLOOKUP('OPĆI DIO'!$C$3,'OPĆI DIO'!$L$6:$U$138,9,FALSE))</f>
        <v>Sveučilišta i veleučilišta u Republici Hrvatskoj</v>
      </c>
      <c r="C95" s="288">
        <v>43</v>
      </c>
      <c r="D95" s="83" t="str">
        <f t="shared" si="11"/>
        <v>Ostali prihodi za posebne namjene</v>
      </c>
      <c r="E95" s="288">
        <v>3299</v>
      </c>
      <c r="F95" s="83" t="str">
        <f t="shared" si="12"/>
        <v>Ostali nespomenuti rashodi poslovanja</v>
      </c>
      <c r="G95" s="290" t="s">
        <v>395</v>
      </c>
      <c r="H95" s="83" t="str">
        <f t="shared" si="13"/>
        <v>REDOVNA DJELATNOST SVEUČILIŠTA U RIJECI (IZ EVIDENCIJSKIH PRIHODA)</v>
      </c>
      <c r="I95" s="83" t="str">
        <f t="shared" si="14"/>
        <v>0942</v>
      </c>
      <c r="J95" s="78">
        <v>4951</v>
      </c>
      <c r="K95" s="69">
        <v>11040</v>
      </c>
      <c r="L95" s="78">
        <f t="shared" si="15"/>
        <v>6089</v>
      </c>
      <c r="M95" s="286"/>
      <c r="O95" t="str">
        <f t="shared" si="16"/>
        <v>329</v>
      </c>
      <c r="P95" t="str">
        <f t="shared" si="17"/>
        <v>32</v>
      </c>
      <c r="Q95" t="str">
        <f t="shared" si="18"/>
        <v>43</v>
      </c>
      <c r="R95" t="str">
        <f t="shared" si="19"/>
        <v>94</v>
      </c>
      <c r="V95">
        <v>4222</v>
      </c>
      <c r="W95" t="s">
        <v>548</v>
      </c>
      <c r="Y95" s="80" t="str">
        <f t="shared" si="22"/>
        <v>42</v>
      </c>
      <c r="Z95" t="str">
        <f t="shared" si="23"/>
        <v>422</v>
      </c>
      <c r="AB95" t="s">
        <v>549</v>
      </c>
      <c r="AC95" t="s">
        <v>550</v>
      </c>
      <c r="AD95" t="s">
        <v>280</v>
      </c>
      <c r="AE95" t="s">
        <v>281</v>
      </c>
      <c r="AF95" t="s">
        <v>268</v>
      </c>
      <c r="AG95" t="s">
        <v>282</v>
      </c>
    </row>
    <row r="96" spans="1:33">
      <c r="A96" s="83" t="str">
        <f>IF(C96="","",VLOOKUP('OPĆI DIO'!$C$3,'OPĆI DIO'!$L$6:$U$138,10,FALSE))</f>
        <v>08006</v>
      </c>
      <c r="B96" s="83" t="str">
        <f>IF(C96="","",VLOOKUP('OPĆI DIO'!$C$3,'OPĆI DIO'!$L$6:$U$138,9,FALSE))</f>
        <v>Sveučilišta i veleučilišta u Republici Hrvatskoj</v>
      </c>
      <c r="C96" s="288">
        <v>43</v>
      </c>
      <c r="D96" s="83" t="str">
        <f t="shared" si="11"/>
        <v>Ostali prihodi za posebne namjene</v>
      </c>
      <c r="E96" s="288">
        <v>3431</v>
      </c>
      <c r="F96" s="83" t="str">
        <f t="shared" si="12"/>
        <v>Bankarske usluge i usluge platnog prometa</v>
      </c>
      <c r="G96" s="290" t="s">
        <v>395</v>
      </c>
      <c r="H96" s="83" t="str">
        <f t="shared" si="13"/>
        <v>REDOVNA DJELATNOST SVEUČILIŠTA U RIJECI (IZ EVIDENCIJSKIH PRIHODA)</v>
      </c>
      <c r="I96" s="83" t="str">
        <f t="shared" si="14"/>
        <v>0942</v>
      </c>
      <c r="J96" s="78">
        <v>796</v>
      </c>
      <c r="K96" s="69">
        <v>1300</v>
      </c>
      <c r="L96" s="78">
        <f t="shared" si="15"/>
        <v>504</v>
      </c>
      <c r="M96" s="286"/>
      <c r="O96" t="str">
        <f t="shared" si="16"/>
        <v>343</v>
      </c>
      <c r="P96" t="str">
        <f t="shared" si="17"/>
        <v>34</v>
      </c>
      <c r="Q96" t="str">
        <f t="shared" si="18"/>
        <v>43</v>
      </c>
      <c r="R96" t="str">
        <f t="shared" si="19"/>
        <v>94</v>
      </c>
      <c r="V96">
        <v>4223</v>
      </c>
      <c r="W96" t="s">
        <v>551</v>
      </c>
      <c r="Y96" s="80" t="str">
        <f t="shared" si="22"/>
        <v>42</v>
      </c>
      <c r="Z96" t="str">
        <f t="shared" si="23"/>
        <v>422</v>
      </c>
      <c r="AB96" t="s">
        <v>552</v>
      </c>
      <c r="AC96" t="s">
        <v>553</v>
      </c>
      <c r="AD96" t="s">
        <v>280</v>
      </c>
      <c r="AE96" t="s">
        <v>281</v>
      </c>
      <c r="AF96" t="s">
        <v>268</v>
      </c>
      <c r="AG96" t="s">
        <v>282</v>
      </c>
    </row>
    <row r="97" spans="1:33">
      <c r="A97" s="83" t="str">
        <f>IF(C97="","",VLOOKUP('OPĆI DIO'!$C$3,'OPĆI DIO'!$L$6:$U$138,10,FALSE))</f>
        <v>08006</v>
      </c>
      <c r="B97" s="83" t="str">
        <f>IF(C97="","",VLOOKUP('OPĆI DIO'!$C$3,'OPĆI DIO'!$L$6:$U$138,9,FALSE))</f>
        <v>Sveučilišta i veleučilišta u Republici Hrvatskoj</v>
      </c>
      <c r="C97" s="288">
        <v>43</v>
      </c>
      <c r="D97" s="83" t="str">
        <f t="shared" si="11"/>
        <v>Ostali prihodi za posebne namjene</v>
      </c>
      <c r="E97" s="288">
        <v>3691</v>
      </c>
      <c r="F97" s="83" t="str">
        <f t="shared" si="12"/>
        <v>Tekući prijenosi između proračunskih korisnika istog proraču</v>
      </c>
      <c r="G97" s="290" t="s">
        <v>395</v>
      </c>
      <c r="H97" s="83" t="str">
        <f t="shared" si="13"/>
        <v>REDOVNA DJELATNOST SVEUČILIŠTA U RIJECI (IZ EVIDENCIJSKIH PRIHODA)</v>
      </c>
      <c r="I97" s="83" t="str">
        <f t="shared" si="14"/>
        <v>0942</v>
      </c>
      <c r="J97" s="78">
        <v>23890</v>
      </c>
      <c r="K97" s="69">
        <v>29643</v>
      </c>
      <c r="L97" s="78">
        <f t="shared" si="15"/>
        <v>5753</v>
      </c>
      <c r="M97" s="286" t="s">
        <v>148</v>
      </c>
      <c r="O97" t="str">
        <f t="shared" si="16"/>
        <v>369</v>
      </c>
      <c r="P97" t="str">
        <f t="shared" si="17"/>
        <v>36</v>
      </c>
      <c r="Q97" t="str">
        <f t="shared" si="18"/>
        <v>43</v>
      </c>
      <c r="R97" t="str">
        <f t="shared" si="19"/>
        <v>94</v>
      </c>
      <c r="V97">
        <v>4224</v>
      </c>
      <c r="W97" t="s">
        <v>554</v>
      </c>
      <c r="Y97" s="80" t="str">
        <f t="shared" si="22"/>
        <v>42</v>
      </c>
      <c r="Z97" t="str">
        <f t="shared" si="23"/>
        <v>422</v>
      </c>
      <c r="AB97" t="s">
        <v>555</v>
      </c>
      <c r="AC97" t="s">
        <v>556</v>
      </c>
      <c r="AD97" t="s">
        <v>280</v>
      </c>
      <c r="AE97" t="s">
        <v>281</v>
      </c>
      <c r="AF97" t="s">
        <v>268</v>
      </c>
      <c r="AG97" t="s">
        <v>282</v>
      </c>
    </row>
    <row r="98" spans="1:33">
      <c r="A98" s="83" t="str">
        <f>IF(C98="","",VLOOKUP('OPĆI DIO'!$C$3,'OPĆI DIO'!$L$6:$U$138,10,FALSE))</f>
        <v>08006</v>
      </c>
      <c r="B98" s="83" t="str">
        <f>IF(C98="","",VLOOKUP('OPĆI DIO'!$C$3,'OPĆI DIO'!$L$6:$U$138,9,FALSE))</f>
        <v>Sveučilišta i veleučilišta u Republici Hrvatskoj</v>
      </c>
      <c r="C98" s="288">
        <v>43</v>
      </c>
      <c r="D98" s="83" t="str">
        <f t="shared" si="11"/>
        <v>Ostali prihodi za posebne namjene</v>
      </c>
      <c r="E98" s="288">
        <v>4123</v>
      </c>
      <c r="F98" s="83" t="str">
        <f t="shared" si="12"/>
        <v>Licence</v>
      </c>
      <c r="G98" s="290" t="s">
        <v>395</v>
      </c>
      <c r="H98" s="83" t="str">
        <f t="shared" si="13"/>
        <v>REDOVNA DJELATNOST SVEUČILIŠTA U RIJECI (IZ EVIDENCIJSKIH PRIHODA)</v>
      </c>
      <c r="I98" s="83" t="str">
        <f t="shared" si="14"/>
        <v>0942</v>
      </c>
      <c r="J98" s="78">
        <v>3982</v>
      </c>
      <c r="K98" s="69"/>
      <c r="L98" s="78">
        <f t="shared" si="15"/>
        <v>-3982</v>
      </c>
      <c r="M98" s="67"/>
      <c r="O98" t="str">
        <f t="shared" si="16"/>
        <v>412</v>
      </c>
      <c r="P98" t="str">
        <f t="shared" si="17"/>
        <v>41</v>
      </c>
      <c r="Q98" t="str">
        <f t="shared" si="18"/>
        <v>43</v>
      </c>
      <c r="R98" t="str">
        <f t="shared" si="19"/>
        <v>94</v>
      </c>
      <c r="V98">
        <v>4225</v>
      </c>
      <c r="W98" t="s">
        <v>557</v>
      </c>
      <c r="Y98" s="80" t="str">
        <f t="shared" si="22"/>
        <v>42</v>
      </c>
      <c r="Z98" t="str">
        <f t="shared" si="23"/>
        <v>422</v>
      </c>
      <c r="AB98" t="s">
        <v>558</v>
      </c>
      <c r="AC98" t="s">
        <v>559</v>
      </c>
      <c r="AD98" t="s">
        <v>280</v>
      </c>
      <c r="AE98" t="s">
        <v>281</v>
      </c>
      <c r="AF98" t="s">
        <v>268</v>
      </c>
      <c r="AG98" t="s">
        <v>282</v>
      </c>
    </row>
    <row r="99" spans="1:33">
      <c r="A99" s="83" t="str">
        <f>IF(C99="","",VLOOKUP('OPĆI DIO'!$C$3,'OPĆI DIO'!$L$6:$U$138,10,FALSE))</f>
        <v>08006</v>
      </c>
      <c r="B99" s="83" t="str">
        <f>IF(C99="","",VLOOKUP('OPĆI DIO'!$C$3,'OPĆI DIO'!$L$6:$U$138,9,FALSE))</f>
        <v>Sveučilišta i veleučilišta u Republici Hrvatskoj</v>
      </c>
      <c r="C99" s="288">
        <v>43</v>
      </c>
      <c r="D99" s="83" t="str">
        <f t="shared" si="11"/>
        <v>Ostali prihodi za posebne namjene</v>
      </c>
      <c r="E99" s="288">
        <v>4221</v>
      </c>
      <c r="F99" s="83" t="str">
        <f t="shared" si="12"/>
        <v>Uredska oprema i namještaj</v>
      </c>
      <c r="G99" s="290" t="s">
        <v>395</v>
      </c>
      <c r="H99" s="83" t="str">
        <f t="shared" si="13"/>
        <v>REDOVNA DJELATNOST SVEUČILIŠTA U RIJECI (IZ EVIDENCIJSKIH PRIHODA)</v>
      </c>
      <c r="I99" s="83" t="str">
        <f t="shared" si="14"/>
        <v>0942</v>
      </c>
      <c r="J99" s="78">
        <v>79634</v>
      </c>
      <c r="K99" s="69">
        <v>50000</v>
      </c>
      <c r="L99" s="78">
        <f t="shared" si="15"/>
        <v>-29634</v>
      </c>
      <c r="M99" s="67"/>
      <c r="O99" t="str">
        <f t="shared" si="16"/>
        <v>422</v>
      </c>
      <c r="P99" t="str">
        <f t="shared" si="17"/>
        <v>42</v>
      </c>
      <c r="Q99" t="str">
        <f t="shared" si="18"/>
        <v>43</v>
      </c>
      <c r="R99" t="str">
        <f t="shared" si="19"/>
        <v>94</v>
      </c>
      <c r="V99">
        <v>4226</v>
      </c>
      <c r="W99" t="s">
        <v>560</v>
      </c>
      <c r="Y99" s="80" t="str">
        <f t="shared" si="22"/>
        <v>42</v>
      </c>
      <c r="Z99" t="str">
        <f t="shared" si="23"/>
        <v>422</v>
      </c>
      <c r="AB99" t="s">
        <v>561</v>
      </c>
      <c r="AC99" t="s">
        <v>562</v>
      </c>
      <c r="AD99" t="s">
        <v>280</v>
      </c>
      <c r="AE99" t="s">
        <v>281</v>
      </c>
      <c r="AF99" t="s">
        <v>268</v>
      </c>
      <c r="AG99" t="s">
        <v>282</v>
      </c>
    </row>
    <row r="100" spans="1:33">
      <c r="A100" s="83" t="str">
        <f>IF(C100="","",VLOOKUP('OPĆI DIO'!$C$3,'OPĆI DIO'!$L$6:$U$138,10,FALSE))</f>
        <v>08006</v>
      </c>
      <c r="B100" s="83" t="str">
        <f>IF(C100="","",VLOOKUP('OPĆI DIO'!$C$3,'OPĆI DIO'!$L$6:$U$138,9,FALSE))</f>
        <v>Sveučilišta i veleučilišta u Republici Hrvatskoj</v>
      </c>
      <c r="C100" s="288">
        <v>43</v>
      </c>
      <c r="D100" s="83" t="str">
        <f t="shared" si="11"/>
        <v>Ostali prihodi za posebne namjene</v>
      </c>
      <c r="E100" s="288">
        <v>4223</v>
      </c>
      <c r="F100" s="83" t="str">
        <f t="shared" si="12"/>
        <v>Oprema za održavanje i zaštitu</v>
      </c>
      <c r="G100" s="290" t="s">
        <v>395</v>
      </c>
      <c r="H100" s="83" t="str">
        <f t="shared" si="13"/>
        <v>REDOVNA DJELATNOST SVEUČILIŠTA U RIJECI (IZ EVIDENCIJSKIH PRIHODA)</v>
      </c>
      <c r="I100" s="83" t="str">
        <f t="shared" si="14"/>
        <v>0942</v>
      </c>
      <c r="J100" s="78">
        <v>2787</v>
      </c>
      <c r="K100" s="69">
        <v>1500</v>
      </c>
      <c r="L100" s="78">
        <f t="shared" si="15"/>
        <v>-1287</v>
      </c>
      <c r="M100" s="67"/>
      <c r="O100" t="str">
        <f t="shared" si="16"/>
        <v>422</v>
      </c>
      <c r="P100" t="str">
        <f t="shared" si="17"/>
        <v>42</v>
      </c>
      <c r="Q100" t="str">
        <f t="shared" si="18"/>
        <v>43</v>
      </c>
      <c r="R100" t="str">
        <f t="shared" si="19"/>
        <v>94</v>
      </c>
      <c r="V100">
        <v>4227</v>
      </c>
      <c r="W100" t="s">
        <v>563</v>
      </c>
      <c r="Y100" s="80" t="str">
        <f t="shared" si="22"/>
        <v>42</v>
      </c>
      <c r="Z100" t="str">
        <f t="shared" si="23"/>
        <v>422</v>
      </c>
      <c r="AB100" t="s">
        <v>564</v>
      </c>
      <c r="AC100" t="s">
        <v>565</v>
      </c>
      <c r="AD100" t="s">
        <v>280</v>
      </c>
      <c r="AE100" t="s">
        <v>281</v>
      </c>
      <c r="AF100" t="s">
        <v>268</v>
      </c>
      <c r="AG100" t="s">
        <v>282</v>
      </c>
    </row>
    <row r="101" spans="1:33">
      <c r="A101" s="83" t="str">
        <f>IF(C101="","",VLOOKUP('OPĆI DIO'!$C$3,'OPĆI DIO'!$L$6:$U$138,10,FALSE))</f>
        <v>08006</v>
      </c>
      <c r="B101" s="83" t="str">
        <f>IF(C101="","",VLOOKUP('OPĆI DIO'!$C$3,'OPĆI DIO'!$L$6:$U$138,9,FALSE))</f>
        <v>Sveučilišta i veleučilišta u Republici Hrvatskoj</v>
      </c>
      <c r="C101" s="288">
        <v>43</v>
      </c>
      <c r="D101" s="83" t="str">
        <f t="shared" si="11"/>
        <v>Ostali prihodi za posebne namjene</v>
      </c>
      <c r="E101" s="288">
        <v>4224</v>
      </c>
      <c r="F101" s="83" t="str">
        <f t="shared" si="12"/>
        <v>Medicinska i laboratorijska oprema</v>
      </c>
      <c r="G101" s="290" t="s">
        <v>395</v>
      </c>
      <c r="H101" s="83" t="str">
        <f t="shared" si="13"/>
        <v>REDOVNA DJELATNOST SVEUČILIŠTA U RIJECI (IZ EVIDENCIJSKIH PRIHODA)</v>
      </c>
      <c r="I101" s="83" t="str">
        <f t="shared" si="14"/>
        <v>0942</v>
      </c>
      <c r="J101" s="78">
        <v>92906</v>
      </c>
      <c r="K101" s="69">
        <v>21500</v>
      </c>
      <c r="L101" s="78">
        <f t="shared" si="15"/>
        <v>-71406</v>
      </c>
      <c r="M101" s="67"/>
      <c r="O101" t="str">
        <f t="shared" si="16"/>
        <v>422</v>
      </c>
      <c r="P101" t="str">
        <f t="shared" si="17"/>
        <v>42</v>
      </c>
      <c r="Q101" t="str">
        <f t="shared" si="18"/>
        <v>43</v>
      </c>
      <c r="R101" t="str">
        <f t="shared" si="19"/>
        <v>94</v>
      </c>
      <c r="V101">
        <v>4231</v>
      </c>
      <c r="W101" t="s">
        <v>566</v>
      </c>
      <c r="Y101" s="80" t="str">
        <f t="shared" si="22"/>
        <v>42</v>
      </c>
      <c r="Z101" t="str">
        <f t="shared" si="23"/>
        <v>423</v>
      </c>
      <c r="AB101" t="s">
        <v>567</v>
      </c>
      <c r="AC101" t="s">
        <v>568</v>
      </c>
      <c r="AD101" t="s">
        <v>280</v>
      </c>
      <c r="AE101" t="s">
        <v>281</v>
      </c>
      <c r="AF101" t="s">
        <v>268</v>
      </c>
      <c r="AG101" t="s">
        <v>282</v>
      </c>
    </row>
    <row r="102" spans="1:33">
      <c r="A102" s="83" t="str">
        <f>IF(C102="","",VLOOKUP('OPĆI DIO'!$C$3,'OPĆI DIO'!$L$6:$U$138,10,FALSE))</f>
        <v>08006</v>
      </c>
      <c r="B102" s="83" t="str">
        <f>IF(C102="","",VLOOKUP('OPĆI DIO'!$C$3,'OPĆI DIO'!$L$6:$U$138,9,FALSE))</f>
        <v>Sveučilišta i veleučilišta u Republici Hrvatskoj</v>
      </c>
      <c r="C102" s="288">
        <v>43</v>
      </c>
      <c r="D102" s="83" t="str">
        <f t="shared" si="11"/>
        <v>Ostali prihodi za posebne namjene</v>
      </c>
      <c r="E102" s="288">
        <v>4225</v>
      </c>
      <c r="F102" s="83" t="str">
        <f t="shared" si="12"/>
        <v>Instrumenti, uređaji i strojevi</v>
      </c>
      <c r="G102" s="290" t="s">
        <v>395</v>
      </c>
      <c r="H102" s="83" t="str">
        <f t="shared" si="13"/>
        <v>REDOVNA DJELATNOST SVEUČILIŠTA U RIJECI (IZ EVIDENCIJSKIH PRIHODA)</v>
      </c>
      <c r="I102" s="83" t="str">
        <f t="shared" si="14"/>
        <v>0942</v>
      </c>
      <c r="J102" s="78">
        <v>10618</v>
      </c>
      <c r="K102" s="69">
        <v>30000</v>
      </c>
      <c r="L102" s="78">
        <f t="shared" si="15"/>
        <v>19382</v>
      </c>
      <c r="M102" s="67"/>
      <c r="O102" t="str">
        <f t="shared" si="16"/>
        <v>422</v>
      </c>
      <c r="P102" t="str">
        <f t="shared" si="17"/>
        <v>42</v>
      </c>
      <c r="Q102" t="str">
        <f t="shared" si="18"/>
        <v>43</v>
      </c>
      <c r="R102" t="str">
        <f t="shared" si="19"/>
        <v>94</v>
      </c>
      <c r="V102">
        <v>4233</v>
      </c>
      <c r="W102" t="s">
        <v>569</v>
      </c>
      <c r="Y102" s="80" t="str">
        <f t="shared" si="22"/>
        <v>42</v>
      </c>
      <c r="Z102" t="str">
        <f t="shared" si="23"/>
        <v>423</v>
      </c>
      <c r="AB102" t="s">
        <v>570</v>
      </c>
      <c r="AC102" t="s">
        <v>571</v>
      </c>
      <c r="AD102" t="s">
        <v>273</v>
      </c>
      <c r="AE102" t="s">
        <v>274</v>
      </c>
      <c r="AF102" t="s">
        <v>275</v>
      </c>
      <c r="AG102" t="s">
        <v>276</v>
      </c>
    </row>
    <row r="103" spans="1:33">
      <c r="A103" s="83" t="str">
        <f>IF(C103="","",VLOOKUP('OPĆI DIO'!$C$3,'OPĆI DIO'!$L$6:$U$138,10,FALSE))</f>
        <v>08006</v>
      </c>
      <c r="B103" s="83" t="str">
        <f>IF(C103="","",VLOOKUP('OPĆI DIO'!$C$3,'OPĆI DIO'!$L$6:$U$138,9,FALSE))</f>
        <v>Sveučilišta i veleučilišta u Republici Hrvatskoj</v>
      </c>
      <c r="C103" s="288">
        <v>43</v>
      </c>
      <c r="D103" s="83" t="str">
        <f t="shared" si="11"/>
        <v>Ostali prihodi za posebne namjene</v>
      </c>
      <c r="E103" s="288">
        <v>4227</v>
      </c>
      <c r="F103" s="83" t="str">
        <f t="shared" si="12"/>
        <v>Uređaji, strojevi i oprema za ostale namjene</v>
      </c>
      <c r="G103" s="290" t="s">
        <v>395</v>
      </c>
      <c r="H103" s="83" t="str">
        <f t="shared" si="13"/>
        <v>REDOVNA DJELATNOST SVEUČILIŠTA U RIJECI (IZ EVIDENCIJSKIH PRIHODA)</v>
      </c>
      <c r="I103" s="83" t="str">
        <f t="shared" si="14"/>
        <v>0942</v>
      </c>
      <c r="J103" s="78">
        <v>11547</v>
      </c>
      <c r="K103" s="69">
        <v>600</v>
      </c>
      <c r="L103" s="78">
        <f t="shared" si="15"/>
        <v>-10947</v>
      </c>
      <c r="M103" s="67"/>
      <c r="O103" t="str">
        <f t="shared" si="16"/>
        <v>422</v>
      </c>
      <c r="P103" t="str">
        <f t="shared" si="17"/>
        <v>42</v>
      </c>
      <c r="Q103" t="str">
        <f t="shared" si="18"/>
        <v>43</v>
      </c>
      <c r="R103" t="str">
        <f t="shared" si="19"/>
        <v>94</v>
      </c>
      <c r="V103">
        <v>4241</v>
      </c>
      <c r="W103" t="s">
        <v>572</v>
      </c>
      <c r="Y103" s="80" t="str">
        <f t="shared" si="22"/>
        <v>42</v>
      </c>
      <c r="Z103" t="str">
        <f t="shared" si="23"/>
        <v>424</v>
      </c>
      <c r="AB103" t="s">
        <v>573</v>
      </c>
      <c r="AC103" t="s">
        <v>574</v>
      </c>
      <c r="AD103" t="s">
        <v>403</v>
      </c>
      <c r="AE103" t="s">
        <v>404</v>
      </c>
      <c r="AF103" t="s">
        <v>268</v>
      </c>
      <c r="AG103" t="s">
        <v>405</v>
      </c>
    </row>
    <row r="104" spans="1:33">
      <c r="A104" s="83" t="str">
        <f>IF(C104="","",VLOOKUP('OPĆI DIO'!$C$3,'OPĆI DIO'!$L$6:$U$138,10,FALSE))</f>
        <v>08006</v>
      </c>
      <c r="B104" s="83" t="str">
        <f>IF(C104="","",VLOOKUP('OPĆI DIO'!$C$3,'OPĆI DIO'!$L$6:$U$138,9,FALSE))</f>
        <v>Sveučilišta i veleučilišta u Republici Hrvatskoj</v>
      </c>
      <c r="C104" s="288">
        <v>43</v>
      </c>
      <c r="D104" s="83" t="str">
        <f t="shared" si="11"/>
        <v>Ostali prihodi za posebne namjene</v>
      </c>
      <c r="E104" s="288">
        <v>4241</v>
      </c>
      <c r="F104" s="83" t="str">
        <f t="shared" si="12"/>
        <v>Knjige</v>
      </c>
      <c r="G104" s="290" t="s">
        <v>395</v>
      </c>
      <c r="H104" s="83" t="str">
        <f t="shared" si="13"/>
        <v>REDOVNA DJELATNOST SVEUČILIŠTA U RIJECI (IZ EVIDENCIJSKIH PRIHODA)</v>
      </c>
      <c r="I104" s="83" t="str">
        <f t="shared" si="14"/>
        <v>0942</v>
      </c>
      <c r="J104" s="78">
        <v>7963</v>
      </c>
      <c r="K104" s="69">
        <v>6500</v>
      </c>
      <c r="L104" s="78">
        <f t="shared" si="15"/>
        <v>-1463</v>
      </c>
      <c r="M104" s="67"/>
      <c r="O104" t="str">
        <f t="shared" si="16"/>
        <v>424</v>
      </c>
      <c r="P104" t="str">
        <f t="shared" si="17"/>
        <v>42</v>
      </c>
      <c r="Q104" t="str">
        <f t="shared" si="18"/>
        <v>43</v>
      </c>
      <c r="R104" t="str">
        <f t="shared" si="19"/>
        <v>94</v>
      </c>
      <c r="V104">
        <v>4242</v>
      </c>
      <c r="W104" t="s">
        <v>575</v>
      </c>
      <c r="Y104" s="80" t="str">
        <f t="shared" si="22"/>
        <v>42</v>
      </c>
      <c r="Z104" t="str">
        <f t="shared" si="23"/>
        <v>424</v>
      </c>
      <c r="AB104" t="s">
        <v>576</v>
      </c>
      <c r="AC104" t="s">
        <v>577</v>
      </c>
      <c r="AD104" t="s">
        <v>280</v>
      </c>
      <c r="AE104" t="s">
        <v>281</v>
      </c>
      <c r="AF104" t="s">
        <v>268</v>
      </c>
      <c r="AG104" t="s">
        <v>282</v>
      </c>
    </row>
    <row r="105" spans="1:33">
      <c r="A105" s="83" t="str">
        <f>IF(C105="","",VLOOKUP('OPĆI DIO'!$C$3,'OPĆI DIO'!$L$6:$U$138,10,FALSE))</f>
        <v>08006</v>
      </c>
      <c r="B105" s="83" t="str">
        <f>IF(C105="","",VLOOKUP('OPĆI DIO'!$C$3,'OPĆI DIO'!$L$6:$U$138,9,FALSE))</f>
        <v>Sveučilišta i veleučilišta u Republici Hrvatskoj</v>
      </c>
      <c r="C105" s="288">
        <v>43</v>
      </c>
      <c r="D105" s="83" t="str">
        <f t="shared" si="11"/>
        <v>Ostali prihodi za posebne namjene</v>
      </c>
      <c r="E105" s="288">
        <v>4262</v>
      </c>
      <c r="F105" s="83" t="str">
        <f t="shared" si="12"/>
        <v>Ulaganja u računalne programe</v>
      </c>
      <c r="G105" s="290" t="s">
        <v>395</v>
      </c>
      <c r="H105" s="83" t="str">
        <f t="shared" si="13"/>
        <v>REDOVNA DJELATNOST SVEUČILIŠTA U RIJECI (IZ EVIDENCIJSKIH PRIHODA)</v>
      </c>
      <c r="I105" s="83" t="str">
        <f t="shared" si="14"/>
        <v>0942</v>
      </c>
      <c r="J105" s="78">
        <v>26545</v>
      </c>
      <c r="K105" s="69">
        <v>6532</v>
      </c>
      <c r="L105" s="78">
        <f t="shared" si="15"/>
        <v>-20013</v>
      </c>
      <c r="M105" s="67"/>
      <c r="O105" t="str">
        <f t="shared" si="16"/>
        <v>426</v>
      </c>
      <c r="P105" t="str">
        <f t="shared" si="17"/>
        <v>42</v>
      </c>
      <c r="Q105" t="str">
        <f t="shared" si="18"/>
        <v>43</v>
      </c>
      <c r="R105" t="str">
        <f t="shared" si="19"/>
        <v>94</v>
      </c>
      <c r="V105">
        <v>4244</v>
      </c>
      <c r="W105" t="s">
        <v>578</v>
      </c>
      <c r="Y105" s="80" t="str">
        <f t="shared" si="22"/>
        <v>42</v>
      </c>
      <c r="Z105" t="str">
        <f t="shared" si="23"/>
        <v>424</v>
      </c>
      <c r="AB105" t="s">
        <v>579</v>
      </c>
      <c r="AC105" t="s">
        <v>580</v>
      </c>
      <c r="AD105" t="s">
        <v>273</v>
      </c>
      <c r="AE105" t="s">
        <v>274</v>
      </c>
      <c r="AF105" t="s">
        <v>275</v>
      </c>
      <c r="AG105" t="s">
        <v>276</v>
      </c>
    </row>
    <row r="106" spans="1:33">
      <c r="A106" s="83" t="str">
        <f>IF(C106="","",VLOOKUP('OPĆI DIO'!$C$3,'OPĆI DIO'!$L$6:$U$138,10,FALSE))</f>
        <v>08006</v>
      </c>
      <c r="B106" s="83" t="str">
        <f>IF(C106="","",VLOOKUP('OPĆI DIO'!$C$3,'OPĆI DIO'!$L$6:$U$138,9,FALSE))</f>
        <v>Sveučilišta i veleučilišta u Republici Hrvatskoj</v>
      </c>
      <c r="C106" s="288">
        <v>43</v>
      </c>
      <c r="D106" s="83" t="str">
        <f t="shared" si="11"/>
        <v>Ostali prihodi za posebne namjene</v>
      </c>
      <c r="E106" s="288">
        <v>3292</v>
      </c>
      <c r="F106" s="83" t="str">
        <f t="shared" si="12"/>
        <v>Premije osiguranja</v>
      </c>
      <c r="G106" s="290" t="s">
        <v>395</v>
      </c>
      <c r="H106" s="83" t="str">
        <f t="shared" si="13"/>
        <v>REDOVNA DJELATNOST SVEUČILIŠTA U RIJECI (IZ EVIDENCIJSKIH PRIHODA)</v>
      </c>
      <c r="I106" s="83" t="str">
        <f t="shared" si="14"/>
        <v>0942</v>
      </c>
      <c r="J106" s="78">
        <v>1991</v>
      </c>
      <c r="K106" s="69">
        <v>3000</v>
      </c>
      <c r="L106" s="78">
        <f t="shared" si="15"/>
        <v>1009</v>
      </c>
      <c r="M106" s="67"/>
      <c r="O106" t="str">
        <f t="shared" si="16"/>
        <v>329</v>
      </c>
      <c r="P106" t="str">
        <f t="shared" si="17"/>
        <v>32</v>
      </c>
      <c r="Q106" t="str">
        <f t="shared" si="18"/>
        <v>43</v>
      </c>
      <c r="R106" t="str">
        <f t="shared" si="19"/>
        <v>94</v>
      </c>
      <c r="V106">
        <v>4251</v>
      </c>
      <c r="W106" t="s">
        <v>581</v>
      </c>
      <c r="Y106" s="80" t="str">
        <f t="shared" si="22"/>
        <v>42</v>
      </c>
      <c r="Z106" t="str">
        <f t="shared" si="23"/>
        <v>425</v>
      </c>
      <c r="AB106" t="s">
        <v>582</v>
      </c>
      <c r="AC106" t="s">
        <v>583</v>
      </c>
      <c r="AD106" t="s">
        <v>273</v>
      </c>
      <c r="AE106" t="s">
        <v>274</v>
      </c>
      <c r="AF106" t="s">
        <v>275</v>
      </c>
      <c r="AG106" t="s">
        <v>276</v>
      </c>
    </row>
    <row r="107" spans="1:33">
      <c r="A107" s="83" t="str">
        <f>IF(C107="","",VLOOKUP('OPĆI DIO'!$C$3,'OPĆI DIO'!$L$6:$U$138,10,FALSE))</f>
        <v/>
      </c>
      <c r="B107" s="83" t="str">
        <f>IF(C107="","",VLOOKUP('OPĆI DIO'!$C$3,'OPĆI DIO'!$L$6:$U$138,9,FALSE))</f>
        <v/>
      </c>
      <c r="C107" s="288"/>
      <c r="D107" s="83" t="str">
        <f t="shared" si="11"/>
        <v/>
      </c>
      <c r="E107" s="288"/>
      <c r="F107" s="83" t="str">
        <f t="shared" si="12"/>
        <v/>
      </c>
      <c r="G107" s="290"/>
      <c r="H107" s="83" t="str">
        <f t="shared" si="13"/>
        <v/>
      </c>
      <c r="I107" s="83" t="str">
        <f t="shared" si="14"/>
        <v/>
      </c>
      <c r="J107" s="78"/>
      <c r="K107" s="69"/>
      <c r="L107" s="78">
        <f t="shared" si="15"/>
        <v>0</v>
      </c>
      <c r="M107" s="67"/>
      <c r="O107" t="str">
        <f t="shared" si="16"/>
        <v/>
      </c>
      <c r="P107" t="str">
        <f t="shared" si="17"/>
        <v/>
      </c>
      <c r="Q107" t="str">
        <f t="shared" si="18"/>
        <v/>
      </c>
      <c r="R107" t="str">
        <f t="shared" si="19"/>
        <v/>
      </c>
      <c r="V107">
        <v>4252</v>
      </c>
      <c r="W107" t="s">
        <v>584</v>
      </c>
      <c r="Y107" s="80" t="str">
        <f t="shared" si="22"/>
        <v>42</v>
      </c>
      <c r="Z107" t="str">
        <f t="shared" si="23"/>
        <v>425</v>
      </c>
      <c r="AB107" t="s">
        <v>585</v>
      </c>
      <c r="AC107" t="s">
        <v>586</v>
      </c>
      <c r="AD107" t="s">
        <v>280</v>
      </c>
      <c r="AE107" t="s">
        <v>281</v>
      </c>
      <c r="AF107" t="s">
        <v>268</v>
      </c>
      <c r="AG107" t="s">
        <v>282</v>
      </c>
    </row>
    <row r="108" spans="1:33">
      <c r="A108" s="83" t="str">
        <f>IF(C108="","",VLOOKUP('OPĆI DIO'!$C$3,'OPĆI DIO'!$L$6:$U$138,10,FALSE))</f>
        <v/>
      </c>
      <c r="B108" s="83" t="str">
        <f>IF(C108="","",VLOOKUP('OPĆI DIO'!$C$3,'OPĆI DIO'!$L$6:$U$138,9,FALSE))</f>
        <v/>
      </c>
      <c r="C108" s="288"/>
      <c r="D108" s="83" t="str">
        <f t="shared" si="11"/>
        <v/>
      </c>
      <c r="E108" s="288"/>
      <c r="F108" s="83" t="str">
        <f t="shared" si="12"/>
        <v/>
      </c>
      <c r="G108" s="290"/>
      <c r="H108" s="83" t="str">
        <f t="shared" si="13"/>
        <v/>
      </c>
      <c r="I108" s="83" t="str">
        <f t="shared" si="14"/>
        <v/>
      </c>
      <c r="J108" s="78"/>
      <c r="K108" s="69"/>
      <c r="L108" s="78">
        <f t="shared" si="15"/>
        <v>0</v>
      </c>
      <c r="M108" s="67"/>
      <c r="O108" t="str">
        <f t="shared" si="16"/>
        <v/>
      </c>
      <c r="P108" t="str">
        <f t="shared" si="17"/>
        <v/>
      </c>
      <c r="Q108" t="str">
        <f t="shared" si="18"/>
        <v/>
      </c>
      <c r="R108" t="str">
        <f t="shared" si="19"/>
        <v/>
      </c>
      <c r="V108">
        <v>4262</v>
      </c>
      <c r="W108" t="s">
        <v>587</v>
      </c>
      <c r="Y108" s="80" t="str">
        <f t="shared" si="22"/>
        <v>42</v>
      </c>
      <c r="Z108" t="str">
        <f t="shared" si="23"/>
        <v>426</v>
      </c>
      <c r="AB108" t="s">
        <v>588</v>
      </c>
      <c r="AC108" t="s">
        <v>589</v>
      </c>
      <c r="AD108" t="s">
        <v>300</v>
      </c>
      <c r="AE108" t="s">
        <v>301</v>
      </c>
      <c r="AF108" t="s">
        <v>268</v>
      </c>
      <c r="AG108" t="s">
        <v>302</v>
      </c>
    </row>
    <row r="109" spans="1:33">
      <c r="A109" s="83" t="str">
        <f>IF(C109="","",VLOOKUP('OPĆI DIO'!$C$3,'OPĆI DIO'!$L$6:$U$138,10,FALSE))</f>
        <v>08006</v>
      </c>
      <c r="B109" s="83" t="str">
        <f>IF(C109="","",VLOOKUP('OPĆI DIO'!$C$3,'OPĆI DIO'!$L$6:$U$138,9,FALSE))</f>
        <v>Sveučilišta i veleučilišta u Republici Hrvatskoj</v>
      </c>
      <c r="C109" s="288">
        <v>51</v>
      </c>
      <c r="D109" s="83" t="str">
        <f t="shared" si="11"/>
        <v>Pomoći EU</v>
      </c>
      <c r="E109" s="288">
        <v>3232</v>
      </c>
      <c r="F109" s="83" t="str">
        <f t="shared" si="12"/>
        <v>Usluge tekućeg i investicijskog održavanja</v>
      </c>
      <c r="G109" s="290" t="s">
        <v>395</v>
      </c>
      <c r="H109" s="83" t="str">
        <f t="shared" si="13"/>
        <v>REDOVNA DJELATNOST SVEUČILIŠTA U RIJECI (IZ EVIDENCIJSKIH PRIHODA)</v>
      </c>
      <c r="I109" s="83" t="str">
        <f t="shared" si="14"/>
        <v>0942</v>
      </c>
      <c r="J109" s="78">
        <v>199084</v>
      </c>
      <c r="K109" s="69">
        <v>72000</v>
      </c>
      <c r="L109" s="78">
        <f t="shared" si="15"/>
        <v>-127084</v>
      </c>
      <c r="M109" s="67"/>
      <c r="O109" t="str">
        <f t="shared" si="16"/>
        <v>323</v>
      </c>
      <c r="P109" t="str">
        <f t="shared" si="17"/>
        <v>32</v>
      </c>
      <c r="Q109" t="str">
        <f t="shared" si="18"/>
        <v>51</v>
      </c>
      <c r="R109" t="str">
        <f t="shared" si="19"/>
        <v>94</v>
      </c>
      <c r="V109">
        <v>4263</v>
      </c>
      <c r="W109" t="s">
        <v>590</v>
      </c>
      <c r="Y109" s="80" t="str">
        <f t="shared" si="22"/>
        <v>42</v>
      </c>
      <c r="Z109" t="str">
        <f t="shared" si="23"/>
        <v>426</v>
      </c>
      <c r="AB109" t="s">
        <v>591</v>
      </c>
      <c r="AC109" t="s">
        <v>592</v>
      </c>
      <c r="AD109" t="s">
        <v>273</v>
      </c>
      <c r="AE109" t="s">
        <v>274</v>
      </c>
      <c r="AF109" t="s">
        <v>275</v>
      </c>
      <c r="AG109" t="s">
        <v>276</v>
      </c>
    </row>
    <row r="110" spans="1:33">
      <c r="A110" s="83" t="str">
        <f>IF(C110="","",VLOOKUP('OPĆI DIO'!$C$3,'OPĆI DIO'!$L$6:$U$138,10,FALSE))</f>
        <v/>
      </c>
      <c r="B110" s="83" t="str">
        <f>IF(C110="","",VLOOKUP('OPĆI DIO'!$C$3,'OPĆI DIO'!$L$6:$U$138,9,FALSE))</f>
        <v/>
      </c>
      <c r="C110" s="288"/>
      <c r="D110" s="83" t="str">
        <f t="shared" si="11"/>
        <v/>
      </c>
      <c r="E110" s="288"/>
      <c r="F110" s="83" t="str">
        <f t="shared" si="12"/>
        <v/>
      </c>
      <c r="G110" s="290"/>
      <c r="H110" s="83" t="str">
        <f t="shared" si="13"/>
        <v/>
      </c>
      <c r="I110" s="83" t="str">
        <f t="shared" si="14"/>
        <v/>
      </c>
      <c r="J110" s="78"/>
      <c r="K110" s="69"/>
      <c r="L110" s="78">
        <f t="shared" si="15"/>
        <v>0</v>
      </c>
      <c r="M110" s="67"/>
      <c r="O110" t="str">
        <f t="shared" si="16"/>
        <v/>
      </c>
      <c r="P110" t="str">
        <f t="shared" si="17"/>
        <v/>
      </c>
      <c r="Q110" t="str">
        <f t="shared" si="18"/>
        <v/>
      </c>
      <c r="R110" t="str">
        <f t="shared" si="19"/>
        <v/>
      </c>
      <c r="V110">
        <v>4264</v>
      </c>
      <c r="W110" t="s">
        <v>593</v>
      </c>
      <c r="Y110" s="80" t="str">
        <f t="shared" si="22"/>
        <v>42</v>
      </c>
      <c r="Z110" t="str">
        <f t="shared" si="23"/>
        <v>426</v>
      </c>
      <c r="AB110" t="s">
        <v>594</v>
      </c>
      <c r="AC110" t="s">
        <v>595</v>
      </c>
      <c r="AD110" t="s">
        <v>280</v>
      </c>
      <c r="AE110" t="s">
        <v>281</v>
      </c>
      <c r="AF110" t="s">
        <v>268</v>
      </c>
      <c r="AG110" t="s">
        <v>282</v>
      </c>
    </row>
    <row r="111" spans="1:33">
      <c r="A111" s="83" t="str">
        <f>IF(C111="","",VLOOKUP('OPĆI DIO'!$C$3,'OPĆI DIO'!$L$6:$U$138,10,FALSE))</f>
        <v/>
      </c>
      <c r="B111" s="83" t="str">
        <f>IF(C111="","",VLOOKUP('OPĆI DIO'!$C$3,'OPĆI DIO'!$L$6:$U$138,9,FALSE))</f>
        <v/>
      </c>
      <c r="C111" s="288"/>
      <c r="D111" s="83" t="str">
        <f t="shared" si="11"/>
        <v/>
      </c>
      <c r="E111" s="288"/>
      <c r="F111" s="83" t="str">
        <f t="shared" si="12"/>
        <v/>
      </c>
      <c r="G111" s="290"/>
      <c r="H111" s="83" t="str">
        <f t="shared" si="13"/>
        <v/>
      </c>
      <c r="I111" s="83" t="str">
        <f t="shared" si="14"/>
        <v/>
      </c>
      <c r="J111" s="78"/>
      <c r="K111" s="69"/>
      <c r="L111" s="78">
        <f t="shared" si="15"/>
        <v>0</v>
      </c>
      <c r="M111" s="67"/>
      <c r="O111" t="str">
        <f t="shared" si="16"/>
        <v/>
      </c>
      <c r="P111" t="str">
        <f t="shared" si="17"/>
        <v/>
      </c>
      <c r="Q111" t="str">
        <f t="shared" si="18"/>
        <v/>
      </c>
      <c r="R111" t="str">
        <f t="shared" si="19"/>
        <v/>
      </c>
      <c r="V111">
        <v>4312</v>
      </c>
      <c r="W111" t="s">
        <v>596</v>
      </c>
      <c r="Y111" s="80" t="str">
        <f t="shared" si="22"/>
        <v>43</v>
      </c>
      <c r="Z111" t="str">
        <f t="shared" si="23"/>
        <v>431</v>
      </c>
      <c r="AB111" t="s">
        <v>597</v>
      </c>
      <c r="AC111" t="s">
        <v>598</v>
      </c>
      <c r="AD111" t="s">
        <v>280</v>
      </c>
      <c r="AE111" t="s">
        <v>281</v>
      </c>
      <c r="AF111" t="s">
        <v>268</v>
      </c>
      <c r="AG111" t="s">
        <v>282</v>
      </c>
    </row>
    <row r="112" spans="1:33">
      <c r="A112" s="83" t="str">
        <f>IF(C112="","",VLOOKUP('OPĆI DIO'!$C$3,'OPĆI DIO'!$L$6:$U$138,10,FALSE))</f>
        <v>08006</v>
      </c>
      <c r="B112" s="83" t="str">
        <f>IF(C112="","",VLOOKUP('OPĆI DIO'!$C$3,'OPĆI DIO'!$L$6:$U$138,9,FALSE))</f>
        <v>Sveučilišta i veleučilišta u Republici Hrvatskoj</v>
      </c>
      <c r="C112" s="288">
        <v>52</v>
      </c>
      <c r="D112" s="83" t="str">
        <f t="shared" si="11"/>
        <v>Ostale pomoći</v>
      </c>
      <c r="E112" s="288">
        <v>3111</v>
      </c>
      <c r="F112" s="83" t="str">
        <f t="shared" si="12"/>
        <v>Plaće za redovan rad</v>
      </c>
      <c r="G112" s="290" t="s">
        <v>395</v>
      </c>
      <c r="H112" s="83" t="str">
        <f t="shared" si="13"/>
        <v>REDOVNA DJELATNOST SVEUČILIŠTA U RIJECI (IZ EVIDENCIJSKIH PRIHODA)</v>
      </c>
      <c r="I112" s="83" t="str">
        <f t="shared" si="14"/>
        <v>0942</v>
      </c>
      <c r="J112" s="78">
        <v>29796</v>
      </c>
      <c r="K112" s="69">
        <v>20557</v>
      </c>
      <c r="L112" s="78">
        <f t="shared" si="15"/>
        <v>-9239</v>
      </c>
      <c r="M112" s="67"/>
      <c r="O112" t="str">
        <f t="shared" si="16"/>
        <v>311</v>
      </c>
      <c r="P112" t="str">
        <f t="shared" si="17"/>
        <v>31</v>
      </c>
      <c r="Q112" t="str">
        <f t="shared" si="18"/>
        <v>52</v>
      </c>
      <c r="R112" t="str">
        <f t="shared" si="19"/>
        <v>94</v>
      </c>
      <c r="V112">
        <v>4411</v>
      </c>
      <c r="W112" t="s">
        <v>599</v>
      </c>
      <c r="Y112" s="80" t="str">
        <f t="shared" si="22"/>
        <v>44</v>
      </c>
      <c r="Z112" t="str">
        <f t="shared" si="23"/>
        <v>441</v>
      </c>
      <c r="AB112" t="s">
        <v>600</v>
      </c>
      <c r="AC112" t="s">
        <v>601</v>
      </c>
      <c r="AD112" t="s">
        <v>280</v>
      </c>
      <c r="AE112" t="s">
        <v>281</v>
      </c>
      <c r="AF112" t="s">
        <v>268</v>
      </c>
      <c r="AG112" t="s">
        <v>282</v>
      </c>
    </row>
    <row r="113" spans="1:33">
      <c r="A113" s="83" t="str">
        <f>IF(C113="","",VLOOKUP('OPĆI DIO'!$C$3,'OPĆI DIO'!$L$6:$U$138,10,FALSE))</f>
        <v>08006</v>
      </c>
      <c r="B113" s="83" t="str">
        <f>IF(C113="","",VLOOKUP('OPĆI DIO'!$C$3,'OPĆI DIO'!$L$6:$U$138,9,FALSE))</f>
        <v>Sveučilišta i veleučilišta u Republici Hrvatskoj</v>
      </c>
      <c r="C113" s="288">
        <v>52</v>
      </c>
      <c r="D113" s="83" t="str">
        <f t="shared" si="11"/>
        <v>Ostale pomoći</v>
      </c>
      <c r="E113" s="288">
        <v>3112</v>
      </c>
      <c r="F113" s="83" t="str">
        <f t="shared" si="12"/>
        <v>Plaće u naravi</v>
      </c>
      <c r="G113" s="290" t="s">
        <v>395</v>
      </c>
      <c r="H113" s="83" t="str">
        <f t="shared" si="13"/>
        <v>REDOVNA DJELATNOST SVEUČILIŠTA U RIJECI (IZ EVIDENCIJSKIH PRIHODA)</v>
      </c>
      <c r="I113" s="83" t="str">
        <f t="shared" si="14"/>
        <v>0942</v>
      </c>
      <c r="J113" s="78">
        <v>265</v>
      </c>
      <c r="K113" s="69">
        <v>600</v>
      </c>
      <c r="L113" s="78">
        <f t="shared" si="15"/>
        <v>335</v>
      </c>
      <c r="M113" s="67"/>
      <c r="O113" t="str">
        <f t="shared" si="16"/>
        <v>311</v>
      </c>
      <c r="P113" t="str">
        <f t="shared" si="17"/>
        <v>31</v>
      </c>
      <c r="Q113" t="str">
        <f t="shared" si="18"/>
        <v>52</v>
      </c>
      <c r="R113" t="str">
        <f t="shared" si="19"/>
        <v>94</v>
      </c>
      <c r="V113">
        <v>4511</v>
      </c>
      <c r="W113" t="s">
        <v>602</v>
      </c>
      <c r="Y113" s="80" t="str">
        <f t="shared" si="22"/>
        <v>45</v>
      </c>
      <c r="Z113" t="str">
        <f t="shared" si="23"/>
        <v>451</v>
      </c>
      <c r="AB113" t="s">
        <v>603</v>
      </c>
      <c r="AC113" t="s">
        <v>604</v>
      </c>
      <c r="AD113" t="s">
        <v>280</v>
      </c>
      <c r="AE113" t="s">
        <v>281</v>
      </c>
      <c r="AF113" t="s">
        <v>268</v>
      </c>
      <c r="AG113" t="s">
        <v>282</v>
      </c>
    </row>
    <row r="114" spans="1:33">
      <c r="A114" s="83" t="str">
        <f>IF(C114="","",VLOOKUP('OPĆI DIO'!$C$3,'OPĆI DIO'!$L$6:$U$138,10,FALSE))</f>
        <v>08006</v>
      </c>
      <c r="B114" s="83" t="str">
        <f>IF(C114="","",VLOOKUP('OPĆI DIO'!$C$3,'OPĆI DIO'!$L$6:$U$138,9,FALSE))</f>
        <v>Sveučilišta i veleučilišta u Republici Hrvatskoj</v>
      </c>
      <c r="C114" s="288">
        <v>52</v>
      </c>
      <c r="D114" s="83" t="str">
        <f t="shared" si="11"/>
        <v>Ostale pomoći</v>
      </c>
      <c r="E114" s="288">
        <v>3121</v>
      </c>
      <c r="F114" s="83" t="str">
        <f t="shared" si="12"/>
        <v>Ostali rashodi za zaposlene</v>
      </c>
      <c r="G114" s="290" t="s">
        <v>395</v>
      </c>
      <c r="H114" s="83" t="str">
        <f t="shared" si="13"/>
        <v>REDOVNA DJELATNOST SVEUČILIŠTA U RIJECI (IZ EVIDENCIJSKIH PRIHODA)</v>
      </c>
      <c r="I114" s="83" t="str">
        <f t="shared" si="14"/>
        <v>0942</v>
      </c>
      <c r="J114" s="78">
        <v>398</v>
      </c>
      <c r="K114" s="69">
        <v>300</v>
      </c>
      <c r="L114" s="78">
        <f t="shared" si="15"/>
        <v>-98</v>
      </c>
      <c r="M114" s="67"/>
      <c r="O114" t="str">
        <f t="shared" si="16"/>
        <v>312</v>
      </c>
      <c r="P114" t="str">
        <f t="shared" si="17"/>
        <v>31</v>
      </c>
      <c r="Q114" t="str">
        <f t="shared" si="18"/>
        <v>52</v>
      </c>
      <c r="R114" t="str">
        <f t="shared" si="19"/>
        <v>94</v>
      </c>
      <c r="V114">
        <v>4521</v>
      </c>
      <c r="W114" t="s">
        <v>605</v>
      </c>
      <c r="Y114" s="80" t="str">
        <f t="shared" si="22"/>
        <v>45</v>
      </c>
      <c r="Z114" t="str">
        <f t="shared" si="23"/>
        <v>452</v>
      </c>
      <c r="AB114" t="s">
        <v>606</v>
      </c>
      <c r="AC114" t="s">
        <v>607</v>
      </c>
      <c r="AD114" t="s">
        <v>280</v>
      </c>
      <c r="AE114" t="s">
        <v>281</v>
      </c>
      <c r="AF114" t="s">
        <v>268</v>
      </c>
      <c r="AG114" t="s">
        <v>282</v>
      </c>
    </row>
    <row r="115" spans="1:33">
      <c r="A115" s="83" t="str">
        <f>IF(C115="","",VLOOKUP('OPĆI DIO'!$C$3,'OPĆI DIO'!$L$6:$U$138,10,FALSE))</f>
        <v>08006</v>
      </c>
      <c r="B115" s="83" t="str">
        <f>IF(C115="","",VLOOKUP('OPĆI DIO'!$C$3,'OPĆI DIO'!$L$6:$U$138,9,FALSE))</f>
        <v>Sveučilišta i veleučilišta u Republici Hrvatskoj</v>
      </c>
      <c r="C115" s="288">
        <v>52</v>
      </c>
      <c r="D115" s="83" t="str">
        <f t="shared" si="11"/>
        <v>Ostale pomoći</v>
      </c>
      <c r="E115" s="288">
        <v>3132</v>
      </c>
      <c r="F115" s="83" t="str">
        <f t="shared" si="12"/>
        <v>Doprinosi za obvezno zdravstveno osiguranje</v>
      </c>
      <c r="G115" s="290" t="s">
        <v>395</v>
      </c>
      <c r="H115" s="83" t="str">
        <f t="shared" si="13"/>
        <v>REDOVNA DJELATNOST SVEUČILIŠTA U RIJECI (IZ EVIDENCIJSKIH PRIHODA)</v>
      </c>
      <c r="I115" s="83" t="str">
        <f t="shared" si="14"/>
        <v>0942</v>
      </c>
      <c r="J115" s="78">
        <v>4917</v>
      </c>
      <c r="K115" s="69">
        <v>3392</v>
      </c>
      <c r="L115" s="78">
        <f t="shared" si="15"/>
        <v>-1525</v>
      </c>
      <c r="M115" s="67"/>
      <c r="O115" t="str">
        <f t="shared" si="16"/>
        <v>313</v>
      </c>
      <c r="P115" t="str">
        <f t="shared" si="17"/>
        <v>31</v>
      </c>
      <c r="Q115" t="str">
        <f t="shared" si="18"/>
        <v>52</v>
      </c>
      <c r="R115" t="str">
        <f t="shared" si="19"/>
        <v>94</v>
      </c>
      <c r="V115">
        <v>4531</v>
      </c>
      <c r="W115" t="s">
        <v>608</v>
      </c>
      <c r="Y115" s="80" t="str">
        <f t="shared" si="22"/>
        <v>45</v>
      </c>
      <c r="Z115" t="str">
        <f t="shared" si="23"/>
        <v>453</v>
      </c>
      <c r="AB115" t="s">
        <v>609</v>
      </c>
      <c r="AC115" t="s">
        <v>610</v>
      </c>
      <c r="AD115" t="s">
        <v>280</v>
      </c>
      <c r="AE115" t="s">
        <v>281</v>
      </c>
      <c r="AF115" t="s">
        <v>268</v>
      </c>
      <c r="AG115" t="s">
        <v>282</v>
      </c>
    </row>
    <row r="116" spans="1:33">
      <c r="A116" s="83" t="str">
        <f>IF(C116="","",VLOOKUP('OPĆI DIO'!$C$3,'OPĆI DIO'!$L$6:$U$138,10,FALSE))</f>
        <v>08006</v>
      </c>
      <c r="B116" s="83" t="str">
        <f>IF(C116="","",VLOOKUP('OPĆI DIO'!$C$3,'OPĆI DIO'!$L$6:$U$138,9,FALSE))</f>
        <v>Sveučilišta i veleučilišta u Republici Hrvatskoj</v>
      </c>
      <c r="C116" s="288">
        <v>52</v>
      </c>
      <c r="D116" s="83" t="str">
        <f t="shared" si="11"/>
        <v>Ostale pomoći</v>
      </c>
      <c r="E116" s="288">
        <v>3211</v>
      </c>
      <c r="F116" s="83" t="str">
        <f t="shared" si="12"/>
        <v>Službena putovanja</v>
      </c>
      <c r="G116" s="290" t="s">
        <v>395</v>
      </c>
      <c r="H116" s="83" t="str">
        <f t="shared" si="13"/>
        <v>REDOVNA DJELATNOST SVEUČILIŠTA U RIJECI (IZ EVIDENCIJSKIH PRIHODA)</v>
      </c>
      <c r="I116" s="83" t="str">
        <f t="shared" si="14"/>
        <v>0942</v>
      </c>
      <c r="J116" s="78">
        <v>6238</v>
      </c>
      <c r="K116" s="69">
        <v>15200</v>
      </c>
      <c r="L116" s="78">
        <f t="shared" si="15"/>
        <v>8962</v>
      </c>
      <c r="M116" s="67"/>
      <c r="O116" t="str">
        <f t="shared" si="16"/>
        <v>321</v>
      </c>
      <c r="P116" t="str">
        <f t="shared" si="17"/>
        <v>32</v>
      </c>
      <c r="Q116" t="str">
        <f t="shared" si="18"/>
        <v>52</v>
      </c>
      <c r="R116" t="str">
        <f t="shared" si="19"/>
        <v>94</v>
      </c>
      <c r="V116">
        <v>4541</v>
      </c>
      <c r="W116" t="s">
        <v>611</v>
      </c>
      <c r="Y116" s="80" t="str">
        <f t="shared" si="22"/>
        <v>45</v>
      </c>
      <c r="Z116" t="str">
        <f t="shared" si="23"/>
        <v>454</v>
      </c>
      <c r="AB116" t="s">
        <v>612</v>
      </c>
      <c r="AC116" t="s">
        <v>613</v>
      </c>
      <c r="AD116" t="s">
        <v>273</v>
      </c>
      <c r="AE116" t="s">
        <v>274</v>
      </c>
      <c r="AF116" t="s">
        <v>275</v>
      </c>
      <c r="AG116" t="s">
        <v>276</v>
      </c>
    </row>
    <row r="117" spans="1:33">
      <c r="A117" s="83" t="str">
        <f>IF(C117="","",VLOOKUP('OPĆI DIO'!$C$3,'OPĆI DIO'!$L$6:$U$138,10,FALSE))</f>
        <v>08006</v>
      </c>
      <c r="B117" s="83" t="str">
        <f>IF(C117="","",VLOOKUP('OPĆI DIO'!$C$3,'OPĆI DIO'!$L$6:$U$138,9,FALSE))</f>
        <v>Sveučilišta i veleučilišta u Republici Hrvatskoj</v>
      </c>
      <c r="C117" s="288">
        <v>52</v>
      </c>
      <c r="D117" s="83" t="str">
        <f t="shared" si="11"/>
        <v>Ostale pomoći</v>
      </c>
      <c r="E117" s="288">
        <v>3213</v>
      </c>
      <c r="F117" s="83" t="str">
        <f t="shared" si="12"/>
        <v>Stručno usavršavanje zaposlenika</v>
      </c>
      <c r="G117" s="290" t="s">
        <v>395</v>
      </c>
      <c r="H117" s="83" t="str">
        <f t="shared" si="13"/>
        <v>REDOVNA DJELATNOST SVEUČILIŠTA U RIJECI (IZ EVIDENCIJSKIH PRIHODA)</v>
      </c>
      <c r="I117" s="83" t="str">
        <f t="shared" si="14"/>
        <v>0942</v>
      </c>
      <c r="J117" s="78">
        <v>3318</v>
      </c>
      <c r="K117" s="69">
        <v>2425</v>
      </c>
      <c r="L117" s="78">
        <f t="shared" si="15"/>
        <v>-893</v>
      </c>
      <c r="M117" s="67"/>
      <c r="O117" t="str">
        <f t="shared" si="16"/>
        <v>321</v>
      </c>
      <c r="P117" t="str">
        <f t="shared" si="17"/>
        <v>32</v>
      </c>
      <c r="Q117" t="str">
        <f t="shared" si="18"/>
        <v>52</v>
      </c>
      <c r="R117" t="str">
        <f t="shared" si="19"/>
        <v>94</v>
      </c>
      <c r="V117">
        <v>5121</v>
      </c>
      <c r="W117" t="s">
        <v>614</v>
      </c>
      <c r="Y117" s="80" t="str">
        <f t="shared" si="22"/>
        <v>51</v>
      </c>
      <c r="Z117" t="str">
        <f t="shared" si="23"/>
        <v>512</v>
      </c>
      <c r="AB117" t="s">
        <v>615</v>
      </c>
      <c r="AC117" t="s">
        <v>616</v>
      </c>
      <c r="AD117" t="s">
        <v>266</v>
      </c>
      <c r="AE117" t="s">
        <v>267</v>
      </c>
      <c r="AF117" t="s">
        <v>268</v>
      </c>
      <c r="AG117" t="s">
        <v>269</v>
      </c>
    </row>
    <row r="118" spans="1:33">
      <c r="A118" s="83" t="str">
        <f>IF(C118="","",VLOOKUP('OPĆI DIO'!$C$3,'OPĆI DIO'!$L$6:$U$138,10,FALSE))</f>
        <v>08006</v>
      </c>
      <c r="B118" s="83" t="str">
        <f>IF(C118="","",VLOOKUP('OPĆI DIO'!$C$3,'OPĆI DIO'!$L$6:$U$138,9,FALSE))</f>
        <v>Sveučilišta i veleučilišta u Republici Hrvatskoj</v>
      </c>
      <c r="C118" s="288">
        <v>52</v>
      </c>
      <c r="D118" s="83" t="str">
        <f t="shared" si="11"/>
        <v>Ostale pomoći</v>
      </c>
      <c r="E118" s="288">
        <v>3221</v>
      </c>
      <c r="F118" s="83" t="str">
        <f t="shared" si="12"/>
        <v>Uredski materijal i ostali materijalni rashodi</v>
      </c>
      <c r="G118" s="290" t="s">
        <v>395</v>
      </c>
      <c r="H118" s="83" t="str">
        <f t="shared" si="13"/>
        <v>REDOVNA DJELATNOST SVEUČILIŠTA U RIJECI (IZ EVIDENCIJSKIH PRIHODA)</v>
      </c>
      <c r="I118" s="83" t="str">
        <f t="shared" si="14"/>
        <v>0942</v>
      </c>
      <c r="J118" s="78"/>
      <c r="K118" s="69">
        <v>50</v>
      </c>
      <c r="L118" s="78">
        <f t="shared" si="15"/>
        <v>50</v>
      </c>
      <c r="M118" s="67"/>
      <c r="O118" t="str">
        <f t="shared" si="16"/>
        <v>322</v>
      </c>
      <c r="P118" t="str">
        <f t="shared" si="17"/>
        <v>32</v>
      </c>
      <c r="Q118" t="str">
        <f t="shared" si="18"/>
        <v>52</v>
      </c>
      <c r="R118" t="str">
        <f t="shared" si="19"/>
        <v>94</v>
      </c>
      <c r="V118">
        <v>5443</v>
      </c>
      <c r="W118" t="s">
        <v>617</v>
      </c>
      <c r="Y118" s="80" t="str">
        <f t="shared" si="22"/>
        <v>54</v>
      </c>
      <c r="Z118" t="str">
        <f t="shared" si="23"/>
        <v>544</v>
      </c>
      <c r="AB118" t="s">
        <v>618</v>
      </c>
      <c r="AC118" t="s">
        <v>619</v>
      </c>
      <c r="AD118" t="s">
        <v>280</v>
      </c>
      <c r="AE118" t="s">
        <v>281</v>
      </c>
      <c r="AF118" t="s">
        <v>268</v>
      </c>
      <c r="AG118" t="s">
        <v>282</v>
      </c>
    </row>
    <row r="119" spans="1:33">
      <c r="A119" s="83" t="str">
        <f>IF(C119="","",VLOOKUP('OPĆI DIO'!$C$3,'OPĆI DIO'!$L$6:$U$138,10,FALSE))</f>
        <v>08006</v>
      </c>
      <c r="B119" s="83" t="str">
        <f>IF(C119="","",VLOOKUP('OPĆI DIO'!$C$3,'OPĆI DIO'!$L$6:$U$138,9,FALSE))</f>
        <v>Sveučilišta i veleučilišta u Republici Hrvatskoj</v>
      </c>
      <c r="C119" s="288">
        <v>52</v>
      </c>
      <c r="D119" s="83" t="str">
        <f t="shared" si="11"/>
        <v>Ostale pomoći</v>
      </c>
      <c r="E119" s="288">
        <v>3224</v>
      </c>
      <c r="F119" s="83" t="str">
        <f t="shared" si="12"/>
        <v>Materijal i dijelovi za tekuće i investicijsko održavanje</v>
      </c>
      <c r="G119" s="290" t="s">
        <v>395</v>
      </c>
      <c r="H119" s="83" t="str">
        <f t="shared" si="13"/>
        <v>REDOVNA DJELATNOST SVEUČILIŠTA U RIJECI (IZ EVIDENCIJSKIH PRIHODA)</v>
      </c>
      <c r="I119" s="83" t="str">
        <f t="shared" si="14"/>
        <v>0942</v>
      </c>
      <c r="J119" s="78">
        <v>19908</v>
      </c>
      <c r="K119" s="69">
        <v>400</v>
      </c>
      <c r="L119" s="78">
        <f t="shared" si="15"/>
        <v>-19508</v>
      </c>
      <c r="M119" s="67"/>
      <c r="O119" t="str">
        <f t="shared" si="16"/>
        <v>322</v>
      </c>
      <c r="P119" t="str">
        <f t="shared" si="17"/>
        <v>32</v>
      </c>
      <c r="Q119" t="str">
        <f t="shared" si="18"/>
        <v>52</v>
      </c>
      <c r="R119" t="str">
        <f t="shared" si="19"/>
        <v>94</v>
      </c>
      <c r="V119">
        <v>5121</v>
      </c>
      <c r="W119" t="s">
        <v>620</v>
      </c>
      <c r="Y119" s="80" t="str">
        <f t="shared" si="22"/>
        <v>51</v>
      </c>
      <c r="Z119" t="str">
        <f t="shared" si="23"/>
        <v>512</v>
      </c>
      <c r="AB119" t="s">
        <v>621</v>
      </c>
      <c r="AC119" t="s">
        <v>622</v>
      </c>
      <c r="AD119" t="s">
        <v>280</v>
      </c>
      <c r="AE119" t="s">
        <v>281</v>
      </c>
      <c r="AF119" t="s">
        <v>268</v>
      </c>
      <c r="AG119" t="s">
        <v>282</v>
      </c>
    </row>
    <row r="120" spans="1:33">
      <c r="A120" s="83" t="str">
        <f>IF(C120="","",VLOOKUP('OPĆI DIO'!$C$3,'OPĆI DIO'!$L$6:$U$138,10,FALSE))</f>
        <v>08006</v>
      </c>
      <c r="B120" s="83" t="str">
        <f>IF(C120="","",VLOOKUP('OPĆI DIO'!$C$3,'OPĆI DIO'!$L$6:$U$138,9,FALSE))</f>
        <v>Sveučilišta i veleučilišta u Republici Hrvatskoj</v>
      </c>
      <c r="C120" s="288">
        <v>52</v>
      </c>
      <c r="D120" s="83" t="str">
        <f t="shared" si="11"/>
        <v>Ostale pomoći</v>
      </c>
      <c r="E120" s="288">
        <v>3233</v>
      </c>
      <c r="F120" s="83" t="str">
        <f t="shared" si="12"/>
        <v>Usluge promidžbe i informiranja</v>
      </c>
      <c r="G120" s="290" t="s">
        <v>395</v>
      </c>
      <c r="H120" s="83" t="str">
        <f t="shared" si="13"/>
        <v>REDOVNA DJELATNOST SVEUČILIŠTA U RIJECI (IZ EVIDENCIJSKIH PRIHODA)</v>
      </c>
      <c r="I120" s="83" t="str">
        <f t="shared" si="14"/>
        <v>0942</v>
      </c>
      <c r="J120" s="78"/>
      <c r="K120" s="69">
        <v>800</v>
      </c>
      <c r="L120" s="78">
        <f t="shared" si="15"/>
        <v>800</v>
      </c>
      <c r="M120" s="67"/>
      <c r="O120" t="str">
        <f t="shared" si="16"/>
        <v>323</v>
      </c>
      <c r="P120" t="str">
        <f t="shared" si="17"/>
        <v>32</v>
      </c>
      <c r="Q120" t="str">
        <f t="shared" si="18"/>
        <v>52</v>
      </c>
      <c r="R120" t="str">
        <f t="shared" si="19"/>
        <v>94</v>
      </c>
      <c r="V120">
        <v>5122</v>
      </c>
      <c r="W120" t="s">
        <v>623</v>
      </c>
      <c r="Y120" s="80" t="str">
        <f t="shared" si="22"/>
        <v>51</v>
      </c>
      <c r="Z120" t="str">
        <f t="shared" si="23"/>
        <v>512</v>
      </c>
      <c r="AB120" t="s">
        <v>624</v>
      </c>
      <c r="AC120" t="s">
        <v>625</v>
      </c>
      <c r="AD120" t="s">
        <v>273</v>
      </c>
      <c r="AE120" t="s">
        <v>274</v>
      </c>
      <c r="AF120" t="s">
        <v>275</v>
      </c>
      <c r="AG120" t="s">
        <v>276</v>
      </c>
    </row>
    <row r="121" spans="1:33">
      <c r="A121" s="83" t="str">
        <f>IF(C121="","",VLOOKUP('OPĆI DIO'!$C$3,'OPĆI DIO'!$L$6:$U$138,10,FALSE))</f>
        <v>08006</v>
      </c>
      <c r="B121" s="83" t="str">
        <f>IF(C121="","",VLOOKUP('OPĆI DIO'!$C$3,'OPĆI DIO'!$L$6:$U$138,9,FALSE))</f>
        <v>Sveučilišta i veleučilišta u Republici Hrvatskoj</v>
      </c>
      <c r="C121" s="288">
        <v>52</v>
      </c>
      <c r="D121" s="83" t="str">
        <f t="shared" si="11"/>
        <v>Ostale pomoći</v>
      </c>
      <c r="E121" s="288">
        <v>3235</v>
      </c>
      <c r="F121" s="83" t="str">
        <f t="shared" si="12"/>
        <v>Zakupnine i najamnine</v>
      </c>
      <c r="G121" s="290" t="s">
        <v>395</v>
      </c>
      <c r="H121" s="83" t="str">
        <f t="shared" si="13"/>
        <v>REDOVNA DJELATNOST SVEUČILIŠTA U RIJECI (IZ EVIDENCIJSKIH PRIHODA)</v>
      </c>
      <c r="I121" s="83" t="str">
        <f t="shared" si="14"/>
        <v>0942</v>
      </c>
      <c r="J121" s="78">
        <v>1062</v>
      </c>
      <c r="K121" s="69">
        <v>200</v>
      </c>
      <c r="L121" s="78">
        <f t="shared" si="15"/>
        <v>-862</v>
      </c>
      <c r="M121" s="67"/>
      <c r="O121" t="str">
        <f t="shared" si="16"/>
        <v>323</v>
      </c>
      <c r="P121" t="str">
        <f t="shared" si="17"/>
        <v>32</v>
      </c>
      <c r="Q121" t="str">
        <f t="shared" si="18"/>
        <v>52</v>
      </c>
      <c r="R121" t="str">
        <f t="shared" si="19"/>
        <v>94</v>
      </c>
      <c r="V121">
        <v>5141</v>
      </c>
      <c r="W121" t="s">
        <v>626</v>
      </c>
      <c r="Y121" s="80" t="str">
        <f t="shared" si="22"/>
        <v>51</v>
      </c>
      <c r="Z121" t="str">
        <f t="shared" si="23"/>
        <v>514</v>
      </c>
      <c r="AB121" t="s">
        <v>627</v>
      </c>
      <c r="AC121" t="s">
        <v>628</v>
      </c>
      <c r="AD121" t="s">
        <v>266</v>
      </c>
      <c r="AE121" t="s">
        <v>267</v>
      </c>
      <c r="AF121" t="s">
        <v>268</v>
      </c>
      <c r="AG121" t="s">
        <v>269</v>
      </c>
    </row>
    <row r="122" spans="1:33">
      <c r="A122" s="83" t="str">
        <f>IF(C122="","",VLOOKUP('OPĆI DIO'!$C$3,'OPĆI DIO'!$L$6:$U$138,10,FALSE))</f>
        <v>08006</v>
      </c>
      <c r="B122" s="83" t="str">
        <f>IF(C122="","",VLOOKUP('OPĆI DIO'!$C$3,'OPĆI DIO'!$L$6:$U$138,9,FALSE))</f>
        <v>Sveučilišta i veleučilišta u Republici Hrvatskoj</v>
      </c>
      <c r="C122" s="288">
        <v>52</v>
      </c>
      <c r="D122" s="83" t="str">
        <f t="shared" si="11"/>
        <v>Ostale pomoći</v>
      </c>
      <c r="E122" s="288">
        <v>3237</v>
      </c>
      <c r="F122" s="83" t="str">
        <f t="shared" si="12"/>
        <v>Intelektualne i osobne usluge</v>
      </c>
      <c r="G122" s="290" t="s">
        <v>395</v>
      </c>
      <c r="H122" s="83" t="str">
        <f t="shared" si="13"/>
        <v>REDOVNA DJELATNOST SVEUČILIŠTA U RIJECI (IZ EVIDENCIJSKIH PRIHODA)</v>
      </c>
      <c r="I122" s="83" t="str">
        <f t="shared" si="14"/>
        <v>0942</v>
      </c>
      <c r="J122" s="78">
        <v>3677</v>
      </c>
      <c r="K122" s="69">
        <v>10804</v>
      </c>
      <c r="L122" s="78">
        <f t="shared" si="15"/>
        <v>7127</v>
      </c>
      <c r="M122" s="67"/>
      <c r="O122" t="str">
        <f t="shared" si="16"/>
        <v>323</v>
      </c>
      <c r="P122" t="str">
        <f t="shared" si="17"/>
        <v>32</v>
      </c>
      <c r="Q122" t="str">
        <f t="shared" si="18"/>
        <v>52</v>
      </c>
      <c r="R122" t="str">
        <f t="shared" si="19"/>
        <v>94</v>
      </c>
      <c r="V122">
        <v>5181</v>
      </c>
      <c r="W122" t="s">
        <v>629</v>
      </c>
      <c r="Y122" s="80" t="str">
        <f t="shared" si="22"/>
        <v>51</v>
      </c>
      <c r="Z122" t="str">
        <f t="shared" si="23"/>
        <v>518</v>
      </c>
      <c r="AB122" t="s">
        <v>630</v>
      </c>
      <c r="AC122" t="s">
        <v>631</v>
      </c>
      <c r="AD122" t="s">
        <v>403</v>
      </c>
      <c r="AE122" t="s">
        <v>404</v>
      </c>
      <c r="AF122" t="s">
        <v>268</v>
      </c>
      <c r="AG122" t="s">
        <v>405</v>
      </c>
    </row>
    <row r="123" spans="1:33">
      <c r="A123" s="83" t="str">
        <f>IF(C123="","",VLOOKUP('OPĆI DIO'!$C$3,'OPĆI DIO'!$L$6:$U$138,10,FALSE))</f>
        <v>08006</v>
      </c>
      <c r="B123" s="83" t="str">
        <f>IF(C123="","",VLOOKUP('OPĆI DIO'!$C$3,'OPĆI DIO'!$L$6:$U$138,9,FALSE))</f>
        <v>Sveučilišta i veleučilišta u Republici Hrvatskoj</v>
      </c>
      <c r="C123" s="288">
        <v>52</v>
      </c>
      <c r="D123" s="83" t="str">
        <f t="shared" si="11"/>
        <v>Ostale pomoći</v>
      </c>
      <c r="E123" s="288">
        <v>3239</v>
      </c>
      <c r="F123" s="83" t="str">
        <f t="shared" si="12"/>
        <v>Ostale usluge</v>
      </c>
      <c r="G123" s="290" t="s">
        <v>395</v>
      </c>
      <c r="H123" s="83" t="str">
        <f t="shared" si="13"/>
        <v>REDOVNA DJELATNOST SVEUČILIŠTA U RIJECI (IZ EVIDENCIJSKIH PRIHODA)</v>
      </c>
      <c r="I123" s="83" t="str">
        <f t="shared" si="14"/>
        <v>0942</v>
      </c>
      <c r="J123" s="78">
        <v>6304</v>
      </c>
      <c r="K123" s="69">
        <v>9764</v>
      </c>
      <c r="L123" s="78">
        <f t="shared" si="15"/>
        <v>3460</v>
      </c>
      <c r="M123" s="67"/>
      <c r="O123" t="str">
        <f t="shared" si="16"/>
        <v>323</v>
      </c>
      <c r="P123" t="str">
        <f t="shared" si="17"/>
        <v>32</v>
      </c>
      <c r="Q123" t="str">
        <f t="shared" si="18"/>
        <v>52</v>
      </c>
      <c r="R123" t="str">
        <f t="shared" si="19"/>
        <v>94</v>
      </c>
      <c r="V123">
        <v>5183</v>
      </c>
      <c r="W123" t="s">
        <v>632</v>
      </c>
      <c r="Y123" s="80" t="str">
        <f t="shared" si="22"/>
        <v>51</v>
      </c>
      <c r="Z123" t="str">
        <f t="shared" si="23"/>
        <v>518</v>
      </c>
      <c r="AB123" t="s">
        <v>633</v>
      </c>
      <c r="AC123" t="s">
        <v>634</v>
      </c>
      <c r="AD123" t="s">
        <v>288</v>
      </c>
      <c r="AE123" t="s">
        <v>289</v>
      </c>
      <c r="AF123" t="s">
        <v>268</v>
      </c>
      <c r="AG123" t="s">
        <v>290</v>
      </c>
    </row>
    <row r="124" spans="1:33">
      <c r="A124" s="83" t="str">
        <f>IF(C124="","",VLOOKUP('OPĆI DIO'!$C$3,'OPĆI DIO'!$L$6:$U$138,10,FALSE))</f>
        <v>08006</v>
      </c>
      <c r="B124" s="83" t="str">
        <f>IF(C124="","",VLOOKUP('OPĆI DIO'!$C$3,'OPĆI DIO'!$L$6:$U$138,9,FALSE))</f>
        <v>Sveučilišta i veleučilišta u Republici Hrvatskoj</v>
      </c>
      <c r="C124" s="288">
        <v>52</v>
      </c>
      <c r="D124" s="83" t="str">
        <f t="shared" si="11"/>
        <v>Ostale pomoći</v>
      </c>
      <c r="E124" s="288">
        <v>3241</v>
      </c>
      <c r="F124" s="83" t="str">
        <f t="shared" si="12"/>
        <v>Naknade troškova osobama izvan radnog odnosa</v>
      </c>
      <c r="G124" s="290" t="s">
        <v>395</v>
      </c>
      <c r="H124" s="83" t="str">
        <f t="shared" si="13"/>
        <v>REDOVNA DJELATNOST SVEUČILIŠTA U RIJECI (IZ EVIDENCIJSKIH PRIHODA)</v>
      </c>
      <c r="I124" s="83" t="str">
        <f t="shared" si="14"/>
        <v>0942</v>
      </c>
      <c r="J124" s="78"/>
      <c r="K124" s="69">
        <v>3970</v>
      </c>
      <c r="L124" s="78">
        <f t="shared" si="15"/>
        <v>3970</v>
      </c>
      <c r="M124" s="67"/>
      <c r="O124" t="str">
        <f t="shared" si="16"/>
        <v>324</v>
      </c>
      <c r="P124" t="str">
        <f t="shared" si="17"/>
        <v>32</v>
      </c>
      <c r="Q124" t="str">
        <f t="shared" si="18"/>
        <v>52</v>
      </c>
      <c r="R124" t="str">
        <f t="shared" si="19"/>
        <v>94</v>
      </c>
      <c r="V124">
        <v>5422</v>
      </c>
      <c r="W124" t="s">
        <v>635</v>
      </c>
      <c r="Y124" s="80" t="str">
        <f t="shared" si="22"/>
        <v>54</v>
      </c>
      <c r="Z124" t="str">
        <f t="shared" si="23"/>
        <v>542</v>
      </c>
      <c r="AB124" t="s">
        <v>636</v>
      </c>
      <c r="AC124" t="s">
        <v>637</v>
      </c>
      <c r="AD124" t="s">
        <v>337</v>
      </c>
      <c r="AE124" t="s">
        <v>338</v>
      </c>
      <c r="AF124" t="s">
        <v>268</v>
      </c>
      <c r="AG124" t="s">
        <v>269</v>
      </c>
    </row>
    <row r="125" spans="1:33">
      <c r="A125" s="83" t="str">
        <f>IF(C125="","",VLOOKUP('OPĆI DIO'!$C$3,'OPĆI DIO'!$L$6:$U$138,10,FALSE))</f>
        <v>08006</v>
      </c>
      <c r="B125" s="83" t="str">
        <f>IF(C125="","",VLOOKUP('OPĆI DIO'!$C$3,'OPĆI DIO'!$L$6:$U$138,9,FALSE))</f>
        <v>Sveučilišta i veleučilišta u Republici Hrvatskoj</v>
      </c>
      <c r="C125" s="288">
        <v>52</v>
      </c>
      <c r="D125" s="83" t="str">
        <f t="shared" si="11"/>
        <v>Ostale pomoći</v>
      </c>
      <c r="E125" s="288">
        <v>3293</v>
      </c>
      <c r="F125" s="83" t="str">
        <f t="shared" si="12"/>
        <v>Reprezentacija</v>
      </c>
      <c r="G125" s="290" t="s">
        <v>395</v>
      </c>
      <c r="H125" s="83" t="str">
        <f t="shared" si="13"/>
        <v>REDOVNA DJELATNOST SVEUČILIŠTA U RIJECI (IZ EVIDENCIJSKIH PRIHODA)</v>
      </c>
      <c r="I125" s="83" t="str">
        <f t="shared" si="14"/>
        <v>0942</v>
      </c>
      <c r="J125" s="78">
        <v>664</v>
      </c>
      <c r="K125" s="69">
        <v>4400</v>
      </c>
      <c r="L125" s="78">
        <f t="shared" si="15"/>
        <v>3736</v>
      </c>
      <c r="M125" s="67"/>
      <c r="O125" t="str">
        <f t="shared" si="16"/>
        <v>329</v>
      </c>
      <c r="P125" t="str">
        <f t="shared" si="17"/>
        <v>32</v>
      </c>
      <c r="Q125" t="str">
        <f t="shared" si="18"/>
        <v>52</v>
      </c>
      <c r="R125" t="str">
        <f t="shared" si="19"/>
        <v>94</v>
      </c>
      <c r="V125">
        <v>5431</v>
      </c>
      <c r="W125" t="s">
        <v>638</v>
      </c>
      <c r="Y125" s="80" t="str">
        <f t="shared" si="22"/>
        <v>54</v>
      </c>
      <c r="Z125" t="str">
        <f t="shared" si="23"/>
        <v>543</v>
      </c>
      <c r="AB125" t="s">
        <v>639</v>
      </c>
      <c r="AC125" t="s">
        <v>640</v>
      </c>
      <c r="AD125" t="s">
        <v>273</v>
      </c>
      <c r="AE125" t="s">
        <v>274</v>
      </c>
      <c r="AF125" t="s">
        <v>275</v>
      </c>
      <c r="AG125" t="s">
        <v>276</v>
      </c>
    </row>
    <row r="126" spans="1:33">
      <c r="A126" s="83" t="str">
        <f>IF(C126="","",VLOOKUP('OPĆI DIO'!$C$3,'OPĆI DIO'!$L$6:$U$138,10,FALSE))</f>
        <v>08006</v>
      </c>
      <c r="B126" s="83" t="str">
        <f>IF(C126="","",VLOOKUP('OPĆI DIO'!$C$3,'OPĆI DIO'!$L$6:$U$138,9,FALSE))</f>
        <v>Sveučilišta i veleučilišta u Republici Hrvatskoj</v>
      </c>
      <c r="C126" s="288">
        <v>52</v>
      </c>
      <c r="D126" s="83" t="str">
        <f t="shared" si="11"/>
        <v>Ostale pomoći</v>
      </c>
      <c r="E126" s="288">
        <v>3294</v>
      </c>
      <c r="F126" s="83" t="str">
        <f t="shared" si="12"/>
        <v>Članarine i norme</v>
      </c>
      <c r="G126" s="290" t="s">
        <v>395</v>
      </c>
      <c r="H126" s="83" t="str">
        <f t="shared" si="13"/>
        <v>REDOVNA DJELATNOST SVEUČILIŠTA U RIJECI (IZ EVIDENCIJSKIH PRIHODA)</v>
      </c>
      <c r="I126" s="83" t="str">
        <f t="shared" si="14"/>
        <v>0942</v>
      </c>
      <c r="J126" s="78"/>
      <c r="K126" s="69"/>
      <c r="L126" s="78">
        <f t="shared" si="15"/>
        <v>0</v>
      </c>
      <c r="M126" s="67"/>
      <c r="O126" t="str">
        <f t="shared" si="16"/>
        <v>329</v>
      </c>
      <c r="P126" t="str">
        <f t="shared" si="17"/>
        <v>32</v>
      </c>
      <c r="Q126" t="str">
        <f t="shared" si="18"/>
        <v>52</v>
      </c>
      <c r="R126" t="str">
        <f t="shared" si="19"/>
        <v>94</v>
      </c>
      <c r="V126">
        <v>5443</v>
      </c>
      <c r="W126" t="s">
        <v>641</v>
      </c>
      <c r="Y126" s="80" t="str">
        <f t="shared" si="22"/>
        <v>54</v>
      </c>
      <c r="Z126" t="str">
        <f t="shared" si="23"/>
        <v>544</v>
      </c>
      <c r="AB126" t="s">
        <v>642</v>
      </c>
      <c r="AC126" t="s">
        <v>643</v>
      </c>
      <c r="AD126" t="s">
        <v>280</v>
      </c>
      <c r="AE126" t="s">
        <v>281</v>
      </c>
      <c r="AF126" t="s">
        <v>268</v>
      </c>
      <c r="AG126" t="s">
        <v>282</v>
      </c>
    </row>
    <row r="127" spans="1:33">
      <c r="A127" s="83" t="str">
        <f>IF(C127="","",VLOOKUP('OPĆI DIO'!$C$3,'OPĆI DIO'!$L$6:$U$138,10,FALSE))</f>
        <v>08006</v>
      </c>
      <c r="B127" s="83" t="str">
        <f>IF(C127="","",VLOOKUP('OPĆI DIO'!$C$3,'OPĆI DIO'!$L$6:$U$138,9,FALSE))</f>
        <v>Sveučilišta i veleučilišta u Republici Hrvatskoj</v>
      </c>
      <c r="C127" s="288">
        <v>52</v>
      </c>
      <c r="D127" s="83" t="str">
        <f t="shared" si="11"/>
        <v>Ostale pomoći</v>
      </c>
      <c r="E127" s="288">
        <v>3721</v>
      </c>
      <c r="F127" s="83" t="str">
        <f t="shared" si="12"/>
        <v>Naknade građanima i kućanstvima u novcu</v>
      </c>
      <c r="G127" s="290" t="s">
        <v>395</v>
      </c>
      <c r="H127" s="83" t="str">
        <f t="shared" si="13"/>
        <v>REDOVNA DJELATNOST SVEUČILIŠTA U RIJECI (IZ EVIDENCIJSKIH PRIHODA)</v>
      </c>
      <c r="I127" s="83" t="str">
        <f t="shared" si="14"/>
        <v>0942</v>
      </c>
      <c r="J127" s="78">
        <v>995</v>
      </c>
      <c r="K127" s="69"/>
      <c r="L127" s="78">
        <f t="shared" si="15"/>
        <v>-995</v>
      </c>
      <c r="M127" s="67"/>
      <c r="O127" t="str">
        <f t="shared" si="16"/>
        <v>372</v>
      </c>
      <c r="P127" t="str">
        <f t="shared" si="17"/>
        <v>37</v>
      </c>
      <c r="Q127" t="str">
        <f t="shared" si="18"/>
        <v>52</v>
      </c>
      <c r="R127" t="str">
        <f t="shared" si="19"/>
        <v>94</v>
      </c>
      <c r="V127">
        <v>5445</v>
      </c>
      <c r="W127" t="s">
        <v>644</v>
      </c>
      <c r="Y127" s="80" t="str">
        <f t="shared" si="22"/>
        <v>54</v>
      </c>
      <c r="Z127" t="str">
        <f t="shared" si="23"/>
        <v>544</v>
      </c>
      <c r="AB127" t="s">
        <v>645</v>
      </c>
      <c r="AC127" t="s">
        <v>646</v>
      </c>
      <c r="AD127" t="s">
        <v>266</v>
      </c>
      <c r="AE127" t="s">
        <v>267</v>
      </c>
      <c r="AF127" t="s">
        <v>268</v>
      </c>
      <c r="AG127" t="s">
        <v>269</v>
      </c>
    </row>
    <row r="128" spans="1:33">
      <c r="A128" s="83" t="str">
        <f>IF(C128="","",VLOOKUP('OPĆI DIO'!$C$3,'OPĆI DIO'!$L$6:$U$138,10,FALSE))</f>
        <v>08006</v>
      </c>
      <c r="B128" s="83" t="str">
        <f>IF(C128="","",VLOOKUP('OPĆI DIO'!$C$3,'OPĆI DIO'!$L$6:$U$138,9,FALSE))</f>
        <v>Sveučilišta i veleučilišta u Republici Hrvatskoj</v>
      </c>
      <c r="C128" s="288">
        <v>52</v>
      </c>
      <c r="D128" s="83" t="str">
        <f t="shared" si="11"/>
        <v>Ostale pomoći</v>
      </c>
      <c r="E128" s="288">
        <v>4221</v>
      </c>
      <c r="F128" s="83" t="str">
        <f t="shared" si="12"/>
        <v>Uredska oprema i namještaj</v>
      </c>
      <c r="G128" s="290" t="s">
        <v>395</v>
      </c>
      <c r="H128" s="83" t="str">
        <f t="shared" si="13"/>
        <v>REDOVNA DJELATNOST SVEUČILIŠTA U RIJECI (IZ EVIDENCIJSKIH PRIHODA)</v>
      </c>
      <c r="I128" s="83" t="str">
        <f t="shared" si="14"/>
        <v>0942</v>
      </c>
      <c r="J128" s="78"/>
      <c r="K128" s="69"/>
      <c r="L128" s="78">
        <f t="shared" si="15"/>
        <v>0</v>
      </c>
      <c r="M128" s="67"/>
      <c r="O128" t="str">
        <f t="shared" si="16"/>
        <v>422</v>
      </c>
      <c r="P128" t="str">
        <f t="shared" si="17"/>
        <v>42</v>
      </c>
      <c r="Q128" t="str">
        <f t="shared" si="18"/>
        <v>52</v>
      </c>
      <c r="R128" t="str">
        <f t="shared" si="19"/>
        <v>94</v>
      </c>
      <c r="V128">
        <v>5453</v>
      </c>
      <c r="W128" t="s">
        <v>647</v>
      </c>
      <c r="Y128" s="80" t="str">
        <f t="shared" si="22"/>
        <v>54</v>
      </c>
      <c r="Z128" t="str">
        <f t="shared" si="23"/>
        <v>545</v>
      </c>
      <c r="AB128" t="s">
        <v>648</v>
      </c>
      <c r="AC128" t="s">
        <v>649</v>
      </c>
      <c r="AD128" t="s">
        <v>403</v>
      </c>
      <c r="AE128" t="s">
        <v>404</v>
      </c>
      <c r="AF128" t="s">
        <v>268</v>
      </c>
      <c r="AG128" t="s">
        <v>405</v>
      </c>
    </row>
    <row r="129" spans="1:33">
      <c r="A129" s="83" t="str">
        <f>IF(C129="","",VLOOKUP('OPĆI DIO'!$C$3,'OPĆI DIO'!$L$6:$U$138,10,FALSE))</f>
        <v>08006</v>
      </c>
      <c r="B129" s="83" t="str">
        <f>IF(C129="","",VLOOKUP('OPĆI DIO'!$C$3,'OPĆI DIO'!$L$6:$U$138,9,FALSE))</f>
        <v>Sveučilišta i veleučilišta u Republici Hrvatskoj</v>
      </c>
      <c r="C129" s="288">
        <v>52</v>
      </c>
      <c r="D129" s="83" t="str">
        <f t="shared" si="11"/>
        <v>Ostale pomoći</v>
      </c>
      <c r="E129" s="288">
        <v>4222</v>
      </c>
      <c r="F129" s="83" t="str">
        <f t="shared" si="12"/>
        <v>Komunikacijska oprema</v>
      </c>
      <c r="G129" s="290" t="s">
        <v>395</v>
      </c>
      <c r="H129" s="83" t="str">
        <f t="shared" si="13"/>
        <v>REDOVNA DJELATNOST SVEUČILIŠTA U RIJECI (IZ EVIDENCIJSKIH PRIHODA)</v>
      </c>
      <c r="I129" s="83" t="str">
        <f t="shared" si="14"/>
        <v>0942</v>
      </c>
      <c r="J129" s="78"/>
      <c r="K129" s="69"/>
      <c r="L129" s="78">
        <f t="shared" si="15"/>
        <v>0</v>
      </c>
      <c r="M129" s="67"/>
      <c r="O129" t="str">
        <f t="shared" si="16"/>
        <v>422</v>
      </c>
      <c r="P129" t="str">
        <f t="shared" si="17"/>
        <v>42</v>
      </c>
      <c r="Q129" t="str">
        <f t="shared" si="18"/>
        <v>52</v>
      </c>
      <c r="R129" t="str">
        <f t="shared" si="19"/>
        <v>94</v>
      </c>
      <c r="V129">
        <v>5472</v>
      </c>
      <c r="W129" t="s">
        <v>650</v>
      </c>
      <c r="Y129" s="80" t="str">
        <f t="shared" si="22"/>
        <v>54</v>
      </c>
      <c r="Z129" t="str">
        <f t="shared" si="23"/>
        <v>547</v>
      </c>
      <c r="AB129" t="s">
        <v>651</v>
      </c>
      <c r="AC129" t="s">
        <v>652</v>
      </c>
      <c r="AD129" t="s">
        <v>273</v>
      </c>
      <c r="AE129" t="s">
        <v>274</v>
      </c>
      <c r="AF129" t="s">
        <v>275</v>
      </c>
      <c r="AG129" t="s">
        <v>276</v>
      </c>
    </row>
    <row r="130" spans="1:33">
      <c r="A130" s="83" t="str">
        <f>IF(C130="","",VLOOKUP('OPĆI DIO'!$C$3,'OPĆI DIO'!$L$6:$U$138,10,FALSE))</f>
        <v/>
      </c>
      <c r="B130" s="83" t="str">
        <f>IF(C130="","",VLOOKUP('OPĆI DIO'!$C$3,'OPĆI DIO'!$L$6:$U$138,9,FALSE))</f>
        <v/>
      </c>
      <c r="C130" s="288"/>
      <c r="D130" s="83" t="str">
        <f t="shared" si="11"/>
        <v/>
      </c>
      <c r="E130" s="288"/>
      <c r="F130" s="83" t="str">
        <f t="shared" si="12"/>
        <v/>
      </c>
      <c r="G130" s="290"/>
      <c r="H130" s="83" t="str">
        <f t="shared" si="13"/>
        <v/>
      </c>
      <c r="I130" s="83" t="str">
        <f t="shared" si="14"/>
        <v/>
      </c>
      <c r="J130" s="78"/>
      <c r="K130" s="69"/>
      <c r="L130" s="78">
        <f t="shared" si="15"/>
        <v>0</v>
      </c>
      <c r="M130" s="67"/>
      <c r="O130" t="str">
        <f t="shared" si="16"/>
        <v/>
      </c>
      <c r="P130" t="str">
        <f t="shared" si="17"/>
        <v/>
      </c>
      <c r="Q130" t="str">
        <f t="shared" si="18"/>
        <v/>
      </c>
      <c r="R130" t="str">
        <f t="shared" si="19"/>
        <v/>
      </c>
      <c r="AB130" t="s">
        <v>653</v>
      </c>
      <c r="AC130" t="s">
        <v>654</v>
      </c>
      <c r="AD130" t="s">
        <v>280</v>
      </c>
      <c r="AE130" t="s">
        <v>281</v>
      </c>
      <c r="AF130" t="s">
        <v>268</v>
      </c>
      <c r="AG130" t="s">
        <v>282</v>
      </c>
    </row>
    <row r="131" spans="1:33">
      <c r="A131" s="83" t="str">
        <f>IF(C131="","",VLOOKUP('OPĆI DIO'!$C$3,'OPĆI DIO'!$L$6:$U$138,10,FALSE))</f>
        <v/>
      </c>
      <c r="B131" s="83" t="str">
        <f>IF(C131="","",VLOOKUP('OPĆI DIO'!$C$3,'OPĆI DIO'!$L$6:$U$138,9,FALSE))</f>
        <v/>
      </c>
      <c r="C131" s="288"/>
      <c r="D131" s="83" t="str">
        <f t="shared" ref="D131:D194" si="24">IFERROR(VLOOKUP(C131,$S$6:$T$24,2,FALSE),"")</f>
        <v/>
      </c>
      <c r="E131" s="288"/>
      <c r="F131" s="83" t="str">
        <f t="shared" ref="F131:F194" si="25">IFERROR(VLOOKUP(E131,$V$5:$X$129,2,FALSE),"")</f>
        <v/>
      </c>
      <c r="G131" s="290"/>
      <c r="H131" s="83" t="str">
        <f t="shared" ref="H131:H194" si="26">IFERROR(VLOOKUP(G131,$AB$6:$AC$327,2,FALSE),"")</f>
        <v/>
      </c>
      <c r="I131" s="83" t="str">
        <f t="shared" ref="I131:I194" si="27">IFERROR(VLOOKUP(G131,$AB$6:$AF$327,3,FALSE),"")</f>
        <v/>
      </c>
      <c r="J131" s="78"/>
      <c r="K131" s="69"/>
      <c r="L131" s="78">
        <f t="shared" si="15"/>
        <v>0</v>
      </c>
      <c r="M131" s="67"/>
      <c r="O131" t="str">
        <f t="shared" si="16"/>
        <v/>
      </c>
      <c r="P131" t="str">
        <f t="shared" si="17"/>
        <v/>
      </c>
      <c r="Q131" t="str">
        <f t="shared" si="18"/>
        <v/>
      </c>
      <c r="R131" t="str">
        <f t="shared" si="19"/>
        <v/>
      </c>
      <c r="AB131" t="s">
        <v>655</v>
      </c>
      <c r="AC131" t="s">
        <v>656</v>
      </c>
      <c r="AD131" t="s">
        <v>300</v>
      </c>
      <c r="AE131" t="s">
        <v>301</v>
      </c>
      <c r="AF131" t="s">
        <v>268</v>
      </c>
      <c r="AG131" t="s">
        <v>302</v>
      </c>
    </row>
    <row r="132" spans="1:33">
      <c r="A132" s="83" t="str">
        <f>IF(C132="","",VLOOKUP('OPĆI DIO'!$C$3,'OPĆI DIO'!$L$6:$U$138,10,FALSE))</f>
        <v>08006</v>
      </c>
      <c r="B132" s="83" t="str">
        <f>IF(C132="","",VLOOKUP('OPĆI DIO'!$C$3,'OPĆI DIO'!$L$6:$U$138,9,FALSE))</f>
        <v>Sveučilišta i veleučilišta u Republici Hrvatskoj</v>
      </c>
      <c r="C132" s="288">
        <v>61</v>
      </c>
      <c r="D132" s="83" t="str">
        <f t="shared" si="24"/>
        <v>Donacije</v>
      </c>
      <c r="E132" s="288">
        <v>3224</v>
      </c>
      <c r="F132" s="83" t="str">
        <f t="shared" si="25"/>
        <v>Materijal i dijelovi za tekuće i investicijsko održavanje</v>
      </c>
      <c r="G132" s="290" t="s">
        <v>395</v>
      </c>
      <c r="H132" s="83" t="str">
        <f t="shared" si="26"/>
        <v>REDOVNA DJELATNOST SVEUČILIŠTA U RIJECI (IZ EVIDENCIJSKIH PRIHODA)</v>
      </c>
      <c r="I132" s="83" t="str">
        <f t="shared" si="27"/>
        <v>0942</v>
      </c>
      <c r="J132" s="78"/>
      <c r="K132" s="69"/>
      <c r="L132" s="78">
        <f t="shared" ref="L132:L195" si="28">K132-J132</f>
        <v>0</v>
      </c>
      <c r="M132" s="67"/>
      <c r="O132" t="str">
        <f t="shared" ref="O132:O195" si="29">LEFT(E132,3)</f>
        <v>322</v>
      </c>
      <c r="P132" t="str">
        <f t="shared" ref="P132:P195" si="30">LEFT(E132,2)</f>
        <v>32</v>
      </c>
      <c r="Q132" t="str">
        <f t="shared" ref="Q132:Q195" si="31">LEFT(C132,3)</f>
        <v>61</v>
      </c>
      <c r="R132" t="str">
        <f t="shared" ref="R132:R195" si="32">MID(I132,2,2)</f>
        <v>94</v>
      </c>
      <c r="AB132" t="s">
        <v>657</v>
      </c>
      <c r="AC132" t="s">
        <v>658</v>
      </c>
      <c r="AD132" t="s">
        <v>273</v>
      </c>
      <c r="AE132" t="s">
        <v>274</v>
      </c>
      <c r="AF132" t="s">
        <v>275</v>
      </c>
      <c r="AG132" t="s">
        <v>276</v>
      </c>
    </row>
    <row r="133" spans="1:33">
      <c r="A133" s="83" t="str">
        <f>IF(C133="","",VLOOKUP('OPĆI DIO'!$C$3,'OPĆI DIO'!$L$6:$U$138,10,FALSE))</f>
        <v>08006</v>
      </c>
      <c r="B133" s="83" t="str">
        <f>IF(C133="","",VLOOKUP('OPĆI DIO'!$C$3,'OPĆI DIO'!$L$6:$U$138,9,FALSE))</f>
        <v>Sveučilišta i veleučilišta u Republici Hrvatskoj</v>
      </c>
      <c r="C133" s="288">
        <v>61</v>
      </c>
      <c r="D133" s="83" t="str">
        <f t="shared" si="24"/>
        <v>Donacije</v>
      </c>
      <c r="E133" s="288">
        <v>4221</v>
      </c>
      <c r="F133" s="83" t="str">
        <f t="shared" si="25"/>
        <v>Uredska oprema i namještaj</v>
      </c>
      <c r="G133" s="290" t="s">
        <v>395</v>
      </c>
      <c r="H133" s="83" t="str">
        <f t="shared" si="26"/>
        <v>REDOVNA DJELATNOST SVEUČILIŠTA U RIJECI (IZ EVIDENCIJSKIH PRIHODA)</v>
      </c>
      <c r="I133" s="83" t="str">
        <f t="shared" si="27"/>
        <v>0942</v>
      </c>
      <c r="J133" s="78">
        <v>1991</v>
      </c>
      <c r="K133" s="69">
        <v>1991</v>
      </c>
      <c r="L133" s="78">
        <f t="shared" si="28"/>
        <v>0</v>
      </c>
      <c r="M133" s="67"/>
      <c r="O133" t="str">
        <f t="shared" si="29"/>
        <v>422</v>
      </c>
      <c r="P133" t="str">
        <f t="shared" si="30"/>
        <v>42</v>
      </c>
      <c r="Q133" t="str">
        <f t="shared" si="31"/>
        <v>61</v>
      </c>
      <c r="R133" t="str">
        <f t="shared" si="32"/>
        <v>94</v>
      </c>
      <c r="AB133" t="s">
        <v>659</v>
      </c>
      <c r="AC133" t="s">
        <v>660</v>
      </c>
      <c r="AD133" t="s">
        <v>403</v>
      </c>
      <c r="AE133" t="s">
        <v>404</v>
      </c>
      <c r="AF133" t="s">
        <v>268</v>
      </c>
      <c r="AG133" t="s">
        <v>405</v>
      </c>
    </row>
    <row r="134" spans="1:33">
      <c r="A134" s="83" t="str">
        <f>IF(C134="","",VLOOKUP('OPĆI DIO'!$C$3,'OPĆI DIO'!$L$6:$U$138,10,FALSE))</f>
        <v/>
      </c>
      <c r="B134" s="83" t="str">
        <f>IF(C134="","",VLOOKUP('OPĆI DIO'!$C$3,'OPĆI DIO'!$L$6:$U$138,9,FALSE))</f>
        <v/>
      </c>
      <c r="C134" s="288"/>
      <c r="D134" s="83" t="str">
        <f t="shared" si="24"/>
        <v/>
      </c>
      <c r="E134" s="288"/>
      <c r="F134" s="83" t="str">
        <f t="shared" si="25"/>
        <v/>
      </c>
      <c r="G134" s="290"/>
      <c r="H134" s="83" t="str">
        <f t="shared" si="26"/>
        <v/>
      </c>
      <c r="I134" s="83" t="str">
        <f t="shared" si="27"/>
        <v/>
      </c>
      <c r="J134" s="78"/>
      <c r="K134" s="69"/>
      <c r="L134" s="78">
        <f t="shared" si="28"/>
        <v>0</v>
      </c>
      <c r="M134" s="67"/>
      <c r="O134" t="str">
        <f t="shared" si="29"/>
        <v/>
      </c>
      <c r="P134" t="str">
        <f t="shared" si="30"/>
        <v/>
      </c>
      <c r="Q134" t="str">
        <f t="shared" si="31"/>
        <v/>
      </c>
      <c r="R134" t="str">
        <f t="shared" si="32"/>
        <v/>
      </c>
      <c r="AB134" t="s">
        <v>661</v>
      </c>
      <c r="AC134" t="s">
        <v>662</v>
      </c>
      <c r="AD134" t="s">
        <v>403</v>
      </c>
      <c r="AE134" t="s">
        <v>404</v>
      </c>
      <c r="AF134" t="s">
        <v>268</v>
      </c>
      <c r="AG134" t="s">
        <v>405</v>
      </c>
    </row>
    <row r="135" spans="1:33">
      <c r="A135" s="83" t="str">
        <f>IF(C135="","",VLOOKUP('OPĆI DIO'!$C$3,'OPĆI DIO'!$L$6:$U$138,10,FALSE))</f>
        <v/>
      </c>
      <c r="B135" s="83" t="str">
        <f>IF(C135="","",VLOOKUP('OPĆI DIO'!$C$3,'OPĆI DIO'!$L$6:$U$138,9,FALSE))</f>
        <v/>
      </c>
      <c r="C135" s="288"/>
      <c r="D135" s="83" t="str">
        <f t="shared" si="24"/>
        <v/>
      </c>
      <c r="E135" s="288"/>
      <c r="F135" s="83" t="str">
        <f t="shared" si="25"/>
        <v/>
      </c>
      <c r="G135" s="290"/>
      <c r="H135" s="83" t="str">
        <f t="shared" si="26"/>
        <v/>
      </c>
      <c r="I135" s="83" t="str">
        <f t="shared" si="27"/>
        <v/>
      </c>
      <c r="J135" s="78"/>
      <c r="K135" s="69"/>
      <c r="L135" s="78">
        <f t="shared" si="28"/>
        <v>0</v>
      </c>
      <c r="M135" s="67"/>
      <c r="O135" t="str">
        <f t="shared" si="29"/>
        <v/>
      </c>
      <c r="P135" t="str">
        <f t="shared" si="30"/>
        <v/>
      </c>
      <c r="Q135" t="str">
        <f t="shared" si="31"/>
        <v/>
      </c>
      <c r="R135" t="str">
        <f t="shared" si="32"/>
        <v/>
      </c>
      <c r="AB135" t="s">
        <v>661</v>
      </c>
      <c r="AC135" t="s">
        <v>662</v>
      </c>
      <c r="AD135" t="s">
        <v>280</v>
      </c>
      <c r="AE135" t="s">
        <v>281</v>
      </c>
      <c r="AF135" t="s">
        <v>268</v>
      </c>
      <c r="AG135" t="s">
        <v>282</v>
      </c>
    </row>
    <row r="136" spans="1:33">
      <c r="A136" s="83" t="str">
        <f>IF(C136="","",VLOOKUP('OPĆI DIO'!$C$3,'OPĆI DIO'!$L$6:$U$138,10,FALSE))</f>
        <v>08006</v>
      </c>
      <c r="B136" s="83" t="str">
        <f>IF(C136="","",VLOOKUP('OPĆI DIO'!$C$3,'OPĆI DIO'!$L$6:$U$138,9,FALSE))</f>
        <v>Sveučilišta i veleučilišta u Republici Hrvatskoj</v>
      </c>
      <c r="C136" s="288">
        <v>71</v>
      </c>
      <c r="D136" s="83" t="str">
        <f t="shared" si="24"/>
        <v>Prihodi od nefin. imovine i nadoknade štete s osnova osig.</v>
      </c>
      <c r="E136" s="288">
        <v>4221</v>
      </c>
      <c r="F136" s="83" t="str">
        <f t="shared" si="25"/>
        <v>Uredska oprema i namještaj</v>
      </c>
      <c r="G136" s="290" t="s">
        <v>395</v>
      </c>
      <c r="H136" s="83" t="str">
        <f t="shared" si="26"/>
        <v>REDOVNA DJELATNOST SVEUČILIŠTA U RIJECI (IZ EVIDENCIJSKIH PRIHODA)</v>
      </c>
      <c r="I136" s="83" t="str">
        <f t="shared" si="27"/>
        <v>0942</v>
      </c>
      <c r="J136" s="78">
        <v>796</v>
      </c>
      <c r="K136" s="69">
        <v>722</v>
      </c>
      <c r="L136" s="78">
        <f t="shared" si="28"/>
        <v>-74</v>
      </c>
      <c r="M136" s="67"/>
      <c r="O136" t="str">
        <f t="shared" si="29"/>
        <v>422</v>
      </c>
      <c r="P136" t="str">
        <f t="shared" si="30"/>
        <v>42</v>
      </c>
      <c r="Q136" t="str">
        <f t="shared" si="31"/>
        <v>71</v>
      </c>
      <c r="R136" t="str">
        <f t="shared" si="32"/>
        <v>94</v>
      </c>
      <c r="AB136" t="s">
        <v>663</v>
      </c>
      <c r="AC136" t="s">
        <v>664</v>
      </c>
      <c r="AD136" t="s">
        <v>280</v>
      </c>
      <c r="AE136" t="s">
        <v>281</v>
      </c>
      <c r="AF136" t="s">
        <v>268</v>
      </c>
      <c r="AG136" t="s">
        <v>282</v>
      </c>
    </row>
    <row r="137" spans="1:33">
      <c r="A137" s="83" t="str">
        <f>IF(C137="","",VLOOKUP('OPĆI DIO'!$C$3,'OPĆI DIO'!$L$6:$U$138,10,FALSE))</f>
        <v/>
      </c>
      <c r="B137" s="83" t="str">
        <f>IF(C137="","",VLOOKUP('OPĆI DIO'!$C$3,'OPĆI DIO'!$L$6:$U$138,9,FALSE))</f>
        <v/>
      </c>
      <c r="C137" s="84"/>
      <c r="D137" s="83" t="str">
        <f t="shared" si="24"/>
        <v/>
      </c>
      <c r="E137" s="84"/>
      <c r="F137" s="83" t="str">
        <f t="shared" si="25"/>
        <v/>
      </c>
      <c r="G137" s="85"/>
      <c r="H137" s="83" t="str">
        <f t="shared" si="26"/>
        <v/>
      </c>
      <c r="I137" s="83" t="str">
        <f t="shared" si="27"/>
        <v/>
      </c>
      <c r="J137" s="69"/>
      <c r="K137" s="69"/>
      <c r="L137" s="78">
        <f t="shared" si="28"/>
        <v>0</v>
      </c>
      <c r="M137" s="67"/>
      <c r="O137" t="str">
        <f t="shared" si="29"/>
        <v/>
      </c>
      <c r="P137" t="str">
        <f t="shared" si="30"/>
        <v/>
      </c>
      <c r="Q137" t="str">
        <f t="shared" si="31"/>
        <v/>
      </c>
      <c r="R137" t="str">
        <f t="shared" si="32"/>
        <v/>
      </c>
      <c r="AB137" t="s">
        <v>665</v>
      </c>
      <c r="AC137" t="s">
        <v>666</v>
      </c>
      <c r="AD137" t="s">
        <v>337</v>
      </c>
      <c r="AE137" t="s">
        <v>338</v>
      </c>
      <c r="AF137" t="s">
        <v>268</v>
      </c>
      <c r="AG137" t="s">
        <v>269</v>
      </c>
    </row>
    <row r="138" spans="1:33">
      <c r="A138" s="83" t="str">
        <f>IF(C138="","",VLOOKUP('OPĆI DIO'!$C$3,'OPĆI DIO'!$L$6:$U$138,10,FALSE))</f>
        <v/>
      </c>
      <c r="B138" s="83" t="str">
        <f>IF(C138="","",VLOOKUP('OPĆI DIO'!$C$3,'OPĆI DIO'!$L$6:$U$138,9,FALSE))</f>
        <v/>
      </c>
      <c r="C138" s="84"/>
      <c r="D138" s="83" t="str">
        <f t="shared" si="24"/>
        <v/>
      </c>
      <c r="E138" s="84"/>
      <c r="F138" s="83" t="str">
        <f t="shared" si="25"/>
        <v/>
      </c>
      <c r="G138" s="85"/>
      <c r="H138" s="83" t="str">
        <f t="shared" si="26"/>
        <v/>
      </c>
      <c r="I138" s="83" t="str">
        <f t="shared" si="27"/>
        <v/>
      </c>
      <c r="J138" s="69"/>
      <c r="K138" s="69"/>
      <c r="L138" s="78">
        <f t="shared" si="28"/>
        <v>0</v>
      </c>
      <c r="M138" s="67"/>
      <c r="O138" t="str">
        <f t="shared" si="29"/>
        <v/>
      </c>
      <c r="P138" t="str">
        <f t="shared" si="30"/>
        <v/>
      </c>
      <c r="Q138" t="str">
        <f t="shared" si="31"/>
        <v/>
      </c>
      <c r="R138" t="str">
        <f t="shared" si="32"/>
        <v/>
      </c>
      <c r="AB138" t="s">
        <v>667</v>
      </c>
      <c r="AC138" t="s">
        <v>668</v>
      </c>
      <c r="AD138" t="s">
        <v>273</v>
      </c>
      <c r="AE138" t="s">
        <v>274</v>
      </c>
      <c r="AF138" t="s">
        <v>275</v>
      </c>
      <c r="AG138" t="s">
        <v>276</v>
      </c>
    </row>
    <row r="139" spans="1:33">
      <c r="A139" s="83" t="str">
        <f>IF(C139="","",VLOOKUP('OPĆI DIO'!$C$3,'OPĆI DIO'!$L$6:$U$138,10,FALSE))</f>
        <v>08006</v>
      </c>
      <c r="B139" s="83" t="str">
        <f>IF(C139="","",VLOOKUP('OPĆI DIO'!$C$3,'OPĆI DIO'!$L$6:$U$138,9,FALSE))</f>
        <v>Sveučilišta i veleučilišta u Republici Hrvatskoj</v>
      </c>
      <c r="C139" s="84">
        <v>11</v>
      </c>
      <c r="D139" s="83" t="str">
        <f t="shared" si="24"/>
        <v>Opći prihodi i primici</v>
      </c>
      <c r="E139" s="84">
        <v>3111</v>
      </c>
      <c r="F139" s="83" t="str">
        <f t="shared" si="25"/>
        <v>Plaće za redovan rad</v>
      </c>
      <c r="G139" s="85" t="s">
        <v>286</v>
      </c>
      <c r="H139" s="83" t="str">
        <f t="shared" si="26"/>
        <v>PROGRAMSKO FINANCIRANJE JAVNIH VISOKIH UČILIŠTA</v>
      </c>
      <c r="I139" s="83" t="str">
        <f t="shared" si="27"/>
        <v>0942</v>
      </c>
      <c r="J139" s="69"/>
      <c r="K139" s="69">
        <v>743</v>
      </c>
      <c r="L139" s="78">
        <f t="shared" si="28"/>
        <v>743</v>
      </c>
      <c r="M139" s="67"/>
      <c r="O139" t="str">
        <f t="shared" si="29"/>
        <v>311</v>
      </c>
      <c r="P139" t="str">
        <f t="shared" si="30"/>
        <v>31</v>
      </c>
      <c r="Q139" t="str">
        <f t="shared" si="31"/>
        <v>11</v>
      </c>
      <c r="R139" t="str">
        <f t="shared" si="32"/>
        <v>94</v>
      </c>
      <c r="AB139" t="s">
        <v>669</v>
      </c>
      <c r="AC139" t="s">
        <v>670</v>
      </c>
      <c r="AD139" t="s">
        <v>266</v>
      </c>
      <c r="AE139" t="s">
        <v>267</v>
      </c>
      <c r="AF139" t="s">
        <v>268</v>
      </c>
      <c r="AG139" t="s">
        <v>269</v>
      </c>
    </row>
    <row r="140" spans="1:33">
      <c r="A140" s="83" t="str">
        <f>IF(C140="","",VLOOKUP('OPĆI DIO'!$C$3,'OPĆI DIO'!$L$6:$U$138,10,FALSE))</f>
        <v>08006</v>
      </c>
      <c r="B140" s="83" t="str">
        <f>IF(C140="","",VLOOKUP('OPĆI DIO'!$C$3,'OPĆI DIO'!$L$6:$U$138,9,FALSE))</f>
        <v>Sveučilišta i veleučilišta u Republici Hrvatskoj</v>
      </c>
      <c r="C140" s="84">
        <v>11</v>
      </c>
      <c r="D140" s="83" t="str">
        <f t="shared" si="24"/>
        <v>Opći prihodi i primici</v>
      </c>
      <c r="E140" s="84">
        <v>3132</v>
      </c>
      <c r="F140" s="83" t="str">
        <f t="shared" si="25"/>
        <v>Doprinosi za obvezno zdravstveno osiguranje</v>
      </c>
      <c r="G140" s="85" t="s">
        <v>286</v>
      </c>
      <c r="H140" s="83" t="str">
        <f t="shared" si="26"/>
        <v>PROGRAMSKO FINANCIRANJE JAVNIH VISOKIH UČILIŠTA</v>
      </c>
      <c r="I140" s="83" t="str">
        <f t="shared" si="27"/>
        <v>0942</v>
      </c>
      <c r="J140" s="69"/>
      <c r="K140" s="69">
        <v>123</v>
      </c>
      <c r="L140" s="78">
        <f t="shared" si="28"/>
        <v>123</v>
      </c>
      <c r="M140" s="67"/>
      <c r="O140" t="str">
        <f t="shared" si="29"/>
        <v>313</v>
      </c>
      <c r="P140" t="str">
        <f t="shared" si="30"/>
        <v>31</v>
      </c>
      <c r="Q140" t="str">
        <f t="shared" si="31"/>
        <v>11</v>
      </c>
      <c r="R140" t="str">
        <f t="shared" si="32"/>
        <v>94</v>
      </c>
      <c r="AB140" t="s">
        <v>671</v>
      </c>
      <c r="AC140" t="s">
        <v>672</v>
      </c>
      <c r="AD140" t="s">
        <v>673</v>
      </c>
      <c r="AE140" t="s">
        <v>674</v>
      </c>
      <c r="AF140" t="s">
        <v>268</v>
      </c>
      <c r="AG140" t="s">
        <v>675</v>
      </c>
    </row>
    <row r="141" spans="1:33">
      <c r="A141" s="83" t="str">
        <f>IF(C141="","",VLOOKUP('OPĆI DIO'!$C$3,'OPĆI DIO'!$L$6:$U$138,10,FALSE))</f>
        <v>08006</v>
      </c>
      <c r="B141" s="83" t="str">
        <f>IF(C141="","",VLOOKUP('OPĆI DIO'!$C$3,'OPĆI DIO'!$L$6:$U$138,9,FALSE))</f>
        <v>Sveučilišta i veleučilišta u Republici Hrvatskoj</v>
      </c>
      <c r="C141" s="84">
        <v>11</v>
      </c>
      <c r="D141" s="83" t="str">
        <f t="shared" si="24"/>
        <v>Opći prihodi i primici</v>
      </c>
      <c r="E141" s="84">
        <v>3214</v>
      </c>
      <c r="F141" s="83" t="str">
        <f t="shared" si="25"/>
        <v>Ostale naknade troškova zaposlenima</v>
      </c>
      <c r="G141" s="85" t="s">
        <v>286</v>
      </c>
      <c r="H141" s="83" t="str">
        <f t="shared" si="26"/>
        <v>PROGRAMSKO FINANCIRANJE JAVNIH VISOKIH UČILIŠTA</v>
      </c>
      <c r="I141" s="83" t="str">
        <f t="shared" si="27"/>
        <v>0942</v>
      </c>
      <c r="J141" s="69"/>
      <c r="K141" s="69">
        <v>29</v>
      </c>
      <c r="L141" s="78">
        <f t="shared" si="28"/>
        <v>29</v>
      </c>
      <c r="M141" s="67"/>
      <c r="O141" t="str">
        <f t="shared" si="29"/>
        <v>321</v>
      </c>
      <c r="P141" t="str">
        <f t="shared" si="30"/>
        <v>32</v>
      </c>
      <c r="Q141" t="str">
        <f t="shared" si="31"/>
        <v>11</v>
      </c>
      <c r="R141" t="str">
        <f t="shared" si="32"/>
        <v>94</v>
      </c>
      <c r="AB141" t="s">
        <v>676</v>
      </c>
      <c r="AC141" t="s">
        <v>677</v>
      </c>
      <c r="AD141" t="s">
        <v>266</v>
      </c>
      <c r="AE141" t="s">
        <v>267</v>
      </c>
      <c r="AF141" t="s">
        <v>268</v>
      </c>
      <c r="AG141" t="s">
        <v>269</v>
      </c>
    </row>
    <row r="142" spans="1:33">
      <c r="A142" s="83" t="str">
        <f>IF(C142="","",VLOOKUP('OPĆI DIO'!$C$3,'OPĆI DIO'!$L$6:$U$138,10,FALSE))</f>
        <v>08006</v>
      </c>
      <c r="B142" s="83" t="str">
        <f>IF(C142="","",VLOOKUP('OPĆI DIO'!$C$3,'OPĆI DIO'!$L$6:$U$138,9,FALSE))</f>
        <v>Sveučilišta i veleučilišta u Republici Hrvatskoj</v>
      </c>
      <c r="C142" s="84">
        <v>11</v>
      </c>
      <c r="D142" s="83" t="str">
        <f t="shared" si="24"/>
        <v>Opći prihodi i primici</v>
      </c>
      <c r="E142" s="84">
        <v>3236</v>
      </c>
      <c r="F142" s="83" t="str">
        <f t="shared" si="25"/>
        <v>Zdravstvene i veterinarske usluge</v>
      </c>
      <c r="G142" s="85" t="s">
        <v>286</v>
      </c>
      <c r="H142" s="83" t="str">
        <f t="shared" si="26"/>
        <v>PROGRAMSKO FINANCIRANJE JAVNIH VISOKIH UČILIŠTA</v>
      </c>
      <c r="I142" s="83" t="str">
        <f t="shared" si="27"/>
        <v>0942</v>
      </c>
      <c r="J142" s="69"/>
      <c r="K142" s="69">
        <v>280</v>
      </c>
      <c r="L142" s="78">
        <f t="shared" si="28"/>
        <v>280</v>
      </c>
      <c r="M142" s="67"/>
      <c r="O142" t="str">
        <f t="shared" si="29"/>
        <v>323</v>
      </c>
      <c r="P142" t="str">
        <f t="shared" si="30"/>
        <v>32</v>
      </c>
      <c r="Q142" t="str">
        <f t="shared" si="31"/>
        <v>11</v>
      </c>
      <c r="R142" t="str">
        <f t="shared" si="32"/>
        <v>94</v>
      </c>
      <c r="AB142" t="s">
        <v>678</v>
      </c>
      <c r="AC142" t="s">
        <v>679</v>
      </c>
      <c r="AD142" t="s">
        <v>403</v>
      </c>
      <c r="AE142" t="s">
        <v>404</v>
      </c>
      <c r="AF142" t="s">
        <v>268</v>
      </c>
      <c r="AG142" t="s">
        <v>405</v>
      </c>
    </row>
    <row r="143" spans="1:33">
      <c r="A143" s="83" t="str">
        <f>IF(C143="","",VLOOKUP('OPĆI DIO'!$C$3,'OPĆI DIO'!$L$6:$U$138,10,FALSE))</f>
        <v>08006</v>
      </c>
      <c r="B143" s="83" t="str">
        <f>IF(C143="","",VLOOKUP('OPĆI DIO'!$C$3,'OPĆI DIO'!$L$6:$U$138,9,FALSE))</f>
        <v>Sveučilišta i veleučilišta u Republici Hrvatskoj</v>
      </c>
      <c r="C143" s="84">
        <v>11</v>
      </c>
      <c r="D143" s="83" t="str">
        <f t="shared" si="24"/>
        <v>Opći prihodi i primici</v>
      </c>
      <c r="E143" s="84">
        <v>4123</v>
      </c>
      <c r="F143" s="83" t="str">
        <f t="shared" si="25"/>
        <v>Licence</v>
      </c>
      <c r="G143" s="85" t="s">
        <v>286</v>
      </c>
      <c r="H143" s="83" t="str">
        <f t="shared" si="26"/>
        <v>PROGRAMSKO FINANCIRANJE JAVNIH VISOKIH UČILIŠTA</v>
      </c>
      <c r="I143" s="83" t="str">
        <f t="shared" si="27"/>
        <v>0942</v>
      </c>
      <c r="J143" s="69"/>
      <c r="K143" s="69">
        <v>5000</v>
      </c>
      <c r="L143" s="78">
        <f t="shared" si="28"/>
        <v>5000</v>
      </c>
      <c r="M143" s="67"/>
      <c r="O143" t="str">
        <f t="shared" si="29"/>
        <v>412</v>
      </c>
      <c r="P143" t="str">
        <f t="shared" si="30"/>
        <v>41</v>
      </c>
      <c r="Q143" t="str">
        <f t="shared" si="31"/>
        <v>11</v>
      </c>
      <c r="R143" t="str">
        <f t="shared" si="32"/>
        <v>94</v>
      </c>
      <c r="AB143" t="s">
        <v>680</v>
      </c>
      <c r="AC143" t="s">
        <v>681</v>
      </c>
      <c r="AD143" t="s">
        <v>280</v>
      </c>
      <c r="AE143" t="s">
        <v>281</v>
      </c>
      <c r="AF143" t="s">
        <v>268</v>
      </c>
      <c r="AG143" t="s">
        <v>282</v>
      </c>
    </row>
    <row r="144" spans="1:33">
      <c r="A144" s="83" t="str">
        <f>IF(C144="","",VLOOKUP('OPĆI DIO'!$C$3,'OPĆI DIO'!$L$6:$U$138,10,FALSE))</f>
        <v>08006</v>
      </c>
      <c r="B144" s="83" t="str">
        <f>IF(C144="","",VLOOKUP('OPĆI DIO'!$C$3,'OPĆI DIO'!$L$6:$U$138,9,FALSE))</f>
        <v>Sveučilišta i veleučilišta u Republici Hrvatskoj</v>
      </c>
      <c r="C144" s="84">
        <v>11</v>
      </c>
      <c r="D144" s="83" t="str">
        <f t="shared" si="24"/>
        <v>Opći prihodi i primici</v>
      </c>
      <c r="E144" s="84">
        <v>4224</v>
      </c>
      <c r="F144" s="83" t="str">
        <f t="shared" si="25"/>
        <v>Medicinska i laboratorijska oprema</v>
      </c>
      <c r="G144" s="85" t="s">
        <v>286</v>
      </c>
      <c r="H144" s="83" t="str">
        <f t="shared" si="26"/>
        <v>PROGRAMSKO FINANCIRANJE JAVNIH VISOKIH UČILIŠTA</v>
      </c>
      <c r="I144" s="83" t="str">
        <f t="shared" si="27"/>
        <v>0942</v>
      </c>
      <c r="J144" s="69"/>
      <c r="K144" s="69">
        <v>1304</v>
      </c>
      <c r="L144" s="78">
        <f t="shared" si="28"/>
        <v>1304</v>
      </c>
      <c r="M144" s="67"/>
      <c r="O144" t="str">
        <f t="shared" si="29"/>
        <v>422</v>
      </c>
      <c r="P144" t="str">
        <f t="shared" si="30"/>
        <v>42</v>
      </c>
      <c r="Q144" t="str">
        <f t="shared" si="31"/>
        <v>11</v>
      </c>
      <c r="R144" t="str">
        <f t="shared" si="32"/>
        <v>94</v>
      </c>
      <c r="AB144" t="s">
        <v>682</v>
      </c>
      <c r="AC144" t="s">
        <v>683</v>
      </c>
      <c r="AD144" t="s">
        <v>266</v>
      </c>
      <c r="AE144" t="s">
        <v>267</v>
      </c>
      <c r="AF144" t="s">
        <v>268</v>
      </c>
      <c r="AG144" t="s">
        <v>269</v>
      </c>
    </row>
    <row r="145" spans="1:33">
      <c r="A145" s="83" t="str">
        <f>IF(C145="","",VLOOKUP('OPĆI DIO'!$C$3,'OPĆI DIO'!$L$6:$U$138,10,FALSE))</f>
        <v/>
      </c>
      <c r="B145" s="83" t="str">
        <f>IF(C145="","",VLOOKUP('OPĆI DIO'!$C$3,'OPĆI DIO'!$L$6:$U$138,9,FALSE))</f>
        <v/>
      </c>
      <c r="C145" s="84"/>
      <c r="D145" s="83" t="str">
        <f t="shared" si="24"/>
        <v/>
      </c>
      <c r="E145" s="84"/>
      <c r="F145" s="83" t="str">
        <f t="shared" si="25"/>
        <v/>
      </c>
      <c r="G145" s="85"/>
      <c r="H145" s="83" t="str">
        <f t="shared" si="26"/>
        <v/>
      </c>
      <c r="I145" s="83" t="str">
        <f t="shared" si="27"/>
        <v/>
      </c>
      <c r="J145" s="69"/>
      <c r="K145" s="69"/>
      <c r="L145" s="78">
        <f t="shared" si="28"/>
        <v>0</v>
      </c>
      <c r="M145" s="67"/>
      <c r="O145" t="str">
        <f t="shared" si="29"/>
        <v/>
      </c>
      <c r="P145" t="str">
        <f t="shared" si="30"/>
        <v/>
      </c>
      <c r="Q145" t="str">
        <f t="shared" si="31"/>
        <v/>
      </c>
      <c r="R145" t="str">
        <f t="shared" si="32"/>
        <v/>
      </c>
      <c r="AB145" t="s">
        <v>684</v>
      </c>
      <c r="AC145" t="s">
        <v>685</v>
      </c>
      <c r="AD145" t="s">
        <v>273</v>
      </c>
      <c r="AE145" t="s">
        <v>274</v>
      </c>
      <c r="AF145" t="s">
        <v>275</v>
      </c>
      <c r="AG145" t="s">
        <v>276</v>
      </c>
    </row>
    <row r="146" spans="1:33">
      <c r="A146" s="83" t="str">
        <f>IF(C146="","",VLOOKUP('OPĆI DIO'!$C$3,'OPĆI DIO'!$L$6:$U$138,10,FALSE))</f>
        <v>08006</v>
      </c>
      <c r="B146" s="83" t="str">
        <f>IF(C146="","",VLOOKUP('OPĆI DIO'!$C$3,'OPĆI DIO'!$L$6:$U$138,9,FALSE))</f>
        <v>Sveučilišta i veleučilišta u Republici Hrvatskoj</v>
      </c>
      <c r="C146" s="84">
        <v>31</v>
      </c>
      <c r="D146" s="83" t="str">
        <f t="shared" si="24"/>
        <v>Vlastiti prihodi</v>
      </c>
      <c r="E146" s="84">
        <v>3238</v>
      </c>
      <c r="F146" s="83" t="str">
        <f t="shared" si="25"/>
        <v>Računalne usluge</v>
      </c>
      <c r="G146" s="85" t="s">
        <v>395</v>
      </c>
      <c r="H146" s="83" t="str">
        <f t="shared" si="26"/>
        <v>REDOVNA DJELATNOST SVEUČILIŠTA U RIJECI (IZ EVIDENCIJSKIH PRIHODA)</v>
      </c>
      <c r="I146" s="83" t="str">
        <f t="shared" si="27"/>
        <v>0942</v>
      </c>
      <c r="J146" s="69"/>
      <c r="K146" s="69">
        <v>270</v>
      </c>
      <c r="L146" s="78">
        <f t="shared" si="28"/>
        <v>270</v>
      </c>
      <c r="M146" s="67"/>
      <c r="O146" t="str">
        <f t="shared" si="29"/>
        <v>323</v>
      </c>
      <c r="P146" t="str">
        <f t="shared" si="30"/>
        <v>32</v>
      </c>
      <c r="Q146" t="str">
        <f t="shared" si="31"/>
        <v>31</v>
      </c>
      <c r="R146" t="str">
        <f t="shared" si="32"/>
        <v>94</v>
      </c>
      <c r="AB146" t="s">
        <v>686</v>
      </c>
      <c r="AC146" t="s">
        <v>687</v>
      </c>
      <c r="AD146" t="s">
        <v>280</v>
      </c>
      <c r="AE146" t="s">
        <v>281</v>
      </c>
      <c r="AF146" t="s">
        <v>268</v>
      </c>
      <c r="AG146" t="s">
        <v>282</v>
      </c>
    </row>
    <row r="147" spans="1:33">
      <c r="A147" s="83" t="str">
        <f>IF(C147="","",VLOOKUP('OPĆI DIO'!$C$3,'OPĆI DIO'!$L$6:$U$138,10,FALSE))</f>
        <v/>
      </c>
      <c r="B147" s="83" t="str">
        <f>IF(C147="","",VLOOKUP('OPĆI DIO'!$C$3,'OPĆI DIO'!$L$6:$U$138,9,FALSE))</f>
        <v/>
      </c>
      <c r="C147" s="84"/>
      <c r="D147" s="83" t="str">
        <f t="shared" si="24"/>
        <v/>
      </c>
      <c r="E147" s="84"/>
      <c r="F147" s="83" t="str">
        <f t="shared" si="25"/>
        <v/>
      </c>
      <c r="G147" s="85"/>
      <c r="H147" s="83" t="str">
        <f t="shared" si="26"/>
        <v/>
      </c>
      <c r="I147" s="83" t="str">
        <f t="shared" si="27"/>
        <v/>
      </c>
      <c r="J147" s="69"/>
      <c r="K147" s="69"/>
      <c r="L147" s="78">
        <f t="shared" si="28"/>
        <v>0</v>
      </c>
      <c r="M147" s="67"/>
      <c r="O147" t="str">
        <f t="shared" si="29"/>
        <v/>
      </c>
      <c r="P147" t="str">
        <f t="shared" si="30"/>
        <v/>
      </c>
      <c r="Q147" t="str">
        <f t="shared" si="31"/>
        <v/>
      </c>
      <c r="R147" t="str">
        <f t="shared" si="32"/>
        <v/>
      </c>
      <c r="AB147" t="s">
        <v>688</v>
      </c>
      <c r="AC147" t="s">
        <v>689</v>
      </c>
      <c r="AD147" t="s">
        <v>673</v>
      </c>
      <c r="AE147" t="s">
        <v>674</v>
      </c>
      <c r="AF147" t="s">
        <v>268</v>
      </c>
      <c r="AG147" t="s">
        <v>675</v>
      </c>
    </row>
    <row r="148" spans="1:33">
      <c r="A148" s="83" t="str">
        <f>IF(C148="","",VLOOKUP('OPĆI DIO'!$C$3,'OPĆI DIO'!$L$6:$U$138,10,FALSE))</f>
        <v>08006</v>
      </c>
      <c r="B148" s="83" t="str">
        <f>IF(C148="","",VLOOKUP('OPĆI DIO'!$C$3,'OPĆI DIO'!$L$6:$U$138,9,FALSE))</f>
        <v>Sveučilišta i veleučilišta u Republici Hrvatskoj</v>
      </c>
      <c r="C148" s="84">
        <v>43</v>
      </c>
      <c r="D148" s="83" t="str">
        <f t="shared" si="24"/>
        <v>Ostali prihodi za posebne namjene</v>
      </c>
      <c r="E148" s="84">
        <v>3121</v>
      </c>
      <c r="F148" s="83" t="str">
        <f t="shared" si="25"/>
        <v>Ostali rashodi za zaposlene</v>
      </c>
      <c r="G148" s="85" t="s">
        <v>395</v>
      </c>
      <c r="H148" s="83" t="str">
        <f t="shared" si="26"/>
        <v>REDOVNA DJELATNOST SVEUČILIŠTA U RIJECI (IZ EVIDENCIJSKIH PRIHODA)</v>
      </c>
      <c r="I148" s="83" t="str">
        <f t="shared" si="27"/>
        <v>0942</v>
      </c>
      <c r="J148" s="69"/>
      <c r="K148" s="69">
        <v>1000</v>
      </c>
      <c r="L148" s="78">
        <f t="shared" si="28"/>
        <v>1000</v>
      </c>
      <c r="M148" s="67"/>
      <c r="O148" t="str">
        <f t="shared" si="29"/>
        <v>312</v>
      </c>
      <c r="P148" t="str">
        <f t="shared" si="30"/>
        <v>31</v>
      </c>
      <c r="Q148" t="str">
        <f t="shared" si="31"/>
        <v>43</v>
      </c>
      <c r="R148" t="str">
        <f t="shared" si="32"/>
        <v>94</v>
      </c>
      <c r="AB148" t="s">
        <v>690</v>
      </c>
      <c r="AC148" t="s">
        <v>691</v>
      </c>
      <c r="AD148" t="s">
        <v>280</v>
      </c>
      <c r="AE148" t="s">
        <v>281</v>
      </c>
      <c r="AF148" t="s">
        <v>268</v>
      </c>
      <c r="AG148" t="s">
        <v>282</v>
      </c>
    </row>
    <row r="149" spans="1:33">
      <c r="A149" s="83" t="str">
        <f>IF(C149="","",VLOOKUP('OPĆI DIO'!$C$3,'OPĆI DIO'!$L$6:$U$138,10,FALSE))</f>
        <v>08006</v>
      </c>
      <c r="B149" s="83" t="str">
        <f>IF(C149="","",VLOOKUP('OPĆI DIO'!$C$3,'OPĆI DIO'!$L$6:$U$138,9,FALSE))</f>
        <v>Sveučilišta i veleučilišta u Republici Hrvatskoj</v>
      </c>
      <c r="C149" s="84">
        <v>43</v>
      </c>
      <c r="D149" s="83" t="str">
        <f t="shared" si="24"/>
        <v>Ostali prihodi za posebne namjene</v>
      </c>
      <c r="E149" s="84">
        <v>3212</v>
      </c>
      <c r="F149" s="83" t="str">
        <f t="shared" si="25"/>
        <v>Naknade za prijevoz, za rad na terenu i odvojeni život</v>
      </c>
      <c r="G149" s="85" t="s">
        <v>395</v>
      </c>
      <c r="H149" s="83" t="str">
        <f t="shared" si="26"/>
        <v>REDOVNA DJELATNOST SVEUČILIŠTA U RIJECI (IZ EVIDENCIJSKIH PRIHODA)</v>
      </c>
      <c r="I149" s="83" t="str">
        <f t="shared" si="27"/>
        <v>0942</v>
      </c>
      <c r="J149" s="69"/>
      <c r="K149" s="69">
        <v>350</v>
      </c>
      <c r="L149" s="78">
        <f t="shared" si="28"/>
        <v>350</v>
      </c>
      <c r="M149" s="67"/>
      <c r="O149" t="str">
        <f t="shared" si="29"/>
        <v>321</v>
      </c>
      <c r="P149" t="str">
        <f t="shared" si="30"/>
        <v>32</v>
      </c>
      <c r="Q149" t="str">
        <f t="shared" si="31"/>
        <v>43</v>
      </c>
      <c r="R149" t="str">
        <f t="shared" si="32"/>
        <v>94</v>
      </c>
      <c r="AB149" t="s">
        <v>692</v>
      </c>
      <c r="AC149" t="s">
        <v>693</v>
      </c>
      <c r="AD149" t="s">
        <v>300</v>
      </c>
      <c r="AE149" t="s">
        <v>301</v>
      </c>
      <c r="AF149" t="s">
        <v>268</v>
      </c>
      <c r="AG149" t="s">
        <v>302</v>
      </c>
    </row>
    <row r="150" spans="1:33">
      <c r="A150" s="83" t="str">
        <f>IF(C150="","",VLOOKUP('OPĆI DIO'!$C$3,'OPĆI DIO'!$L$6:$U$138,10,FALSE))</f>
        <v>08006</v>
      </c>
      <c r="B150" s="83" t="str">
        <f>IF(C150="","",VLOOKUP('OPĆI DIO'!$C$3,'OPĆI DIO'!$L$6:$U$138,9,FALSE))</f>
        <v>Sveučilišta i veleučilišta u Republici Hrvatskoj</v>
      </c>
      <c r="C150" s="84">
        <v>43</v>
      </c>
      <c r="D150" s="83" t="str">
        <f t="shared" si="24"/>
        <v>Ostali prihodi za posebne namjene</v>
      </c>
      <c r="E150" s="84">
        <v>3227</v>
      </c>
      <c r="F150" s="83" t="str">
        <f t="shared" si="25"/>
        <v>Službena, radna i zaštitna odjeća i obuća</v>
      </c>
      <c r="G150" s="85" t="s">
        <v>395</v>
      </c>
      <c r="H150" s="83" t="str">
        <f t="shared" si="26"/>
        <v>REDOVNA DJELATNOST SVEUČILIŠTA U RIJECI (IZ EVIDENCIJSKIH PRIHODA)</v>
      </c>
      <c r="I150" s="83" t="str">
        <f t="shared" si="27"/>
        <v>0942</v>
      </c>
      <c r="J150" s="69"/>
      <c r="K150" s="69">
        <v>1900</v>
      </c>
      <c r="L150" s="78">
        <f t="shared" si="28"/>
        <v>1900</v>
      </c>
      <c r="M150" s="67"/>
      <c r="N150" s="77"/>
      <c r="O150" t="str">
        <f t="shared" si="29"/>
        <v>322</v>
      </c>
      <c r="P150" t="str">
        <f t="shared" si="30"/>
        <v>32</v>
      </c>
      <c r="Q150" t="str">
        <f t="shared" si="31"/>
        <v>43</v>
      </c>
      <c r="R150" t="str">
        <f t="shared" si="32"/>
        <v>94</v>
      </c>
      <c r="AB150" t="s">
        <v>258</v>
      </c>
      <c r="AC150" t="s">
        <v>694</v>
      </c>
      <c r="AD150" t="s">
        <v>300</v>
      </c>
      <c r="AE150" t="s">
        <v>301</v>
      </c>
      <c r="AF150" t="s">
        <v>268</v>
      </c>
      <c r="AG150" t="s">
        <v>302</v>
      </c>
    </row>
    <row r="151" spans="1:33">
      <c r="A151" s="83" t="str">
        <f>IF(C151="","",VLOOKUP('OPĆI DIO'!$C$3,'OPĆI DIO'!$L$6:$U$138,10,FALSE))</f>
        <v>08006</v>
      </c>
      <c r="B151" s="83" t="str">
        <f>IF(C151="","",VLOOKUP('OPĆI DIO'!$C$3,'OPĆI DIO'!$L$6:$U$138,9,FALSE))</f>
        <v>Sveučilišta i veleučilišta u Republici Hrvatskoj</v>
      </c>
      <c r="C151" s="84">
        <v>43</v>
      </c>
      <c r="D151" s="83" t="str">
        <f t="shared" si="24"/>
        <v>Ostali prihodi za posebne namjene</v>
      </c>
      <c r="E151" s="84">
        <v>3721</v>
      </c>
      <c r="F151" s="83" t="str">
        <f t="shared" si="25"/>
        <v>Naknade građanima i kućanstvima u novcu</v>
      </c>
      <c r="G151" s="85" t="s">
        <v>395</v>
      </c>
      <c r="H151" s="83" t="str">
        <f t="shared" si="26"/>
        <v>REDOVNA DJELATNOST SVEUČILIŠTA U RIJECI (IZ EVIDENCIJSKIH PRIHODA)</v>
      </c>
      <c r="I151" s="83" t="str">
        <f t="shared" si="27"/>
        <v>0942</v>
      </c>
      <c r="J151" s="69"/>
      <c r="K151" s="69">
        <v>1200</v>
      </c>
      <c r="L151" s="78">
        <f t="shared" si="28"/>
        <v>1200</v>
      </c>
      <c r="M151" s="67"/>
      <c r="N151" s="77"/>
      <c r="O151" t="str">
        <f t="shared" si="29"/>
        <v>372</v>
      </c>
      <c r="P151" t="str">
        <f t="shared" si="30"/>
        <v>37</v>
      </c>
      <c r="Q151" t="str">
        <f t="shared" si="31"/>
        <v>43</v>
      </c>
      <c r="R151" t="str">
        <f t="shared" si="32"/>
        <v>94</v>
      </c>
      <c r="AB151" t="s">
        <v>695</v>
      </c>
      <c r="AC151" t="s">
        <v>696</v>
      </c>
      <c r="AD151" t="s">
        <v>300</v>
      </c>
      <c r="AE151" t="s">
        <v>301</v>
      </c>
      <c r="AF151" t="s">
        <v>268</v>
      </c>
      <c r="AG151" t="s">
        <v>302</v>
      </c>
    </row>
    <row r="152" spans="1:33">
      <c r="A152" s="83" t="str">
        <f>IF(C152="","",VLOOKUP('OPĆI DIO'!$C$3,'OPĆI DIO'!$L$6:$U$138,10,FALSE))</f>
        <v>08006</v>
      </c>
      <c r="B152" s="83" t="str">
        <f>IF(C152="","",VLOOKUP('OPĆI DIO'!$C$3,'OPĆI DIO'!$L$6:$U$138,9,FALSE))</f>
        <v>Sveučilišta i veleučilišta u Republici Hrvatskoj</v>
      </c>
      <c r="C152" s="84">
        <v>43</v>
      </c>
      <c r="D152" s="83" t="str">
        <f t="shared" si="24"/>
        <v>Ostali prihodi za posebne namjene</v>
      </c>
      <c r="E152" s="84">
        <v>4124</v>
      </c>
      <c r="F152" s="83" t="str">
        <f t="shared" si="25"/>
        <v>Ostala prava</v>
      </c>
      <c r="G152" s="85" t="s">
        <v>395</v>
      </c>
      <c r="H152" s="83" t="str">
        <f t="shared" si="26"/>
        <v>REDOVNA DJELATNOST SVEUČILIŠTA U RIJECI (IZ EVIDENCIJSKIH PRIHODA)</v>
      </c>
      <c r="I152" s="83" t="str">
        <f t="shared" si="27"/>
        <v>0942</v>
      </c>
      <c r="J152" s="69"/>
      <c r="K152" s="69">
        <v>10625</v>
      </c>
      <c r="L152" s="78">
        <f t="shared" si="28"/>
        <v>10625</v>
      </c>
      <c r="M152" s="67"/>
      <c r="N152" s="77"/>
      <c r="O152" t="str">
        <f t="shared" si="29"/>
        <v>412</v>
      </c>
      <c r="P152" t="str">
        <f t="shared" si="30"/>
        <v>41</v>
      </c>
      <c r="Q152" t="str">
        <f t="shared" si="31"/>
        <v>43</v>
      </c>
      <c r="R152" t="str">
        <f t="shared" si="32"/>
        <v>94</v>
      </c>
      <c r="AB152" t="s">
        <v>697</v>
      </c>
      <c r="AC152" t="s">
        <v>698</v>
      </c>
      <c r="AD152" t="s">
        <v>300</v>
      </c>
      <c r="AE152" t="s">
        <v>301</v>
      </c>
      <c r="AF152" t="s">
        <v>268</v>
      </c>
      <c r="AG152" t="s">
        <v>302</v>
      </c>
    </row>
    <row r="153" spans="1:33">
      <c r="A153" s="83" t="str">
        <f>IF(C153="","",VLOOKUP('OPĆI DIO'!$C$3,'OPĆI DIO'!$L$6:$U$138,10,FALSE))</f>
        <v>08006</v>
      </c>
      <c r="B153" s="83" t="str">
        <f>IF(C153="","",VLOOKUP('OPĆI DIO'!$C$3,'OPĆI DIO'!$L$6:$U$138,9,FALSE))</f>
        <v>Sveučilišta i veleučilišta u Republici Hrvatskoj</v>
      </c>
      <c r="C153" s="84">
        <v>43</v>
      </c>
      <c r="D153" s="83" t="str">
        <f t="shared" si="24"/>
        <v>Ostali prihodi za posebne namjene</v>
      </c>
      <c r="E153" s="84">
        <v>3812</v>
      </c>
      <c r="F153" s="83" t="str">
        <f t="shared" si="25"/>
        <v>Tekuće donacije u naravi</v>
      </c>
      <c r="G153" s="85" t="s">
        <v>395</v>
      </c>
      <c r="H153" s="83" t="str">
        <f t="shared" si="26"/>
        <v>REDOVNA DJELATNOST SVEUČILIŠTA U RIJECI (IZ EVIDENCIJSKIH PRIHODA)</v>
      </c>
      <c r="I153" s="83" t="str">
        <f t="shared" si="27"/>
        <v>0942</v>
      </c>
      <c r="J153" s="69"/>
      <c r="K153" s="69">
        <v>1500</v>
      </c>
      <c r="L153" s="78">
        <f t="shared" si="28"/>
        <v>1500</v>
      </c>
      <c r="M153" s="67"/>
      <c r="N153" s="77"/>
      <c r="O153" t="str">
        <f t="shared" si="29"/>
        <v>381</v>
      </c>
      <c r="P153" t="str">
        <f t="shared" si="30"/>
        <v>38</v>
      </c>
      <c r="Q153" t="str">
        <f t="shared" si="31"/>
        <v>43</v>
      </c>
      <c r="R153" t="str">
        <f t="shared" si="32"/>
        <v>94</v>
      </c>
      <c r="AB153" t="s">
        <v>699</v>
      </c>
      <c r="AC153" t="s">
        <v>700</v>
      </c>
      <c r="AD153" t="s">
        <v>300</v>
      </c>
      <c r="AE153" t="s">
        <v>301</v>
      </c>
      <c r="AF153" t="s">
        <v>268</v>
      </c>
      <c r="AG153" t="s">
        <v>302</v>
      </c>
    </row>
    <row r="154" spans="1:33">
      <c r="A154" s="83" t="str">
        <f>IF(C154="","",VLOOKUP('OPĆI DIO'!$C$3,'OPĆI DIO'!$L$6:$U$138,10,FALSE))</f>
        <v/>
      </c>
      <c r="B154" s="83" t="str">
        <f>IF(C154="","",VLOOKUP('OPĆI DIO'!$C$3,'OPĆI DIO'!$L$6:$U$138,9,FALSE))</f>
        <v/>
      </c>
      <c r="C154" s="84"/>
      <c r="D154" s="83" t="str">
        <f t="shared" si="24"/>
        <v/>
      </c>
      <c r="E154" s="84"/>
      <c r="F154" s="83" t="str">
        <f t="shared" si="25"/>
        <v/>
      </c>
      <c r="G154" s="85"/>
      <c r="H154" s="83" t="str">
        <f t="shared" si="26"/>
        <v/>
      </c>
      <c r="I154" s="83" t="str">
        <f t="shared" si="27"/>
        <v/>
      </c>
      <c r="J154" s="69"/>
      <c r="K154" s="69"/>
      <c r="L154" s="78">
        <f t="shared" si="28"/>
        <v>0</v>
      </c>
      <c r="M154" s="67"/>
      <c r="N154" s="77"/>
      <c r="O154" t="str">
        <f t="shared" si="29"/>
        <v/>
      </c>
      <c r="P154" t="str">
        <f t="shared" si="30"/>
        <v/>
      </c>
      <c r="Q154" t="str">
        <f t="shared" si="31"/>
        <v/>
      </c>
      <c r="R154" t="str">
        <f t="shared" si="32"/>
        <v/>
      </c>
      <c r="AB154" t="s">
        <v>701</v>
      </c>
      <c r="AC154" t="s">
        <v>702</v>
      </c>
      <c r="AD154" t="s">
        <v>300</v>
      </c>
      <c r="AE154" t="s">
        <v>301</v>
      </c>
      <c r="AF154" t="s">
        <v>268</v>
      </c>
      <c r="AG154" t="s">
        <v>302</v>
      </c>
    </row>
    <row r="155" spans="1:33">
      <c r="A155" s="83" t="str">
        <f>IF(C155="","",VLOOKUP('OPĆI DIO'!$C$3,'OPĆI DIO'!$L$6:$U$138,10,FALSE))</f>
        <v>08006</v>
      </c>
      <c r="B155" s="83" t="str">
        <f>IF(C155="","",VLOOKUP('OPĆI DIO'!$C$3,'OPĆI DIO'!$L$6:$U$138,9,FALSE))</f>
        <v>Sveučilišta i veleučilišta u Republici Hrvatskoj</v>
      </c>
      <c r="C155" s="84">
        <v>51</v>
      </c>
      <c r="D155" s="83" t="str">
        <f t="shared" si="24"/>
        <v>Pomoći EU</v>
      </c>
      <c r="E155" s="84">
        <v>3111</v>
      </c>
      <c r="F155" s="83" t="str">
        <f t="shared" si="25"/>
        <v>Plaće za redovan rad</v>
      </c>
      <c r="G155" s="85" t="s">
        <v>395</v>
      </c>
      <c r="H155" s="83" t="str">
        <f t="shared" si="26"/>
        <v>REDOVNA DJELATNOST SVEUČILIŠTA U RIJECI (IZ EVIDENCIJSKIH PRIHODA)</v>
      </c>
      <c r="I155" s="83" t="str">
        <f t="shared" si="27"/>
        <v>0942</v>
      </c>
      <c r="J155" s="69"/>
      <c r="K155" s="69">
        <v>80000</v>
      </c>
      <c r="L155" s="78">
        <f t="shared" si="28"/>
        <v>80000</v>
      </c>
      <c r="M155" s="67"/>
      <c r="O155" t="str">
        <f t="shared" si="29"/>
        <v>311</v>
      </c>
      <c r="P155" t="str">
        <f t="shared" si="30"/>
        <v>31</v>
      </c>
      <c r="Q155" t="str">
        <f t="shared" si="31"/>
        <v>51</v>
      </c>
      <c r="R155" t="str">
        <f t="shared" si="32"/>
        <v>94</v>
      </c>
      <c r="AB155" t="s">
        <v>703</v>
      </c>
      <c r="AC155" t="s">
        <v>704</v>
      </c>
      <c r="AD155" t="s">
        <v>300</v>
      </c>
      <c r="AE155" t="s">
        <v>301</v>
      </c>
      <c r="AF155" t="s">
        <v>268</v>
      </c>
      <c r="AG155" t="s">
        <v>302</v>
      </c>
    </row>
    <row r="156" spans="1:33">
      <c r="A156" s="83" t="str">
        <f>IF(C156="","",VLOOKUP('OPĆI DIO'!$C$3,'OPĆI DIO'!$L$6:$U$138,10,FALSE))</f>
        <v>08006</v>
      </c>
      <c r="B156" s="83" t="str">
        <f>IF(C156="","",VLOOKUP('OPĆI DIO'!$C$3,'OPĆI DIO'!$L$6:$U$138,9,FALSE))</f>
        <v>Sveučilišta i veleučilišta u Republici Hrvatskoj</v>
      </c>
      <c r="C156" s="84">
        <v>51</v>
      </c>
      <c r="D156" s="83" t="str">
        <f t="shared" si="24"/>
        <v>Pomoći EU</v>
      </c>
      <c r="E156" s="84">
        <v>3132</v>
      </c>
      <c r="F156" s="83" t="str">
        <f t="shared" si="25"/>
        <v>Doprinosi za obvezno zdravstveno osiguranje</v>
      </c>
      <c r="G156" s="85" t="s">
        <v>395</v>
      </c>
      <c r="H156" s="83" t="str">
        <f t="shared" si="26"/>
        <v>REDOVNA DJELATNOST SVEUČILIŠTA U RIJECI (IZ EVIDENCIJSKIH PRIHODA)</v>
      </c>
      <c r="I156" s="83" t="str">
        <f t="shared" si="27"/>
        <v>0942</v>
      </c>
      <c r="J156" s="69"/>
      <c r="K156" s="69">
        <v>13200</v>
      </c>
      <c r="L156" s="78">
        <f t="shared" si="28"/>
        <v>13200</v>
      </c>
      <c r="M156" s="67"/>
      <c r="O156" t="str">
        <f t="shared" si="29"/>
        <v>313</v>
      </c>
      <c r="P156" t="str">
        <f t="shared" si="30"/>
        <v>31</v>
      </c>
      <c r="Q156" t="str">
        <f t="shared" si="31"/>
        <v>51</v>
      </c>
      <c r="R156" t="str">
        <f t="shared" si="32"/>
        <v>94</v>
      </c>
      <c r="AB156" t="s">
        <v>705</v>
      </c>
      <c r="AC156" t="s">
        <v>706</v>
      </c>
      <c r="AD156" t="s">
        <v>300</v>
      </c>
      <c r="AE156" t="s">
        <v>301</v>
      </c>
      <c r="AF156" t="s">
        <v>268</v>
      </c>
      <c r="AG156" t="s">
        <v>302</v>
      </c>
    </row>
    <row r="157" spans="1:33">
      <c r="A157" s="83" t="str">
        <f>IF(C157="","",VLOOKUP('OPĆI DIO'!$C$3,'OPĆI DIO'!$L$6:$U$138,10,FALSE))</f>
        <v>08006</v>
      </c>
      <c r="B157" s="83" t="str">
        <f>IF(C157="","",VLOOKUP('OPĆI DIO'!$C$3,'OPĆI DIO'!$L$6:$U$138,9,FALSE))</f>
        <v>Sveučilišta i veleučilišta u Republici Hrvatskoj</v>
      </c>
      <c r="C157" s="84">
        <v>51</v>
      </c>
      <c r="D157" s="83" t="str">
        <f t="shared" si="24"/>
        <v>Pomoći EU</v>
      </c>
      <c r="E157" s="84">
        <v>3211</v>
      </c>
      <c r="F157" s="83" t="str">
        <f t="shared" si="25"/>
        <v>Službena putovanja</v>
      </c>
      <c r="G157" s="85" t="s">
        <v>395</v>
      </c>
      <c r="H157" s="83" t="str">
        <f t="shared" si="26"/>
        <v>REDOVNA DJELATNOST SVEUČILIŠTA U RIJECI (IZ EVIDENCIJSKIH PRIHODA)</v>
      </c>
      <c r="I157" s="83" t="str">
        <f t="shared" si="27"/>
        <v>0942</v>
      </c>
      <c r="J157" s="69"/>
      <c r="K157" s="69">
        <v>11500</v>
      </c>
      <c r="L157" s="78">
        <f t="shared" si="28"/>
        <v>11500</v>
      </c>
      <c r="M157" s="67"/>
      <c r="N157" s="77"/>
      <c r="O157" t="str">
        <f t="shared" si="29"/>
        <v>321</v>
      </c>
      <c r="P157" t="str">
        <f t="shared" si="30"/>
        <v>32</v>
      </c>
      <c r="Q157" t="str">
        <f t="shared" si="31"/>
        <v>51</v>
      </c>
      <c r="R157" t="str">
        <f t="shared" si="32"/>
        <v>94</v>
      </c>
      <c r="AB157" t="s">
        <v>707</v>
      </c>
      <c r="AC157" t="s">
        <v>708</v>
      </c>
      <c r="AD157" t="s">
        <v>300</v>
      </c>
      <c r="AE157" t="s">
        <v>301</v>
      </c>
      <c r="AF157" t="s">
        <v>268</v>
      </c>
      <c r="AG157" t="s">
        <v>302</v>
      </c>
    </row>
    <row r="158" spans="1:33">
      <c r="A158" s="83" t="str">
        <f>IF(C158="","",VLOOKUP('OPĆI DIO'!$C$3,'OPĆI DIO'!$L$6:$U$138,10,FALSE))</f>
        <v>08006</v>
      </c>
      <c r="B158" s="83" t="str">
        <f>IF(C158="","",VLOOKUP('OPĆI DIO'!$C$3,'OPĆI DIO'!$L$6:$U$138,9,FALSE))</f>
        <v>Sveučilišta i veleučilišta u Republici Hrvatskoj</v>
      </c>
      <c r="C158" s="84">
        <v>51</v>
      </c>
      <c r="D158" s="83" t="str">
        <f t="shared" si="24"/>
        <v>Pomoći EU</v>
      </c>
      <c r="E158" s="84">
        <v>3213</v>
      </c>
      <c r="F158" s="83" t="str">
        <f t="shared" si="25"/>
        <v>Stručno usavršavanje zaposlenika</v>
      </c>
      <c r="G158" s="85" t="s">
        <v>395</v>
      </c>
      <c r="H158" s="83" t="str">
        <f t="shared" si="26"/>
        <v>REDOVNA DJELATNOST SVEUČILIŠTA U RIJECI (IZ EVIDENCIJSKIH PRIHODA)</v>
      </c>
      <c r="I158" s="83" t="str">
        <f t="shared" si="27"/>
        <v>0942</v>
      </c>
      <c r="J158" s="69"/>
      <c r="K158" s="69">
        <v>9500</v>
      </c>
      <c r="L158" s="78">
        <f t="shared" si="28"/>
        <v>9500</v>
      </c>
      <c r="M158" s="67"/>
      <c r="O158" t="str">
        <f t="shared" si="29"/>
        <v>321</v>
      </c>
      <c r="P158" t="str">
        <f t="shared" si="30"/>
        <v>32</v>
      </c>
      <c r="Q158" t="str">
        <f t="shared" si="31"/>
        <v>51</v>
      </c>
      <c r="R158" t="str">
        <f t="shared" si="32"/>
        <v>94</v>
      </c>
      <c r="AB158" t="s">
        <v>709</v>
      </c>
      <c r="AC158" t="s">
        <v>710</v>
      </c>
      <c r="AD158" t="s">
        <v>300</v>
      </c>
      <c r="AE158" t="s">
        <v>301</v>
      </c>
      <c r="AF158" t="s">
        <v>268</v>
      </c>
      <c r="AG158" t="s">
        <v>302</v>
      </c>
    </row>
    <row r="159" spans="1:33">
      <c r="A159" s="83" t="str">
        <f>IF(C159="","",VLOOKUP('OPĆI DIO'!$C$3,'OPĆI DIO'!$L$6:$U$138,10,FALSE))</f>
        <v>08006</v>
      </c>
      <c r="B159" s="83" t="str">
        <f>IF(C159="","",VLOOKUP('OPĆI DIO'!$C$3,'OPĆI DIO'!$L$6:$U$138,9,FALSE))</f>
        <v>Sveučilišta i veleučilišta u Republici Hrvatskoj</v>
      </c>
      <c r="C159" s="84">
        <v>51</v>
      </c>
      <c r="D159" s="83" t="str">
        <f t="shared" si="24"/>
        <v>Pomoći EU</v>
      </c>
      <c r="E159" s="84">
        <v>3221</v>
      </c>
      <c r="F159" s="83" t="str">
        <f t="shared" si="25"/>
        <v>Uredski materijal i ostali materijalni rashodi</v>
      </c>
      <c r="G159" s="85" t="s">
        <v>395</v>
      </c>
      <c r="H159" s="83" t="str">
        <f t="shared" si="26"/>
        <v>REDOVNA DJELATNOST SVEUČILIŠTA U RIJECI (IZ EVIDENCIJSKIH PRIHODA)</v>
      </c>
      <c r="I159" s="83" t="str">
        <f t="shared" si="27"/>
        <v>0942</v>
      </c>
      <c r="J159" s="69"/>
      <c r="K159" s="69">
        <v>3000</v>
      </c>
      <c r="L159" s="78">
        <f t="shared" si="28"/>
        <v>3000</v>
      </c>
      <c r="M159" s="67"/>
      <c r="N159" s="77"/>
      <c r="O159" t="str">
        <f t="shared" si="29"/>
        <v>322</v>
      </c>
      <c r="P159" t="str">
        <f t="shared" si="30"/>
        <v>32</v>
      </c>
      <c r="Q159" t="str">
        <f t="shared" si="31"/>
        <v>51</v>
      </c>
      <c r="R159" t="str">
        <f t="shared" si="32"/>
        <v>94</v>
      </c>
      <c r="AB159" t="s">
        <v>378</v>
      </c>
      <c r="AC159" t="s">
        <v>393</v>
      </c>
      <c r="AD159" t="s">
        <v>300</v>
      </c>
      <c r="AE159" t="s">
        <v>301</v>
      </c>
      <c r="AF159" t="s">
        <v>268</v>
      </c>
      <c r="AG159" t="s">
        <v>302</v>
      </c>
    </row>
    <row r="160" spans="1:33">
      <c r="A160" s="83" t="str">
        <f>IF(C160="","",VLOOKUP('OPĆI DIO'!$C$3,'OPĆI DIO'!$L$6:$U$138,10,FALSE))</f>
        <v>08006</v>
      </c>
      <c r="B160" s="83" t="str">
        <f>IF(C160="","",VLOOKUP('OPĆI DIO'!$C$3,'OPĆI DIO'!$L$6:$U$138,9,FALSE))</f>
        <v>Sveučilišta i veleučilišta u Republici Hrvatskoj</v>
      </c>
      <c r="C160" s="84">
        <v>51</v>
      </c>
      <c r="D160" s="83" t="str">
        <f t="shared" si="24"/>
        <v>Pomoći EU</v>
      </c>
      <c r="E160" s="84">
        <v>3223</v>
      </c>
      <c r="F160" s="83" t="str">
        <f t="shared" si="25"/>
        <v>Energija</v>
      </c>
      <c r="G160" s="85" t="s">
        <v>395</v>
      </c>
      <c r="H160" s="83" t="str">
        <f t="shared" si="26"/>
        <v>REDOVNA DJELATNOST SVEUČILIŠTA U RIJECI (IZ EVIDENCIJSKIH PRIHODA)</v>
      </c>
      <c r="I160" s="83" t="str">
        <f t="shared" si="27"/>
        <v>0942</v>
      </c>
      <c r="J160" s="69"/>
      <c r="K160" s="69">
        <v>8100</v>
      </c>
      <c r="L160" s="78">
        <f t="shared" si="28"/>
        <v>8100</v>
      </c>
      <c r="M160" s="67"/>
      <c r="O160" t="str">
        <f t="shared" si="29"/>
        <v>322</v>
      </c>
      <c r="P160" t="str">
        <f t="shared" si="30"/>
        <v>32</v>
      </c>
      <c r="Q160" t="str">
        <f t="shared" si="31"/>
        <v>51</v>
      </c>
      <c r="R160" t="str">
        <f t="shared" si="32"/>
        <v>94</v>
      </c>
      <c r="AB160" t="s">
        <v>711</v>
      </c>
      <c r="AC160" t="s">
        <v>712</v>
      </c>
      <c r="AD160" t="s">
        <v>300</v>
      </c>
      <c r="AE160" t="s">
        <v>301</v>
      </c>
      <c r="AF160" t="s">
        <v>268</v>
      </c>
      <c r="AG160" t="s">
        <v>302</v>
      </c>
    </row>
    <row r="161" spans="1:33">
      <c r="A161" s="83" t="str">
        <f>IF(C161="","",VLOOKUP('OPĆI DIO'!$C$3,'OPĆI DIO'!$L$6:$U$138,10,FALSE))</f>
        <v>08006</v>
      </c>
      <c r="B161" s="83" t="str">
        <f>IF(C161="","",VLOOKUP('OPĆI DIO'!$C$3,'OPĆI DIO'!$L$6:$U$138,9,FALSE))</f>
        <v>Sveučilišta i veleučilišta u Republici Hrvatskoj</v>
      </c>
      <c r="C161" s="84">
        <v>51</v>
      </c>
      <c r="D161" s="83" t="str">
        <f t="shared" si="24"/>
        <v>Pomoći EU</v>
      </c>
      <c r="E161" s="84">
        <v>3224</v>
      </c>
      <c r="F161" s="83" t="str">
        <f t="shared" si="25"/>
        <v>Materijal i dijelovi za tekuće i investicijsko održavanje</v>
      </c>
      <c r="G161" s="85" t="s">
        <v>395</v>
      </c>
      <c r="H161" s="83" t="str">
        <f t="shared" si="26"/>
        <v>REDOVNA DJELATNOST SVEUČILIŠTA U RIJECI (IZ EVIDENCIJSKIH PRIHODA)</v>
      </c>
      <c r="I161" s="83" t="str">
        <f t="shared" si="27"/>
        <v>0942</v>
      </c>
      <c r="J161" s="69"/>
      <c r="K161" s="69">
        <v>3500</v>
      </c>
      <c r="L161" s="78">
        <f t="shared" si="28"/>
        <v>3500</v>
      </c>
      <c r="M161" s="67"/>
      <c r="O161" t="str">
        <f t="shared" si="29"/>
        <v>322</v>
      </c>
      <c r="P161" t="str">
        <f t="shared" si="30"/>
        <v>32</v>
      </c>
      <c r="Q161" t="str">
        <f t="shared" si="31"/>
        <v>51</v>
      </c>
      <c r="R161" t="str">
        <f t="shared" si="32"/>
        <v>94</v>
      </c>
      <c r="AB161" t="s">
        <v>713</v>
      </c>
      <c r="AC161" t="s">
        <v>714</v>
      </c>
      <c r="AD161" t="s">
        <v>300</v>
      </c>
      <c r="AE161" t="s">
        <v>301</v>
      </c>
      <c r="AF161" t="s">
        <v>268</v>
      </c>
      <c r="AG161" t="s">
        <v>302</v>
      </c>
    </row>
    <row r="162" spans="1:33">
      <c r="A162" s="83" t="str">
        <f>IF(C162="","",VLOOKUP('OPĆI DIO'!$C$3,'OPĆI DIO'!$L$6:$U$138,10,FALSE))</f>
        <v>08006</v>
      </c>
      <c r="B162" s="83" t="str">
        <f>IF(C162="","",VLOOKUP('OPĆI DIO'!$C$3,'OPĆI DIO'!$L$6:$U$138,9,FALSE))</f>
        <v>Sveučilišta i veleučilišta u Republici Hrvatskoj</v>
      </c>
      <c r="C162" s="84">
        <v>51</v>
      </c>
      <c r="D162" s="83" t="str">
        <f t="shared" si="24"/>
        <v>Pomoći EU</v>
      </c>
      <c r="E162" s="84">
        <v>3231</v>
      </c>
      <c r="F162" s="83" t="str">
        <f t="shared" si="25"/>
        <v>Usluge telefona, pošte i prijevoza</v>
      </c>
      <c r="G162" s="85" t="s">
        <v>395</v>
      </c>
      <c r="H162" s="83" t="str">
        <f t="shared" si="26"/>
        <v>REDOVNA DJELATNOST SVEUČILIŠTA U RIJECI (IZ EVIDENCIJSKIH PRIHODA)</v>
      </c>
      <c r="I162" s="83" t="str">
        <f t="shared" si="27"/>
        <v>0942</v>
      </c>
      <c r="J162" s="69"/>
      <c r="K162" s="69">
        <v>20550</v>
      </c>
      <c r="L162" s="78">
        <f t="shared" si="28"/>
        <v>20550</v>
      </c>
      <c r="M162" s="67"/>
      <c r="O162" t="str">
        <f t="shared" si="29"/>
        <v>323</v>
      </c>
      <c r="P162" t="str">
        <f t="shared" si="30"/>
        <v>32</v>
      </c>
      <c r="Q162" t="str">
        <f t="shared" si="31"/>
        <v>51</v>
      </c>
      <c r="R162" t="str">
        <f t="shared" si="32"/>
        <v>94</v>
      </c>
      <c r="AB162" t="s">
        <v>286</v>
      </c>
      <c r="AC162" t="s">
        <v>715</v>
      </c>
      <c r="AD162" t="s">
        <v>300</v>
      </c>
      <c r="AE162" t="s">
        <v>301</v>
      </c>
      <c r="AF162" t="s">
        <v>268</v>
      </c>
      <c r="AG162" t="s">
        <v>302</v>
      </c>
    </row>
    <row r="163" spans="1:33">
      <c r="A163" s="83" t="str">
        <f>IF(C163="","",VLOOKUP('OPĆI DIO'!$C$3,'OPĆI DIO'!$L$6:$U$138,10,FALSE))</f>
        <v>08006</v>
      </c>
      <c r="B163" s="83" t="str">
        <f>IF(C163="","",VLOOKUP('OPĆI DIO'!$C$3,'OPĆI DIO'!$L$6:$U$138,9,FALSE))</f>
        <v>Sveučilišta i veleučilišta u Republici Hrvatskoj</v>
      </c>
      <c r="C163" s="84">
        <v>51</v>
      </c>
      <c r="D163" s="83" t="str">
        <f t="shared" si="24"/>
        <v>Pomoći EU</v>
      </c>
      <c r="E163" s="84">
        <v>3233</v>
      </c>
      <c r="F163" s="83" t="str">
        <f t="shared" si="25"/>
        <v>Usluge promidžbe i informiranja</v>
      </c>
      <c r="G163" s="85" t="s">
        <v>395</v>
      </c>
      <c r="H163" s="83" t="str">
        <f t="shared" si="26"/>
        <v>REDOVNA DJELATNOST SVEUČILIŠTA U RIJECI (IZ EVIDENCIJSKIH PRIHODA)</v>
      </c>
      <c r="I163" s="83" t="str">
        <f t="shared" si="27"/>
        <v>0942</v>
      </c>
      <c r="J163" s="69"/>
      <c r="K163" s="69">
        <v>7000</v>
      </c>
      <c r="L163" s="78">
        <f t="shared" si="28"/>
        <v>7000</v>
      </c>
      <c r="M163" s="67"/>
      <c r="O163" t="str">
        <f t="shared" si="29"/>
        <v>323</v>
      </c>
      <c r="P163" t="str">
        <f t="shared" si="30"/>
        <v>32</v>
      </c>
      <c r="Q163" t="str">
        <f t="shared" si="31"/>
        <v>51</v>
      </c>
      <c r="R163" t="str">
        <f t="shared" si="32"/>
        <v>94</v>
      </c>
      <c r="AB163" t="s">
        <v>716</v>
      </c>
      <c r="AC163" t="s">
        <v>717</v>
      </c>
      <c r="AD163" t="s">
        <v>300</v>
      </c>
      <c r="AE163" t="s">
        <v>301</v>
      </c>
      <c r="AF163" t="s">
        <v>268</v>
      </c>
      <c r="AG163" t="s">
        <v>302</v>
      </c>
    </row>
    <row r="164" spans="1:33">
      <c r="A164" s="83" t="str">
        <f>IF(C164="","",VLOOKUP('OPĆI DIO'!$C$3,'OPĆI DIO'!$L$6:$U$138,10,FALSE))</f>
        <v>08006</v>
      </c>
      <c r="B164" s="83" t="str">
        <f>IF(C164="","",VLOOKUP('OPĆI DIO'!$C$3,'OPĆI DIO'!$L$6:$U$138,9,FALSE))</f>
        <v>Sveučilišta i veleučilišta u Republici Hrvatskoj</v>
      </c>
      <c r="C164" s="84">
        <v>51</v>
      </c>
      <c r="D164" s="83" t="str">
        <f t="shared" si="24"/>
        <v>Pomoći EU</v>
      </c>
      <c r="E164" s="84">
        <v>3234</v>
      </c>
      <c r="F164" s="83" t="str">
        <f t="shared" si="25"/>
        <v>Komunalne usluge</v>
      </c>
      <c r="G164" s="85" t="s">
        <v>395</v>
      </c>
      <c r="H164" s="83" t="str">
        <f t="shared" si="26"/>
        <v>REDOVNA DJELATNOST SVEUČILIŠTA U RIJECI (IZ EVIDENCIJSKIH PRIHODA)</v>
      </c>
      <c r="I164" s="83" t="str">
        <f t="shared" si="27"/>
        <v>0942</v>
      </c>
      <c r="J164" s="69"/>
      <c r="K164" s="69">
        <v>3000</v>
      </c>
      <c r="L164" s="78">
        <f t="shared" si="28"/>
        <v>3000</v>
      </c>
      <c r="M164" s="67"/>
      <c r="O164" t="str">
        <f t="shared" si="29"/>
        <v>323</v>
      </c>
      <c r="P164" t="str">
        <f t="shared" si="30"/>
        <v>32</v>
      </c>
      <c r="Q164" t="str">
        <f t="shared" si="31"/>
        <v>51</v>
      </c>
      <c r="R164" t="str">
        <f t="shared" si="32"/>
        <v>94</v>
      </c>
      <c r="AB164" t="s">
        <v>718</v>
      </c>
      <c r="AC164" t="s">
        <v>719</v>
      </c>
      <c r="AD164" t="s">
        <v>300</v>
      </c>
      <c r="AE164" t="s">
        <v>301</v>
      </c>
      <c r="AF164" t="s">
        <v>268</v>
      </c>
      <c r="AG164" t="s">
        <v>302</v>
      </c>
    </row>
    <row r="165" spans="1:33">
      <c r="A165" s="83" t="str">
        <f>IF(C165="","",VLOOKUP('OPĆI DIO'!$C$3,'OPĆI DIO'!$L$6:$U$138,10,FALSE))</f>
        <v>08006</v>
      </c>
      <c r="B165" s="83" t="str">
        <f>IF(C165="","",VLOOKUP('OPĆI DIO'!$C$3,'OPĆI DIO'!$L$6:$U$138,9,FALSE))</f>
        <v>Sveučilišta i veleučilišta u Republici Hrvatskoj</v>
      </c>
      <c r="C165" s="84">
        <v>51</v>
      </c>
      <c r="D165" s="83" t="str">
        <f t="shared" si="24"/>
        <v>Pomoći EU</v>
      </c>
      <c r="E165" s="84">
        <v>3235</v>
      </c>
      <c r="F165" s="83" t="str">
        <f t="shared" si="25"/>
        <v>Zakupnine i najamnine</v>
      </c>
      <c r="G165" s="85" t="s">
        <v>395</v>
      </c>
      <c r="H165" s="83" t="str">
        <f t="shared" si="26"/>
        <v>REDOVNA DJELATNOST SVEUČILIŠTA U RIJECI (IZ EVIDENCIJSKIH PRIHODA)</v>
      </c>
      <c r="I165" s="83" t="str">
        <f t="shared" si="27"/>
        <v>0942</v>
      </c>
      <c r="J165" s="69"/>
      <c r="K165" s="69">
        <v>40700</v>
      </c>
      <c r="L165" s="78">
        <f t="shared" si="28"/>
        <v>40700</v>
      </c>
      <c r="M165" s="67"/>
      <c r="O165" t="str">
        <f t="shared" si="29"/>
        <v>323</v>
      </c>
      <c r="P165" t="str">
        <f t="shared" si="30"/>
        <v>32</v>
      </c>
      <c r="Q165" t="str">
        <f t="shared" si="31"/>
        <v>51</v>
      </c>
      <c r="R165" t="str">
        <f t="shared" si="32"/>
        <v>94</v>
      </c>
      <c r="AB165" t="s">
        <v>720</v>
      </c>
      <c r="AC165" t="s">
        <v>721</v>
      </c>
      <c r="AD165" t="s">
        <v>300</v>
      </c>
      <c r="AE165" t="s">
        <v>301</v>
      </c>
      <c r="AF165" t="s">
        <v>268</v>
      </c>
      <c r="AG165" t="s">
        <v>302</v>
      </c>
    </row>
    <row r="166" spans="1:33">
      <c r="A166" s="83" t="str">
        <f>IF(C166="","",VLOOKUP('OPĆI DIO'!$C$3,'OPĆI DIO'!$L$6:$U$138,10,FALSE))</f>
        <v>08006</v>
      </c>
      <c r="B166" s="83" t="str">
        <f>IF(C166="","",VLOOKUP('OPĆI DIO'!$C$3,'OPĆI DIO'!$L$6:$U$138,9,FALSE))</f>
        <v>Sveučilišta i veleučilišta u Republici Hrvatskoj</v>
      </c>
      <c r="C166" s="84">
        <v>51</v>
      </c>
      <c r="D166" s="83" t="str">
        <f t="shared" si="24"/>
        <v>Pomoći EU</v>
      </c>
      <c r="E166" s="84">
        <v>3237</v>
      </c>
      <c r="F166" s="83" t="str">
        <f t="shared" si="25"/>
        <v>Intelektualne i osobne usluge</v>
      </c>
      <c r="G166" s="85" t="s">
        <v>395</v>
      </c>
      <c r="H166" s="83" t="str">
        <f t="shared" si="26"/>
        <v>REDOVNA DJELATNOST SVEUČILIŠTA U RIJECI (IZ EVIDENCIJSKIH PRIHODA)</v>
      </c>
      <c r="I166" s="83" t="str">
        <f t="shared" si="27"/>
        <v>0942</v>
      </c>
      <c r="J166" s="69"/>
      <c r="K166" s="69">
        <v>17500</v>
      </c>
      <c r="L166" s="78">
        <f t="shared" si="28"/>
        <v>17500</v>
      </c>
      <c r="M166" s="67"/>
      <c r="O166" t="str">
        <f t="shared" si="29"/>
        <v>323</v>
      </c>
      <c r="P166" t="str">
        <f t="shared" si="30"/>
        <v>32</v>
      </c>
      <c r="Q166" t="str">
        <f t="shared" si="31"/>
        <v>51</v>
      </c>
      <c r="R166" t="str">
        <f t="shared" si="32"/>
        <v>94</v>
      </c>
      <c r="AB166" t="s">
        <v>722</v>
      </c>
      <c r="AC166" t="s">
        <v>723</v>
      </c>
      <c r="AD166" t="s">
        <v>300</v>
      </c>
      <c r="AE166" t="s">
        <v>301</v>
      </c>
      <c r="AF166" t="s">
        <v>268</v>
      </c>
      <c r="AG166" t="s">
        <v>302</v>
      </c>
    </row>
    <row r="167" spans="1:33">
      <c r="A167" s="83" t="str">
        <f>IF(C167="","",VLOOKUP('OPĆI DIO'!$C$3,'OPĆI DIO'!$L$6:$U$138,10,FALSE))</f>
        <v>08006</v>
      </c>
      <c r="B167" s="83" t="str">
        <f>IF(C167="","",VLOOKUP('OPĆI DIO'!$C$3,'OPĆI DIO'!$L$6:$U$138,9,FALSE))</f>
        <v>Sveučilišta i veleučilišta u Republici Hrvatskoj</v>
      </c>
      <c r="C167" s="84">
        <v>51</v>
      </c>
      <c r="D167" s="83" t="str">
        <f t="shared" si="24"/>
        <v>Pomoći EU</v>
      </c>
      <c r="E167" s="84">
        <v>3238</v>
      </c>
      <c r="F167" s="83" t="str">
        <f t="shared" si="25"/>
        <v>Računalne usluge</v>
      </c>
      <c r="G167" s="85" t="s">
        <v>395</v>
      </c>
      <c r="H167" s="83" t="str">
        <f t="shared" si="26"/>
        <v>REDOVNA DJELATNOST SVEUČILIŠTA U RIJECI (IZ EVIDENCIJSKIH PRIHODA)</v>
      </c>
      <c r="I167" s="83" t="str">
        <f t="shared" si="27"/>
        <v>0942</v>
      </c>
      <c r="J167" s="69"/>
      <c r="K167" s="69">
        <v>2000</v>
      </c>
      <c r="L167" s="78">
        <f t="shared" si="28"/>
        <v>2000</v>
      </c>
      <c r="M167" s="67"/>
      <c r="O167" t="str">
        <f t="shared" si="29"/>
        <v>323</v>
      </c>
      <c r="P167" t="str">
        <f t="shared" si="30"/>
        <v>32</v>
      </c>
      <c r="Q167" t="str">
        <f t="shared" si="31"/>
        <v>51</v>
      </c>
      <c r="R167" t="str">
        <f t="shared" si="32"/>
        <v>94</v>
      </c>
      <c r="AB167" t="s">
        <v>724</v>
      </c>
      <c r="AC167" t="s">
        <v>725</v>
      </c>
      <c r="AD167" t="s">
        <v>300</v>
      </c>
      <c r="AE167" t="s">
        <v>301</v>
      </c>
      <c r="AF167" t="s">
        <v>268</v>
      </c>
      <c r="AG167" t="s">
        <v>302</v>
      </c>
    </row>
    <row r="168" spans="1:33">
      <c r="A168" s="83" t="str">
        <f>IF(C168="","",VLOOKUP('OPĆI DIO'!$C$3,'OPĆI DIO'!$L$6:$U$138,10,FALSE))</f>
        <v>08006</v>
      </c>
      <c r="B168" s="83" t="str">
        <f>IF(C168="","",VLOOKUP('OPĆI DIO'!$C$3,'OPĆI DIO'!$L$6:$U$138,9,FALSE))</f>
        <v>Sveučilišta i veleučilišta u Republici Hrvatskoj</v>
      </c>
      <c r="C168" s="84">
        <v>51</v>
      </c>
      <c r="D168" s="83" t="str">
        <f t="shared" si="24"/>
        <v>Pomoći EU</v>
      </c>
      <c r="E168" s="84">
        <v>3239</v>
      </c>
      <c r="F168" s="83" t="str">
        <f t="shared" si="25"/>
        <v>Ostale usluge</v>
      </c>
      <c r="G168" s="85" t="s">
        <v>395</v>
      </c>
      <c r="H168" s="83" t="str">
        <f t="shared" si="26"/>
        <v>REDOVNA DJELATNOST SVEUČILIŠTA U RIJECI (IZ EVIDENCIJSKIH PRIHODA)</v>
      </c>
      <c r="I168" s="83" t="str">
        <f t="shared" si="27"/>
        <v>0942</v>
      </c>
      <c r="J168" s="69"/>
      <c r="K168" s="69">
        <v>2500</v>
      </c>
      <c r="L168" s="78">
        <f t="shared" si="28"/>
        <v>2500</v>
      </c>
      <c r="M168" s="67"/>
      <c r="O168" t="str">
        <f t="shared" si="29"/>
        <v>323</v>
      </c>
      <c r="P168" t="str">
        <f t="shared" si="30"/>
        <v>32</v>
      </c>
      <c r="Q168" t="str">
        <f t="shared" si="31"/>
        <v>51</v>
      </c>
      <c r="R168" t="str">
        <f t="shared" si="32"/>
        <v>94</v>
      </c>
      <c r="AB168" t="s">
        <v>726</v>
      </c>
      <c r="AC168" t="s">
        <v>727</v>
      </c>
      <c r="AD168" t="s">
        <v>300</v>
      </c>
      <c r="AE168" t="s">
        <v>301</v>
      </c>
      <c r="AF168" t="s">
        <v>268</v>
      </c>
      <c r="AG168" t="s">
        <v>302</v>
      </c>
    </row>
    <row r="169" spans="1:33">
      <c r="A169" s="83" t="str">
        <f>IF(C169="","",VLOOKUP('OPĆI DIO'!$C$3,'OPĆI DIO'!$L$6:$U$138,10,FALSE))</f>
        <v>08006</v>
      </c>
      <c r="B169" s="83" t="str">
        <f>IF(C169="","",VLOOKUP('OPĆI DIO'!$C$3,'OPĆI DIO'!$L$6:$U$138,9,FALSE))</f>
        <v>Sveučilišta i veleučilišta u Republici Hrvatskoj</v>
      </c>
      <c r="C169" s="84">
        <v>51</v>
      </c>
      <c r="D169" s="83" t="str">
        <f t="shared" si="24"/>
        <v>Pomoći EU</v>
      </c>
      <c r="E169" s="84">
        <v>3241</v>
      </c>
      <c r="F169" s="83" t="str">
        <f t="shared" si="25"/>
        <v>Naknade troškova osobama izvan radnog odnosa</v>
      </c>
      <c r="G169" s="85" t="s">
        <v>395</v>
      </c>
      <c r="H169" s="83" t="str">
        <f t="shared" si="26"/>
        <v>REDOVNA DJELATNOST SVEUČILIŠTA U RIJECI (IZ EVIDENCIJSKIH PRIHODA)</v>
      </c>
      <c r="I169" s="83" t="str">
        <f t="shared" si="27"/>
        <v>0942</v>
      </c>
      <c r="J169" s="69"/>
      <c r="K169" s="69">
        <v>1600</v>
      </c>
      <c r="L169" s="78">
        <f t="shared" si="28"/>
        <v>1600</v>
      </c>
      <c r="M169" s="67"/>
      <c r="O169" t="str">
        <f t="shared" si="29"/>
        <v>324</v>
      </c>
      <c r="P169" t="str">
        <f t="shared" si="30"/>
        <v>32</v>
      </c>
      <c r="Q169" t="str">
        <f t="shared" si="31"/>
        <v>51</v>
      </c>
      <c r="R169" t="str">
        <f t="shared" si="32"/>
        <v>94</v>
      </c>
      <c r="AB169" t="s">
        <v>728</v>
      </c>
      <c r="AC169" t="s">
        <v>729</v>
      </c>
      <c r="AD169" t="s">
        <v>300</v>
      </c>
      <c r="AE169" t="s">
        <v>301</v>
      </c>
      <c r="AF169" t="s">
        <v>268</v>
      </c>
      <c r="AG169" t="s">
        <v>302</v>
      </c>
    </row>
    <row r="170" spans="1:33">
      <c r="A170" s="83" t="str">
        <f>IF(C170="","",VLOOKUP('OPĆI DIO'!$C$3,'OPĆI DIO'!$L$6:$U$138,10,FALSE))</f>
        <v>08006</v>
      </c>
      <c r="B170" s="83" t="str">
        <f>IF(C170="","",VLOOKUP('OPĆI DIO'!$C$3,'OPĆI DIO'!$L$6:$U$138,9,FALSE))</f>
        <v>Sveučilišta i veleučilišta u Republici Hrvatskoj</v>
      </c>
      <c r="C170" s="84">
        <v>51</v>
      </c>
      <c r="D170" s="83" t="str">
        <f t="shared" si="24"/>
        <v>Pomoći EU</v>
      </c>
      <c r="E170" s="84">
        <v>3293</v>
      </c>
      <c r="F170" s="83" t="str">
        <f t="shared" si="25"/>
        <v>Reprezentacija</v>
      </c>
      <c r="G170" s="85" t="s">
        <v>395</v>
      </c>
      <c r="H170" s="83" t="str">
        <f t="shared" si="26"/>
        <v>REDOVNA DJELATNOST SVEUČILIŠTA U RIJECI (IZ EVIDENCIJSKIH PRIHODA)</v>
      </c>
      <c r="I170" s="83" t="str">
        <f t="shared" si="27"/>
        <v>0942</v>
      </c>
      <c r="J170" s="69"/>
      <c r="K170" s="69">
        <v>11000</v>
      </c>
      <c r="L170" s="78">
        <f t="shared" si="28"/>
        <v>11000</v>
      </c>
      <c r="M170" s="67"/>
      <c r="O170" t="str">
        <f t="shared" si="29"/>
        <v>329</v>
      </c>
      <c r="P170" t="str">
        <f t="shared" si="30"/>
        <v>32</v>
      </c>
      <c r="Q170" t="str">
        <f t="shared" si="31"/>
        <v>51</v>
      </c>
      <c r="R170" t="str">
        <f t="shared" si="32"/>
        <v>94</v>
      </c>
      <c r="AB170" t="s">
        <v>730</v>
      </c>
      <c r="AC170" t="s">
        <v>731</v>
      </c>
      <c r="AD170" t="s">
        <v>300</v>
      </c>
      <c r="AE170" t="s">
        <v>301</v>
      </c>
      <c r="AF170" t="s">
        <v>268</v>
      </c>
      <c r="AG170" t="s">
        <v>302</v>
      </c>
    </row>
    <row r="171" spans="1:33">
      <c r="A171" s="83" t="str">
        <f>IF(C171="","",VLOOKUP('OPĆI DIO'!$C$3,'OPĆI DIO'!$L$6:$U$138,10,FALSE))</f>
        <v>08006</v>
      </c>
      <c r="B171" s="83" t="str">
        <f>IF(C171="","",VLOOKUP('OPĆI DIO'!$C$3,'OPĆI DIO'!$L$6:$U$138,9,FALSE))</f>
        <v>Sveučilišta i veleučilišta u Republici Hrvatskoj</v>
      </c>
      <c r="C171" s="84">
        <v>51</v>
      </c>
      <c r="D171" s="83" t="str">
        <f t="shared" si="24"/>
        <v>Pomoći EU</v>
      </c>
      <c r="E171" s="84">
        <v>3294</v>
      </c>
      <c r="F171" s="83" t="str">
        <f t="shared" si="25"/>
        <v>Članarine i norme</v>
      </c>
      <c r="G171" s="85" t="s">
        <v>395</v>
      </c>
      <c r="H171" s="83" t="str">
        <f t="shared" si="26"/>
        <v>REDOVNA DJELATNOST SVEUČILIŠTA U RIJECI (IZ EVIDENCIJSKIH PRIHODA)</v>
      </c>
      <c r="I171" s="83" t="str">
        <f t="shared" si="27"/>
        <v>0942</v>
      </c>
      <c r="J171" s="69"/>
      <c r="K171" s="69">
        <v>500</v>
      </c>
      <c r="L171" s="78">
        <f t="shared" si="28"/>
        <v>500</v>
      </c>
      <c r="M171" s="67"/>
      <c r="O171" t="str">
        <f t="shared" si="29"/>
        <v>329</v>
      </c>
      <c r="P171" t="str">
        <f t="shared" si="30"/>
        <v>32</v>
      </c>
      <c r="Q171" t="str">
        <f t="shared" si="31"/>
        <v>51</v>
      </c>
      <c r="R171" t="str">
        <f t="shared" si="32"/>
        <v>94</v>
      </c>
      <c r="AB171" t="s">
        <v>732</v>
      </c>
      <c r="AC171" t="s">
        <v>733</v>
      </c>
      <c r="AD171" t="s">
        <v>300</v>
      </c>
      <c r="AE171" t="s">
        <v>301</v>
      </c>
      <c r="AF171" t="s">
        <v>268</v>
      </c>
      <c r="AG171" t="s">
        <v>302</v>
      </c>
    </row>
    <row r="172" spans="1:33">
      <c r="A172" s="83" t="str">
        <f>IF(C172="","",VLOOKUP('OPĆI DIO'!$C$3,'OPĆI DIO'!$L$6:$U$138,10,FALSE))</f>
        <v>08006</v>
      </c>
      <c r="B172" s="83" t="str">
        <f>IF(C172="","",VLOOKUP('OPĆI DIO'!$C$3,'OPĆI DIO'!$L$6:$U$138,9,FALSE))</f>
        <v>Sveučilišta i veleučilišta u Republici Hrvatskoj</v>
      </c>
      <c r="C172" s="84">
        <v>51</v>
      </c>
      <c r="D172" s="83" t="str">
        <f t="shared" si="24"/>
        <v>Pomoći EU</v>
      </c>
      <c r="E172" s="84">
        <v>4221</v>
      </c>
      <c r="F172" s="83" t="str">
        <f t="shared" si="25"/>
        <v>Uredska oprema i namještaj</v>
      </c>
      <c r="G172" s="85" t="s">
        <v>395</v>
      </c>
      <c r="H172" s="83" t="str">
        <f t="shared" si="26"/>
        <v>REDOVNA DJELATNOST SVEUČILIŠTA U RIJECI (IZ EVIDENCIJSKIH PRIHODA)</v>
      </c>
      <c r="I172" s="83" t="str">
        <f t="shared" si="27"/>
        <v>0942</v>
      </c>
      <c r="J172" s="69"/>
      <c r="K172" s="69">
        <v>5600</v>
      </c>
      <c r="L172" s="78">
        <f t="shared" si="28"/>
        <v>5600</v>
      </c>
      <c r="M172" s="67"/>
      <c r="O172" t="str">
        <f t="shared" si="29"/>
        <v>422</v>
      </c>
      <c r="P172" t="str">
        <f t="shared" si="30"/>
        <v>42</v>
      </c>
      <c r="Q172" t="str">
        <f t="shared" si="31"/>
        <v>51</v>
      </c>
      <c r="R172" t="str">
        <f t="shared" si="32"/>
        <v>94</v>
      </c>
      <c r="AB172" t="s">
        <v>734</v>
      </c>
      <c r="AC172" t="s">
        <v>735</v>
      </c>
      <c r="AD172" t="s">
        <v>300</v>
      </c>
      <c r="AE172" t="s">
        <v>301</v>
      </c>
      <c r="AF172" t="s">
        <v>268</v>
      </c>
      <c r="AG172" t="s">
        <v>302</v>
      </c>
    </row>
    <row r="173" spans="1:33">
      <c r="A173" s="83" t="str">
        <f>IF(C173="","",VLOOKUP('OPĆI DIO'!$C$3,'OPĆI DIO'!$L$6:$U$138,10,FALSE))</f>
        <v>08006</v>
      </c>
      <c r="B173" s="83" t="str">
        <f>IF(C173="","",VLOOKUP('OPĆI DIO'!$C$3,'OPĆI DIO'!$L$6:$U$138,9,FALSE))</f>
        <v>Sveučilišta i veleučilišta u Republici Hrvatskoj</v>
      </c>
      <c r="C173" s="84">
        <v>51</v>
      </c>
      <c r="D173" s="83" t="str">
        <f t="shared" si="24"/>
        <v>Pomoći EU</v>
      </c>
      <c r="E173" s="84">
        <v>4224</v>
      </c>
      <c r="F173" s="83" t="str">
        <f t="shared" si="25"/>
        <v>Medicinska i laboratorijska oprema</v>
      </c>
      <c r="G173" s="85" t="s">
        <v>395</v>
      </c>
      <c r="H173" s="83" t="str">
        <f t="shared" si="26"/>
        <v>REDOVNA DJELATNOST SVEUČILIŠTA U RIJECI (IZ EVIDENCIJSKIH PRIHODA)</v>
      </c>
      <c r="I173" s="83" t="str">
        <f t="shared" si="27"/>
        <v>0942</v>
      </c>
      <c r="J173" s="69"/>
      <c r="K173" s="69">
        <v>6000</v>
      </c>
      <c r="L173" s="78">
        <f t="shared" si="28"/>
        <v>6000</v>
      </c>
      <c r="M173" s="67"/>
      <c r="O173" t="str">
        <f t="shared" si="29"/>
        <v>422</v>
      </c>
      <c r="P173" t="str">
        <f t="shared" si="30"/>
        <v>42</v>
      </c>
      <c r="Q173" t="str">
        <f t="shared" si="31"/>
        <v>51</v>
      </c>
      <c r="R173" t="str">
        <f t="shared" si="32"/>
        <v>94</v>
      </c>
      <c r="AB173" t="s">
        <v>734</v>
      </c>
      <c r="AC173" t="s">
        <v>735</v>
      </c>
      <c r="AD173" t="s">
        <v>426</v>
      </c>
      <c r="AE173" t="s">
        <v>427</v>
      </c>
      <c r="AF173" t="s">
        <v>268</v>
      </c>
      <c r="AG173" t="s">
        <v>428</v>
      </c>
    </row>
    <row r="174" spans="1:33">
      <c r="A174" s="83" t="str">
        <f>IF(C174="","",VLOOKUP('OPĆI DIO'!$C$3,'OPĆI DIO'!$L$6:$U$138,10,FALSE))</f>
        <v>08006</v>
      </c>
      <c r="B174" s="83" t="str">
        <f>IF(C174="","",VLOOKUP('OPĆI DIO'!$C$3,'OPĆI DIO'!$L$6:$U$138,9,FALSE))</f>
        <v>Sveučilišta i veleučilišta u Republici Hrvatskoj</v>
      </c>
      <c r="C174" s="84">
        <v>51</v>
      </c>
      <c r="D174" s="83" t="str">
        <f t="shared" si="24"/>
        <v>Pomoći EU</v>
      </c>
      <c r="E174" s="84">
        <v>4225</v>
      </c>
      <c r="F174" s="83" t="str">
        <f t="shared" si="25"/>
        <v>Instrumenti, uređaji i strojevi</v>
      </c>
      <c r="G174" s="85" t="s">
        <v>395</v>
      </c>
      <c r="H174" s="83" t="str">
        <f t="shared" si="26"/>
        <v>REDOVNA DJELATNOST SVEUČILIŠTA U RIJECI (IZ EVIDENCIJSKIH PRIHODA)</v>
      </c>
      <c r="I174" s="83" t="str">
        <f t="shared" si="27"/>
        <v>0942</v>
      </c>
      <c r="J174" s="69"/>
      <c r="K174" s="69">
        <v>32000</v>
      </c>
      <c r="L174" s="78">
        <f t="shared" si="28"/>
        <v>32000</v>
      </c>
      <c r="M174" s="67"/>
      <c r="O174" t="str">
        <f t="shared" si="29"/>
        <v>422</v>
      </c>
      <c r="P174" t="str">
        <f t="shared" si="30"/>
        <v>42</v>
      </c>
      <c r="Q174" t="str">
        <f t="shared" si="31"/>
        <v>51</v>
      </c>
      <c r="R174" t="str">
        <f t="shared" si="32"/>
        <v>94</v>
      </c>
      <c r="AB174" t="s">
        <v>736</v>
      </c>
      <c r="AC174" t="s">
        <v>737</v>
      </c>
      <c r="AD174" t="s">
        <v>300</v>
      </c>
      <c r="AE174" t="s">
        <v>301</v>
      </c>
      <c r="AF174" t="s">
        <v>268</v>
      </c>
      <c r="AG174" t="s">
        <v>302</v>
      </c>
    </row>
    <row r="175" spans="1:33">
      <c r="A175" s="83" t="str">
        <f>IF(C175="","",VLOOKUP('OPĆI DIO'!$C$3,'OPĆI DIO'!$L$6:$U$138,10,FALSE))</f>
        <v>08006</v>
      </c>
      <c r="B175" s="83" t="str">
        <f>IF(C175="","",VLOOKUP('OPĆI DIO'!$C$3,'OPĆI DIO'!$L$6:$U$138,9,FALSE))</f>
        <v>Sveučilišta i veleučilišta u Republici Hrvatskoj</v>
      </c>
      <c r="C175" s="84">
        <v>51</v>
      </c>
      <c r="D175" s="83" t="str">
        <f t="shared" si="24"/>
        <v>Pomoći EU</v>
      </c>
      <c r="E175" s="84">
        <v>4227</v>
      </c>
      <c r="F175" s="83" t="str">
        <f t="shared" si="25"/>
        <v>Uređaji, strojevi i oprema za ostale namjene</v>
      </c>
      <c r="G175" s="85" t="s">
        <v>395</v>
      </c>
      <c r="H175" s="83" t="str">
        <f t="shared" si="26"/>
        <v>REDOVNA DJELATNOST SVEUČILIŠTA U RIJECI (IZ EVIDENCIJSKIH PRIHODA)</v>
      </c>
      <c r="I175" s="83" t="str">
        <f t="shared" si="27"/>
        <v>0942</v>
      </c>
      <c r="J175" s="69"/>
      <c r="K175" s="69">
        <v>400</v>
      </c>
      <c r="L175" s="78">
        <f t="shared" si="28"/>
        <v>400</v>
      </c>
      <c r="M175" s="67"/>
      <c r="O175" t="str">
        <f t="shared" si="29"/>
        <v>422</v>
      </c>
      <c r="P175" t="str">
        <f t="shared" si="30"/>
        <v>42</v>
      </c>
      <c r="Q175" t="str">
        <f t="shared" si="31"/>
        <v>51</v>
      </c>
      <c r="R175" t="str">
        <f t="shared" si="32"/>
        <v>94</v>
      </c>
      <c r="AB175" t="s">
        <v>738</v>
      </c>
      <c r="AC175" t="s">
        <v>739</v>
      </c>
      <c r="AD175" t="s">
        <v>300</v>
      </c>
      <c r="AE175" t="s">
        <v>301</v>
      </c>
      <c r="AF175" t="s">
        <v>268</v>
      </c>
      <c r="AG175" t="s">
        <v>302</v>
      </c>
    </row>
    <row r="176" spans="1:33">
      <c r="A176" s="83" t="str">
        <f>IF(C176="","",VLOOKUP('OPĆI DIO'!$C$3,'OPĆI DIO'!$L$6:$U$138,10,FALSE))</f>
        <v>08006</v>
      </c>
      <c r="B176" s="83" t="str">
        <f>IF(C176="","",VLOOKUP('OPĆI DIO'!$C$3,'OPĆI DIO'!$L$6:$U$138,9,FALSE))</f>
        <v>Sveučilišta i veleučilišta u Republici Hrvatskoj</v>
      </c>
      <c r="C176" s="84">
        <v>51</v>
      </c>
      <c r="D176" s="83" t="str">
        <f t="shared" si="24"/>
        <v>Pomoći EU</v>
      </c>
      <c r="E176" s="84">
        <v>4124</v>
      </c>
      <c r="F176" s="83" t="str">
        <f t="shared" si="25"/>
        <v>Ostala prava</v>
      </c>
      <c r="G176" s="85" t="s">
        <v>395</v>
      </c>
      <c r="H176" s="83" t="str">
        <f t="shared" si="26"/>
        <v>REDOVNA DJELATNOST SVEUČILIŠTA U RIJECI (IZ EVIDENCIJSKIH PRIHODA)</v>
      </c>
      <c r="I176" s="83" t="str">
        <f t="shared" si="27"/>
        <v>0942</v>
      </c>
      <c r="J176" s="69"/>
      <c r="K176" s="69">
        <v>67000</v>
      </c>
      <c r="L176" s="78">
        <f t="shared" si="28"/>
        <v>67000</v>
      </c>
      <c r="M176" s="67"/>
      <c r="O176" t="str">
        <f t="shared" si="29"/>
        <v>412</v>
      </c>
      <c r="P176" t="str">
        <f t="shared" si="30"/>
        <v>41</v>
      </c>
      <c r="Q176" t="str">
        <f t="shared" si="31"/>
        <v>51</v>
      </c>
      <c r="R176" t="str">
        <f t="shared" si="32"/>
        <v>94</v>
      </c>
      <c r="AB176" t="s">
        <v>395</v>
      </c>
      <c r="AC176" t="s">
        <v>740</v>
      </c>
      <c r="AD176" t="s">
        <v>300</v>
      </c>
      <c r="AE176" t="s">
        <v>301</v>
      </c>
      <c r="AF176" t="s">
        <v>268</v>
      </c>
      <c r="AG176" t="s">
        <v>302</v>
      </c>
    </row>
    <row r="177" spans="1:33">
      <c r="A177" s="83" t="str">
        <f>IF(C177="","",VLOOKUP('OPĆI DIO'!$C$3,'OPĆI DIO'!$L$6:$U$138,10,FALSE))</f>
        <v>08006</v>
      </c>
      <c r="B177" s="83" t="str">
        <f>IF(C177="","",VLOOKUP('OPĆI DIO'!$C$3,'OPĆI DIO'!$L$6:$U$138,9,FALSE))</f>
        <v>Sveučilišta i veleučilišta u Republici Hrvatskoj</v>
      </c>
      <c r="C177" s="84">
        <v>52</v>
      </c>
      <c r="D177" s="83" t="str">
        <f t="shared" si="24"/>
        <v>Ostale pomoći</v>
      </c>
      <c r="E177" s="84">
        <v>3212</v>
      </c>
      <c r="F177" s="83" t="str">
        <f t="shared" si="25"/>
        <v>Naknade za prijevoz, za rad na terenu i odvojeni život</v>
      </c>
      <c r="G177" s="85" t="s">
        <v>395</v>
      </c>
      <c r="H177" s="83" t="str">
        <f t="shared" si="26"/>
        <v>REDOVNA DJELATNOST SVEUČILIŠTA U RIJECI (IZ EVIDENCIJSKIH PRIHODA)</v>
      </c>
      <c r="I177" s="83" t="str">
        <f t="shared" si="27"/>
        <v>0942</v>
      </c>
      <c r="J177" s="69"/>
      <c r="K177" s="69">
        <v>2000</v>
      </c>
      <c r="L177" s="78">
        <f t="shared" si="28"/>
        <v>2000</v>
      </c>
      <c r="M177" s="67"/>
      <c r="O177" t="str">
        <f t="shared" si="29"/>
        <v>321</v>
      </c>
      <c r="P177" t="str">
        <f t="shared" si="30"/>
        <v>32</v>
      </c>
      <c r="Q177" t="str">
        <f t="shared" si="31"/>
        <v>52</v>
      </c>
      <c r="R177" t="str">
        <f t="shared" si="32"/>
        <v>94</v>
      </c>
      <c r="AB177" t="s">
        <v>741</v>
      </c>
      <c r="AC177" t="s">
        <v>742</v>
      </c>
      <c r="AD177" t="s">
        <v>300</v>
      </c>
      <c r="AE177" t="s">
        <v>301</v>
      </c>
      <c r="AF177" t="s">
        <v>268</v>
      </c>
      <c r="AG177" t="s">
        <v>302</v>
      </c>
    </row>
    <row r="178" spans="1:33">
      <c r="A178" s="83" t="str">
        <f>IF(C178="","",VLOOKUP('OPĆI DIO'!$C$3,'OPĆI DIO'!$L$6:$U$138,10,FALSE))</f>
        <v>08006</v>
      </c>
      <c r="B178" s="83" t="str">
        <f>IF(C178="","",VLOOKUP('OPĆI DIO'!$C$3,'OPĆI DIO'!$L$6:$U$138,9,FALSE))</f>
        <v>Sveučilišta i veleučilišta u Republici Hrvatskoj</v>
      </c>
      <c r="C178" s="84">
        <v>52</v>
      </c>
      <c r="D178" s="83" t="str">
        <f t="shared" si="24"/>
        <v>Ostale pomoći</v>
      </c>
      <c r="E178" s="84">
        <v>3232</v>
      </c>
      <c r="F178" s="83" t="str">
        <f t="shared" si="25"/>
        <v>Usluge tekućeg i investicijskog održavanja</v>
      </c>
      <c r="G178" s="85" t="s">
        <v>395</v>
      </c>
      <c r="H178" s="83" t="str">
        <f t="shared" si="26"/>
        <v>REDOVNA DJELATNOST SVEUČILIŠTA U RIJECI (IZ EVIDENCIJSKIH PRIHODA)</v>
      </c>
      <c r="I178" s="83" t="str">
        <f t="shared" si="27"/>
        <v>0942</v>
      </c>
      <c r="J178" s="69"/>
      <c r="K178" s="69">
        <v>2000</v>
      </c>
      <c r="L178" s="78">
        <f t="shared" si="28"/>
        <v>2000</v>
      </c>
      <c r="M178" s="67"/>
      <c r="O178" t="str">
        <f t="shared" si="29"/>
        <v>323</v>
      </c>
      <c r="P178" t="str">
        <f t="shared" si="30"/>
        <v>32</v>
      </c>
      <c r="Q178" t="str">
        <f t="shared" si="31"/>
        <v>52</v>
      </c>
      <c r="R178" t="str">
        <f t="shared" si="32"/>
        <v>94</v>
      </c>
      <c r="AB178" t="s">
        <v>743</v>
      </c>
      <c r="AC178" t="s">
        <v>744</v>
      </c>
      <c r="AD178" t="s">
        <v>300</v>
      </c>
      <c r="AE178" t="s">
        <v>301</v>
      </c>
      <c r="AF178" t="s">
        <v>268</v>
      </c>
      <c r="AG178" t="s">
        <v>302</v>
      </c>
    </row>
    <row r="179" spans="1:33">
      <c r="A179" s="83" t="str">
        <f>IF(C179="","",VLOOKUP('OPĆI DIO'!$C$3,'OPĆI DIO'!$L$6:$U$138,10,FALSE))</f>
        <v>08006</v>
      </c>
      <c r="B179" s="83" t="str">
        <f>IF(C179="","",VLOOKUP('OPĆI DIO'!$C$3,'OPĆI DIO'!$L$6:$U$138,9,FALSE))</f>
        <v>Sveučilišta i veleučilišta u Republici Hrvatskoj</v>
      </c>
      <c r="C179" s="84">
        <v>52</v>
      </c>
      <c r="D179" s="83" t="str">
        <f t="shared" si="24"/>
        <v>Ostale pomoći</v>
      </c>
      <c r="E179" s="84">
        <v>4224</v>
      </c>
      <c r="F179" s="83" t="str">
        <f t="shared" si="25"/>
        <v>Medicinska i laboratorijska oprema</v>
      </c>
      <c r="G179" s="85" t="s">
        <v>395</v>
      </c>
      <c r="H179" s="83" t="str">
        <f t="shared" si="26"/>
        <v>REDOVNA DJELATNOST SVEUČILIŠTA U RIJECI (IZ EVIDENCIJSKIH PRIHODA)</v>
      </c>
      <c r="I179" s="83" t="str">
        <f t="shared" si="27"/>
        <v>0942</v>
      </c>
      <c r="J179" s="69"/>
      <c r="K179" s="69">
        <v>2500</v>
      </c>
      <c r="L179" s="78">
        <f t="shared" si="28"/>
        <v>2500</v>
      </c>
      <c r="M179" s="67"/>
      <c r="O179" t="str">
        <f t="shared" si="29"/>
        <v>422</v>
      </c>
      <c r="P179" t="str">
        <f t="shared" si="30"/>
        <v>42</v>
      </c>
      <c r="Q179" t="str">
        <f t="shared" si="31"/>
        <v>52</v>
      </c>
      <c r="R179" t="str">
        <f t="shared" si="32"/>
        <v>94</v>
      </c>
      <c r="AB179" t="s">
        <v>745</v>
      </c>
      <c r="AC179" t="s">
        <v>746</v>
      </c>
      <c r="AD179" t="s">
        <v>300</v>
      </c>
      <c r="AE179" t="s">
        <v>301</v>
      </c>
      <c r="AF179" t="s">
        <v>268</v>
      </c>
      <c r="AG179" t="s">
        <v>302</v>
      </c>
    </row>
    <row r="180" spans="1:33">
      <c r="A180" s="83" t="str">
        <f>IF(C180="","",VLOOKUP('OPĆI DIO'!$C$3,'OPĆI DIO'!$L$6:$U$138,10,FALSE))</f>
        <v>08006</v>
      </c>
      <c r="B180" s="83" t="str">
        <f>IF(C180="","",VLOOKUP('OPĆI DIO'!$C$3,'OPĆI DIO'!$L$6:$U$138,9,FALSE))</f>
        <v>Sveučilišta i veleučilišta u Republici Hrvatskoj</v>
      </c>
      <c r="C180" s="84">
        <v>52</v>
      </c>
      <c r="D180" s="83" t="str">
        <f t="shared" si="24"/>
        <v>Ostale pomoći</v>
      </c>
      <c r="E180" s="84">
        <v>4225</v>
      </c>
      <c r="F180" s="83" t="str">
        <f t="shared" si="25"/>
        <v>Instrumenti, uređaji i strojevi</v>
      </c>
      <c r="G180" s="85" t="s">
        <v>395</v>
      </c>
      <c r="H180" s="83" t="str">
        <f t="shared" si="26"/>
        <v>REDOVNA DJELATNOST SVEUČILIŠTA U RIJECI (IZ EVIDENCIJSKIH PRIHODA)</v>
      </c>
      <c r="I180" s="83" t="str">
        <f t="shared" si="27"/>
        <v>0942</v>
      </c>
      <c r="J180" s="69"/>
      <c r="K180" s="69">
        <v>861</v>
      </c>
      <c r="L180" s="78">
        <f t="shared" si="28"/>
        <v>861</v>
      </c>
      <c r="M180" s="67"/>
      <c r="O180" t="str">
        <f t="shared" si="29"/>
        <v>422</v>
      </c>
      <c r="P180" t="str">
        <f t="shared" si="30"/>
        <v>42</v>
      </c>
      <c r="Q180" t="str">
        <f t="shared" si="31"/>
        <v>52</v>
      </c>
      <c r="R180" t="str">
        <f t="shared" si="32"/>
        <v>94</v>
      </c>
      <c r="AB180" t="s">
        <v>747</v>
      </c>
      <c r="AC180" t="s">
        <v>748</v>
      </c>
      <c r="AD180" t="s">
        <v>300</v>
      </c>
      <c r="AE180" t="s">
        <v>301</v>
      </c>
      <c r="AF180" t="s">
        <v>268</v>
      </c>
      <c r="AG180" t="s">
        <v>302</v>
      </c>
    </row>
    <row r="181" spans="1:33">
      <c r="A181" s="83" t="str">
        <f>IF(C181="","",VLOOKUP('OPĆI DIO'!$C$3,'OPĆI DIO'!$L$6:$U$138,10,FALSE))</f>
        <v/>
      </c>
      <c r="B181" s="83" t="str">
        <f>IF(C181="","",VLOOKUP('OPĆI DIO'!$C$3,'OPĆI DIO'!$L$6:$U$138,9,FALSE))</f>
        <v/>
      </c>
      <c r="C181" s="84"/>
      <c r="D181" s="83" t="str">
        <f t="shared" si="24"/>
        <v/>
      </c>
      <c r="E181" s="84"/>
      <c r="F181" s="83" t="str">
        <f t="shared" si="25"/>
        <v/>
      </c>
      <c r="G181" s="85"/>
      <c r="H181" s="83" t="str">
        <f t="shared" si="26"/>
        <v/>
      </c>
      <c r="I181" s="83" t="str">
        <f t="shared" si="27"/>
        <v/>
      </c>
      <c r="J181" s="69"/>
      <c r="K181" s="69"/>
      <c r="L181" s="78">
        <f t="shared" si="28"/>
        <v>0</v>
      </c>
      <c r="M181" s="67"/>
      <c r="O181" t="str">
        <f t="shared" si="29"/>
        <v/>
      </c>
      <c r="P181" t="str">
        <f t="shared" si="30"/>
        <v/>
      </c>
      <c r="Q181" t="str">
        <f t="shared" si="31"/>
        <v/>
      </c>
      <c r="R181" t="str">
        <f t="shared" si="32"/>
        <v/>
      </c>
      <c r="AB181" t="s">
        <v>749</v>
      </c>
      <c r="AC181" t="s">
        <v>750</v>
      </c>
      <c r="AD181" t="s">
        <v>300</v>
      </c>
      <c r="AE181" t="s">
        <v>301</v>
      </c>
      <c r="AF181" t="s">
        <v>268</v>
      </c>
      <c r="AG181" t="s">
        <v>302</v>
      </c>
    </row>
    <row r="182" spans="1:33">
      <c r="A182" s="83" t="str">
        <f>IF(C182="","",VLOOKUP('OPĆI DIO'!$C$3,'OPĆI DIO'!$L$6:$U$138,10,FALSE))</f>
        <v>08006</v>
      </c>
      <c r="B182" s="83" t="str">
        <f>IF(C182="","",VLOOKUP('OPĆI DIO'!$C$3,'OPĆI DIO'!$L$6:$U$138,9,FALSE))</f>
        <v>Sveučilišta i veleučilišta u Republici Hrvatskoj</v>
      </c>
      <c r="C182" s="84">
        <v>61</v>
      </c>
      <c r="D182" s="83" t="str">
        <f t="shared" si="24"/>
        <v>Donacije</v>
      </c>
      <c r="E182" s="84">
        <v>3221</v>
      </c>
      <c r="F182" s="83" t="str">
        <f t="shared" si="25"/>
        <v>Uredski materijal i ostali materijalni rashodi</v>
      </c>
      <c r="G182" s="85" t="s">
        <v>395</v>
      </c>
      <c r="H182" s="83" t="str">
        <f t="shared" si="26"/>
        <v>REDOVNA DJELATNOST SVEUČILIŠTA U RIJECI (IZ EVIDENCIJSKIH PRIHODA)</v>
      </c>
      <c r="I182" s="83" t="str">
        <f t="shared" si="27"/>
        <v>0942</v>
      </c>
      <c r="J182" s="69"/>
      <c r="K182" s="69">
        <v>664</v>
      </c>
      <c r="L182" s="78">
        <f t="shared" si="28"/>
        <v>664</v>
      </c>
      <c r="M182" s="67"/>
      <c r="O182" t="str">
        <f t="shared" si="29"/>
        <v>322</v>
      </c>
      <c r="P182" t="str">
        <f t="shared" si="30"/>
        <v>32</v>
      </c>
      <c r="Q182" t="str">
        <f t="shared" si="31"/>
        <v>61</v>
      </c>
      <c r="R182" t="str">
        <f t="shared" si="32"/>
        <v>94</v>
      </c>
      <c r="AB182" t="s">
        <v>751</v>
      </c>
      <c r="AC182" t="s">
        <v>752</v>
      </c>
      <c r="AD182" t="s">
        <v>300</v>
      </c>
      <c r="AE182" t="s">
        <v>301</v>
      </c>
      <c r="AF182" t="s">
        <v>268</v>
      </c>
      <c r="AG182" t="s">
        <v>302</v>
      </c>
    </row>
    <row r="183" spans="1:33">
      <c r="A183" s="83" t="str">
        <f>IF(C183="","",VLOOKUP('OPĆI DIO'!$C$3,'OPĆI DIO'!$L$6:$U$138,10,FALSE))</f>
        <v>08006</v>
      </c>
      <c r="B183" s="83" t="str">
        <f>IF(C183="","",VLOOKUP('OPĆI DIO'!$C$3,'OPĆI DIO'!$L$6:$U$138,9,FALSE))</f>
        <v>Sveučilišta i veleučilišta u Republici Hrvatskoj</v>
      </c>
      <c r="C183" s="84">
        <v>61</v>
      </c>
      <c r="D183" s="83" t="str">
        <f t="shared" si="24"/>
        <v>Donacije</v>
      </c>
      <c r="E183" s="84">
        <v>3235</v>
      </c>
      <c r="F183" s="83" t="str">
        <f t="shared" si="25"/>
        <v>Zakupnine i najamnine</v>
      </c>
      <c r="G183" s="85" t="s">
        <v>395</v>
      </c>
      <c r="H183" s="83" t="str">
        <f t="shared" si="26"/>
        <v>REDOVNA DJELATNOST SVEUČILIŠTA U RIJECI (IZ EVIDENCIJSKIH PRIHODA)</v>
      </c>
      <c r="I183" s="83" t="str">
        <f t="shared" si="27"/>
        <v>0942</v>
      </c>
      <c r="J183" s="69"/>
      <c r="K183" s="69">
        <v>2311</v>
      </c>
      <c r="L183" s="78">
        <f t="shared" si="28"/>
        <v>2311</v>
      </c>
      <c r="M183" s="67"/>
      <c r="O183" t="str">
        <f t="shared" si="29"/>
        <v>323</v>
      </c>
      <c r="P183" t="str">
        <f t="shared" si="30"/>
        <v>32</v>
      </c>
      <c r="Q183" t="str">
        <f t="shared" si="31"/>
        <v>61</v>
      </c>
      <c r="R183" t="str">
        <f t="shared" si="32"/>
        <v>94</v>
      </c>
      <c r="AB183" t="s">
        <v>753</v>
      </c>
      <c r="AC183" t="s">
        <v>754</v>
      </c>
      <c r="AD183" t="s">
        <v>300</v>
      </c>
      <c r="AE183" t="s">
        <v>301</v>
      </c>
      <c r="AF183" t="s">
        <v>268</v>
      </c>
      <c r="AG183" t="s">
        <v>302</v>
      </c>
    </row>
    <row r="184" spans="1:33">
      <c r="A184" s="83" t="str">
        <f>IF(C184="","",VLOOKUP('OPĆI DIO'!$C$3,'OPĆI DIO'!$L$6:$U$138,10,FALSE))</f>
        <v>08006</v>
      </c>
      <c r="B184" s="83" t="str">
        <f>IF(C184="","",VLOOKUP('OPĆI DIO'!$C$3,'OPĆI DIO'!$L$6:$U$138,9,FALSE))</f>
        <v>Sveučilišta i veleučilišta u Republici Hrvatskoj</v>
      </c>
      <c r="C184" s="84">
        <v>61</v>
      </c>
      <c r="D184" s="83" t="str">
        <f t="shared" si="24"/>
        <v>Donacije</v>
      </c>
      <c r="E184" s="84">
        <v>3239</v>
      </c>
      <c r="F184" s="83" t="str">
        <f t="shared" si="25"/>
        <v>Ostale usluge</v>
      </c>
      <c r="G184" s="85" t="s">
        <v>395</v>
      </c>
      <c r="H184" s="83" t="str">
        <f t="shared" si="26"/>
        <v>REDOVNA DJELATNOST SVEUČILIŠTA U RIJECI (IZ EVIDENCIJSKIH PRIHODA)</v>
      </c>
      <c r="I184" s="83" t="str">
        <f t="shared" si="27"/>
        <v>0942</v>
      </c>
      <c r="J184" s="69"/>
      <c r="K184" s="69">
        <v>166</v>
      </c>
      <c r="L184" s="78">
        <f t="shared" si="28"/>
        <v>166</v>
      </c>
      <c r="M184" s="67"/>
      <c r="O184" t="str">
        <f t="shared" si="29"/>
        <v>323</v>
      </c>
      <c r="P184" t="str">
        <f t="shared" si="30"/>
        <v>32</v>
      </c>
      <c r="Q184" t="str">
        <f t="shared" si="31"/>
        <v>61</v>
      </c>
      <c r="R184" t="str">
        <f t="shared" si="32"/>
        <v>94</v>
      </c>
      <c r="AB184" t="s">
        <v>755</v>
      </c>
      <c r="AC184" t="s">
        <v>756</v>
      </c>
      <c r="AD184" t="s">
        <v>300</v>
      </c>
      <c r="AE184" t="s">
        <v>301</v>
      </c>
      <c r="AF184" t="s">
        <v>268</v>
      </c>
      <c r="AG184" t="s">
        <v>302</v>
      </c>
    </row>
    <row r="185" spans="1:33">
      <c r="A185" s="83" t="str">
        <f>IF(C185="","",VLOOKUP('OPĆI DIO'!$C$3,'OPĆI DIO'!$L$6:$U$138,10,FALSE))</f>
        <v>08006</v>
      </c>
      <c r="B185" s="83" t="str">
        <f>IF(C185="","",VLOOKUP('OPĆI DIO'!$C$3,'OPĆI DIO'!$L$6:$U$138,9,FALSE))</f>
        <v>Sveučilišta i veleučilišta u Republici Hrvatskoj</v>
      </c>
      <c r="C185" s="84">
        <v>61</v>
      </c>
      <c r="D185" s="83" t="str">
        <f t="shared" si="24"/>
        <v>Donacije</v>
      </c>
      <c r="E185" s="84">
        <v>3241</v>
      </c>
      <c r="F185" s="83" t="str">
        <f t="shared" si="25"/>
        <v>Naknade troškova osobama izvan radnog odnosa</v>
      </c>
      <c r="G185" s="85" t="s">
        <v>395</v>
      </c>
      <c r="H185" s="83" t="str">
        <f t="shared" si="26"/>
        <v>REDOVNA DJELATNOST SVEUČILIŠTA U RIJECI (IZ EVIDENCIJSKIH PRIHODA)</v>
      </c>
      <c r="I185" s="83" t="str">
        <f t="shared" si="27"/>
        <v>0942</v>
      </c>
      <c r="J185" s="69"/>
      <c r="K185" s="69">
        <v>315</v>
      </c>
      <c r="L185" s="78">
        <f t="shared" si="28"/>
        <v>315</v>
      </c>
      <c r="M185" s="67"/>
      <c r="O185" t="str">
        <f t="shared" si="29"/>
        <v>324</v>
      </c>
      <c r="P185" t="str">
        <f t="shared" si="30"/>
        <v>32</v>
      </c>
      <c r="Q185" t="str">
        <f t="shared" si="31"/>
        <v>61</v>
      </c>
      <c r="R185" t="str">
        <f t="shared" si="32"/>
        <v>94</v>
      </c>
      <c r="AB185" t="s">
        <v>757</v>
      </c>
      <c r="AC185" t="s">
        <v>758</v>
      </c>
      <c r="AD185" t="s">
        <v>300</v>
      </c>
      <c r="AE185" t="s">
        <v>301</v>
      </c>
      <c r="AF185" t="s">
        <v>268</v>
      </c>
      <c r="AG185" t="s">
        <v>302</v>
      </c>
    </row>
    <row r="186" spans="1:33">
      <c r="A186" s="83" t="str">
        <f>IF(C186="","",VLOOKUP('OPĆI DIO'!$C$3,'OPĆI DIO'!$L$6:$U$138,10,FALSE))</f>
        <v>08006</v>
      </c>
      <c r="B186" s="83" t="str">
        <f>IF(C186="","",VLOOKUP('OPĆI DIO'!$C$3,'OPĆI DIO'!$L$6:$U$138,9,FALSE))</f>
        <v>Sveučilišta i veleučilišta u Republici Hrvatskoj</v>
      </c>
      <c r="C186" s="84">
        <v>61</v>
      </c>
      <c r="D186" s="83" t="str">
        <f t="shared" si="24"/>
        <v>Donacije</v>
      </c>
      <c r="E186" s="84">
        <v>3293</v>
      </c>
      <c r="F186" s="83" t="str">
        <f t="shared" si="25"/>
        <v>Reprezentacija</v>
      </c>
      <c r="G186" s="85" t="s">
        <v>395</v>
      </c>
      <c r="H186" s="83" t="str">
        <f t="shared" si="26"/>
        <v>REDOVNA DJELATNOST SVEUČILIŠTA U RIJECI (IZ EVIDENCIJSKIH PRIHODA)</v>
      </c>
      <c r="I186" s="83" t="str">
        <f t="shared" si="27"/>
        <v>0942</v>
      </c>
      <c r="J186" s="69"/>
      <c r="K186" s="69">
        <v>2548</v>
      </c>
      <c r="L186" s="78">
        <f t="shared" si="28"/>
        <v>2548</v>
      </c>
      <c r="M186" s="67"/>
      <c r="O186" t="str">
        <f t="shared" si="29"/>
        <v>329</v>
      </c>
      <c r="P186" t="str">
        <f t="shared" si="30"/>
        <v>32</v>
      </c>
      <c r="Q186" t="str">
        <f t="shared" si="31"/>
        <v>61</v>
      </c>
      <c r="R186" t="str">
        <f t="shared" si="32"/>
        <v>94</v>
      </c>
      <c r="AB186" t="s">
        <v>759</v>
      </c>
      <c r="AC186" t="s">
        <v>760</v>
      </c>
      <c r="AD186" t="s">
        <v>300</v>
      </c>
      <c r="AE186" t="s">
        <v>301</v>
      </c>
      <c r="AF186" t="s">
        <v>268</v>
      </c>
      <c r="AG186" t="s">
        <v>302</v>
      </c>
    </row>
    <row r="187" spans="1:33">
      <c r="A187" s="83" t="str">
        <f>IF(C187="","",VLOOKUP('OPĆI DIO'!$C$3,'OPĆI DIO'!$L$6:$U$138,10,FALSE))</f>
        <v/>
      </c>
      <c r="B187" s="83" t="str">
        <f>IF(C187="","",VLOOKUP('OPĆI DIO'!$C$3,'OPĆI DIO'!$L$6:$U$138,9,FALSE))</f>
        <v/>
      </c>
      <c r="C187" s="84"/>
      <c r="D187" s="83" t="str">
        <f t="shared" si="24"/>
        <v/>
      </c>
      <c r="E187" s="84"/>
      <c r="F187" s="83" t="str">
        <f t="shared" si="25"/>
        <v/>
      </c>
      <c r="G187" s="85"/>
      <c r="H187" s="83" t="str">
        <f t="shared" si="26"/>
        <v/>
      </c>
      <c r="I187" s="83" t="str">
        <f t="shared" si="27"/>
        <v/>
      </c>
      <c r="J187" s="69"/>
      <c r="K187" s="69"/>
      <c r="L187" s="78">
        <f t="shared" si="28"/>
        <v>0</v>
      </c>
      <c r="M187" s="67"/>
      <c r="O187" t="str">
        <f t="shared" si="29"/>
        <v/>
      </c>
      <c r="P187" t="str">
        <f t="shared" si="30"/>
        <v/>
      </c>
      <c r="Q187" t="str">
        <f t="shared" si="31"/>
        <v/>
      </c>
      <c r="R187" t="str">
        <f t="shared" si="32"/>
        <v/>
      </c>
      <c r="AB187" t="s">
        <v>761</v>
      </c>
      <c r="AC187" t="s">
        <v>762</v>
      </c>
      <c r="AD187" t="s">
        <v>300</v>
      </c>
      <c r="AE187" t="s">
        <v>301</v>
      </c>
      <c r="AF187" t="s">
        <v>268</v>
      </c>
      <c r="AG187" t="s">
        <v>302</v>
      </c>
    </row>
    <row r="188" spans="1:33">
      <c r="A188" s="83" t="str">
        <f>IF(C188="","",VLOOKUP('OPĆI DIO'!$C$3,'OPĆI DIO'!$L$6:$U$138,10,FALSE))</f>
        <v/>
      </c>
      <c r="B188" s="83" t="str">
        <f>IF(C188="","",VLOOKUP('OPĆI DIO'!$C$3,'OPĆI DIO'!$L$6:$U$138,9,FALSE))</f>
        <v/>
      </c>
      <c r="C188" s="84"/>
      <c r="D188" s="83" t="str">
        <f t="shared" si="24"/>
        <v/>
      </c>
      <c r="E188" s="84"/>
      <c r="F188" s="83" t="str">
        <f t="shared" si="25"/>
        <v/>
      </c>
      <c r="G188" s="85"/>
      <c r="H188" s="83" t="str">
        <f t="shared" si="26"/>
        <v/>
      </c>
      <c r="I188" s="83" t="str">
        <f t="shared" si="27"/>
        <v/>
      </c>
      <c r="J188" s="69"/>
      <c r="K188" s="69"/>
      <c r="L188" s="78">
        <f t="shared" si="28"/>
        <v>0</v>
      </c>
      <c r="M188" s="67"/>
      <c r="O188" t="str">
        <f t="shared" si="29"/>
        <v/>
      </c>
      <c r="P188" t="str">
        <f t="shared" si="30"/>
        <v/>
      </c>
      <c r="Q188" t="str">
        <f t="shared" si="31"/>
        <v/>
      </c>
      <c r="R188" t="str">
        <f t="shared" si="32"/>
        <v/>
      </c>
      <c r="AB188" t="s">
        <v>763</v>
      </c>
      <c r="AC188" t="s">
        <v>764</v>
      </c>
      <c r="AD188" t="s">
        <v>300</v>
      </c>
      <c r="AE188" t="s">
        <v>301</v>
      </c>
      <c r="AF188" t="s">
        <v>268</v>
      </c>
      <c r="AG188" t="s">
        <v>302</v>
      </c>
    </row>
    <row r="189" spans="1:33">
      <c r="A189" s="83" t="str">
        <f>IF(C189="","",VLOOKUP('OPĆI DIO'!$C$3,'OPĆI DIO'!$L$6:$U$138,10,FALSE))</f>
        <v/>
      </c>
      <c r="B189" s="83" t="str">
        <f>IF(C189="","",VLOOKUP('OPĆI DIO'!$C$3,'OPĆI DIO'!$L$6:$U$138,9,FALSE))</f>
        <v/>
      </c>
      <c r="C189" s="84"/>
      <c r="D189" s="83" t="str">
        <f t="shared" si="24"/>
        <v/>
      </c>
      <c r="E189" s="84"/>
      <c r="F189" s="83" t="str">
        <f t="shared" si="25"/>
        <v/>
      </c>
      <c r="G189" s="85"/>
      <c r="H189" s="83" t="str">
        <f t="shared" si="26"/>
        <v/>
      </c>
      <c r="I189" s="83" t="str">
        <f t="shared" si="27"/>
        <v/>
      </c>
      <c r="J189" s="69"/>
      <c r="K189" s="69"/>
      <c r="L189" s="78">
        <f t="shared" si="28"/>
        <v>0</v>
      </c>
      <c r="M189" s="67"/>
      <c r="O189" t="str">
        <f t="shared" si="29"/>
        <v/>
      </c>
      <c r="P189" t="str">
        <f t="shared" si="30"/>
        <v/>
      </c>
      <c r="Q189" t="str">
        <f t="shared" si="31"/>
        <v/>
      </c>
      <c r="R189" t="str">
        <f t="shared" si="32"/>
        <v/>
      </c>
      <c r="AB189" t="s">
        <v>765</v>
      </c>
      <c r="AC189" t="s">
        <v>766</v>
      </c>
      <c r="AD189" t="s">
        <v>300</v>
      </c>
      <c r="AE189" t="s">
        <v>301</v>
      </c>
      <c r="AF189" t="s">
        <v>268</v>
      </c>
      <c r="AG189" t="s">
        <v>302</v>
      </c>
    </row>
    <row r="190" spans="1:33">
      <c r="A190" s="83" t="str">
        <f>IF(C190="","",VLOOKUP('OPĆI DIO'!$C$3,'OPĆI DIO'!$L$6:$U$138,10,FALSE))</f>
        <v/>
      </c>
      <c r="B190" s="83" t="str">
        <f>IF(C190="","",VLOOKUP('OPĆI DIO'!$C$3,'OPĆI DIO'!$L$6:$U$138,9,FALSE))</f>
        <v/>
      </c>
      <c r="C190" s="84"/>
      <c r="D190" s="83" t="str">
        <f t="shared" si="24"/>
        <v/>
      </c>
      <c r="E190" s="84"/>
      <c r="F190" s="83" t="str">
        <f t="shared" si="25"/>
        <v/>
      </c>
      <c r="G190" s="85"/>
      <c r="H190" s="83" t="str">
        <f t="shared" si="26"/>
        <v/>
      </c>
      <c r="I190" s="83" t="str">
        <f t="shared" si="27"/>
        <v/>
      </c>
      <c r="J190" s="69"/>
      <c r="K190" s="69"/>
      <c r="L190" s="78">
        <f t="shared" si="28"/>
        <v>0</v>
      </c>
      <c r="M190" s="67"/>
      <c r="O190" t="str">
        <f t="shared" si="29"/>
        <v/>
      </c>
      <c r="P190" t="str">
        <f t="shared" si="30"/>
        <v/>
      </c>
      <c r="Q190" t="str">
        <f t="shared" si="31"/>
        <v/>
      </c>
      <c r="R190" t="str">
        <f t="shared" si="32"/>
        <v/>
      </c>
      <c r="AB190" t="s">
        <v>767</v>
      </c>
      <c r="AC190" t="s">
        <v>768</v>
      </c>
      <c r="AD190" t="s">
        <v>300</v>
      </c>
      <c r="AE190" t="s">
        <v>301</v>
      </c>
      <c r="AF190" t="s">
        <v>268</v>
      </c>
      <c r="AG190" t="s">
        <v>302</v>
      </c>
    </row>
    <row r="191" spans="1:33">
      <c r="A191" s="83" t="str">
        <f>IF(C191="","",VLOOKUP('OPĆI DIO'!$C$3,'OPĆI DIO'!$L$6:$U$138,10,FALSE))</f>
        <v/>
      </c>
      <c r="B191" s="83" t="str">
        <f>IF(C191="","",VLOOKUP('OPĆI DIO'!$C$3,'OPĆI DIO'!$L$6:$U$138,9,FALSE))</f>
        <v/>
      </c>
      <c r="C191" s="84"/>
      <c r="D191" s="83" t="str">
        <f t="shared" si="24"/>
        <v/>
      </c>
      <c r="E191" s="84"/>
      <c r="F191" s="83" t="str">
        <f t="shared" si="25"/>
        <v/>
      </c>
      <c r="G191" s="85"/>
      <c r="H191" s="83" t="str">
        <f t="shared" si="26"/>
        <v/>
      </c>
      <c r="I191" s="83" t="str">
        <f t="shared" si="27"/>
        <v/>
      </c>
      <c r="J191" s="69"/>
      <c r="K191" s="69"/>
      <c r="L191" s="78">
        <f t="shared" si="28"/>
        <v>0</v>
      </c>
      <c r="M191" s="67"/>
      <c r="O191" t="str">
        <f t="shared" si="29"/>
        <v/>
      </c>
      <c r="P191" t="str">
        <f t="shared" si="30"/>
        <v/>
      </c>
      <c r="Q191" t="str">
        <f t="shared" si="31"/>
        <v/>
      </c>
      <c r="R191" t="str">
        <f t="shared" si="32"/>
        <v/>
      </c>
      <c r="AB191" t="s">
        <v>769</v>
      </c>
      <c r="AC191" t="s">
        <v>770</v>
      </c>
      <c r="AD191" t="s">
        <v>300</v>
      </c>
      <c r="AE191" t="s">
        <v>301</v>
      </c>
      <c r="AF191" t="s">
        <v>268</v>
      </c>
      <c r="AG191" t="s">
        <v>302</v>
      </c>
    </row>
    <row r="192" spans="1:33">
      <c r="A192" s="83" t="str">
        <f>IF(C192="","",VLOOKUP('OPĆI DIO'!$C$3,'OPĆI DIO'!$L$6:$U$138,10,FALSE))</f>
        <v/>
      </c>
      <c r="B192" s="83" t="str">
        <f>IF(C192="","",VLOOKUP('OPĆI DIO'!$C$3,'OPĆI DIO'!$L$6:$U$138,9,FALSE))</f>
        <v/>
      </c>
      <c r="C192" s="84"/>
      <c r="D192" s="83" t="str">
        <f t="shared" si="24"/>
        <v/>
      </c>
      <c r="E192" s="84"/>
      <c r="F192" s="83" t="str">
        <f t="shared" si="25"/>
        <v/>
      </c>
      <c r="G192" s="85"/>
      <c r="H192" s="83" t="str">
        <f t="shared" si="26"/>
        <v/>
      </c>
      <c r="I192" s="83" t="str">
        <f t="shared" si="27"/>
        <v/>
      </c>
      <c r="J192" s="69"/>
      <c r="K192" s="69"/>
      <c r="L192" s="78">
        <f t="shared" si="28"/>
        <v>0</v>
      </c>
      <c r="M192" s="67"/>
      <c r="O192" t="str">
        <f t="shared" si="29"/>
        <v/>
      </c>
      <c r="P192" t="str">
        <f t="shared" si="30"/>
        <v/>
      </c>
      <c r="Q192" t="str">
        <f t="shared" si="31"/>
        <v/>
      </c>
      <c r="R192" t="str">
        <f t="shared" si="32"/>
        <v/>
      </c>
      <c r="AB192" t="s">
        <v>771</v>
      </c>
      <c r="AC192" t="s">
        <v>640</v>
      </c>
      <c r="AD192" t="s">
        <v>300</v>
      </c>
      <c r="AE192" t="s">
        <v>301</v>
      </c>
      <c r="AF192" t="s">
        <v>268</v>
      </c>
      <c r="AG192" t="s">
        <v>302</v>
      </c>
    </row>
    <row r="193" spans="1:33">
      <c r="A193" s="83" t="str">
        <f>IF(C193="","",VLOOKUP('OPĆI DIO'!$C$3,'OPĆI DIO'!$L$6:$U$138,10,FALSE))</f>
        <v/>
      </c>
      <c r="B193" s="83" t="str">
        <f>IF(C193="","",VLOOKUP('OPĆI DIO'!$C$3,'OPĆI DIO'!$L$6:$U$138,9,FALSE))</f>
        <v/>
      </c>
      <c r="C193" s="84"/>
      <c r="D193" s="83" t="str">
        <f t="shared" si="24"/>
        <v/>
      </c>
      <c r="E193" s="84"/>
      <c r="F193" s="83" t="str">
        <f t="shared" si="25"/>
        <v/>
      </c>
      <c r="G193" s="85"/>
      <c r="H193" s="83" t="str">
        <f t="shared" si="26"/>
        <v/>
      </c>
      <c r="I193" s="83" t="str">
        <f t="shared" si="27"/>
        <v/>
      </c>
      <c r="J193" s="69"/>
      <c r="K193" s="69"/>
      <c r="L193" s="78">
        <f t="shared" si="28"/>
        <v>0</v>
      </c>
      <c r="M193" s="67"/>
      <c r="O193" t="str">
        <f t="shared" si="29"/>
        <v/>
      </c>
      <c r="P193" t="str">
        <f t="shared" si="30"/>
        <v/>
      </c>
      <c r="Q193" t="str">
        <f t="shared" si="31"/>
        <v/>
      </c>
      <c r="R193" t="str">
        <f t="shared" si="32"/>
        <v/>
      </c>
      <c r="AB193" t="s">
        <v>772</v>
      </c>
      <c r="AC193" t="s">
        <v>773</v>
      </c>
      <c r="AD193" t="s">
        <v>300</v>
      </c>
      <c r="AE193" t="s">
        <v>301</v>
      </c>
      <c r="AF193" t="s">
        <v>268</v>
      </c>
      <c r="AG193" t="s">
        <v>302</v>
      </c>
    </row>
    <row r="194" spans="1:33">
      <c r="A194" s="83" t="str">
        <f>IF(C194="","",VLOOKUP('OPĆI DIO'!$C$3,'OPĆI DIO'!$L$6:$U$138,10,FALSE))</f>
        <v/>
      </c>
      <c r="B194" s="83" t="str">
        <f>IF(C194="","",VLOOKUP('OPĆI DIO'!$C$3,'OPĆI DIO'!$L$6:$U$138,9,FALSE))</f>
        <v/>
      </c>
      <c r="C194" s="84"/>
      <c r="D194" s="83" t="str">
        <f t="shared" si="24"/>
        <v/>
      </c>
      <c r="E194" s="84"/>
      <c r="F194" s="83" t="str">
        <f t="shared" si="25"/>
        <v/>
      </c>
      <c r="G194" s="85"/>
      <c r="H194" s="83" t="str">
        <f t="shared" si="26"/>
        <v/>
      </c>
      <c r="I194" s="83" t="str">
        <f t="shared" si="27"/>
        <v/>
      </c>
      <c r="J194" s="69"/>
      <c r="K194" s="69"/>
      <c r="L194" s="78">
        <f t="shared" si="28"/>
        <v>0</v>
      </c>
      <c r="M194" s="67"/>
      <c r="O194" t="str">
        <f t="shared" si="29"/>
        <v/>
      </c>
      <c r="P194" t="str">
        <f t="shared" si="30"/>
        <v/>
      </c>
      <c r="Q194" t="str">
        <f t="shared" si="31"/>
        <v/>
      </c>
      <c r="R194" t="str">
        <f t="shared" si="32"/>
        <v/>
      </c>
      <c r="AB194" t="s">
        <v>774</v>
      </c>
      <c r="AC194" t="s">
        <v>681</v>
      </c>
      <c r="AD194" t="s">
        <v>300</v>
      </c>
      <c r="AE194" t="s">
        <v>301</v>
      </c>
      <c r="AF194" t="s">
        <v>268</v>
      </c>
      <c r="AG194" t="s">
        <v>302</v>
      </c>
    </row>
    <row r="195" spans="1:33">
      <c r="A195" s="83" t="str">
        <f>IF(C195="","",VLOOKUP('OPĆI DIO'!$C$3,'OPĆI DIO'!$L$6:$U$138,10,FALSE))</f>
        <v/>
      </c>
      <c r="B195" s="83" t="str">
        <f>IF(C195="","",VLOOKUP('OPĆI DIO'!$C$3,'OPĆI DIO'!$L$6:$U$138,9,FALSE))</f>
        <v/>
      </c>
      <c r="C195" s="84"/>
      <c r="D195" s="83" t="str">
        <f t="shared" ref="D195:D258" si="33">IFERROR(VLOOKUP(C195,$S$6:$T$24,2,FALSE),"")</f>
        <v/>
      </c>
      <c r="E195" s="84"/>
      <c r="F195" s="83" t="str">
        <f t="shared" ref="F195:F258" si="34">IFERROR(VLOOKUP(E195,$V$5:$X$129,2,FALSE),"")</f>
        <v/>
      </c>
      <c r="G195" s="85"/>
      <c r="H195" s="83" t="str">
        <f t="shared" ref="H195:H258" si="35">IFERROR(VLOOKUP(G195,$AB$6:$AC$327,2,FALSE),"")</f>
        <v/>
      </c>
      <c r="I195" s="83" t="str">
        <f t="shared" ref="I195:I258" si="36">IFERROR(VLOOKUP(G195,$AB$6:$AF$327,3,FALSE),"")</f>
        <v/>
      </c>
      <c r="J195" s="69"/>
      <c r="K195" s="69"/>
      <c r="L195" s="78">
        <f t="shared" si="28"/>
        <v>0</v>
      </c>
      <c r="M195" s="67"/>
      <c r="O195" t="str">
        <f t="shared" si="29"/>
        <v/>
      </c>
      <c r="P195" t="str">
        <f t="shared" si="30"/>
        <v/>
      </c>
      <c r="Q195" t="str">
        <f t="shared" si="31"/>
        <v/>
      </c>
      <c r="R195" t="str">
        <f t="shared" si="32"/>
        <v/>
      </c>
      <c r="AB195" t="s">
        <v>775</v>
      </c>
      <c r="AC195" t="s">
        <v>664</v>
      </c>
      <c r="AD195" t="s">
        <v>300</v>
      </c>
      <c r="AE195" t="s">
        <v>301</v>
      </c>
      <c r="AF195" t="s">
        <v>268</v>
      </c>
      <c r="AG195" t="s">
        <v>302</v>
      </c>
    </row>
    <row r="196" spans="1:33">
      <c r="A196" s="83" t="str">
        <f>IF(C196="","",VLOOKUP('OPĆI DIO'!$C$3,'OPĆI DIO'!$L$6:$U$138,10,FALSE))</f>
        <v/>
      </c>
      <c r="B196" s="83" t="str">
        <f>IF(C196="","",VLOOKUP('OPĆI DIO'!$C$3,'OPĆI DIO'!$L$6:$U$138,9,FALSE))</f>
        <v/>
      </c>
      <c r="C196" s="84"/>
      <c r="D196" s="83" t="str">
        <f t="shared" si="33"/>
        <v/>
      </c>
      <c r="E196" s="84"/>
      <c r="F196" s="83" t="str">
        <f t="shared" si="34"/>
        <v/>
      </c>
      <c r="G196" s="85"/>
      <c r="H196" s="83" t="str">
        <f t="shared" si="35"/>
        <v/>
      </c>
      <c r="I196" s="83" t="str">
        <f t="shared" si="36"/>
        <v/>
      </c>
      <c r="J196" s="69"/>
      <c r="K196" s="69"/>
      <c r="L196" s="78">
        <f t="shared" ref="L196:L259" si="37">K196-J196</f>
        <v>0</v>
      </c>
      <c r="M196" s="67"/>
      <c r="O196" t="str">
        <f t="shared" ref="O196:O259" si="38">LEFT(E196,3)</f>
        <v/>
      </c>
      <c r="P196" t="str">
        <f t="shared" ref="P196:P259" si="39">LEFT(E196,2)</f>
        <v/>
      </c>
      <c r="Q196" t="str">
        <f t="shared" ref="Q196:Q259" si="40">LEFT(C196,3)</f>
        <v/>
      </c>
      <c r="R196" t="str">
        <f t="shared" ref="R196:R259" si="41">MID(I196,2,2)</f>
        <v/>
      </c>
      <c r="AB196" t="s">
        <v>776</v>
      </c>
      <c r="AC196" t="s">
        <v>777</v>
      </c>
      <c r="AD196" t="s">
        <v>300</v>
      </c>
      <c r="AE196" t="s">
        <v>301</v>
      </c>
      <c r="AF196" t="s">
        <v>268</v>
      </c>
      <c r="AG196" t="s">
        <v>302</v>
      </c>
    </row>
    <row r="197" spans="1:33">
      <c r="A197" s="83" t="str">
        <f>IF(C197="","",VLOOKUP('OPĆI DIO'!$C$3,'OPĆI DIO'!$L$6:$U$138,10,FALSE))</f>
        <v/>
      </c>
      <c r="B197" s="83" t="str">
        <f>IF(C197="","",VLOOKUP('OPĆI DIO'!$C$3,'OPĆI DIO'!$L$6:$U$138,9,FALSE))</f>
        <v/>
      </c>
      <c r="C197" s="84"/>
      <c r="D197" s="83" t="str">
        <f t="shared" si="33"/>
        <v/>
      </c>
      <c r="E197" s="84"/>
      <c r="F197" s="83" t="str">
        <f t="shared" si="34"/>
        <v/>
      </c>
      <c r="G197" s="85"/>
      <c r="H197" s="83" t="str">
        <f t="shared" si="35"/>
        <v/>
      </c>
      <c r="I197" s="83" t="str">
        <f t="shared" si="36"/>
        <v/>
      </c>
      <c r="J197" s="69"/>
      <c r="K197" s="69"/>
      <c r="L197" s="78">
        <f t="shared" si="37"/>
        <v>0</v>
      </c>
      <c r="M197" s="67"/>
      <c r="O197" t="str">
        <f t="shared" si="38"/>
        <v/>
      </c>
      <c r="P197" t="str">
        <f t="shared" si="39"/>
        <v/>
      </c>
      <c r="Q197" t="str">
        <f t="shared" si="40"/>
        <v/>
      </c>
      <c r="R197" t="str">
        <f t="shared" si="41"/>
        <v/>
      </c>
      <c r="AB197" t="s">
        <v>778</v>
      </c>
      <c r="AC197" t="s">
        <v>779</v>
      </c>
      <c r="AD197" t="s">
        <v>273</v>
      </c>
      <c r="AE197" t="s">
        <v>274</v>
      </c>
      <c r="AF197" t="s">
        <v>275</v>
      </c>
      <c r="AG197" t="s">
        <v>276</v>
      </c>
    </row>
    <row r="198" spans="1:33">
      <c r="A198" s="83" t="str">
        <f>IF(C198="","",VLOOKUP('OPĆI DIO'!$C$3,'OPĆI DIO'!$L$6:$U$138,10,FALSE))</f>
        <v/>
      </c>
      <c r="B198" s="83" t="str">
        <f>IF(C198="","",VLOOKUP('OPĆI DIO'!$C$3,'OPĆI DIO'!$L$6:$U$138,9,FALSE))</f>
        <v/>
      </c>
      <c r="C198" s="84"/>
      <c r="D198" s="83" t="str">
        <f t="shared" si="33"/>
        <v/>
      </c>
      <c r="E198" s="84"/>
      <c r="F198" s="83" t="str">
        <f t="shared" si="34"/>
        <v/>
      </c>
      <c r="G198" s="85"/>
      <c r="H198" s="83" t="str">
        <f t="shared" si="35"/>
        <v/>
      </c>
      <c r="I198" s="83" t="str">
        <f t="shared" si="36"/>
        <v/>
      </c>
      <c r="J198" s="69"/>
      <c r="K198" s="69"/>
      <c r="L198" s="78">
        <f t="shared" si="37"/>
        <v>0</v>
      </c>
      <c r="M198" s="67"/>
      <c r="O198" t="str">
        <f t="shared" si="38"/>
        <v/>
      </c>
      <c r="P198" t="str">
        <f t="shared" si="39"/>
        <v/>
      </c>
      <c r="Q198" t="str">
        <f t="shared" si="40"/>
        <v/>
      </c>
      <c r="R198" t="str">
        <f t="shared" si="41"/>
        <v/>
      </c>
      <c r="AB198" t="s">
        <v>780</v>
      </c>
      <c r="AC198" t="s">
        <v>781</v>
      </c>
      <c r="AD198" t="s">
        <v>273</v>
      </c>
      <c r="AE198" t="s">
        <v>274</v>
      </c>
      <c r="AF198" t="s">
        <v>275</v>
      </c>
      <c r="AG198" t="s">
        <v>276</v>
      </c>
    </row>
    <row r="199" spans="1:33">
      <c r="A199" s="83" t="str">
        <f>IF(C199="","",VLOOKUP('OPĆI DIO'!$C$3,'OPĆI DIO'!$L$6:$U$138,10,FALSE))</f>
        <v/>
      </c>
      <c r="B199" s="83" t="str">
        <f>IF(C199="","",VLOOKUP('OPĆI DIO'!$C$3,'OPĆI DIO'!$L$6:$U$138,9,FALSE))</f>
        <v/>
      </c>
      <c r="C199" s="84"/>
      <c r="D199" s="83" t="str">
        <f t="shared" si="33"/>
        <v/>
      </c>
      <c r="E199" s="84"/>
      <c r="F199" s="83" t="str">
        <f t="shared" si="34"/>
        <v/>
      </c>
      <c r="G199" s="85"/>
      <c r="H199" s="83" t="str">
        <f t="shared" si="35"/>
        <v/>
      </c>
      <c r="I199" s="83" t="str">
        <f t="shared" si="36"/>
        <v/>
      </c>
      <c r="J199" s="69"/>
      <c r="K199" s="69"/>
      <c r="L199" s="78">
        <f t="shared" si="37"/>
        <v>0</v>
      </c>
      <c r="M199" s="67"/>
      <c r="O199" t="str">
        <f t="shared" si="38"/>
        <v/>
      </c>
      <c r="P199" t="str">
        <f t="shared" si="39"/>
        <v/>
      </c>
      <c r="Q199" t="str">
        <f t="shared" si="40"/>
        <v/>
      </c>
      <c r="R199" t="str">
        <f t="shared" si="41"/>
        <v/>
      </c>
      <c r="AB199" t="s">
        <v>782</v>
      </c>
      <c r="AC199" t="s">
        <v>783</v>
      </c>
      <c r="AD199" t="s">
        <v>273</v>
      </c>
      <c r="AE199" t="s">
        <v>274</v>
      </c>
      <c r="AF199" t="s">
        <v>275</v>
      </c>
      <c r="AG199" t="s">
        <v>276</v>
      </c>
    </row>
    <row r="200" spans="1:33">
      <c r="A200" s="83" t="str">
        <f>IF(C200="","",VLOOKUP('OPĆI DIO'!$C$3,'OPĆI DIO'!$L$6:$U$138,10,FALSE))</f>
        <v/>
      </c>
      <c r="B200" s="83" t="str">
        <f>IF(C200="","",VLOOKUP('OPĆI DIO'!$C$3,'OPĆI DIO'!$L$6:$U$138,9,FALSE))</f>
        <v/>
      </c>
      <c r="C200" s="84"/>
      <c r="D200" s="83" t="str">
        <f t="shared" si="33"/>
        <v/>
      </c>
      <c r="E200" s="84"/>
      <c r="F200" s="83" t="str">
        <f t="shared" si="34"/>
        <v/>
      </c>
      <c r="G200" s="85"/>
      <c r="H200" s="83" t="str">
        <f t="shared" si="35"/>
        <v/>
      </c>
      <c r="I200" s="83" t="str">
        <f t="shared" si="36"/>
        <v/>
      </c>
      <c r="J200" s="69"/>
      <c r="K200" s="69"/>
      <c r="L200" s="78">
        <f t="shared" si="37"/>
        <v>0</v>
      </c>
      <c r="M200" s="67"/>
      <c r="O200" t="str">
        <f t="shared" si="38"/>
        <v/>
      </c>
      <c r="P200" t="str">
        <f t="shared" si="39"/>
        <v/>
      </c>
      <c r="Q200" t="str">
        <f t="shared" si="40"/>
        <v/>
      </c>
      <c r="R200" t="str">
        <f t="shared" si="41"/>
        <v/>
      </c>
      <c r="AB200" t="s">
        <v>784</v>
      </c>
      <c r="AC200" t="s">
        <v>785</v>
      </c>
      <c r="AD200" t="s">
        <v>273</v>
      </c>
      <c r="AE200" t="s">
        <v>274</v>
      </c>
      <c r="AF200" t="s">
        <v>275</v>
      </c>
      <c r="AG200" t="s">
        <v>276</v>
      </c>
    </row>
    <row r="201" spans="1:33">
      <c r="A201" s="83" t="str">
        <f>IF(C201="","",VLOOKUP('OPĆI DIO'!$C$3,'OPĆI DIO'!$L$6:$U$138,10,FALSE))</f>
        <v/>
      </c>
      <c r="B201" s="83" t="str">
        <f>IF(C201="","",VLOOKUP('OPĆI DIO'!$C$3,'OPĆI DIO'!$L$6:$U$138,9,FALSE))</f>
        <v/>
      </c>
      <c r="C201" s="84"/>
      <c r="D201" s="83" t="str">
        <f t="shared" si="33"/>
        <v/>
      </c>
      <c r="E201" s="84"/>
      <c r="F201" s="83" t="str">
        <f t="shared" si="34"/>
        <v/>
      </c>
      <c r="G201" s="85"/>
      <c r="H201" s="83" t="str">
        <f t="shared" si="35"/>
        <v/>
      </c>
      <c r="I201" s="83" t="str">
        <f t="shared" si="36"/>
        <v/>
      </c>
      <c r="J201" s="69"/>
      <c r="K201" s="69"/>
      <c r="L201" s="78">
        <f t="shared" si="37"/>
        <v>0</v>
      </c>
      <c r="M201" s="67"/>
      <c r="O201" t="str">
        <f t="shared" si="38"/>
        <v/>
      </c>
      <c r="P201" t="str">
        <f t="shared" si="39"/>
        <v/>
      </c>
      <c r="Q201" t="str">
        <f t="shared" si="40"/>
        <v/>
      </c>
      <c r="R201" t="str">
        <f t="shared" si="41"/>
        <v/>
      </c>
      <c r="AB201" t="s">
        <v>786</v>
      </c>
      <c r="AC201" t="s">
        <v>393</v>
      </c>
      <c r="AD201" t="s">
        <v>273</v>
      </c>
      <c r="AE201" t="s">
        <v>274</v>
      </c>
      <c r="AF201" t="s">
        <v>275</v>
      </c>
      <c r="AG201" t="s">
        <v>276</v>
      </c>
    </row>
    <row r="202" spans="1:33">
      <c r="A202" s="83" t="str">
        <f>IF(C202="","",VLOOKUP('OPĆI DIO'!$C$3,'OPĆI DIO'!$L$6:$U$138,10,FALSE))</f>
        <v/>
      </c>
      <c r="B202" s="83" t="str">
        <f>IF(C202="","",VLOOKUP('OPĆI DIO'!$C$3,'OPĆI DIO'!$L$6:$U$138,9,FALSE))</f>
        <v/>
      </c>
      <c r="C202" s="84"/>
      <c r="D202" s="83" t="str">
        <f t="shared" si="33"/>
        <v/>
      </c>
      <c r="E202" s="84"/>
      <c r="F202" s="83" t="str">
        <f t="shared" si="34"/>
        <v/>
      </c>
      <c r="G202" s="85"/>
      <c r="H202" s="83" t="str">
        <f t="shared" si="35"/>
        <v/>
      </c>
      <c r="I202" s="83" t="str">
        <f t="shared" si="36"/>
        <v/>
      </c>
      <c r="J202" s="69"/>
      <c r="K202" s="69"/>
      <c r="L202" s="78">
        <f t="shared" si="37"/>
        <v>0</v>
      </c>
      <c r="M202" s="67"/>
      <c r="O202" t="str">
        <f t="shared" si="38"/>
        <v/>
      </c>
      <c r="P202" t="str">
        <f t="shared" si="39"/>
        <v/>
      </c>
      <c r="Q202" t="str">
        <f t="shared" si="40"/>
        <v/>
      </c>
      <c r="R202" t="str">
        <f t="shared" si="41"/>
        <v/>
      </c>
      <c r="AB202" t="s">
        <v>787</v>
      </c>
      <c r="AC202" t="s">
        <v>788</v>
      </c>
      <c r="AD202" t="s">
        <v>273</v>
      </c>
      <c r="AE202" t="s">
        <v>274</v>
      </c>
      <c r="AF202" t="s">
        <v>275</v>
      </c>
      <c r="AG202" t="s">
        <v>276</v>
      </c>
    </row>
    <row r="203" spans="1:33">
      <c r="A203" s="83" t="str">
        <f>IF(C203="","",VLOOKUP('OPĆI DIO'!$C$3,'OPĆI DIO'!$L$6:$U$138,10,FALSE))</f>
        <v/>
      </c>
      <c r="B203" s="83" t="str">
        <f>IF(C203="","",VLOOKUP('OPĆI DIO'!$C$3,'OPĆI DIO'!$L$6:$U$138,9,FALSE))</f>
        <v/>
      </c>
      <c r="C203" s="84"/>
      <c r="D203" s="83" t="str">
        <f t="shared" si="33"/>
        <v/>
      </c>
      <c r="E203" s="84"/>
      <c r="F203" s="83" t="str">
        <f t="shared" si="34"/>
        <v/>
      </c>
      <c r="G203" s="85"/>
      <c r="H203" s="83" t="str">
        <f t="shared" si="35"/>
        <v/>
      </c>
      <c r="I203" s="83" t="str">
        <f t="shared" si="36"/>
        <v/>
      </c>
      <c r="J203" s="69"/>
      <c r="K203" s="69"/>
      <c r="L203" s="78">
        <f t="shared" si="37"/>
        <v>0</v>
      </c>
      <c r="M203" s="67"/>
      <c r="O203" t="str">
        <f t="shared" si="38"/>
        <v/>
      </c>
      <c r="P203" t="str">
        <f t="shared" si="39"/>
        <v/>
      </c>
      <c r="Q203" t="str">
        <f t="shared" si="40"/>
        <v/>
      </c>
      <c r="R203" t="str">
        <f t="shared" si="41"/>
        <v/>
      </c>
      <c r="AB203" t="s">
        <v>789</v>
      </c>
      <c r="AC203" t="s">
        <v>790</v>
      </c>
      <c r="AD203" t="s">
        <v>273</v>
      </c>
      <c r="AE203" t="s">
        <v>274</v>
      </c>
      <c r="AF203" t="s">
        <v>275</v>
      </c>
      <c r="AG203" t="s">
        <v>276</v>
      </c>
    </row>
    <row r="204" spans="1:33">
      <c r="A204" s="83" t="str">
        <f>IF(C204="","",VLOOKUP('OPĆI DIO'!$C$3,'OPĆI DIO'!$L$6:$U$138,10,FALSE))</f>
        <v/>
      </c>
      <c r="B204" s="83" t="str">
        <f>IF(C204="","",VLOOKUP('OPĆI DIO'!$C$3,'OPĆI DIO'!$L$6:$U$138,9,FALSE))</f>
        <v/>
      </c>
      <c r="C204" s="84"/>
      <c r="D204" s="83" t="str">
        <f t="shared" si="33"/>
        <v/>
      </c>
      <c r="E204" s="84"/>
      <c r="F204" s="83" t="str">
        <f t="shared" si="34"/>
        <v/>
      </c>
      <c r="G204" s="85"/>
      <c r="H204" s="83" t="str">
        <f t="shared" si="35"/>
        <v/>
      </c>
      <c r="I204" s="83" t="str">
        <f t="shared" si="36"/>
        <v/>
      </c>
      <c r="J204" s="69"/>
      <c r="K204" s="69"/>
      <c r="L204" s="78">
        <f t="shared" si="37"/>
        <v>0</v>
      </c>
      <c r="M204" s="67"/>
      <c r="O204" t="str">
        <f t="shared" si="38"/>
        <v/>
      </c>
      <c r="P204" t="str">
        <f t="shared" si="39"/>
        <v/>
      </c>
      <c r="Q204" t="str">
        <f t="shared" si="40"/>
        <v/>
      </c>
      <c r="R204" t="str">
        <f t="shared" si="41"/>
        <v/>
      </c>
      <c r="AB204" t="s">
        <v>791</v>
      </c>
      <c r="AC204" t="s">
        <v>792</v>
      </c>
      <c r="AD204" t="s">
        <v>273</v>
      </c>
      <c r="AE204" t="s">
        <v>274</v>
      </c>
      <c r="AF204" t="s">
        <v>275</v>
      </c>
      <c r="AG204" t="s">
        <v>276</v>
      </c>
    </row>
    <row r="205" spans="1:33">
      <c r="A205" s="83" t="str">
        <f>IF(C205="","",VLOOKUP('OPĆI DIO'!$C$3,'OPĆI DIO'!$L$6:$U$138,10,FALSE))</f>
        <v/>
      </c>
      <c r="B205" s="83" t="str">
        <f>IF(C205="","",VLOOKUP('OPĆI DIO'!$C$3,'OPĆI DIO'!$L$6:$U$138,9,FALSE))</f>
        <v/>
      </c>
      <c r="C205" s="84"/>
      <c r="D205" s="83" t="str">
        <f t="shared" si="33"/>
        <v/>
      </c>
      <c r="E205" s="84"/>
      <c r="F205" s="83" t="str">
        <f t="shared" si="34"/>
        <v/>
      </c>
      <c r="G205" s="85"/>
      <c r="H205" s="83" t="str">
        <f t="shared" si="35"/>
        <v/>
      </c>
      <c r="I205" s="83" t="str">
        <f t="shared" si="36"/>
        <v/>
      </c>
      <c r="J205" s="69"/>
      <c r="K205" s="69"/>
      <c r="L205" s="78">
        <f t="shared" si="37"/>
        <v>0</v>
      </c>
      <c r="M205" s="67"/>
      <c r="O205" t="str">
        <f t="shared" si="38"/>
        <v/>
      </c>
      <c r="P205" t="str">
        <f t="shared" si="39"/>
        <v/>
      </c>
      <c r="Q205" t="str">
        <f t="shared" si="40"/>
        <v/>
      </c>
      <c r="R205" t="str">
        <f t="shared" si="41"/>
        <v/>
      </c>
      <c r="AB205" t="s">
        <v>793</v>
      </c>
      <c r="AC205" t="s">
        <v>794</v>
      </c>
      <c r="AD205" t="s">
        <v>273</v>
      </c>
      <c r="AE205" t="s">
        <v>274</v>
      </c>
      <c r="AF205" t="s">
        <v>275</v>
      </c>
      <c r="AG205" t="s">
        <v>276</v>
      </c>
    </row>
    <row r="206" spans="1:33">
      <c r="A206" s="83" t="str">
        <f>IF(C206="","",VLOOKUP('OPĆI DIO'!$C$3,'OPĆI DIO'!$L$6:$U$138,10,FALSE))</f>
        <v/>
      </c>
      <c r="B206" s="83" t="str">
        <f>IF(C206="","",VLOOKUP('OPĆI DIO'!$C$3,'OPĆI DIO'!$L$6:$U$138,9,FALSE))</f>
        <v/>
      </c>
      <c r="C206" s="84"/>
      <c r="D206" s="83" t="str">
        <f t="shared" si="33"/>
        <v/>
      </c>
      <c r="E206" s="84"/>
      <c r="F206" s="83" t="str">
        <f t="shared" si="34"/>
        <v/>
      </c>
      <c r="G206" s="85"/>
      <c r="H206" s="83" t="str">
        <f t="shared" si="35"/>
        <v/>
      </c>
      <c r="I206" s="83" t="str">
        <f t="shared" si="36"/>
        <v/>
      </c>
      <c r="J206" s="69"/>
      <c r="K206" s="69"/>
      <c r="L206" s="78">
        <f t="shared" si="37"/>
        <v>0</v>
      </c>
      <c r="M206" s="67"/>
      <c r="O206" t="str">
        <f t="shared" si="38"/>
        <v/>
      </c>
      <c r="P206" t="str">
        <f t="shared" si="39"/>
        <v/>
      </c>
      <c r="Q206" t="str">
        <f t="shared" si="40"/>
        <v/>
      </c>
      <c r="R206" t="str">
        <f t="shared" si="41"/>
        <v/>
      </c>
      <c r="AB206" t="s">
        <v>795</v>
      </c>
      <c r="AC206" t="s">
        <v>681</v>
      </c>
      <c r="AD206" t="s">
        <v>273</v>
      </c>
      <c r="AE206" t="s">
        <v>274</v>
      </c>
      <c r="AF206" t="s">
        <v>275</v>
      </c>
      <c r="AG206" t="s">
        <v>276</v>
      </c>
    </row>
    <row r="207" spans="1:33">
      <c r="A207" s="83" t="str">
        <f>IF(C207="","",VLOOKUP('OPĆI DIO'!$C$3,'OPĆI DIO'!$L$6:$U$138,10,FALSE))</f>
        <v/>
      </c>
      <c r="B207" s="83" t="str">
        <f>IF(C207="","",VLOOKUP('OPĆI DIO'!$C$3,'OPĆI DIO'!$L$6:$U$138,9,FALSE))</f>
        <v/>
      </c>
      <c r="C207" s="84"/>
      <c r="D207" s="83" t="str">
        <f t="shared" si="33"/>
        <v/>
      </c>
      <c r="E207" s="84"/>
      <c r="F207" s="83" t="str">
        <f t="shared" si="34"/>
        <v/>
      </c>
      <c r="G207" s="85"/>
      <c r="H207" s="83" t="str">
        <f t="shared" si="35"/>
        <v/>
      </c>
      <c r="I207" s="83" t="str">
        <f t="shared" si="36"/>
        <v/>
      </c>
      <c r="J207" s="69"/>
      <c r="K207" s="69"/>
      <c r="L207" s="78">
        <f t="shared" si="37"/>
        <v>0</v>
      </c>
      <c r="M207" s="67"/>
      <c r="O207" t="str">
        <f t="shared" si="38"/>
        <v/>
      </c>
      <c r="P207" t="str">
        <f t="shared" si="39"/>
        <v/>
      </c>
      <c r="Q207" t="str">
        <f t="shared" si="40"/>
        <v/>
      </c>
      <c r="R207" t="str">
        <f t="shared" si="41"/>
        <v/>
      </c>
      <c r="AB207" t="s">
        <v>796</v>
      </c>
      <c r="AC207" t="s">
        <v>664</v>
      </c>
      <c r="AD207" t="s">
        <v>273</v>
      </c>
      <c r="AE207" t="s">
        <v>274</v>
      </c>
      <c r="AF207" t="s">
        <v>275</v>
      </c>
      <c r="AG207" t="s">
        <v>276</v>
      </c>
    </row>
    <row r="208" spans="1:33">
      <c r="A208" s="83" t="str">
        <f>IF(C208="","",VLOOKUP('OPĆI DIO'!$C$3,'OPĆI DIO'!$L$6:$U$138,10,FALSE))</f>
        <v/>
      </c>
      <c r="B208" s="83" t="str">
        <f>IF(C208="","",VLOOKUP('OPĆI DIO'!$C$3,'OPĆI DIO'!$L$6:$U$138,9,FALSE))</f>
        <v/>
      </c>
      <c r="C208" s="84"/>
      <c r="D208" s="83" t="str">
        <f t="shared" si="33"/>
        <v/>
      </c>
      <c r="E208" s="84"/>
      <c r="F208" s="83" t="str">
        <f t="shared" si="34"/>
        <v/>
      </c>
      <c r="G208" s="85"/>
      <c r="H208" s="83" t="str">
        <f t="shared" si="35"/>
        <v/>
      </c>
      <c r="I208" s="83" t="str">
        <f t="shared" si="36"/>
        <v/>
      </c>
      <c r="J208" s="69"/>
      <c r="K208" s="69"/>
      <c r="L208" s="78">
        <f t="shared" si="37"/>
        <v>0</v>
      </c>
      <c r="M208" s="67"/>
      <c r="O208" t="str">
        <f t="shared" si="38"/>
        <v/>
      </c>
      <c r="P208" t="str">
        <f t="shared" si="39"/>
        <v/>
      </c>
      <c r="Q208" t="str">
        <f t="shared" si="40"/>
        <v/>
      </c>
      <c r="R208" t="str">
        <f t="shared" si="41"/>
        <v/>
      </c>
      <c r="AB208" t="s">
        <v>797</v>
      </c>
      <c r="AC208" t="s">
        <v>798</v>
      </c>
      <c r="AD208" t="s">
        <v>273</v>
      </c>
      <c r="AE208" t="s">
        <v>274</v>
      </c>
      <c r="AF208" t="s">
        <v>275</v>
      </c>
      <c r="AG208" t="s">
        <v>276</v>
      </c>
    </row>
    <row r="209" spans="1:33">
      <c r="A209" s="83" t="str">
        <f>IF(C209="","",VLOOKUP('OPĆI DIO'!$C$3,'OPĆI DIO'!$L$6:$U$138,10,FALSE))</f>
        <v/>
      </c>
      <c r="B209" s="83" t="str">
        <f>IF(C209="","",VLOOKUP('OPĆI DIO'!$C$3,'OPĆI DIO'!$L$6:$U$138,9,FALSE))</f>
        <v/>
      </c>
      <c r="C209" s="84"/>
      <c r="D209" s="83" t="str">
        <f t="shared" si="33"/>
        <v/>
      </c>
      <c r="E209" s="84"/>
      <c r="F209" s="83" t="str">
        <f t="shared" si="34"/>
        <v/>
      </c>
      <c r="G209" s="85"/>
      <c r="H209" s="83" t="str">
        <f t="shared" si="35"/>
        <v/>
      </c>
      <c r="I209" s="83" t="str">
        <f t="shared" si="36"/>
        <v/>
      </c>
      <c r="J209" s="69"/>
      <c r="K209" s="69"/>
      <c r="L209" s="78">
        <f t="shared" si="37"/>
        <v>0</v>
      </c>
      <c r="M209" s="67"/>
      <c r="O209" t="str">
        <f t="shared" si="38"/>
        <v/>
      </c>
      <c r="P209" t="str">
        <f t="shared" si="39"/>
        <v/>
      </c>
      <c r="Q209" t="str">
        <f t="shared" si="40"/>
        <v/>
      </c>
      <c r="R209" t="str">
        <f t="shared" si="41"/>
        <v/>
      </c>
      <c r="AB209" t="s">
        <v>799</v>
      </c>
      <c r="AC209" t="s">
        <v>800</v>
      </c>
      <c r="AD209" t="s">
        <v>273</v>
      </c>
      <c r="AE209" t="s">
        <v>274</v>
      </c>
      <c r="AF209" t="s">
        <v>275</v>
      </c>
      <c r="AG209" t="s">
        <v>276</v>
      </c>
    </row>
    <row r="210" spans="1:33">
      <c r="A210" s="83" t="str">
        <f>IF(C210="","",VLOOKUP('OPĆI DIO'!$C$3,'OPĆI DIO'!$L$6:$U$138,10,FALSE))</f>
        <v/>
      </c>
      <c r="B210" s="83" t="str">
        <f>IF(C210="","",VLOOKUP('OPĆI DIO'!$C$3,'OPĆI DIO'!$L$6:$U$138,9,FALSE))</f>
        <v/>
      </c>
      <c r="C210" s="84"/>
      <c r="D210" s="83" t="str">
        <f t="shared" si="33"/>
        <v/>
      </c>
      <c r="E210" s="84"/>
      <c r="F210" s="83" t="str">
        <f t="shared" si="34"/>
        <v/>
      </c>
      <c r="G210" s="85"/>
      <c r="H210" s="83" t="str">
        <f t="shared" si="35"/>
        <v/>
      </c>
      <c r="I210" s="83" t="str">
        <f t="shared" si="36"/>
        <v/>
      </c>
      <c r="J210" s="69"/>
      <c r="K210" s="69"/>
      <c r="L210" s="78">
        <f t="shared" si="37"/>
        <v>0</v>
      </c>
      <c r="M210" s="67"/>
      <c r="O210" t="str">
        <f t="shared" si="38"/>
        <v/>
      </c>
      <c r="P210" t="str">
        <f t="shared" si="39"/>
        <v/>
      </c>
      <c r="Q210" t="str">
        <f t="shared" si="40"/>
        <v/>
      </c>
      <c r="R210" t="str">
        <f t="shared" si="41"/>
        <v/>
      </c>
      <c r="AB210" t="s">
        <v>801</v>
      </c>
      <c r="AC210" t="s">
        <v>802</v>
      </c>
      <c r="AD210" t="s">
        <v>273</v>
      </c>
      <c r="AE210" t="s">
        <v>274</v>
      </c>
      <c r="AF210" t="s">
        <v>275</v>
      </c>
      <c r="AG210" t="s">
        <v>276</v>
      </c>
    </row>
    <row r="211" spans="1:33">
      <c r="A211" s="83" t="str">
        <f>IF(C211="","",VLOOKUP('OPĆI DIO'!$C$3,'OPĆI DIO'!$L$6:$U$138,10,FALSE))</f>
        <v/>
      </c>
      <c r="B211" s="83" t="str">
        <f>IF(C211="","",VLOOKUP('OPĆI DIO'!$C$3,'OPĆI DIO'!$L$6:$U$138,9,FALSE))</f>
        <v/>
      </c>
      <c r="C211" s="84"/>
      <c r="D211" s="83" t="str">
        <f t="shared" si="33"/>
        <v/>
      </c>
      <c r="E211" s="84"/>
      <c r="F211" s="83" t="str">
        <f t="shared" si="34"/>
        <v/>
      </c>
      <c r="G211" s="85"/>
      <c r="H211" s="83" t="str">
        <f t="shared" si="35"/>
        <v/>
      </c>
      <c r="I211" s="83" t="str">
        <f t="shared" si="36"/>
        <v/>
      </c>
      <c r="J211" s="69"/>
      <c r="K211" s="69"/>
      <c r="L211" s="78">
        <f t="shared" si="37"/>
        <v>0</v>
      </c>
      <c r="M211" s="67"/>
      <c r="O211" t="str">
        <f t="shared" si="38"/>
        <v/>
      </c>
      <c r="P211" t="str">
        <f t="shared" si="39"/>
        <v/>
      </c>
      <c r="Q211" t="str">
        <f t="shared" si="40"/>
        <v/>
      </c>
      <c r="R211" t="str">
        <f t="shared" si="41"/>
        <v/>
      </c>
      <c r="AB211" t="s">
        <v>803</v>
      </c>
      <c r="AC211" t="s">
        <v>804</v>
      </c>
      <c r="AD211" t="s">
        <v>309</v>
      </c>
      <c r="AE211" t="s">
        <v>310</v>
      </c>
      <c r="AF211" t="s">
        <v>311</v>
      </c>
      <c r="AG211" t="s">
        <v>312</v>
      </c>
    </row>
    <row r="212" spans="1:33">
      <c r="A212" s="83" t="str">
        <f>IF(C212="","",VLOOKUP('OPĆI DIO'!$C$3,'OPĆI DIO'!$L$6:$U$138,10,FALSE))</f>
        <v/>
      </c>
      <c r="B212" s="83" t="str">
        <f>IF(C212="","",VLOOKUP('OPĆI DIO'!$C$3,'OPĆI DIO'!$L$6:$U$138,9,FALSE))</f>
        <v/>
      </c>
      <c r="C212" s="84"/>
      <c r="D212" s="83" t="str">
        <f t="shared" si="33"/>
        <v/>
      </c>
      <c r="E212" s="84"/>
      <c r="F212" s="83" t="str">
        <f t="shared" si="34"/>
        <v/>
      </c>
      <c r="G212" s="85"/>
      <c r="H212" s="83" t="str">
        <f t="shared" si="35"/>
        <v/>
      </c>
      <c r="I212" s="83" t="str">
        <f t="shared" si="36"/>
        <v/>
      </c>
      <c r="J212" s="69"/>
      <c r="K212" s="69"/>
      <c r="L212" s="78">
        <f t="shared" si="37"/>
        <v>0</v>
      </c>
      <c r="M212" s="67"/>
      <c r="O212" t="str">
        <f t="shared" si="38"/>
        <v/>
      </c>
      <c r="P212" t="str">
        <f t="shared" si="39"/>
        <v/>
      </c>
      <c r="Q212" t="str">
        <f t="shared" si="40"/>
        <v/>
      </c>
      <c r="R212" t="str">
        <f t="shared" si="41"/>
        <v/>
      </c>
      <c r="AB212" t="s">
        <v>805</v>
      </c>
      <c r="AC212" t="s">
        <v>806</v>
      </c>
      <c r="AD212" t="s">
        <v>309</v>
      </c>
      <c r="AE212" t="s">
        <v>310</v>
      </c>
      <c r="AF212" t="s">
        <v>311</v>
      </c>
      <c r="AG212" t="s">
        <v>312</v>
      </c>
    </row>
    <row r="213" spans="1:33">
      <c r="A213" s="83" t="str">
        <f>IF(C213="","",VLOOKUP('OPĆI DIO'!$C$3,'OPĆI DIO'!$L$6:$U$138,10,FALSE))</f>
        <v/>
      </c>
      <c r="B213" s="83" t="str">
        <f>IF(C213="","",VLOOKUP('OPĆI DIO'!$C$3,'OPĆI DIO'!$L$6:$U$138,9,FALSE))</f>
        <v/>
      </c>
      <c r="C213" s="84"/>
      <c r="D213" s="83" t="str">
        <f t="shared" si="33"/>
        <v/>
      </c>
      <c r="E213" s="84"/>
      <c r="F213" s="83" t="str">
        <f t="shared" si="34"/>
        <v/>
      </c>
      <c r="G213" s="85"/>
      <c r="H213" s="83" t="str">
        <f t="shared" si="35"/>
        <v/>
      </c>
      <c r="I213" s="83" t="str">
        <f t="shared" si="36"/>
        <v/>
      </c>
      <c r="J213" s="69"/>
      <c r="K213" s="69"/>
      <c r="L213" s="78">
        <f t="shared" si="37"/>
        <v>0</v>
      </c>
      <c r="M213" s="67"/>
      <c r="O213" t="str">
        <f t="shared" si="38"/>
        <v/>
      </c>
      <c r="P213" t="str">
        <f t="shared" si="39"/>
        <v/>
      </c>
      <c r="Q213" t="str">
        <f t="shared" si="40"/>
        <v/>
      </c>
      <c r="R213" t="str">
        <f t="shared" si="41"/>
        <v/>
      </c>
      <c r="AB213" t="s">
        <v>807</v>
      </c>
      <c r="AC213" t="s">
        <v>808</v>
      </c>
      <c r="AD213" t="s">
        <v>309</v>
      </c>
      <c r="AE213" t="s">
        <v>310</v>
      </c>
      <c r="AF213" t="s">
        <v>311</v>
      </c>
      <c r="AG213" t="s">
        <v>312</v>
      </c>
    </row>
    <row r="214" spans="1:33">
      <c r="A214" s="83" t="str">
        <f>IF(C214="","",VLOOKUP('OPĆI DIO'!$C$3,'OPĆI DIO'!$L$6:$U$138,10,FALSE))</f>
        <v/>
      </c>
      <c r="B214" s="83" t="str">
        <f>IF(C214="","",VLOOKUP('OPĆI DIO'!$C$3,'OPĆI DIO'!$L$6:$U$138,9,FALSE))</f>
        <v/>
      </c>
      <c r="C214" s="84"/>
      <c r="D214" s="83" t="str">
        <f t="shared" si="33"/>
        <v/>
      </c>
      <c r="E214" s="84"/>
      <c r="F214" s="83" t="str">
        <f t="shared" si="34"/>
        <v/>
      </c>
      <c r="G214" s="85"/>
      <c r="H214" s="83" t="str">
        <f t="shared" si="35"/>
        <v/>
      </c>
      <c r="I214" s="83" t="str">
        <f t="shared" si="36"/>
        <v/>
      </c>
      <c r="J214" s="69"/>
      <c r="K214" s="69"/>
      <c r="L214" s="78">
        <f t="shared" si="37"/>
        <v>0</v>
      </c>
      <c r="M214" s="67"/>
      <c r="O214" t="str">
        <f t="shared" si="38"/>
        <v/>
      </c>
      <c r="P214" t="str">
        <f t="shared" si="39"/>
        <v/>
      </c>
      <c r="Q214" t="str">
        <f t="shared" si="40"/>
        <v/>
      </c>
      <c r="R214" t="str">
        <f t="shared" si="41"/>
        <v/>
      </c>
      <c r="AB214" t="s">
        <v>809</v>
      </c>
      <c r="AC214" t="s">
        <v>810</v>
      </c>
      <c r="AD214" t="s">
        <v>309</v>
      </c>
      <c r="AE214" t="s">
        <v>310</v>
      </c>
      <c r="AF214" t="s">
        <v>311</v>
      </c>
      <c r="AG214" t="s">
        <v>312</v>
      </c>
    </row>
    <row r="215" spans="1:33">
      <c r="A215" s="83" t="str">
        <f>IF(C215="","",VLOOKUP('OPĆI DIO'!$C$3,'OPĆI DIO'!$L$6:$U$138,10,FALSE))</f>
        <v/>
      </c>
      <c r="B215" s="83" t="str">
        <f>IF(C215="","",VLOOKUP('OPĆI DIO'!$C$3,'OPĆI DIO'!$L$6:$U$138,9,FALSE))</f>
        <v/>
      </c>
      <c r="C215" s="84"/>
      <c r="D215" s="83" t="str">
        <f t="shared" si="33"/>
        <v/>
      </c>
      <c r="E215" s="84"/>
      <c r="F215" s="83" t="str">
        <f t="shared" si="34"/>
        <v/>
      </c>
      <c r="G215" s="85"/>
      <c r="H215" s="83" t="str">
        <f t="shared" si="35"/>
        <v/>
      </c>
      <c r="I215" s="83" t="str">
        <f t="shared" si="36"/>
        <v/>
      </c>
      <c r="J215" s="69"/>
      <c r="K215" s="69"/>
      <c r="L215" s="78">
        <f t="shared" si="37"/>
        <v>0</v>
      </c>
      <c r="M215" s="67"/>
      <c r="O215" t="str">
        <f t="shared" si="38"/>
        <v/>
      </c>
      <c r="P215" t="str">
        <f t="shared" si="39"/>
        <v/>
      </c>
      <c r="Q215" t="str">
        <f t="shared" si="40"/>
        <v/>
      </c>
      <c r="R215" t="str">
        <f t="shared" si="41"/>
        <v/>
      </c>
      <c r="AB215" t="s">
        <v>811</v>
      </c>
      <c r="AC215" t="s">
        <v>812</v>
      </c>
      <c r="AD215" t="s">
        <v>813</v>
      </c>
      <c r="AE215" t="s">
        <v>814</v>
      </c>
      <c r="AF215" t="s">
        <v>275</v>
      </c>
      <c r="AG215" t="s">
        <v>815</v>
      </c>
    </row>
    <row r="216" spans="1:33">
      <c r="A216" s="83" t="str">
        <f>IF(C216="","",VLOOKUP('OPĆI DIO'!$C$3,'OPĆI DIO'!$L$6:$U$138,10,FALSE))</f>
        <v/>
      </c>
      <c r="B216" s="83" t="str">
        <f>IF(C216="","",VLOOKUP('OPĆI DIO'!$C$3,'OPĆI DIO'!$L$6:$U$138,9,FALSE))</f>
        <v/>
      </c>
      <c r="C216" s="84"/>
      <c r="D216" s="83" t="str">
        <f t="shared" si="33"/>
        <v/>
      </c>
      <c r="E216" s="84"/>
      <c r="F216" s="83" t="str">
        <f t="shared" si="34"/>
        <v/>
      </c>
      <c r="G216" s="85"/>
      <c r="H216" s="83" t="str">
        <f t="shared" si="35"/>
        <v/>
      </c>
      <c r="I216" s="83" t="str">
        <f t="shared" si="36"/>
        <v/>
      </c>
      <c r="J216" s="69"/>
      <c r="K216" s="69"/>
      <c r="L216" s="78">
        <f t="shared" si="37"/>
        <v>0</v>
      </c>
      <c r="M216" s="67"/>
      <c r="O216" t="str">
        <f t="shared" si="38"/>
        <v/>
      </c>
      <c r="P216" t="str">
        <f t="shared" si="39"/>
        <v/>
      </c>
      <c r="Q216" t="str">
        <f t="shared" si="40"/>
        <v/>
      </c>
      <c r="R216" t="str">
        <f t="shared" si="41"/>
        <v/>
      </c>
      <c r="AB216" t="s">
        <v>816</v>
      </c>
      <c r="AC216" t="s">
        <v>817</v>
      </c>
      <c r="AD216" t="s">
        <v>813</v>
      </c>
      <c r="AE216" t="s">
        <v>814</v>
      </c>
      <c r="AF216" t="s">
        <v>275</v>
      </c>
      <c r="AG216" t="s">
        <v>815</v>
      </c>
    </row>
    <row r="217" spans="1:33">
      <c r="A217" s="83" t="str">
        <f>IF(C217="","",VLOOKUP('OPĆI DIO'!$C$3,'OPĆI DIO'!$L$6:$U$138,10,FALSE))</f>
        <v/>
      </c>
      <c r="B217" s="83" t="str">
        <f>IF(C217="","",VLOOKUP('OPĆI DIO'!$C$3,'OPĆI DIO'!$L$6:$U$138,9,FALSE))</f>
        <v/>
      </c>
      <c r="C217" s="84"/>
      <c r="D217" s="83" t="str">
        <f t="shared" si="33"/>
        <v/>
      </c>
      <c r="E217" s="84"/>
      <c r="F217" s="83" t="str">
        <f t="shared" si="34"/>
        <v/>
      </c>
      <c r="G217" s="85"/>
      <c r="H217" s="83" t="str">
        <f t="shared" si="35"/>
        <v/>
      </c>
      <c r="I217" s="83" t="str">
        <f t="shared" si="36"/>
        <v/>
      </c>
      <c r="J217" s="69"/>
      <c r="K217" s="69"/>
      <c r="L217" s="78">
        <f t="shared" si="37"/>
        <v>0</v>
      </c>
      <c r="M217" s="67"/>
      <c r="O217" t="str">
        <f t="shared" si="38"/>
        <v/>
      </c>
      <c r="P217" t="str">
        <f t="shared" si="39"/>
        <v/>
      </c>
      <c r="Q217" t="str">
        <f t="shared" si="40"/>
        <v/>
      </c>
      <c r="R217" t="str">
        <f t="shared" si="41"/>
        <v/>
      </c>
      <c r="AB217" t="s">
        <v>818</v>
      </c>
      <c r="AC217" t="s">
        <v>819</v>
      </c>
      <c r="AD217" t="s">
        <v>820</v>
      </c>
      <c r="AE217" t="s">
        <v>821</v>
      </c>
      <c r="AF217" t="s">
        <v>822</v>
      </c>
      <c r="AG217" t="s">
        <v>823</v>
      </c>
    </row>
    <row r="218" spans="1:33">
      <c r="A218" s="83" t="str">
        <f>IF(C218="","",VLOOKUP('OPĆI DIO'!$C$3,'OPĆI DIO'!$L$6:$U$138,10,FALSE))</f>
        <v/>
      </c>
      <c r="B218" s="83" t="str">
        <f>IF(C218="","",VLOOKUP('OPĆI DIO'!$C$3,'OPĆI DIO'!$L$6:$U$138,9,FALSE))</f>
        <v/>
      </c>
      <c r="C218" s="84"/>
      <c r="D218" s="83" t="str">
        <f t="shared" si="33"/>
        <v/>
      </c>
      <c r="E218" s="84"/>
      <c r="F218" s="83" t="str">
        <f t="shared" si="34"/>
        <v/>
      </c>
      <c r="G218" s="85"/>
      <c r="H218" s="83" t="str">
        <f t="shared" si="35"/>
        <v/>
      </c>
      <c r="I218" s="83" t="str">
        <f t="shared" si="36"/>
        <v/>
      </c>
      <c r="J218" s="69"/>
      <c r="K218" s="69"/>
      <c r="L218" s="78">
        <f t="shared" si="37"/>
        <v>0</v>
      </c>
      <c r="M218" s="67"/>
      <c r="O218" t="str">
        <f t="shared" si="38"/>
        <v/>
      </c>
      <c r="P218" t="str">
        <f t="shared" si="39"/>
        <v/>
      </c>
      <c r="Q218" t="str">
        <f t="shared" si="40"/>
        <v/>
      </c>
      <c r="R218" t="str">
        <f t="shared" si="41"/>
        <v/>
      </c>
      <c r="AB218" t="s">
        <v>824</v>
      </c>
      <c r="AC218" t="s">
        <v>825</v>
      </c>
      <c r="AD218" t="s">
        <v>813</v>
      </c>
      <c r="AE218" t="s">
        <v>814</v>
      </c>
      <c r="AF218" t="s">
        <v>275</v>
      </c>
      <c r="AG218" t="s">
        <v>815</v>
      </c>
    </row>
    <row r="219" spans="1:33">
      <c r="A219" s="83" t="str">
        <f>IF(C219="","",VLOOKUP('OPĆI DIO'!$C$3,'OPĆI DIO'!$L$6:$U$138,10,FALSE))</f>
        <v/>
      </c>
      <c r="B219" s="83" t="str">
        <f>IF(C219="","",VLOOKUP('OPĆI DIO'!$C$3,'OPĆI DIO'!$L$6:$U$138,9,FALSE))</f>
        <v/>
      </c>
      <c r="C219" s="84"/>
      <c r="D219" s="83" t="str">
        <f t="shared" si="33"/>
        <v/>
      </c>
      <c r="E219" s="84"/>
      <c r="F219" s="83" t="str">
        <f t="shared" si="34"/>
        <v/>
      </c>
      <c r="G219" s="85"/>
      <c r="H219" s="83" t="str">
        <f t="shared" si="35"/>
        <v/>
      </c>
      <c r="I219" s="83" t="str">
        <f t="shared" si="36"/>
        <v/>
      </c>
      <c r="J219" s="69"/>
      <c r="K219" s="69"/>
      <c r="L219" s="78">
        <f t="shared" si="37"/>
        <v>0</v>
      </c>
      <c r="M219" s="67"/>
      <c r="O219" t="str">
        <f t="shared" si="38"/>
        <v/>
      </c>
      <c r="P219" t="str">
        <f t="shared" si="39"/>
        <v/>
      </c>
      <c r="Q219" t="str">
        <f t="shared" si="40"/>
        <v/>
      </c>
      <c r="R219" t="str">
        <f t="shared" si="41"/>
        <v/>
      </c>
      <c r="AB219" t="s">
        <v>826</v>
      </c>
      <c r="AC219" t="s">
        <v>827</v>
      </c>
      <c r="AD219" t="s">
        <v>813</v>
      </c>
      <c r="AE219" t="s">
        <v>814</v>
      </c>
      <c r="AF219" t="s">
        <v>275</v>
      </c>
      <c r="AG219" t="s">
        <v>815</v>
      </c>
    </row>
    <row r="220" spans="1:33">
      <c r="A220" s="83" t="str">
        <f>IF(C220="","",VLOOKUP('OPĆI DIO'!$C$3,'OPĆI DIO'!$L$6:$U$138,10,FALSE))</f>
        <v/>
      </c>
      <c r="B220" s="83" t="str">
        <f>IF(C220="","",VLOOKUP('OPĆI DIO'!$C$3,'OPĆI DIO'!$L$6:$U$138,9,FALSE))</f>
        <v/>
      </c>
      <c r="C220" s="84"/>
      <c r="D220" s="83" t="str">
        <f t="shared" si="33"/>
        <v/>
      </c>
      <c r="E220" s="84"/>
      <c r="F220" s="83" t="str">
        <f t="shared" si="34"/>
        <v/>
      </c>
      <c r="G220" s="85"/>
      <c r="H220" s="83" t="str">
        <f t="shared" si="35"/>
        <v/>
      </c>
      <c r="I220" s="83" t="str">
        <f t="shared" si="36"/>
        <v/>
      </c>
      <c r="J220" s="69"/>
      <c r="K220" s="69"/>
      <c r="L220" s="78">
        <f t="shared" si="37"/>
        <v>0</v>
      </c>
      <c r="M220" s="67"/>
      <c r="O220" t="str">
        <f t="shared" si="38"/>
        <v/>
      </c>
      <c r="P220" t="str">
        <f t="shared" si="39"/>
        <v/>
      </c>
      <c r="Q220" t="str">
        <f t="shared" si="40"/>
        <v/>
      </c>
      <c r="R220" t="str">
        <f t="shared" si="41"/>
        <v/>
      </c>
      <c r="AB220" t="s">
        <v>828</v>
      </c>
      <c r="AC220" t="s">
        <v>829</v>
      </c>
      <c r="AD220" t="s">
        <v>813</v>
      </c>
      <c r="AE220" t="s">
        <v>814</v>
      </c>
      <c r="AF220" t="s">
        <v>275</v>
      </c>
      <c r="AG220" t="s">
        <v>815</v>
      </c>
    </row>
    <row r="221" spans="1:33">
      <c r="A221" s="83" t="str">
        <f>IF(C221="","",VLOOKUP('OPĆI DIO'!$C$3,'OPĆI DIO'!$L$6:$U$138,10,FALSE))</f>
        <v/>
      </c>
      <c r="B221" s="83" t="str">
        <f>IF(C221="","",VLOOKUP('OPĆI DIO'!$C$3,'OPĆI DIO'!$L$6:$U$138,9,FALSE))</f>
        <v/>
      </c>
      <c r="C221" s="84"/>
      <c r="D221" s="83" t="str">
        <f t="shared" si="33"/>
        <v/>
      </c>
      <c r="E221" s="84"/>
      <c r="F221" s="83" t="str">
        <f t="shared" si="34"/>
        <v/>
      </c>
      <c r="G221" s="85"/>
      <c r="H221" s="83" t="str">
        <f t="shared" si="35"/>
        <v/>
      </c>
      <c r="I221" s="83" t="str">
        <f t="shared" si="36"/>
        <v/>
      </c>
      <c r="J221" s="69"/>
      <c r="K221" s="69"/>
      <c r="L221" s="78">
        <f t="shared" si="37"/>
        <v>0</v>
      </c>
      <c r="M221" s="67"/>
      <c r="O221" t="str">
        <f t="shared" si="38"/>
        <v/>
      </c>
      <c r="P221" t="str">
        <f t="shared" si="39"/>
        <v/>
      </c>
      <c r="Q221" t="str">
        <f t="shared" si="40"/>
        <v/>
      </c>
      <c r="R221" t="str">
        <f t="shared" si="41"/>
        <v/>
      </c>
      <c r="AB221" t="s">
        <v>830</v>
      </c>
      <c r="AC221" t="s">
        <v>831</v>
      </c>
      <c r="AD221" t="s">
        <v>813</v>
      </c>
      <c r="AE221" t="s">
        <v>814</v>
      </c>
      <c r="AF221" t="s">
        <v>275</v>
      </c>
      <c r="AG221" t="s">
        <v>815</v>
      </c>
    </row>
    <row r="222" spans="1:33">
      <c r="A222" s="83" t="str">
        <f>IF(C222="","",VLOOKUP('OPĆI DIO'!$C$3,'OPĆI DIO'!$L$6:$U$138,10,FALSE))</f>
        <v/>
      </c>
      <c r="B222" s="83" t="str">
        <f>IF(C222="","",VLOOKUP('OPĆI DIO'!$C$3,'OPĆI DIO'!$L$6:$U$138,9,FALSE))</f>
        <v/>
      </c>
      <c r="C222" s="84"/>
      <c r="D222" s="83" t="str">
        <f t="shared" si="33"/>
        <v/>
      </c>
      <c r="E222" s="84"/>
      <c r="F222" s="83" t="str">
        <f t="shared" si="34"/>
        <v/>
      </c>
      <c r="G222" s="85"/>
      <c r="H222" s="83" t="str">
        <f t="shared" si="35"/>
        <v/>
      </c>
      <c r="I222" s="83" t="str">
        <f t="shared" si="36"/>
        <v/>
      </c>
      <c r="J222" s="69"/>
      <c r="K222" s="69"/>
      <c r="L222" s="78">
        <f t="shared" si="37"/>
        <v>0</v>
      </c>
      <c r="M222" s="67"/>
      <c r="O222" t="str">
        <f t="shared" si="38"/>
        <v/>
      </c>
      <c r="P222" t="str">
        <f t="shared" si="39"/>
        <v/>
      </c>
      <c r="Q222" t="str">
        <f t="shared" si="40"/>
        <v/>
      </c>
      <c r="R222" t="str">
        <f t="shared" si="41"/>
        <v/>
      </c>
      <c r="AB222" t="s">
        <v>830</v>
      </c>
      <c r="AC222" t="s">
        <v>831</v>
      </c>
      <c r="AD222" t="s">
        <v>280</v>
      </c>
      <c r="AE222" t="s">
        <v>281</v>
      </c>
      <c r="AF222" t="s">
        <v>268</v>
      </c>
      <c r="AG222" t="s">
        <v>282</v>
      </c>
    </row>
    <row r="223" spans="1:33">
      <c r="A223" s="83" t="str">
        <f>IF(C223="","",VLOOKUP('OPĆI DIO'!$C$3,'OPĆI DIO'!$L$6:$U$138,10,FALSE))</f>
        <v/>
      </c>
      <c r="B223" s="83" t="str">
        <f>IF(C223="","",VLOOKUP('OPĆI DIO'!$C$3,'OPĆI DIO'!$L$6:$U$138,9,FALSE))</f>
        <v/>
      </c>
      <c r="C223" s="84"/>
      <c r="D223" s="83" t="str">
        <f t="shared" si="33"/>
        <v/>
      </c>
      <c r="E223" s="84"/>
      <c r="F223" s="83" t="str">
        <f t="shared" si="34"/>
        <v/>
      </c>
      <c r="G223" s="85"/>
      <c r="H223" s="83" t="str">
        <f t="shared" si="35"/>
        <v/>
      </c>
      <c r="I223" s="83" t="str">
        <f t="shared" si="36"/>
        <v/>
      </c>
      <c r="J223" s="69"/>
      <c r="K223" s="69"/>
      <c r="L223" s="78">
        <f t="shared" si="37"/>
        <v>0</v>
      </c>
      <c r="M223" s="67"/>
      <c r="O223" t="str">
        <f t="shared" si="38"/>
        <v/>
      </c>
      <c r="P223" t="str">
        <f t="shared" si="39"/>
        <v/>
      </c>
      <c r="Q223" t="str">
        <f t="shared" si="40"/>
        <v/>
      </c>
      <c r="R223" t="str">
        <f t="shared" si="41"/>
        <v/>
      </c>
      <c r="AB223" t="s">
        <v>832</v>
      </c>
      <c r="AC223" t="s">
        <v>833</v>
      </c>
      <c r="AD223" t="s">
        <v>813</v>
      </c>
      <c r="AE223" t="s">
        <v>814</v>
      </c>
      <c r="AF223" t="s">
        <v>275</v>
      </c>
      <c r="AG223" t="s">
        <v>815</v>
      </c>
    </row>
    <row r="224" spans="1:33">
      <c r="A224" s="83" t="str">
        <f>IF(C224="","",VLOOKUP('OPĆI DIO'!$C$3,'OPĆI DIO'!$L$6:$U$138,10,FALSE))</f>
        <v/>
      </c>
      <c r="B224" s="83" t="str">
        <f>IF(C224="","",VLOOKUP('OPĆI DIO'!$C$3,'OPĆI DIO'!$L$6:$U$138,9,FALSE))</f>
        <v/>
      </c>
      <c r="C224" s="84"/>
      <c r="D224" s="83" t="str">
        <f t="shared" si="33"/>
        <v/>
      </c>
      <c r="E224" s="84"/>
      <c r="F224" s="83" t="str">
        <f t="shared" si="34"/>
        <v/>
      </c>
      <c r="G224" s="85"/>
      <c r="H224" s="83" t="str">
        <f t="shared" si="35"/>
        <v/>
      </c>
      <c r="I224" s="83" t="str">
        <f t="shared" si="36"/>
        <v/>
      </c>
      <c r="J224" s="69"/>
      <c r="K224" s="69"/>
      <c r="L224" s="78">
        <f t="shared" si="37"/>
        <v>0</v>
      </c>
      <c r="M224" s="67"/>
      <c r="O224" t="str">
        <f t="shared" si="38"/>
        <v/>
      </c>
      <c r="P224" t="str">
        <f t="shared" si="39"/>
        <v/>
      </c>
      <c r="Q224" t="str">
        <f t="shared" si="40"/>
        <v/>
      </c>
      <c r="R224" t="str">
        <f t="shared" si="41"/>
        <v/>
      </c>
      <c r="AB224" t="s">
        <v>834</v>
      </c>
      <c r="AC224" t="s">
        <v>835</v>
      </c>
      <c r="AD224" t="s">
        <v>813</v>
      </c>
      <c r="AE224" t="s">
        <v>814</v>
      </c>
      <c r="AF224" t="s">
        <v>275</v>
      </c>
      <c r="AG224" t="s">
        <v>815</v>
      </c>
    </row>
    <row r="225" spans="1:33">
      <c r="A225" s="83" t="str">
        <f>IF(C225="","",VLOOKUP('OPĆI DIO'!$C$3,'OPĆI DIO'!$L$6:$U$138,10,FALSE))</f>
        <v/>
      </c>
      <c r="B225" s="83" t="str">
        <f>IF(C225="","",VLOOKUP('OPĆI DIO'!$C$3,'OPĆI DIO'!$L$6:$U$138,9,FALSE))</f>
        <v/>
      </c>
      <c r="C225" s="84"/>
      <c r="D225" s="83" t="str">
        <f t="shared" si="33"/>
        <v/>
      </c>
      <c r="E225" s="84"/>
      <c r="F225" s="83" t="str">
        <f t="shared" si="34"/>
        <v/>
      </c>
      <c r="G225" s="85"/>
      <c r="H225" s="83" t="str">
        <f t="shared" si="35"/>
        <v/>
      </c>
      <c r="I225" s="83" t="str">
        <f t="shared" si="36"/>
        <v/>
      </c>
      <c r="J225" s="69"/>
      <c r="K225" s="69"/>
      <c r="L225" s="78">
        <f t="shared" si="37"/>
        <v>0</v>
      </c>
      <c r="M225" s="67"/>
      <c r="O225" t="str">
        <f t="shared" si="38"/>
        <v/>
      </c>
      <c r="P225" t="str">
        <f t="shared" si="39"/>
        <v/>
      </c>
      <c r="Q225" t="str">
        <f t="shared" si="40"/>
        <v/>
      </c>
      <c r="R225" t="str">
        <f t="shared" si="41"/>
        <v/>
      </c>
      <c r="AB225" t="s">
        <v>836</v>
      </c>
      <c r="AC225" t="s">
        <v>837</v>
      </c>
      <c r="AD225" t="s">
        <v>813</v>
      </c>
      <c r="AE225" t="s">
        <v>814</v>
      </c>
      <c r="AF225" t="s">
        <v>275</v>
      </c>
      <c r="AG225" t="s">
        <v>815</v>
      </c>
    </row>
    <row r="226" spans="1:33">
      <c r="A226" s="83" t="str">
        <f>IF(C226="","",VLOOKUP('OPĆI DIO'!$C$3,'OPĆI DIO'!$L$6:$U$138,10,FALSE))</f>
        <v/>
      </c>
      <c r="B226" s="83" t="str">
        <f>IF(C226="","",VLOOKUP('OPĆI DIO'!$C$3,'OPĆI DIO'!$L$6:$U$138,9,FALSE))</f>
        <v/>
      </c>
      <c r="C226" s="84"/>
      <c r="D226" s="83" t="str">
        <f t="shared" si="33"/>
        <v/>
      </c>
      <c r="E226" s="84"/>
      <c r="F226" s="83" t="str">
        <f t="shared" si="34"/>
        <v/>
      </c>
      <c r="G226" s="85"/>
      <c r="H226" s="83" t="str">
        <f t="shared" si="35"/>
        <v/>
      </c>
      <c r="I226" s="83" t="str">
        <f t="shared" si="36"/>
        <v/>
      </c>
      <c r="J226" s="69"/>
      <c r="K226" s="69"/>
      <c r="L226" s="78">
        <f t="shared" si="37"/>
        <v>0</v>
      </c>
      <c r="M226" s="67"/>
      <c r="O226" t="str">
        <f t="shared" si="38"/>
        <v/>
      </c>
      <c r="P226" t="str">
        <f t="shared" si="39"/>
        <v/>
      </c>
      <c r="Q226" t="str">
        <f t="shared" si="40"/>
        <v/>
      </c>
      <c r="R226" t="str">
        <f t="shared" si="41"/>
        <v/>
      </c>
      <c r="AB226" t="s">
        <v>838</v>
      </c>
      <c r="AC226" t="s">
        <v>839</v>
      </c>
      <c r="AD226" t="s">
        <v>813</v>
      </c>
      <c r="AE226" t="s">
        <v>814</v>
      </c>
      <c r="AF226" t="s">
        <v>275</v>
      </c>
      <c r="AG226" t="s">
        <v>815</v>
      </c>
    </row>
    <row r="227" spans="1:33">
      <c r="A227" s="83" t="str">
        <f>IF(C227="","",VLOOKUP('OPĆI DIO'!$C$3,'OPĆI DIO'!$L$6:$U$138,10,FALSE))</f>
        <v/>
      </c>
      <c r="B227" s="83" t="str">
        <f>IF(C227="","",VLOOKUP('OPĆI DIO'!$C$3,'OPĆI DIO'!$L$6:$U$138,9,FALSE))</f>
        <v/>
      </c>
      <c r="C227" s="84"/>
      <c r="D227" s="83" t="str">
        <f t="shared" si="33"/>
        <v/>
      </c>
      <c r="E227" s="84"/>
      <c r="F227" s="83" t="str">
        <f t="shared" si="34"/>
        <v/>
      </c>
      <c r="G227" s="85"/>
      <c r="H227" s="83" t="str">
        <f t="shared" si="35"/>
        <v/>
      </c>
      <c r="I227" s="83" t="str">
        <f t="shared" si="36"/>
        <v/>
      </c>
      <c r="J227" s="69"/>
      <c r="K227" s="69"/>
      <c r="L227" s="78">
        <f t="shared" si="37"/>
        <v>0</v>
      </c>
      <c r="M227" s="67"/>
      <c r="O227" t="str">
        <f t="shared" si="38"/>
        <v/>
      </c>
      <c r="P227" t="str">
        <f t="shared" si="39"/>
        <v/>
      </c>
      <c r="Q227" t="str">
        <f t="shared" si="40"/>
        <v/>
      </c>
      <c r="R227" t="str">
        <f t="shared" si="41"/>
        <v/>
      </c>
      <c r="AB227" t="s">
        <v>840</v>
      </c>
      <c r="AC227" t="s">
        <v>841</v>
      </c>
      <c r="AD227" t="s">
        <v>280</v>
      </c>
      <c r="AE227" t="s">
        <v>281</v>
      </c>
      <c r="AF227" t="s">
        <v>268</v>
      </c>
      <c r="AG227" t="s">
        <v>282</v>
      </c>
    </row>
    <row r="228" spans="1:33">
      <c r="A228" s="83" t="str">
        <f>IF(C228="","",VLOOKUP('OPĆI DIO'!$C$3,'OPĆI DIO'!$L$6:$U$138,10,FALSE))</f>
        <v/>
      </c>
      <c r="B228" s="83" t="str">
        <f>IF(C228="","",VLOOKUP('OPĆI DIO'!$C$3,'OPĆI DIO'!$L$6:$U$138,9,FALSE))</f>
        <v/>
      </c>
      <c r="C228" s="84"/>
      <c r="D228" s="83" t="str">
        <f t="shared" si="33"/>
        <v/>
      </c>
      <c r="E228" s="84"/>
      <c r="F228" s="83" t="str">
        <f t="shared" si="34"/>
        <v/>
      </c>
      <c r="G228" s="85"/>
      <c r="H228" s="83" t="str">
        <f t="shared" si="35"/>
        <v/>
      </c>
      <c r="I228" s="83" t="str">
        <f t="shared" si="36"/>
        <v/>
      </c>
      <c r="J228" s="69"/>
      <c r="K228" s="69"/>
      <c r="L228" s="78">
        <f t="shared" si="37"/>
        <v>0</v>
      </c>
      <c r="M228" s="67"/>
      <c r="O228" t="str">
        <f t="shared" si="38"/>
        <v/>
      </c>
      <c r="P228" t="str">
        <f t="shared" si="39"/>
        <v/>
      </c>
      <c r="Q228" t="str">
        <f t="shared" si="40"/>
        <v/>
      </c>
      <c r="R228" t="str">
        <f t="shared" si="41"/>
        <v/>
      </c>
      <c r="AB228" t="s">
        <v>842</v>
      </c>
      <c r="AC228" t="s">
        <v>689</v>
      </c>
      <c r="AD228" t="s">
        <v>280</v>
      </c>
      <c r="AE228" t="s">
        <v>281</v>
      </c>
      <c r="AF228" t="s">
        <v>268</v>
      </c>
      <c r="AG228" t="s">
        <v>282</v>
      </c>
    </row>
    <row r="229" spans="1:33">
      <c r="A229" s="83" t="str">
        <f>IF(C229="","",VLOOKUP('OPĆI DIO'!$C$3,'OPĆI DIO'!$L$6:$U$138,10,FALSE))</f>
        <v/>
      </c>
      <c r="B229" s="83" t="str">
        <f>IF(C229="","",VLOOKUP('OPĆI DIO'!$C$3,'OPĆI DIO'!$L$6:$U$138,9,FALSE))</f>
        <v/>
      </c>
      <c r="C229" s="84"/>
      <c r="D229" s="83" t="str">
        <f t="shared" si="33"/>
        <v/>
      </c>
      <c r="E229" s="84"/>
      <c r="F229" s="83" t="str">
        <f t="shared" si="34"/>
        <v/>
      </c>
      <c r="G229" s="85"/>
      <c r="H229" s="83" t="str">
        <f t="shared" si="35"/>
        <v/>
      </c>
      <c r="I229" s="83" t="str">
        <f t="shared" si="36"/>
        <v/>
      </c>
      <c r="J229" s="69"/>
      <c r="K229" s="69"/>
      <c r="L229" s="78">
        <f t="shared" si="37"/>
        <v>0</v>
      </c>
      <c r="M229" s="67"/>
      <c r="O229" t="str">
        <f t="shared" si="38"/>
        <v/>
      </c>
      <c r="P229" t="str">
        <f t="shared" si="39"/>
        <v/>
      </c>
      <c r="Q229" t="str">
        <f t="shared" si="40"/>
        <v/>
      </c>
      <c r="R229" t="str">
        <f t="shared" si="41"/>
        <v/>
      </c>
      <c r="AB229" t="s">
        <v>843</v>
      </c>
      <c r="AC229" t="s">
        <v>844</v>
      </c>
      <c r="AD229" t="s">
        <v>813</v>
      </c>
      <c r="AE229" t="s">
        <v>814</v>
      </c>
      <c r="AF229" t="s">
        <v>275</v>
      </c>
      <c r="AG229" t="s">
        <v>815</v>
      </c>
    </row>
    <row r="230" spans="1:33">
      <c r="A230" s="83" t="str">
        <f>IF(C230="","",VLOOKUP('OPĆI DIO'!$C$3,'OPĆI DIO'!$L$6:$U$138,10,FALSE))</f>
        <v/>
      </c>
      <c r="B230" s="83" t="str">
        <f>IF(C230="","",VLOOKUP('OPĆI DIO'!$C$3,'OPĆI DIO'!$L$6:$U$138,9,FALSE))</f>
        <v/>
      </c>
      <c r="C230" s="84"/>
      <c r="D230" s="83" t="str">
        <f t="shared" si="33"/>
        <v/>
      </c>
      <c r="E230" s="84"/>
      <c r="F230" s="83" t="str">
        <f t="shared" si="34"/>
        <v/>
      </c>
      <c r="G230" s="85"/>
      <c r="H230" s="83" t="str">
        <f t="shared" si="35"/>
        <v/>
      </c>
      <c r="I230" s="83" t="str">
        <f t="shared" si="36"/>
        <v/>
      </c>
      <c r="J230" s="69"/>
      <c r="K230" s="69"/>
      <c r="L230" s="78">
        <f t="shared" si="37"/>
        <v>0</v>
      </c>
      <c r="M230" s="67"/>
      <c r="O230" t="str">
        <f t="shared" si="38"/>
        <v/>
      </c>
      <c r="P230" t="str">
        <f t="shared" si="39"/>
        <v/>
      </c>
      <c r="Q230" t="str">
        <f t="shared" si="40"/>
        <v/>
      </c>
      <c r="R230" t="str">
        <f t="shared" si="41"/>
        <v/>
      </c>
      <c r="AB230" t="s">
        <v>845</v>
      </c>
      <c r="AC230" t="s">
        <v>846</v>
      </c>
      <c r="AD230" t="s">
        <v>273</v>
      </c>
      <c r="AE230" t="s">
        <v>274</v>
      </c>
      <c r="AF230" t="s">
        <v>275</v>
      </c>
      <c r="AG230" t="s">
        <v>276</v>
      </c>
    </row>
    <row r="231" spans="1:33">
      <c r="A231" s="83" t="str">
        <f>IF(C231="","",VLOOKUP('OPĆI DIO'!$C$3,'OPĆI DIO'!$L$6:$U$138,10,FALSE))</f>
        <v/>
      </c>
      <c r="B231" s="83" t="str">
        <f>IF(C231="","",VLOOKUP('OPĆI DIO'!$C$3,'OPĆI DIO'!$L$6:$U$138,9,FALSE))</f>
        <v/>
      </c>
      <c r="C231" s="84"/>
      <c r="D231" s="83" t="str">
        <f t="shared" si="33"/>
        <v/>
      </c>
      <c r="E231" s="84"/>
      <c r="F231" s="83" t="str">
        <f t="shared" si="34"/>
        <v/>
      </c>
      <c r="G231" s="85"/>
      <c r="H231" s="83" t="str">
        <f t="shared" si="35"/>
        <v/>
      </c>
      <c r="I231" s="83" t="str">
        <f t="shared" si="36"/>
        <v/>
      </c>
      <c r="J231" s="69"/>
      <c r="K231" s="69"/>
      <c r="L231" s="78">
        <f t="shared" si="37"/>
        <v>0</v>
      </c>
      <c r="M231" s="67"/>
      <c r="O231" t="str">
        <f t="shared" si="38"/>
        <v/>
      </c>
      <c r="P231" t="str">
        <f t="shared" si="39"/>
        <v/>
      </c>
      <c r="Q231" t="str">
        <f t="shared" si="40"/>
        <v/>
      </c>
      <c r="R231" t="str">
        <f t="shared" si="41"/>
        <v/>
      </c>
      <c r="AB231" t="s">
        <v>847</v>
      </c>
      <c r="AC231" t="s">
        <v>848</v>
      </c>
      <c r="AD231" t="s">
        <v>273</v>
      </c>
      <c r="AE231" t="s">
        <v>274</v>
      </c>
      <c r="AF231" t="s">
        <v>275</v>
      </c>
      <c r="AG231" t="s">
        <v>276</v>
      </c>
    </row>
    <row r="232" spans="1:33">
      <c r="A232" s="83" t="str">
        <f>IF(C232="","",VLOOKUP('OPĆI DIO'!$C$3,'OPĆI DIO'!$L$6:$U$138,10,FALSE))</f>
        <v/>
      </c>
      <c r="B232" s="83" t="str">
        <f>IF(C232="","",VLOOKUP('OPĆI DIO'!$C$3,'OPĆI DIO'!$L$6:$U$138,9,FALSE))</f>
        <v/>
      </c>
      <c r="C232" s="84"/>
      <c r="D232" s="83" t="str">
        <f t="shared" si="33"/>
        <v/>
      </c>
      <c r="E232" s="84"/>
      <c r="F232" s="83" t="str">
        <f t="shared" si="34"/>
        <v/>
      </c>
      <c r="G232" s="85"/>
      <c r="H232" s="83" t="str">
        <f t="shared" si="35"/>
        <v/>
      </c>
      <c r="I232" s="83" t="str">
        <f t="shared" si="36"/>
        <v/>
      </c>
      <c r="J232" s="69"/>
      <c r="K232" s="69"/>
      <c r="L232" s="78">
        <f t="shared" si="37"/>
        <v>0</v>
      </c>
      <c r="M232" s="67"/>
      <c r="O232" t="str">
        <f t="shared" si="38"/>
        <v/>
      </c>
      <c r="P232" t="str">
        <f t="shared" si="39"/>
        <v/>
      </c>
      <c r="Q232" t="str">
        <f t="shared" si="40"/>
        <v/>
      </c>
      <c r="R232" t="str">
        <f t="shared" si="41"/>
        <v/>
      </c>
      <c r="AB232" t="s">
        <v>849</v>
      </c>
      <c r="AC232" t="s">
        <v>850</v>
      </c>
      <c r="AD232" t="s">
        <v>813</v>
      </c>
      <c r="AE232" t="s">
        <v>814</v>
      </c>
      <c r="AF232" t="s">
        <v>275</v>
      </c>
      <c r="AG232" t="s">
        <v>815</v>
      </c>
    </row>
    <row r="233" spans="1:33">
      <c r="A233" s="83" t="str">
        <f>IF(C233="","",VLOOKUP('OPĆI DIO'!$C$3,'OPĆI DIO'!$L$6:$U$138,10,FALSE))</f>
        <v/>
      </c>
      <c r="B233" s="83" t="str">
        <f>IF(C233="","",VLOOKUP('OPĆI DIO'!$C$3,'OPĆI DIO'!$L$6:$U$138,9,FALSE))</f>
        <v/>
      </c>
      <c r="C233" s="84"/>
      <c r="D233" s="83" t="str">
        <f t="shared" si="33"/>
        <v/>
      </c>
      <c r="E233" s="84"/>
      <c r="F233" s="83" t="str">
        <f t="shared" si="34"/>
        <v/>
      </c>
      <c r="G233" s="85"/>
      <c r="H233" s="83" t="str">
        <f t="shared" si="35"/>
        <v/>
      </c>
      <c r="I233" s="83" t="str">
        <f t="shared" si="36"/>
        <v/>
      </c>
      <c r="J233" s="69"/>
      <c r="K233" s="69"/>
      <c r="L233" s="78">
        <f t="shared" si="37"/>
        <v>0</v>
      </c>
      <c r="M233" s="67"/>
      <c r="O233" t="str">
        <f t="shared" si="38"/>
        <v/>
      </c>
      <c r="P233" t="str">
        <f t="shared" si="39"/>
        <v/>
      </c>
      <c r="Q233" t="str">
        <f t="shared" si="40"/>
        <v/>
      </c>
      <c r="R233" t="str">
        <f t="shared" si="41"/>
        <v/>
      </c>
      <c r="AB233" t="s">
        <v>851</v>
      </c>
      <c r="AC233" t="s">
        <v>852</v>
      </c>
      <c r="AD233" t="s">
        <v>813</v>
      </c>
      <c r="AE233" t="s">
        <v>814</v>
      </c>
      <c r="AF233" t="s">
        <v>275</v>
      </c>
      <c r="AG233" t="s">
        <v>815</v>
      </c>
    </row>
    <row r="234" spans="1:33">
      <c r="A234" s="83" t="str">
        <f>IF(C234="","",VLOOKUP('OPĆI DIO'!$C$3,'OPĆI DIO'!$L$6:$U$138,10,FALSE))</f>
        <v/>
      </c>
      <c r="B234" s="83" t="str">
        <f>IF(C234="","",VLOOKUP('OPĆI DIO'!$C$3,'OPĆI DIO'!$L$6:$U$138,9,FALSE))</f>
        <v/>
      </c>
      <c r="C234" s="84"/>
      <c r="D234" s="83" t="str">
        <f t="shared" si="33"/>
        <v/>
      </c>
      <c r="E234" s="84"/>
      <c r="F234" s="83" t="str">
        <f t="shared" si="34"/>
        <v/>
      </c>
      <c r="G234" s="85"/>
      <c r="H234" s="83" t="str">
        <f t="shared" si="35"/>
        <v/>
      </c>
      <c r="I234" s="83" t="str">
        <f t="shared" si="36"/>
        <v/>
      </c>
      <c r="J234" s="69"/>
      <c r="K234" s="69"/>
      <c r="L234" s="78">
        <f t="shared" si="37"/>
        <v>0</v>
      </c>
      <c r="M234" s="67"/>
      <c r="O234" t="str">
        <f t="shared" si="38"/>
        <v/>
      </c>
      <c r="P234" t="str">
        <f t="shared" si="39"/>
        <v/>
      </c>
      <c r="Q234" t="str">
        <f t="shared" si="40"/>
        <v/>
      </c>
      <c r="R234" t="str">
        <f t="shared" si="41"/>
        <v/>
      </c>
      <c r="AB234" t="s">
        <v>853</v>
      </c>
      <c r="AC234" t="s">
        <v>854</v>
      </c>
      <c r="AD234" t="s">
        <v>813</v>
      </c>
      <c r="AE234" t="s">
        <v>814</v>
      </c>
      <c r="AF234" t="s">
        <v>275</v>
      </c>
      <c r="AG234" t="s">
        <v>815</v>
      </c>
    </row>
    <row r="235" spans="1:33">
      <c r="A235" s="83" t="str">
        <f>IF(C235="","",VLOOKUP('OPĆI DIO'!$C$3,'OPĆI DIO'!$L$6:$U$138,10,FALSE))</f>
        <v/>
      </c>
      <c r="B235" s="83" t="str">
        <f>IF(C235="","",VLOOKUP('OPĆI DIO'!$C$3,'OPĆI DIO'!$L$6:$U$138,9,FALSE))</f>
        <v/>
      </c>
      <c r="C235" s="84"/>
      <c r="D235" s="83" t="str">
        <f t="shared" si="33"/>
        <v/>
      </c>
      <c r="E235" s="84"/>
      <c r="F235" s="83" t="str">
        <f t="shared" si="34"/>
        <v/>
      </c>
      <c r="G235" s="85"/>
      <c r="H235" s="83" t="str">
        <f t="shared" si="35"/>
        <v/>
      </c>
      <c r="I235" s="83" t="str">
        <f t="shared" si="36"/>
        <v/>
      </c>
      <c r="J235" s="69"/>
      <c r="K235" s="69"/>
      <c r="L235" s="78">
        <f t="shared" si="37"/>
        <v>0</v>
      </c>
      <c r="M235" s="67"/>
      <c r="O235" t="str">
        <f t="shared" si="38"/>
        <v/>
      </c>
      <c r="P235" t="str">
        <f t="shared" si="39"/>
        <v/>
      </c>
      <c r="Q235" t="str">
        <f t="shared" si="40"/>
        <v/>
      </c>
      <c r="R235" t="str">
        <f t="shared" si="41"/>
        <v/>
      </c>
      <c r="AB235" t="s">
        <v>855</v>
      </c>
      <c r="AC235" t="s">
        <v>856</v>
      </c>
      <c r="AD235" t="s">
        <v>813</v>
      </c>
      <c r="AE235" t="s">
        <v>814</v>
      </c>
      <c r="AF235" t="s">
        <v>275</v>
      </c>
      <c r="AG235" t="s">
        <v>815</v>
      </c>
    </row>
    <row r="236" spans="1:33">
      <c r="A236" s="83" t="str">
        <f>IF(C236="","",VLOOKUP('OPĆI DIO'!$C$3,'OPĆI DIO'!$L$6:$U$138,10,FALSE))</f>
        <v/>
      </c>
      <c r="B236" s="83" t="str">
        <f>IF(C236="","",VLOOKUP('OPĆI DIO'!$C$3,'OPĆI DIO'!$L$6:$U$138,9,FALSE))</f>
        <v/>
      </c>
      <c r="C236" s="84"/>
      <c r="D236" s="83" t="str">
        <f t="shared" si="33"/>
        <v/>
      </c>
      <c r="E236" s="84"/>
      <c r="F236" s="83" t="str">
        <f t="shared" si="34"/>
        <v/>
      </c>
      <c r="G236" s="85"/>
      <c r="H236" s="83" t="str">
        <f t="shared" si="35"/>
        <v/>
      </c>
      <c r="I236" s="83" t="str">
        <f t="shared" si="36"/>
        <v/>
      </c>
      <c r="J236" s="69"/>
      <c r="K236" s="69"/>
      <c r="L236" s="78">
        <f t="shared" si="37"/>
        <v>0</v>
      </c>
      <c r="M236" s="67"/>
      <c r="O236" t="str">
        <f t="shared" si="38"/>
        <v/>
      </c>
      <c r="P236" t="str">
        <f t="shared" si="39"/>
        <v/>
      </c>
      <c r="Q236" t="str">
        <f t="shared" si="40"/>
        <v/>
      </c>
      <c r="R236" t="str">
        <f t="shared" si="41"/>
        <v/>
      </c>
      <c r="AB236" t="s">
        <v>857</v>
      </c>
      <c r="AC236" t="s">
        <v>858</v>
      </c>
      <c r="AD236" t="s">
        <v>813</v>
      </c>
      <c r="AE236" t="s">
        <v>814</v>
      </c>
      <c r="AF236" t="s">
        <v>275</v>
      </c>
      <c r="AG236" t="s">
        <v>815</v>
      </c>
    </row>
    <row r="237" spans="1:33">
      <c r="A237" s="83" t="str">
        <f>IF(C237="","",VLOOKUP('OPĆI DIO'!$C$3,'OPĆI DIO'!$L$6:$U$138,10,FALSE))</f>
        <v/>
      </c>
      <c r="B237" s="83" t="str">
        <f>IF(C237="","",VLOOKUP('OPĆI DIO'!$C$3,'OPĆI DIO'!$L$6:$U$138,9,FALSE))</f>
        <v/>
      </c>
      <c r="C237" s="84"/>
      <c r="D237" s="83" t="str">
        <f t="shared" si="33"/>
        <v/>
      </c>
      <c r="E237" s="84"/>
      <c r="F237" s="83" t="str">
        <f t="shared" si="34"/>
        <v/>
      </c>
      <c r="G237" s="85"/>
      <c r="H237" s="83" t="str">
        <f t="shared" si="35"/>
        <v/>
      </c>
      <c r="I237" s="83" t="str">
        <f t="shared" si="36"/>
        <v/>
      </c>
      <c r="J237" s="69"/>
      <c r="K237" s="69"/>
      <c r="L237" s="78">
        <f t="shared" si="37"/>
        <v>0</v>
      </c>
      <c r="M237" s="67"/>
      <c r="O237" t="str">
        <f t="shared" si="38"/>
        <v/>
      </c>
      <c r="P237" t="str">
        <f t="shared" si="39"/>
        <v/>
      </c>
      <c r="Q237" t="str">
        <f t="shared" si="40"/>
        <v/>
      </c>
      <c r="R237" t="str">
        <f t="shared" si="41"/>
        <v/>
      </c>
      <c r="AB237" t="s">
        <v>859</v>
      </c>
      <c r="AC237" t="s">
        <v>860</v>
      </c>
      <c r="AD237" t="s">
        <v>813</v>
      </c>
      <c r="AE237" t="s">
        <v>814</v>
      </c>
      <c r="AF237" t="s">
        <v>275</v>
      </c>
      <c r="AG237" t="s">
        <v>815</v>
      </c>
    </row>
    <row r="238" spans="1:33">
      <c r="A238" s="83" t="str">
        <f>IF(C238="","",VLOOKUP('OPĆI DIO'!$C$3,'OPĆI DIO'!$L$6:$U$138,10,FALSE))</f>
        <v/>
      </c>
      <c r="B238" s="83" t="str">
        <f>IF(C238="","",VLOOKUP('OPĆI DIO'!$C$3,'OPĆI DIO'!$L$6:$U$138,9,FALSE))</f>
        <v/>
      </c>
      <c r="C238" s="84"/>
      <c r="D238" s="83" t="str">
        <f t="shared" si="33"/>
        <v/>
      </c>
      <c r="E238" s="84"/>
      <c r="F238" s="83" t="str">
        <f t="shared" si="34"/>
        <v/>
      </c>
      <c r="G238" s="85"/>
      <c r="H238" s="83" t="str">
        <f t="shared" si="35"/>
        <v/>
      </c>
      <c r="I238" s="83" t="str">
        <f t="shared" si="36"/>
        <v/>
      </c>
      <c r="J238" s="69"/>
      <c r="K238" s="69"/>
      <c r="L238" s="78">
        <f t="shared" si="37"/>
        <v>0</v>
      </c>
      <c r="M238" s="67"/>
      <c r="O238" t="str">
        <f t="shared" si="38"/>
        <v/>
      </c>
      <c r="P238" t="str">
        <f t="shared" si="39"/>
        <v/>
      </c>
      <c r="Q238" t="str">
        <f t="shared" si="40"/>
        <v/>
      </c>
      <c r="R238" t="str">
        <f t="shared" si="41"/>
        <v/>
      </c>
      <c r="AB238" t="s">
        <v>861</v>
      </c>
      <c r="AC238" t="s">
        <v>862</v>
      </c>
      <c r="AD238" t="s">
        <v>280</v>
      </c>
      <c r="AE238" t="s">
        <v>281</v>
      </c>
      <c r="AF238" t="s">
        <v>268</v>
      </c>
      <c r="AG238" t="s">
        <v>282</v>
      </c>
    </row>
    <row r="239" spans="1:33">
      <c r="A239" s="83" t="str">
        <f>IF(C239="","",VLOOKUP('OPĆI DIO'!$C$3,'OPĆI DIO'!$L$6:$U$138,10,FALSE))</f>
        <v/>
      </c>
      <c r="B239" s="83" t="str">
        <f>IF(C239="","",VLOOKUP('OPĆI DIO'!$C$3,'OPĆI DIO'!$L$6:$U$138,9,FALSE))</f>
        <v/>
      </c>
      <c r="C239" s="84"/>
      <c r="D239" s="83" t="str">
        <f t="shared" si="33"/>
        <v/>
      </c>
      <c r="E239" s="84"/>
      <c r="F239" s="83" t="str">
        <f t="shared" si="34"/>
        <v/>
      </c>
      <c r="G239" s="85"/>
      <c r="H239" s="83" t="str">
        <f t="shared" si="35"/>
        <v/>
      </c>
      <c r="I239" s="83" t="str">
        <f t="shared" si="36"/>
        <v/>
      </c>
      <c r="J239" s="69"/>
      <c r="K239" s="69"/>
      <c r="L239" s="78">
        <f t="shared" si="37"/>
        <v>0</v>
      </c>
      <c r="M239" s="67"/>
      <c r="O239" t="str">
        <f t="shared" si="38"/>
        <v/>
      </c>
      <c r="P239" t="str">
        <f t="shared" si="39"/>
        <v/>
      </c>
      <c r="Q239" t="str">
        <f t="shared" si="40"/>
        <v/>
      </c>
      <c r="R239" t="str">
        <f t="shared" si="41"/>
        <v/>
      </c>
      <c r="AB239" t="s">
        <v>863</v>
      </c>
      <c r="AC239" t="s">
        <v>864</v>
      </c>
      <c r="AD239" t="s">
        <v>280</v>
      </c>
      <c r="AE239" t="s">
        <v>281</v>
      </c>
      <c r="AF239" t="s">
        <v>268</v>
      </c>
      <c r="AG239" t="s">
        <v>282</v>
      </c>
    </row>
    <row r="240" spans="1:33">
      <c r="A240" s="83" t="str">
        <f>IF(C240="","",VLOOKUP('OPĆI DIO'!$C$3,'OPĆI DIO'!$L$6:$U$138,10,FALSE))</f>
        <v/>
      </c>
      <c r="B240" s="83" t="str">
        <f>IF(C240="","",VLOOKUP('OPĆI DIO'!$C$3,'OPĆI DIO'!$L$6:$U$138,9,FALSE))</f>
        <v/>
      </c>
      <c r="C240" s="84"/>
      <c r="D240" s="83" t="str">
        <f t="shared" si="33"/>
        <v/>
      </c>
      <c r="E240" s="84"/>
      <c r="F240" s="83" t="str">
        <f t="shared" si="34"/>
        <v/>
      </c>
      <c r="G240" s="85"/>
      <c r="H240" s="83" t="str">
        <f t="shared" si="35"/>
        <v/>
      </c>
      <c r="I240" s="83" t="str">
        <f t="shared" si="36"/>
        <v/>
      </c>
      <c r="J240" s="69"/>
      <c r="K240" s="69"/>
      <c r="L240" s="78">
        <f t="shared" si="37"/>
        <v>0</v>
      </c>
      <c r="M240" s="67"/>
      <c r="O240" t="str">
        <f t="shared" si="38"/>
        <v/>
      </c>
      <c r="P240" t="str">
        <f t="shared" si="39"/>
        <v/>
      </c>
      <c r="Q240" t="str">
        <f t="shared" si="40"/>
        <v/>
      </c>
      <c r="R240" t="str">
        <f t="shared" si="41"/>
        <v/>
      </c>
      <c r="AB240" t="s">
        <v>865</v>
      </c>
      <c r="AC240" t="s">
        <v>866</v>
      </c>
      <c r="AD240" t="s">
        <v>280</v>
      </c>
      <c r="AE240" t="s">
        <v>281</v>
      </c>
      <c r="AF240" t="s">
        <v>268</v>
      </c>
      <c r="AG240" t="s">
        <v>282</v>
      </c>
    </row>
    <row r="241" spans="1:33">
      <c r="A241" s="83" t="str">
        <f>IF(C241="","",VLOOKUP('OPĆI DIO'!$C$3,'OPĆI DIO'!$L$6:$U$138,10,FALSE))</f>
        <v/>
      </c>
      <c r="B241" s="83" t="str">
        <f>IF(C241="","",VLOOKUP('OPĆI DIO'!$C$3,'OPĆI DIO'!$L$6:$U$138,9,FALSE))</f>
        <v/>
      </c>
      <c r="C241" s="84"/>
      <c r="D241" s="83" t="str">
        <f t="shared" si="33"/>
        <v/>
      </c>
      <c r="E241" s="84"/>
      <c r="F241" s="83" t="str">
        <f t="shared" si="34"/>
        <v/>
      </c>
      <c r="G241" s="85"/>
      <c r="H241" s="83" t="str">
        <f t="shared" si="35"/>
        <v/>
      </c>
      <c r="I241" s="83" t="str">
        <f t="shared" si="36"/>
        <v/>
      </c>
      <c r="J241" s="69"/>
      <c r="K241" s="69"/>
      <c r="L241" s="78">
        <f t="shared" si="37"/>
        <v>0</v>
      </c>
      <c r="M241" s="67"/>
      <c r="O241" t="str">
        <f t="shared" si="38"/>
        <v/>
      </c>
      <c r="P241" t="str">
        <f t="shared" si="39"/>
        <v/>
      </c>
      <c r="Q241" t="str">
        <f t="shared" si="40"/>
        <v/>
      </c>
      <c r="R241" t="str">
        <f t="shared" si="41"/>
        <v/>
      </c>
      <c r="AB241" t="s">
        <v>867</v>
      </c>
      <c r="AC241" t="s">
        <v>868</v>
      </c>
      <c r="AD241" t="s">
        <v>280</v>
      </c>
      <c r="AE241" t="s">
        <v>281</v>
      </c>
      <c r="AF241" t="s">
        <v>268</v>
      </c>
      <c r="AG241" t="s">
        <v>282</v>
      </c>
    </row>
    <row r="242" spans="1:33">
      <c r="A242" s="83" t="str">
        <f>IF(C242="","",VLOOKUP('OPĆI DIO'!$C$3,'OPĆI DIO'!$L$6:$U$138,10,FALSE))</f>
        <v/>
      </c>
      <c r="B242" s="83" t="str">
        <f>IF(C242="","",VLOOKUP('OPĆI DIO'!$C$3,'OPĆI DIO'!$L$6:$U$138,9,FALSE))</f>
        <v/>
      </c>
      <c r="C242" s="84"/>
      <c r="D242" s="83" t="str">
        <f t="shared" si="33"/>
        <v/>
      </c>
      <c r="E242" s="84"/>
      <c r="F242" s="83" t="str">
        <f t="shared" si="34"/>
        <v/>
      </c>
      <c r="G242" s="85"/>
      <c r="H242" s="83" t="str">
        <f t="shared" si="35"/>
        <v/>
      </c>
      <c r="I242" s="83" t="str">
        <f t="shared" si="36"/>
        <v/>
      </c>
      <c r="J242" s="69"/>
      <c r="K242" s="69"/>
      <c r="L242" s="78">
        <f t="shared" si="37"/>
        <v>0</v>
      </c>
      <c r="M242" s="67"/>
      <c r="O242" t="str">
        <f t="shared" si="38"/>
        <v/>
      </c>
      <c r="P242" t="str">
        <f t="shared" si="39"/>
        <v/>
      </c>
      <c r="Q242" t="str">
        <f t="shared" si="40"/>
        <v/>
      </c>
      <c r="R242" t="str">
        <f t="shared" si="41"/>
        <v/>
      </c>
      <c r="AB242" t="s">
        <v>869</v>
      </c>
      <c r="AC242" t="s">
        <v>870</v>
      </c>
      <c r="AD242" t="s">
        <v>280</v>
      </c>
      <c r="AE242" t="s">
        <v>281</v>
      </c>
      <c r="AF242" t="s">
        <v>268</v>
      </c>
      <c r="AG242" t="s">
        <v>282</v>
      </c>
    </row>
    <row r="243" spans="1:33">
      <c r="A243" s="83" t="str">
        <f>IF(C243="","",VLOOKUP('OPĆI DIO'!$C$3,'OPĆI DIO'!$L$6:$U$138,10,FALSE))</f>
        <v/>
      </c>
      <c r="B243" s="83" t="str">
        <f>IF(C243="","",VLOOKUP('OPĆI DIO'!$C$3,'OPĆI DIO'!$L$6:$U$138,9,FALSE))</f>
        <v/>
      </c>
      <c r="C243" s="84"/>
      <c r="D243" s="83" t="str">
        <f t="shared" si="33"/>
        <v/>
      </c>
      <c r="E243" s="84"/>
      <c r="F243" s="83" t="str">
        <f t="shared" si="34"/>
        <v/>
      </c>
      <c r="G243" s="85"/>
      <c r="H243" s="83" t="str">
        <f t="shared" si="35"/>
        <v/>
      </c>
      <c r="I243" s="83" t="str">
        <f t="shared" si="36"/>
        <v/>
      </c>
      <c r="J243" s="69"/>
      <c r="K243" s="69"/>
      <c r="L243" s="78">
        <f t="shared" si="37"/>
        <v>0</v>
      </c>
      <c r="M243" s="67"/>
      <c r="O243" t="str">
        <f t="shared" si="38"/>
        <v/>
      </c>
      <c r="P243" t="str">
        <f t="shared" si="39"/>
        <v/>
      </c>
      <c r="Q243" t="str">
        <f t="shared" si="40"/>
        <v/>
      </c>
      <c r="R243" t="str">
        <f t="shared" si="41"/>
        <v/>
      </c>
      <c r="AB243" t="s">
        <v>871</v>
      </c>
      <c r="AC243" t="s">
        <v>872</v>
      </c>
      <c r="AD243" t="s">
        <v>280</v>
      </c>
      <c r="AE243" t="s">
        <v>281</v>
      </c>
      <c r="AF243" t="s">
        <v>268</v>
      </c>
      <c r="AG243" t="s">
        <v>282</v>
      </c>
    </row>
    <row r="244" spans="1:33">
      <c r="A244" s="83" t="str">
        <f>IF(C244="","",VLOOKUP('OPĆI DIO'!$C$3,'OPĆI DIO'!$L$6:$U$138,10,FALSE))</f>
        <v/>
      </c>
      <c r="B244" s="83" t="str">
        <f>IF(C244="","",VLOOKUP('OPĆI DIO'!$C$3,'OPĆI DIO'!$L$6:$U$138,9,FALSE))</f>
        <v/>
      </c>
      <c r="C244" s="84"/>
      <c r="D244" s="83" t="str">
        <f t="shared" si="33"/>
        <v/>
      </c>
      <c r="E244" s="84"/>
      <c r="F244" s="83" t="str">
        <f t="shared" si="34"/>
        <v/>
      </c>
      <c r="G244" s="85"/>
      <c r="H244" s="83" t="str">
        <f t="shared" si="35"/>
        <v/>
      </c>
      <c r="I244" s="83" t="str">
        <f t="shared" si="36"/>
        <v/>
      </c>
      <c r="J244" s="69"/>
      <c r="K244" s="69"/>
      <c r="L244" s="78">
        <f t="shared" si="37"/>
        <v>0</v>
      </c>
      <c r="M244" s="67"/>
      <c r="O244" t="str">
        <f t="shared" si="38"/>
        <v/>
      </c>
      <c r="P244" t="str">
        <f t="shared" si="39"/>
        <v/>
      </c>
      <c r="Q244" t="str">
        <f t="shared" si="40"/>
        <v/>
      </c>
      <c r="R244" t="str">
        <f t="shared" si="41"/>
        <v/>
      </c>
      <c r="AB244" t="s">
        <v>873</v>
      </c>
      <c r="AC244" t="s">
        <v>874</v>
      </c>
      <c r="AD244" t="s">
        <v>280</v>
      </c>
      <c r="AE244" t="s">
        <v>281</v>
      </c>
      <c r="AF244" t="s">
        <v>268</v>
      </c>
      <c r="AG244" t="s">
        <v>282</v>
      </c>
    </row>
    <row r="245" spans="1:33">
      <c r="A245" s="83" t="str">
        <f>IF(C245="","",VLOOKUP('OPĆI DIO'!$C$3,'OPĆI DIO'!$L$6:$U$138,10,FALSE))</f>
        <v/>
      </c>
      <c r="B245" s="83" t="str">
        <f>IF(C245="","",VLOOKUP('OPĆI DIO'!$C$3,'OPĆI DIO'!$L$6:$U$138,9,FALSE))</f>
        <v/>
      </c>
      <c r="C245" s="84"/>
      <c r="D245" s="83" t="str">
        <f t="shared" si="33"/>
        <v/>
      </c>
      <c r="E245" s="84"/>
      <c r="F245" s="83" t="str">
        <f t="shared" si="34"/>
        <v/>
      </c>
      <c r="G245" s="85"/>
      <c r="H245" s="83" t="str">
        <f t="shared" si="35"/>
        <v/>
      </c>
      <c r="I245" s="83" t="str">
        <f t="shared" si="36"/>
        <v/>
      </c>
      <c r="J245" s="69"/>
      <c r="K245" s="69"/>
      <c r="L245" s="78">
        <f t="shared" si="37"/>
        <v>0</v>
      </c>
      <c r="M245" s="67"/>
      <c r="O245" t="str">
        <f t="shared" si="38"/>
        <v/>
      </c>
      <c r="P245" t="str">
        <f t="shared" si="39"/>
        <v/>
      </c>
      <c r="Q245" t="str">
        <f t="shared" si="40"/>
        <v/>
      </c>
      <c r="R245" t="str">
        <f t="shared" si="41"/>
        <v/>
      </c>
      <c r="AB245" t="s">
        <v>875</v>
      </c>
      <c r="AC245" t="s">
        <v>773</v>
      </c>
      <c r="AD245" t="s">
        <v>280</v>
      </c>
      <c r="AE245" t="s">
        <v>281</v>
      </c>
      <c r="AF245" t="s">
        <v>268</v>
      </c>
      <c r="AG245" t="s">
        <v>282</v>
      </c>
    </row>
    <row r="246" spans="1:33">
      <c r="A246" s="83" t="str">
        <f>IF(C246="","",VLOOKUP('OPĆI DIO'!$C$3,'OPĆI DIO'!$L$6:$U$138,10,FALSE))</f>
        <v/>
      </c>
      <c r="B246" s="83" t="str">
        <f>IF(C246="","",VLOOKUP('OPĆI DIO'!$C$3,'OPĆI DIO'!$L$6:$U$138,9,FALSE))</f>
        <v/>
      </c>
      <c r="C246" s="84"/>
      <c r="D246" s="83" t="str">
        <f t="shared" si="33"/>
        <v/>
      </c>
      <c r="E246" s="84"/>
      <c r="F246" s="83" t="str">
        <f t="shared" si="34"/>
        <v/>
      </c>
      <c r="G246" s="85"/>
      <c r="H246" s="83" t="str">
        <f t="shared" si="35"/>
        <v/>
      </c>
      <c r="I246" s="83" t="str">
        <f t="shared" si="36"/>
        <v/>
      </c>
      <c r="J246" s="69"/>
      <c r="K246" s="69"/>
      <c r="L246" s="78">
        <f t="shared" si="37"/>
        <v>0</v>
      </c>
      <c r="M246" s="67"/>
      <c r="O246" t="str">
        <f t="shared" si="38"/>
        <v/>
      </c>
      <c r="P246" t="str">
        <f t="shared" si="39"/>
        <v/>
      </c>
      <c r="Q246" t="str">
        <f t="shared" si="40"/>
        <v/>
      </c>
      <c r="R246" t="str">
        <f t="shared" si="41"/>
        <v/>
      </c>
      <c r="AB246" t="s">
        <v>876</v>
      </c>
      <c r="AC246" t="s">
        <v>877</v>
      </c>
      <c r="AD246" t="s">
        <v>300</v>
      </c>
      <c r="AE246" t="s">
        <v>301</v>
      </c>
      <c r="AF246" t="s">
        <v>268</v>
      </c>
      <c r="AG246" t="s">
        <v>302</v>
      </c>
    </row>
    <row r="247" spans="1:33">
      <c r="A247" s="83" t="str">
        <f>IF(C247="","",VLOOKUP('OPĆI DIO'!$C$3,'OPĆI DIO'!$L$6:$U$138,10,FALSE))</f>
        <v/>
      </c>
      <c r="B247" s="83" t="str">
        <f>IF(C247="","",VLOOKUP('OPĆI DIO'!$C$3,'OPĆI DIO'!$L$6:$U$138,9,FALSE))</f>
        <v/>
      </c>
      <c r="C247" s="84"/>
      <c r="D247" s="83" t="str">
        <f t="shared" si="33"/>
        <v/>
      </c>
      <c r="E247" s="84"/>
      <c r="F247" s="83" t="str">
        <f t="shared" si="34"/>
        <v/>
      </c>
      <c r="G247" s="85"/>
      <c r="H247" s="83" t="str">
        <f t="shared" si="35"/>
        <v/>
      </c>
      <c r="I247" s="83" t="str">
        <f t="shared" si="36"/>
        <v/>
      </c>
      <c r="J247" s="69"/>
      <c r="K247" s="69"/>
      <c r="L247" s="78">
        <f t="shared" si="37"/>
        <v>0</v>
      </c>
      <c r="M247" s="67"/>
      <c r="O247" t="str">
        <f t="shared" si="38"/>
        <v/>
      </c>
      <c r="P247" t="str">
        <f t="shared" si="39"/>
        <v/>
      </c>
      <c r="Q247" t="str">
        <f t="shared" si="40"/>
        <v/>
      </c>
      <c r="R247" t="str">
        <f t="shared" si="41"/>
        <v/>
      </c>
      <c r="AB247" t="s">
        <v>878</v>
      </c>
      <c r="AC247" t="s">
        <v>879</v>
      </c>
      <c r="AD247" t="s">
        <v>273</v>
      </c>
      <c r="AE247" t="s">
        <v>274</v>
      </c>
      <c r="AF247" t="s">
        <v>275</v>
      </c>
      <c r="AG247" t="s">
        <v>276</v>
      </c>
    </row>
    <row r="248" spans="1:33">
      <c r="A248" s="83" t="str">
        <f>IF(C248="","",VLOOKUP('OPĆI DIO'!$C$3,'OPĆI DIO'!$L$6:$U$138,10,FALSE))</f>
        <v/>
      </c>
      <c r="B248" s="83" t="str">
        <f>IF(C248="","",VLOOKUP('OPĆI DIO'!$C$3,'OPĆI DIO'!$L$6:$U$138,9,FALSE))</f>
        <v/>
      </c>
      <c r="C248" s="84"/>
      <c r="D248" s="83" t="str">
        <f t="shared" si="33"/>
        <v/>
      </c>
      <c r="E248" s="84"/>
      <c r="F248" s="83" t="str">
        <f t="shared" si="34"/>
        <v/>
      </c>
      <c r="G248" s="85"/>
      <c r="H248" s="83" t="str">
        <f t="shared" si="35"/>
        <v/>
      </c>
      <c r="I248" s="83" t="str">
        <f t="shared" si="36"/>
        <v/>
      </c>
      <c r="J248" s="69"/>
      <c r="K248" s="69"/>
      <c r="L248" s="78">
        <f t="shared" si="37"/>
        <v>0</v>
      </c>
      <c r="M248" s="67"/>
      <c r="O248" t="str">
        <f t="shared" si="38"/>
        <v/>
      </c>
      <c r="P248" t="str">
        <f t="shared" si="39"/>
        <v/>
      </c>
      <c r="Q248" t="str">
        <f t="shared" si="40"/>
        <v/>
      </c>
      <c r="R248" t="str">
        <f t="shared" si="41"/>
        <v/>
      </c>
      <c r="AB248" t="s">
        <v>878</v>
      </c>
      <c r="AC248" t="s">
        <v>879</v>
      </c>
      <c r="AD248" t="s">
        <v>300</v>
      </c>
      <c r="AE248" t="s">
        <v>301</v>
      </c>
      <c r="AF248" t="s">
        <v>268</v>
      </c>
      <c r="AG248" t="s">
        <v>302</v>
      </c>
    </row>
    <row r="249" spans="1:33">
      <c r="A249" s="83" t="str">
        <f>IF(C249="","",VLOOKUP('OPĆI DIO'!$C$3,'OPĆI DIO'!$L$6:$U$138,10,FALSE))</f>
        <v/>
      </c>
      <c r="B249" s="83" t="str">
        <f>IF(C249="","",VLOOKUP('OPĆI DIO'!$C$3,'OPĆI DIO'!$L$6:$U$138,9,FALSE))</f>
        <v/>
      </c>
      <c r="C249" s="84"/>
      <c r="D249" s="83" t="str">
        <f t="shared" si="33"/>
        <v/>
      </c>
      <c r="E249" s="84"/>
      <c r="F249" s="83" t="str">
        <f t="shared" si="34"/>
        <v/>
      </c>
      <c r="G249" s="85"/>
      <c r="H249" s="83" t="str">
        <f t="shared" si="35"/>
        <v/>
      </c>
      <c r="I249" s="83" t="str">
        <f t="shared" si="36"/>
        <v/>
      </c>
      <c r="J249" s="69"/>
      <c r="K249" s="69"/>
      <c r="L249" s="78">
        <f t="shared" si="37"/>
        <v>0</v>
      </c>
      <c r="M249" s="67"/>
      <c r="O249" t="str">
        <f t="shared" si="38"/>
        <v/>
      </c>
      <c r="P249" t="str">
        <f t="shared" si="39"/>
        <v/>
      </c>
      <c r="Q249" t="str">
        <f t="shared" si="40"/>
        <v/>
      </c>
      <c r="R249" t="str">
        <f t="shared" si="41"/>
        <v/>
      </c>
      <c r="AB249" t="s">
        <v>880</v>
      </c>
      <c r="AC249" t="s">
        <v>881</v>
      </c>
      <c r="AD249" t="s">
        <v>300</v>
      </c>
      <c r="AE249" t="s">
        <v>301</v>
      </c>
      <c r="AF249" t="s">
        <v>268</v>
      </c>
      <c r="AG249" t="s">
        <v>302</v>
      </c>
    </row>
    <row r="250" spans="1:33">
      <c r="A250" s="83" t="str">
        <f>IF(C250="","",VLOOKUP('OPĆI DIO'!$C$3,'OPĆI DIO'!$L$6:$U$138,10,FALSE))</f>
        <v/>
      </c>
      <c r="B250" s="83" t="str">
        <f>IF(C250="","",VLOOKUP('OPĆI DIO'!$C$3,'OPĆI DIO'!$L$6:$U$138,9,FALSE))</f>
        <v/>
      </c>
      <c r="C250" s="84"/>
      <c r="D250" s="83" t="str">
        <f t="shared" si="33"/>
        <v/>
      </c>
      <c r="E250" s="84"/>
      <c r="F250" s="83" t="str">
        <f t="shared" si="34"/>
        <v/>
      </c>
      <c r="G250" s="85"/>
      <c r="H250" s="83" t="str">
        <f t="shared" si="35"/>
        <v/>
      </c>
      <c r="I250" s="83" t="str">
        <f t="shared" si="36"/>
        <v/>
      </c>
      <c r="J250" s="69"/>
      <c r="K250" s="69"/>
      <c r="L250" s="78">
        <f t="shared" si="37"/>
        <v>0</v>
      </c>
      <c r="M250" s="67"/>
      <c r="O250" t="str">
        <f t="shared" si="38"/>
        <v/>
      </c>
      <c r="P250" t="str">
        <f t="shared" si="39"/>
        <v/>
      </c>
      <c r="Q250" t="str">
        <f t="shared" si="40"/>
        <v/>
      </c>
      <c r="R250" t="str">
        <f t="shared" si="41"/>
        <v/>
      </c>
      <c r="AB250" t="s">
        <v>882</v>
      </c>
      <c r="AC250" t="s">
        <v>883</v>
      </c>
      <c r="AD250" t="s">
        <v>300</v>
      </c>
      <c r="AE250" t="s">
        <v>301</v>
      </c>
      <c r="AF250" t="s">
        <v>268</v>
      </c>
      <c r="AG250" t="s">
        <v>302</v>
      </c>
    </row>
    <row r="251" spans="1:33">
      <c r="A251" s="83" t="str">
        <f>IF(C251="","",VLOOKUP('OPĆI DIO'!$C$3,'OPĆI DIO'!$L$6:$U$138,10,FALSE))</f>
        <v/>
      </c>
      <c r="B251" s="83" t="str">
        <f>IF(C251="","",VLOOKUP('OPĆI DIO'!$C$3,'OPĆI DIO'!$L$6:$U$138,9,FALSE))</f>
        <v/>
      </c>
      <c r="C251" s="84"/>
      <c r="D251" s="83" t="str">
        <f t="shared" si="33"/>
        <v/>
      </c>
      <c r="E251" s="84"/>
      <c r="F251" s="83" t="str">
        <f t="shared" si="34"/>
        <v/>
      </c>
      <c r="G251" s="85"/>
      <c r="H251" s="83" t="str">
        <f t="shared" si="35"/>
        <v/>
      </c>
      <c r="I251" s="83" t="str">
        <f t="shared" si="36"/>
        <v/>
      </c>
      <c r="J251" s="69"/>
      <c r="K251" s="69"/>
      <c r="L251" s="78">
        <f t="shared" si="37"/>
        <v>0</v>
      </c>
      <c r="M251" s="67"/>
      <c r="O251" t="str">
        <f t="shared" si="38"/>
        <v/>
      </c>
      <c r="P251" t="str">
        <f t="shared" si="39"/>
        <v/>
      </c>
      <c r="Q251" t="str">
        <f t="shared" si="40"/>
        <v/>
      </c>
      <c r="R251" t="str">
        <f t="shared" si="41"/>
        <v/>
      </c>
      <c r="AB251" t="s">
        <v>884</v>
      </c>
      <c r="AC251" t="s">
        <v>885</v>
      </c>
      <c r="AD251" t="s">
        <v>300</v>
      </c>
      <c r="AE251" t="s">
        <v>301</v>
      </c>
      <c r="AF251" t="s">
        <v>268</v>
      </c>
      <c r="AG251" t="s">
        <v>302</v>
      </c>
    </row>
    <row r="252" spans="1:33">
      <c r="A252" s="83" t="str">
        <f>IF(C252="","",VLOOKUP('OPĆI DIO'!$C$3,'OPĆI DIO'!$L$6:$U$138,10,FALSE))</f>
        <v/>
      </c>
      <c r="B252" s="83" t="str">
        <f>IF(C252="","",VLOOKUP('OPĆI DIO'!$C$3,'OPĆI DIO'!$L$6:$U$138,9,FALSE))</f>
        <v/>
      </c>
      <c r="C252" s="84"/>
      <c r="D252" s="83" t="str">
        <f t="shared" si="33"/>
        <v/>
      </c>
      <c r="E252" s="84"/>
      <c r="F252" s="83" t="str">
        <f t="shared" si="34"/>
        <v/>
      </c>
      <c r="G252" s="85"/>
      <c r="H252" s="83" t="str">
        <f t="shared" si="35"/>
        <v/>
      </c>
      <c r="I252" s="83" t="str">
        <f t="shared" si="36"/>
        <v/>
      </c>
      <c r="J252" s="69"/>
      <c r="K252" s="69"/>
      <c r="L252" s="78">
        <f t="shared" si="37"/>
        <v>0</v>
      </c>
      <c r="M252" s="67"/>
      <c r="O252" t="str">
        <f t="shared" si="38"/>
        <v/>
      </c>
      <c r="P252" t="str">
        <f t="shared" si="39"/>
        <v/>
      </c>
      <c r="Q252" t="str">
        <f t="shared" si="40"/>
        <v/>
      </c>
      <c r="R252" t="str">
        <f t="shared" si="41"/>
        <v/>
      </c>
      <c r="AB252" t="s">
        <v>886</v>
      </c>
      <c r="AC252" t="s">
        <v>887</v>
      </c>
      <c r="AD252" t="s">
        <v>300</v>
      </c>
      <c r="AE252" t="s">
        <v>301</v>
      </c>
      <c r="AF252" t="s">
        <v>268</v>
      </c>
      <c r="AG252" t="s">
        <v>302</v>
      </c>
    </row>
    <row r="253" spans="1:33">
      <c r="A253" s="83" t="str">
        <f>IF(C253="","",VLOOKUP('OPĆI DIO'!$C$3,'OPĆI DIO'!$L$6:$U$138,10,FALSE))</f>
        <v/>
      </c>
      <c r="B253" s="83" t="str">
        <f>IF(C253="","",VLOOKUP('OPĆI DIO'!$C$3,'OPĆI DIO'!$L$6:$U$138,9,FALSE))</f>
        <v/>
      </c>
      <c r="C253" s="84"/>
      <c r="D253" s="83" t="str">
        <f t="shared" si="33"/>
        <v/>
      </c>
      <c r="E253" s="84"/>
      <c r="F253" s="83" t="str">
        <f t="shared" si="34"/>
        <v/>
      </c>
      <c r="G253" s="85"/>
      <c r="H253" s="83" t="str">
        <f t="shared" si="35"/>
        <v/>
      </c>
      <c r="I253" s="83" t="str">
        <f t="shared" si="36"/>
        <v/>
      </c>
      <c r="J253" s="69"/>
      <c r="K253" s="69"/>
      <c r="L253" s="78">
        <f t="shared" si="37"/>
        <v>0</v>
      </c>
      <c r="M253" s="67"/>
      <c r="O253" t="str">
        <f t="shared" si="38"/>
        <v/>
      </c>
      <c r="P253" t="str">
        <f t="shared" si="39"/>
        <v/>
      </c>
      <c r="Q253" t="str">
        <f t="shared" si="40"/>
        <v/>
      </c>
      <c r="R253" t="str">
        <f t="shared" si="41"/>
        <v/>
      </c>
      <c r="AB253" t="s">
        <v>888</v>
      </c>
      <c r="AC253" t="s">
        <v>889</v>
      </c>
      <c r="AD253" t="s">
        <v>300</v>
      </c>
      <c r="AE253" t="s">
        <v>301</v>
      </c>
      <c r="AF253" t="s">
        <v>268</v>
      </c>
      <c r="AG253" t="s">
        <v>302</v>
      </c>
    </row>
    <row r="254" spans="1:33">
      <c r="A254" s="83" t="str">
        <f>IF(C254="","",VLOOKUP('OPĆI DIO'!$C$3,'OPĆI DIO'!$L$6:$U$138,10,FALSE))</f>
        <v/>
      </c>
      <c r="B254" s="83" t="str">
        <f>IF(C254="","",VLOOKUP('OPĆI DIO'!$C$3,'OPĆI DIO'!$L$6:$U$138,9,FALSE))</f>
        <v/>
      </c>
      <c r="C254" s="84"/>
      <c r="D254" s="83" t="str">
        <f t="shared" si="33"/>
        <v/>
      </c>
      <c r="E254" s="84"/>
      <c r="F254" s="83" t="str">
        <f t="shared" si="34"/>
        <v/>
      </c>
      <c r="G254" s="85"/>
      <c r="H254" s="83" t="str">
        <f t="shared" si="35"/>
        <v/>
      </c>
      <c r="I254" s="83" t="str">
        <f t="shared" si="36"/>
        <v/>
      </c>
      <c r="J254" s="69"/>
      <c r="K254" s="69"/>
      <c r="L254" s="78">
        <f t="shared" si="37"/>
        <v>0</v>
      </c>
      <c r="M254" s="67"/>
      <c r="O254" t="str">
        <f t="shared" si="38"/>
        <v/>
      </c>
      <c r="P254" t="str">
        <f t="shared" si="39"/>
        <v/>
      </c>
      <c r="Q254" t="str">
        <f t="shared" si="40"/>
        <v/>
      </c>
      <c r="R254" t="str">
        <f t="shared" si="41"/>
        <v/>
      </c>
      <c r="AB254" t="s">
        <v>890</v>
      </c>
      <c r="AC254" t="s">
        <v>891</v>
      </c>
      <c r="AD254" t="s">
        <v>300</v>
      </c>
      <c r="AE254" t="s">
        <v>301</v>
      </c>
      <c r="AF254" t="s">
        <v>268</v>
      </c>
      <c r="AG254" t="s">
        <v>302</v>
      </c>
    </row>
    <row r="255" spans="1:33">
      <c r="A255" s="83" t="str">
        <f>IF(C255="","",VLOOKUP('OPĆI DIO'!$C$3,'OPĆI DIO'!$L$6:$U$138,10,FALSE))</f>
        <v/>
      </c>
      <c r="B255" s="83" t="str">
        <f>IF(C255="","",VLOOKUP('OPĆI DIO'!$C$3,'OPĆI DIO'!$L$6:$U$138,9,FALSE))</f>
        <v/>
      </c>
      <c r="C255" s="84"/>
      <c r="D255" s="83" t="str">
        <f t="shared" si="33"/>
        <v/>
      </c>
      <c r="E255" s="84"/>
      <c r="F255" s="83" t="str">
        <f t="shared" si="34"/>
        <v/>
      </c>
      <c r="G255" s="85"/>
      <c r="H255" s="83" t="str">
        <f t="shared" si="35"/>
        <v/>
      </c>
      <c r="I255" s="83" t="str">
        <f t="shared" si="36"/>
        <v/>
      </c>
      <c r="J255" s="69"/>
      <c r="K255" s="69"/>
      <c r="L255" s="78">
        <f t="shared" si="37"/>
        <v>0</v>
      </c>
      <c r="M255" s="67"/>
      <c r="O255" t="str">
        <f t="shared" si="38"/>
        <v/>
      </c>
      <c r="P255" t="str">
        <f t="shared" si="39"/>
        <v/>
      </c>
      <c r="Q255" t="str">
        <f t="shared" si="40"/>
        <v/>
      </c>
      <c r="R255" t="str">
        <f t="shared" si="41"/>
        <v/>
      </c>
      <c r="AB255" t="s">
        <v>892</v>
      </c>
      <c r="AC255" t="s">
        <v>893</v>
      </c>
      <c r="AD255" t="s">
        <v>300</v>
      </c>
      <c r="AE255" t="s">
        <v>301</v>
      </c>
      <c r="AF255" t="s">
        <v>268</v>
      </c>
      <c r="AG255" t="s">
        <v>302</v>
      </c>
    </row>
    <row r="256" spans="1:33">
      <c r="A256" s="83" t="str">
        <f>IF(C256="","",VLOOKUP('OPĆI DIO'!$C$3,'OPĆI DIO'!$L$6:$U$138,10,FALSE))</f>
        <v/>
      </c>
      <c r="B256" s="83" t="str">
        <f>IF(C256="","",VLOOKUP('OPĆI DIO'!$C$3,'OPĆI DIO'!$L$6:$U$138,9,FALSE))</f>
        <v/>
      </c>
      <c r="C256" s="84"/>
      <c r="D256" s="83" t="str">
        <f t="shared" si="33"/>
        <v/>
      </c>
      <c r="E256" s="84"/>
      <c r="F256" s="83" t="str">
        <f t="shared" si="34"/>
        <v/>
      </c>
      <c r="G256" s="85"/>
      <c r="H256" s="83" t="str">
        <f t="shared" si="35"/>
        <v/>
      </c>
      <c r="I256" s="83" t="str">
        <f t="shared" si="36"/>
        <v/>
      </c>
      <c r="J256" s="69"/>
      <c r="K256" s="69"/>
      <c r="L256" s="78">
        <f t="shared" si="37"/>
        <v>0</v>
      </c>
      <c r="M256" s="67"/>
      <c r="O256" t="str">
        <f t="shared" si="38"/>
        <v/>
      </c>
      <c r="P256" t="str">
        <f t="shared" si="39"/>
        <v/>
      </c>
      <c r="Q256" t="str">
        <f t="shared" si="40"/>
        <v/>
      </c>
      <c r="R256" t="str">
        <f t="shared" si="41"/>
        <v/>
      </c>
      <c r="AB256" t="s">
        <v>894</v>
      </c>
      <c r="AC256" t="s">
        <v>895</v>
      </c>
      <c r="AD256" t="s">
        <v>300</v>
      </c>
      <c r="AE256" t="s">
        <v>301</v>
      </c>
      <c r="AF256" t="s">
        <v>268</v>
      </c>
      <c r="AG256" t="s">
        <v>302</v>
      </c>
    </row>
    <row r="257" spans="1:33">
      <c r="A257" s="83" t="str">
        <f>IF(C257="","",VLOOKUP('OPĆI DIO'!$C$3,'OPĆI DIO'!$L$6:$U$138,10,FALSE))</f>
        <v/>
      </c>
      <c r="B257" s="83" t="str">
        <f>IF(C257="","",VLOOKUP('OPĆI DIO'!$C$3,'OPĆI DIO'!$L$6:$U$138,9,FALSE))</f>
        <v/>
      </c>
      <c r="C257" s="84"/>
      <c r="D257" s="83" t="str">
        <f t="shared" si="33"/>
        <v/>
      </c>
      <c r="E257" s="84"/>
      <c r="F257" s="83" t="str">
        <f t="shared" si="34"/>
        <v/>
      </c>
      <c r="G257" s="85"/>
      <c r="H257" s="83" t="str">
        <f t="shared" si="35"/>
        <v/>
      </c>
      <c r="I257" s="83" t="str">
        <f t="shared" si="36"/>
        <v/>
      </c>
      <c r="J257" s="69"/>
      <c r="K257" s="69"/>
      <c r="L257" s="78">
        <f t="shared" si="37"/>
        <v>0</v>
      </c>
      <c r="M257" s="67"/>
      <c r="O257" t="str">
        <f t="shared" si="38"/>
        <v/>
      </c>
      <c r="P257" t="str">
        <f t="shared" si="39"/>
        <v/>
      </c>
      <c r="Q257" t="str">
        <f t="shared" si="40"/>
        <v/>
      </c>
      <c r="R257" t="str">
        <f t="shared" si="41"/>
        <v/>
      </c>
      <c r="AB257" t="s">
        <v>896</v>
      </c>
      <c r="AC257" t="s">
        <v>897</v>
      </c>
      <c r="AD257" t="s">
        <v>300</v>
      </c>
      <c r="AE257" t="s">
        <v>301</v>
      </c>
      <c r="AF257" t="s">
        <v>268</v>
      </c>
      <c r="AG257" t="s">
        <v>302</v>
      </c>
    </row>
    <row r="258" spans="1:33">
      <c r="A258" s="83" t="str">
        <f>IF(C258="","",VLOOKUP('OPĆI DIO'!$C$3,'OPĆI DIO'!$L$6:$U$138,10,FALSE))</f>
        <v/>
      </c>
      <c r="B258" s="83" t="str">
        <f>IF(C258="","",VLOOKUP('OPĆI DIO'!$C$3,'OPĆI DIO'!$L$6:$U$138,9,FALSE))</f>
        <v/>
      </c>
      <c r="C258" s="84"/>
      <c r="D258" s="83" t="str">
        <f t="shared" si="33"/>
        <v/>
      </c>
      <c r="E258" s="84"/>
      <c r="F258" s="83" t="str">
        <f t="shared" si="34"/>
        <v/>
      </c>
      <c r="G258" s="85"/>
      <c r="H258" s="83" t="str">
        <f t="shared" si="35"/>
        <v/>
      </c>
      <c r="I258" s="83" t="str">
        <f t="shared" si="36"/>
        <v/>
      </c>
      <c r="J258" s="69"/>
      <c r="K258" s="69"/>
      <c r="L258" s="78">
        <f t="shared" si="37"/>
        <v>0</v>
      </c>
      <c r="M258" s="67"/>
      <c r="O258" t="str">
        <f t="shared" si="38"/>
        <v/>
      </c>
      <c r="P258" t="str">
        <f t="shared" si="39"/>
        <v/>
      </c>
      <c r="Q258" t="str">
        <f t="shared" si="40"/>
        <v/>
      </c>
      <c r="R258" t="str">
        <f t="shared" si="41"/>
        <v/>
      </c>
      <c r="AB258" t="s">
        <v>898</v>
      </c>
      <c r="AC258" t="s">
        <v>899</v>
      </c>
      <c r="AD258" t="s">
        <v>300</v>
      </c>
      <c r="AE258" t="s">
        <v>301</v>
      </c>
      <c r="AF258" t="s">
        <v>268</v>
      </c>
      <c r="AG258" t="s">
        <v>302</v>
      </c>
    </row>
    <row r="259" spans="1:33">
      <c r="A259" s="83" t="str">
        <f>IF(C259="","",VLOOKUP('OPĆI DIO'!$C$3,'OPĆI DIO'!$L$6:$U$138,10,FALSE))</f>
        <v/>
      </c>
      <c r="B259" s="83" t="str">
        <f>IF(C259="","",VLOOKUP('OPĆI DIO'!$C$3,'OPĆI DIO'!$L$6:$U$138,9,FALSE))</f>
        <v/>
      </c>
      <c r="C259" s="84"/>
      <c r="D259" s="83" t="str">
        <f t="shared" ref="D259:D322" si="42">IFERROR(VLOOKUP(C259,$S$6:$T$24,2,FALSE),"")</f>
        <v/>
      </c>
      <c r="E259" s="84"/>
      <c r="F259" s="83" t="str">
        <f t="shared" ref="F259:F322" si="43">IFERROR(VLOOKUP(E259,$V$5:$X$129,2,FALSE),"")</f>
        <v/>
      </c>
      <c r="G259" s="85"/>
      <c r="H259" s="83" t="str">
        <f t="shared" ref="H259:H322" si="44">IFERROR(VLOOKUP(G259,$AB$6:$AC$327,2,FALSE),"")</f>
        <v/>
      </c>
      <c r="I259" s="83" t="str">
        <f t="shared" ref="I259:I322" si="45">IFERROR(VLOOKUP(G259,$AB$6:$AF$327,3,FALSE),"")</f>
        <v/>
      </c>
      <c r="J259" s="69"/>
      <c r="K259" s="69"/>
      <c r="L259" s="78">
        <f t="shared" si="37"/>
        <v>0</v>
      </c>
      <c r="M259" s="67"/>
      <c r="O259" t="str">
        <f t="shared" si="38"/>
        <v/>
      </c>
      <c r="P259" t="str">
        <f t="shared" si="39"/>
        <v/>
      </c>
      <c r="Q259" t="str">
        <f t="shared" si="40"/>
        <v/>
      </c>
      <c r="R259" t="str">
        <f t="shared" si="41"/>
        <v/>
      </c>
      <c r="AB259" t="s">
        <v>900</v>
      </c>
      <c r="AC259" t="s">
        <v>901</v>
      </c>
      <c r="AD259" t="s">
        <v>300</v>
      </c>
      <c r="AE259" t="s">
        <v>301</v>
      </c>
      <c r="AF259" t="s">
        <v>268</v>
      </c>
      <c r="AG259" t="s">
        <v>302</v>
      </c>
    </row>
    <row r="260" spans="1:33">
      <c r="A260" s="83" t="str">
        <f>IF(C260="","",VLOOKUP('OPĆI DIO'!$C$3,'OPĆI DIO'!$L$6:$U$138,10,FALSE))</f>
        <v/>
      </c>
      <c r="B260" s="83" t="str">
        <f>IF(C260="","",VLOOKUP('OPĆI DIO'!$C$3,'OPĆI DIO'!$L$6:$U$138,9,FALSE))</f>
        <v/>
      </c>
      <c r="C260" s="84"/>
      <c r="D260" s="83" t="str">
        <f t="shared" si="42"/>
        <v/>
      </c>
      <c r="E260" s="84"/>
      <c r="F260" s="83" t="str">
        <f t="shared" si="43"/>
        <v/>
      </c>
      <c r="G260" s="85"/>
      <c r="H260" s="83" t="str">
        <f t="shared" si="44"/>
        <v/>
      </c>
      <c r="I260" s="83" t="str">
        <f t="shared" si="45"/>
        <v/>
      </c>
      <c r="J260" s="69"/>
      <c r="K260" s="69"/>
      <c r="L260" s="78">
        <f t="shared" ref="L260:L323" si="46">K260-J260</f>
        <v>0</v>
      </c>
      <c r="M260" s="67"/>
      <c r="O260" t="str">
        <f t="shared" ref="O260:O323" si="47">LEFT(E260,3)</f>
        <v/>
      </c>
      <c r="P260" t="str">
        <f t="shared" ref="P260:P323" si="48">LEFT(E260,2)</f>
        <v/>
      </c>
      <c r="Q260" t="str">
        <f t="shared" ref="Q260:Q323" si="49">LEFT(C260,3)</f>
        <v/>
      </c>
      <c r="R260" t="str">
        <f t="shared" ref="R260:R323" si="50">MID(I260,2,2)</f>
        <v/>
      </c>
      <c r="AB260" t="s">
        <v>902</v>
      </c>
      <c r="AC260" t="s">
        <v>903</v>
      </c>
      <c r="AD260" t="s">
        <v>300</v>
      </c>
      <c r="AE260" t="s">
        <v>301</v>
      </c>
      <c r="AF260" t="s">
        <v>268</v>
      </c>
      <c r="AG260" t="s">
        <v>302</v>
      </c>
    </row>
    <row r="261" spans="1:33">
      <c r="A261" s="83" t="str">
        <f>IF(C261="","",VLOOKUP('OPĆI DIO'!$C$3,'OPĆI DIO'!$L$6:$U$138,10,FALSE))</f>
        <v/>
      </c>
      <c r="B261" s="83" t="str">
        <f>IF(C261="","",VLOOKUP('OPĆI DIO'!$C$3,'OPĆI DIO'!$L$6:$U$138,9,FALSE))</f>
        <v/>
      </c>
      <c r="C261" s="84"/>
      <c r="D261" s="83" t="str">
        <f t="shared" si="42"/>
        <v/>
      </c>
      <c r="E261" s="84"/>
      <c r="F261" s="83" t="str">
        <f t="shared" si="43"/>
        <v/>
      </c>
      <c r="G261" s="85"/>
      <c r="H261" s="83" t="str">
        <f t="shared" si="44"/>
        <v/>
      </c>
      <c r="I261" s="83" t="str">
        <f t="shared" si="45"/>
        <v/>
      </c>
      <c r="J261" s="69"/>
      <c r="K261" s="69"/>
      <c r="L261" s="78">
        <f t="shared" si="46"/>
        <v>0</v>
      </c>
      <c r="M261" s="67"/>
      <c r="O261" t="str">
        <f t="shared" si="47"/>
        <v/>
      </c>
      <c r="P261" t="str">
        <f t="shared" si="48"/>
        <v/>
      </c>
      <c r="Q261" t="str">
        <f t="shared" si="49"/>
        <v/>
      </c>
      <c r="R261" t="str">
        <f t="shared" si="50"/>
        <v/>
      </c>
      <c r="AB261" t="s">
        <v>904</v>
      </c>
      <c r="AC261" t="s">
        <v>905</v>
      </c>
      <c r="AD261" t="s">
        <v>300</v>
      </c>
      <c r="AE261" t="s">
        <v>301</v>
      </c>
      <c r="AF261" t="s">
        <v>268</v>
      </c>
      <c r="AG261" t="s">
        <v>302</v>
      </c>
    </row>
    <row r="262" spans="1:33">
      <c r="A262" s="83" t="str">
        <f>IF(C262="","",VLOOKUP('OPĆI DIO'!$C$3,'OPĆI DIO'!$L$6:$U$138,10,FALSE))</f>
        <v/>
      </c>
      <c r="B262" s="83" t="str">
        <f>IF(C262="","",VLOOKUP('OPĆI DIO'!$C$3,'OPĆI DIO'!$L$6:$U$138,9,FALSE))</f>
        <v/>
      </c>
      <c r="C262" s="84"/>
      <c r="D262" s="83" t="str">
        <f t="shared" si="42"/>
        <v/>
      </c>
      <c r="E262" s="84"/>
      <c r="F262" s="83" t="str">
        <f t="shared" si="43"/>
        <v/>
      </c>
      <c r="G262" s="85"/>
      <c r="H262" s="83" t="str">
        <f t="shared" si="44"/>
        <v/>
      </c>
      <c r="I262" s="83" t="str">
        <f t="shared" si="45"/>
        <v/>
      </c>
      <c r="J262" s="69"/>
      <c r="K262" s="69"/>
      <c r="L262" s="78">
        <f t="shared" si="46"/>
        <v>0</v>
      </c>
      <c r="M262" s="67"/>
      <c r="O262" t="str">
        <f t="shared" si="47"/>
        <v/>
      </c>
      <c r="P262" t="str">
        <f t="shared" si="48"/>
        <v/>
      </c>
      <c r="Q262" t="str">
        <f t="shared" si="49"/>
        <v/>
      </c>
      <c r="R262" t="str">
        <f t="shared" si="50"/>
        <v/>
      </c>
      <c r="AB262" t="s">
        <v>906</v>
      </c>
      <c r="AC262" t="s">
        <v>907</v>
      </c>
      <c r="AD262" t="s">
        <v>300</v>
      </c>
      <c r="AE262" t="s">
        <v>301</v>
      </c>
      <c r="AF262" t="s">
        <v>268</v>
      </c>
      <c r="AG262" t="s">
        <v>302</v>
      </c>
    </row>
    <row r="263" spans="1:33">
      <c r="A263" s="83" t="str">
        <f>IF(C263="","",VLOOKUP('OPĆI DIO'!$C$3,'OPĆI DIO'!$L$6:$U$138,10,FALSE))</f>
        <v/>
      </c>
      <c r="B263" s="83" t="str">
        <f>IF(C263="","",VLOOKUP('OPĆI DIO'!$C$3,'OPĆI DIO'!$L$6:$U$138,9,FALSE))</f>
        <v/>
      </c>
      <c r="C263" s="84"/>
      <c r="D263" s="83" t="str">
        <f t="shared" si="42"/>
        <v/>
      </c>
      <c r="E263" s="84"/>
      <c r="F263" s="83" t="str">
        <f t="shared" si="43"/>
        <v/>
      </c>
      <c r="G263" s="85"/>
      <c r="H263" s="83" t="str">
        <f t="shared" si="44"/>
        <v/>
      </c>
      <c r="I263" s="83" t="str">
        <f t="shared" si="45"/>
        <v/>
      </c>
      <c r="J263" s="69"/>
      <c r="K263" s="69"/>
      <c r="L263" s="78">
        <f t="shared" si="46"/>
        <v>0</v>
      </c>
      <c r="M263" s="67"/>
      <c r="O263" t="str">
        <f t="shared" si="47"/>
        <v/>
      </c>
      <c r="P263" t="str">
        <f t="shared" si="48"/>
        <v/>
      </c>
      <c r="Q263" t="str">
        <f t="shared" si="49"/>
        <v/>
      </c>
      <c r="R263" t="str">
        <f t="shared" si="50"/>
        <v/>
      </c>
      <c r="AB263" t="s">
        <v>908</v>
      </c>
      <c r="AC263" t="s">
        <v>909</v>
      </c>
      <c r="AD263" t="s">
        <v>300</v>
      </c>
      <c r="AE263" t="s">
        <v>301</v>
      </c>
      <c r="AF263" t="s">
        <v>268</v>
      </c>
      <c r="AG263" t="s">
        <v>302</v>
      </c>
    </row>
    <row r="264" spans="1:33">
      <c r="A264" s="83" t="str">
        <f>IF(C264="","",VLOOKUP('OPĆI DIO'!$C$3,'OPĆI DIO'!$L$6:$U$138,10,FALSE))</f>
        <v/>
      </c>
      <c r="B264" s="83" t="str">
        <f>IF(C264="","",VLOOKUP('OPĆI DIO'!$C$3,'OPĆI DIO'!$L$6:$U$138,9,FALSE))</f>
        <v/>
      </c>
      <c r="C264" s="84"/>
      <c r="D264" s="83" t="str">
        <f t="shared" si="42"/>
        <v/>
      </c>
      <c r="E264" s="84"/>
      <c r="F264" s="83" t="str">
        <f t="shared" si="43"/>
        <v/>
      </c>
      <c r="G264" s="85"/>
      <c r="H264" s="83" t="str">
        <f t="shared" si="44"/>
        <v/>
      </c>
      <c r="I264" s="83" t="str">
        <f t="shared" si="45"/>
        <v/>
      </c>
      <c r="J264" s="69"/>
      <c r="K264" s="69"/>
      <c r="L264" s="78">
        <f t="shared" si="46"/>
        <v>0</v>
      </c>
      <c r="M264" s="67"/>
      <c r="O264" t="str">
        <f t="shared" si="47"/>
        <v/>
      </c>
      <c r="P264" t="str">
        <f t="shared" si="48"/>
        <v/>
      </c>
      <c r="Q264" t="str">
        <f t="shared" si="49"/>
        <v/>
      </c>
      <c r="R264" t="str">
        <f t="shared" si="50"/>
        <v/>
      </c>
      <c r="AB264" t="s">
        <v>910</v>
      </c>
      <c r="AC264" t="s">
        <v>911</v>
      </c>
      <c r="AD264" t="s">
        <v>300</v>
      </c>
      <c r="AE264" t="s">
        <v>301</v>
      </c>
      <c r="AF264" t="s">
        <v>268</v>
      </c>
      <c r="AG264" t="s">
        <v>302</v>
      </c>
    </row>
    <row r="265" spans="1:33">
      <c r="A265" s="83" t="str">
        <f>IF(C265="","",VLOOKUP('OPĆI DIO'!$C$3,'OPĆI DIO'!$L$6:$U$138,10,FALSE))</f>
        <v/>
      </c>
      <c r="B265" s="83" t="str">
        <f>IF(C265="","",VLOOKUP('OPĆI DIO'!$C$3,'OPĆI DIO'!$L$6:$U$138,9,FALSE))</f>
        <v/>
      </c>
      <c r="C265" s="84"/>
      <c r="D265" s="83" t="str">
        <f t="shared" si="42"/>
        <v/>
      </c>
      <c r="E265" s="84"/>
      <c r="F265" s="83" t="str">
        <f t="shared" si="43"/>
        <v/>
      </c>
      <c r="G265" s="85"/>
      <c r="H265" s="83" t="str">
        <f t="shared" si="44"/>
        <v/>
      </c>
      <c r="I265" s="83" t="str">
        <f t="shared" si="45"/>
        <v/>
      </c>
      <c r="J265" s="69"/>
      <c r="K265" s="69"/>
      <c r="L265" s="78">
        <f t="shared" si="46"/>
        <v>0</v>
      </c>
      <c r="M265" s="67"/>
      <c r="O265" t="str">
        <f t="shared" si="47"/>
        <v/>
      </c>
      <c r="P265" t="str">
        <f t="shared" si="48"/>
        <v/>
      </c>
      <c r="Q265" t="str">
        <f t="shared" si="49"/>
        <v/>
      </c>
      <c r="R265" t="str">
        <f t="shared" si="50"/>
        <v/>
      </c>
      <c r="AB265" t="s">
        <v>912</v>
      </c>
      <c r="AC265" t="s">
        <v>913</v>
      </c>
      <c r="AD265" t="s">
        <v>300</v>
      </c>
      <c r="AE265" t="s">
        <v>301</v>
      </c>
      <c r="AF265" t="s">
        <v>268</v>
      </c>
      <c r="AG265" t="s">
        <v>302</v>
      </c>
    </row>
    <row r="266" spans="1:33">
      <c r="A266" s="83" t="str">
        <f>IF(C266="","",VLOOKUP('OPĆI DIO'!$C$3,'OPĆI DIO'!$L$6:$U$138,10,FALSE))</f>
        <v/>
      </c>
      <c r="B266" s="83" t="str">
        <f>IF(C266="","",VLOOKUP('OPĆI DIO'!$C$3,'OPĆI DIO'!$L$6:$U$138,9,FALSE))</f>
        <v/>
      </c>
      <c r="C266" s="84"/>
      <c r="D266" s="83" t="str">
        <f t="shared" si="42"/>
        <v/>
      </c>
      <c r="E266" s="84"/>
      <c r="F266" s="83" t="str">
        <f t="shared" si="43"/>
        <v/>
      </c>
      <c r="G266" s="85"/>
      <c r="H266" s="83" t="str">
        <f t="shared" si="44"/>
        <v/>
      </c>
      <c r="I266" s="83" t="str">
        <f t="shared" si="45"/>
        <v/>
      </c>
      <c r="J266" s="69"/>
      <c r="K266" s="69"/>
      <c r="L266" s="78">
        <f t="shared" si="46"/>
        <v>0</v>
      </c>
      <c r="M266" s="67"/>
      <c r="O266" t="str">
        <f t="shared" si="47"/>
        <v/>
      </c>
      <c r="P266" t="str">
        <f t="shared" si="48"/>
        <v/>
      </c>
      <c r="Q266" t="str">
        <f t="shared" si="49"/>
        <v/>
      </c>
      <c r="R266" t="str">
        <f t="shared" si="50"/>
        <v/>
      </c>
      <c r="AB266" t="s">
        <v>914</v>
      </c>
      <c r="AC266" t="s">
        <v>915</v>
      </c>
      <c r="AD266" t="s">
        <v>300</v>
      </c>
      <c r="AE266" t="s">
        <v>301</v>
      </c>
      <c r="AF266" t="s">
        <v>268</v>
      </c>
      <c r="AG266" t="s">
        <v>302</v>
      </c>
    </row>
    <row r="267" spans="1:33">
      <c r="A267" s="83" t="str">
        <f>IF(C267="","",VLOOKUP('OPĆI DIO'!$C$3,'OPĆI DIO'!$L$6:$U$138,10,FALSE))</f>
        <v/>
      </c>
      <c r="B267" s="83" t="str">
        <f>IF(C267="","",VLOOKUP('OPĆI DIO'!$C$3,'OPĆI DIO'!$L$6:$U$138,9,FALSE))</f>
        <v/>
      </c>
      <c r="C267" s="84"/>
      <c r="D267" s="83" t="str">
        <f t="shared" si="42"/>
        <v/>
      </c>
      <c r="E267" s="84"/>
      <c r="F267" s="83" t="str">
        <f t="shared" si="43"/>
        <v/>
      </c>
      <c r="G267" s="85"/>
      <c r="H267" s="83" t="str">
        <f t="shared" si="44"/>
        <v/>
      </c>
      <c r="I267" s="83" t="str">
        <f t="shared" si="45"/>
        <v/>
      </c>
      <c r="J267" s="69"/>
      <c r="K267" s="69"/>
      <c r="L267" s="78">
        <f t="shared" si="46"/>
        <v>0</v>
      </c>
      <c r="M267" s="67"/>
      <c r="O267" t="str">
        <f t="shared" si="47"/>
        <v/>
      </c>
      <c r="P267" t="str">
        <f t="shared" si="48"/>
        <v/>
      </c>
      <c r="Q267" t="str">
        <f t="shared" si="49"/>
        <v/>
      </c>
      <c r="R267" t="str">
        <f t="shared" si="50"/>
        <v/>
      </c>
      <c r="AB267" t="s">
        <v>916</v>
      </c>
      <c r="AC267" t="s">
        <v>773</v>
      </c>
      <c r="AD267" t="s">
        <v>300</v>
      </c>
      <c r="AE267" t="s">
        <v>301</v>
      </c>
      <c r="AF267" t="s">
        <v>268</v>
      </c>
      <c r="AG267" t="s">
        <v>302</v>
      </c>
    </row>
    <row r="268" spans="1:33">
      <c r="A268" s="83" t="str">
        <f>IF(C268="","",VLOOKUP('OPĆI DIO'!$C$3,'OPĆI DIO'!$L$6:$U$138,10,FALSE))</f>
        <v/>
      </c>
      <c r="B268" s="83" t="str">
        <f>IF(C268="","",VLOOKUP('OPĆI DIO'!$C$3,'OPĆI DIO'!$L$6:$U$138,9,FALSE))</f>
        <v/>
      </c>
      <c r="C268" s="84"/>
      <c r="D268" s="83" t="str">
        <f t="shared" si="42"/>
        <v/>
      </c>
      <c r="E268" s="84"/>
      <c r="F268" s="83" t="str">
        <f t="shared" si="43"/>
        <v/>
      </c>
      <c r="G268" s="85"/>
      <c r="H268" s="83" t="str">
        <f t="shared" si="44"/>
        <v/>
      </c>
      <c r="I268" s="83" t="str">
        <f t="shared" si="45"/>
        <v/>
      </c>
      <c r="J268" s="69"/>
      <c r="K268" s="69"/>
      <c r="L268" s="78">
        <f t="shared" si="46"/>
        <v>0</v>
      </c>
      <c r="M268" s="67"/>
      <c r="O268" t="str">
        <f t="shared" si="47"/>
        <v/>
      </c>
      <c r="P268" t="str">
        <f t="shared" si="48"/>
        <v/>
      </c>
      <c r="Q268" t="str">
        <f t="shared" si="49"/>
        <v/>
      </c>
      <c r="R268" t="str">
        <f t="shared" si="50"/>
        <v/>
      </c>
      <c r="AB268" t="s">
        <v>917</v>
      </c>
      <c r="AC268" t="s">
        <v>918</v>
      </c>
      <c r="AD268" t="s">
        <v>280</v>
      </c>
      <c r="AE268" t="s">
        <v>281</v>
      </c>
      <c r="AF268" t="s">
        <v>268</v>
      </c>
      <c r="AG268" t="s">
        <v>282</v>
      </c>
    </row>
    <row r="269" spans="1:33">
      <c r="A269" s="83" t="str">
        <f>IF(C269="","",VLOOKUP('OPĆI DIO'!$C$3,'OPĆI DIO'!$L$6:$U$138,10,FALSE))</f>
        <v/>
      </c>
      <c r="B269" s="83" t="str">
        <f>IF(C269="","",VLOOKUP('OPĆI DIO'!$C$3,'OPĆI DIO'!$L$6:$U$138,9,FALSE))</f>
        <v/>
      </c>
      <c r="C269" s="84"/>
      <c r="D269" s="83" t="str">
        <f t="shared" si="42"/>
        <v/>
      </c>
      <c r="E269" s="84"/>
      <c r="F269" s="83" t="str">
        <f t="shared" si="43"/>
        <v/>
      </c>
      <c r="G269" s="85"/>
      <c r="H269" s="83" t="str">
        <f t="shared" si="44"/>
        <v/>
      </c>
      <c r="I269" s="83" t="str">
        <f t="shared" si="45"/>
        <v/>
      </c>
      <c r="J269" s="69"/>
      <c r="K269" s="69"/>
      <c r="L269" s="78">
        <f t="shared" si="46"/>
        <v>0</v>
      </c>
      <c r="M269" s="67"/>
      <c r="O269" t="str">
        <f t="shared" si="47"/>
        <v/>
      </c>
      <c r="P269" t="str">
        <f t="shared" si="48"/>
        <v/>
      </c>
      <c r="Q269" t="str">
        <f t="shared" si="49"/>
        <v/>
      </c>
      <c r="R269" t="str">
        <f t="shared" si="50"/>
        <v/>
      </c>
      <c r="AB269" t="s">
        <v>919</v>
      </c>
      <c r="AC269" t="s">
        <v>920</v>
      </c>
      <c r="AD269" t="s">
        <v>280</v>
      </c>
      <c r="AE269" t="s">
        <v>281</v>
      </c>
      <c r="AF269" t="s">
        <v>268</v>
      </c>
      <c r="AG269" t="s">
        <v>282</v>
      </c>
    </row>
    <row r="270" spans="1:33">
      <c r="A270" s="83" t="str">
        <f>IF(C270="","",VLOOKUP('OPĆI DIO'!$C$3,'OPĆI DIO'!$L$6:$U$138,10,FALSE))</f>
        <v/>
      </c>
      <c r="B270" s="83" t="str">
        <f>IF(C270="","",VLOOKUP('OPĆI DIO'!$C$3,'OPĆI DIO'!$L$6:$U$138,9,FALSE))</f>
        <v/>
      </c>
      <c r="C270" s="84"/>
      <c r="D270" s="83" t="str">
        <f t="shared" si="42"/>
        <v/>
      </c>
      <c r="E270" s="84"/>
      <c r="F270" s="83" t="str">
        <f t="shared" si="43"/>
        <v/>
      </c>
      <c r="G270" s="85"/>
      <c r="H270" s="83" t="str">
        <f t="shared" si="44"/>
        <v/>
      </c>
      <c r="I270" s="83" t="str">
        <f t="shared" si="45"/>
        <v/>
      </c>
      <c r="J270" s="69"/>
      <c r="K270" s="69"/>
      <c r="L270" s="78">
        <f t="shared" si="46"/>
        <v>0</v>
      </c>
      <c r="M270" s="67"/>
      <c r="O270" t="str">
        <f t="shared" si="47"/>
        <v/>
      </c>
      <c r="P270" t="str">
        <f t="shared" si="48"/>
        <v/>
      </c>
      <c r="Q270" t="str">
        <f t="shared" si="49"/>
        <v/>
      </c>
      <c r="R270" t="str">
        <f t="shared" si="50"/>
        <v/>
      </c>
      <c r="AB270" t="s">
        <v>921</v>
      </c>
      <c r="AC270" t="s">
        <v>922</v>
      </c>
      <c r="AD270" t="s">
        <v>280</v>
      </c>
      <c r="AE270" t="s">
        <v>281</v>
      </c>
      <c r="AF270" t="s">
        <v>268</v>
      </c>
      <c r="AG270" t="s">
        <v>282</v>
      </c>
    </row>
    <row r="271" spans="1:33">
      <c r="A271" s="83" t="str">
        <f>IF(C271="","",VLOOKUP('OPĆI DIO'!$C$3,'OPĆI DIO'!$L$6:$U$138,10,FALSE))</f>
        <v/>
      </c>
      <c r="B271" s="83" t="str">
        <f>IF(C271="","",VLOOKUP('OPĆI DIO'!$C$3,'OPĆI DIO'!$L$6:$U$138,9,FALSE))</f>
        <v/>
      </c>
      <c r="C271" s="84"/>
      <c r="D271" s="83" t="str">
        <f t="shared" si="42"/>
        <v/>
      </c>
      <c r="E271" s="84"/>
      <c r="F271" s="83" t="str">
        <f t="shared" si="43"/>
        <v/>
      </c>
      <c r="G271" s="85"/>
      <c r="H271" s="83" t="str">
        <f t="shared" si="44"/>
        <v/>
      </c>
      <c r="I271" s="83" t="str">
        <f t="shared" si="45"/>
        <v/>
      </c>
      <c r="J271" s="69"/>
      <c r="K271" s="69"/>
      <c r="L271" s="78">
        <f t="shared" si="46"/>
        <v>0</v>
      </c>
      <c r="M271" s="67"/>
      <c r="O271" t="str">
        <f t="shared" si="47"/>
        <v/>
      </c>
      <c r="P271" t="str">
        <f t="shared" si="48"/>
        <v/>
      </c>
      <c r="Q271" t="str">
        <f t="shared" si="49"/>
        <v/>
      </c>
      <c r="R271" t="str">
        <f t="shared" si="50"/>
        <v/>
      </c>
      <c r="AB271" t="s">
        <v>923</v>
      </c>
      <c r="AC271" t="s">
        <v>924</v>
      </c>
      <c r="AD271" t="s">
        <v>280</v>
      </c>
      <c r="AE271" t="s">
        <v>281</v>
      </c>
      <c r="AF271" t="s">
        <v>268</v>
      </c>
      <c r="AG271" t="s">
        <v>282</v>
      </c>
    </row>
    <row r="272" spans="1:33">
      <c r="A272" s="83" t="str">
        <f>IF(C272="","",VLOOKUP('OPĆI DIO'!$C$3,'OPĆI DIO'!$L$6:$U$138,10,FALSE))</f>
        <v/>
      </c>
      <c r="B272" s="83" t="str">
        <f>IF(C272="","",VLOOKUP('OPĆI DIO'!$C$3,'OPĆI DIO'!$L$6:$U$138,9,FALSE))</f>
        <v/>
      </c>
      <c r="C272" s="84"/>
      <c r="D272" s="83" t="str">
        <f t="shared" si="42"/>
        <v/>
      </c>
      <c r="E272" s="84"/>
      <c r="F272" s="83" t="str">
        <f t="shared" si="43"/>
        <v/>
      </c>
      <c r="G272" s="85"/>
      <c r="H272" s="83" t="str">
        <f t="shared" si="44"/>
        <v/>
      </c>
      <c r="I272" s="83" t="str">
        <f t="shared" si="45"/>
        <v/>
      </c>
      <c r="J272" s="69"/>
      <c r="K272" s="69"/>
      <c r="L272" s="78">
        <f t="shared" si="46"/>
        <v>0</v>
      </c>
      <c r="M272" s="67"/>
      <c r="O272" t="str">
        <f t="shared" si="47"/>
        <v/>
      </c>
      <c r="P272" t="str">
        <f t="shared" si="48"/>
        <v/>
      </c>
      <c r="Q272" t="str">
        <f t="shared" si="49"/>
        <v/>
      </c>
      <c r="R272" t="str">
        <f t="shared" si="50"/>
        <v/>
      </c>
      <c r="AB272" t="s">
        <v>925</v>
      </c>
      <c r="AC272" t="s">
        <v>926</v>
      </c>
      <c r="AD272" t="s">
        <v>280</v>
      </c>
      <c r="AE272" t="s">
        <v>281</v>
      </c>
      <c r="AF272" t="s">
        <v>268</v>
      </c>
      <c r="AG272" t="s">
        <v>282</v>
      </c>
    </row>
    <row r="273" spans="1:33">
      <c r="A273" s="83" t="str">
        <f>IF(C273="","",VLOOKUP('OPĆI DIO'!$C$3,'OPĆI DIO'!$L$6:$U$138,10,FALSE))</f>
        <v/>
      </c>
      <c r="B273" s="83" t="str">
        <f>IF(C273="","",VLOOKUP('OPĆI DIO'!$C$3,'OPĆI DIO'!$L$6:$U$138,9,FALSE))</f>
        <v/>
      </c>
      <c r="C273" s="84"/>
      <c r="D273" s="83" t="str">
        <f t="shared" si="42"/>
        <v/>
      </c>
      <c r="E273" s="84"/>
      <c r="F273" s="83" t="str">
        <f t="shared" si="43"/>
        <v/>
      </c>
      <c r="G273" s="85"/>
      <c r="H273" s="83" t="str">
        <f t="shared" si="44"/>
        <v/>
      </c>
      <c r="I273" s="83" t="str">
        <f t="shared" si="45"/>
        <v/>
      </c>
      <c r="J273" s="69"/>
      <c r="K273" s="69"/>
      <c r="L273" s="78">
        <f t="shared" si="46"/>
        <v>0</v>
      </c>
      <c r="M273" s="67"/>
      <c r="O273" t="str">
        <f t="shared" si="47"/>
        <v/>
      </c>
      <c r="P273" t="str">
        <f t="shared" si="48"/>
        <v/>
      </c>
      <c r="Q273" t="str">
        <f t="shared" si="49"/>
        <v/>
      </c>
      <c r="R273" t="str">
        <f t="shared" si="50"/>
        <v/>
      </c>
      <c r="AB273" t="s">
        <v>927</v>
      </c>
      <c r="AC273" t="s">
        <v>928</v>
      </c>
      <c r="AD273" t="s">
        <v>280</v>
      </c>
      <c r="AE273" t="s">
        <v>281</v>
      </c>
      <c r="AF273" t="s">
        <v>268</v>
      </c>
      <c r="AG273" t="s">
        <v>282</v>
      </c>
    </row>
    <row r="274" spans="1:33">
      <c r="A274" s="83" t="str">
        <f>IF(C274="","",VLOOKUP('OPĆI DIO'!$C$3,'OPĆI DIO'!$L$6:$U$138,10,FALSE))</f>
        <v/>
      </c>
      <c r="B274" s="83" t="str">
        <f>IF(C274="","",VLOOKUP('OPĆI DIO'!$C$3,'OPĆI DIO'!$L$6:$U$138,9,FALSE))</f>
        <v/>
      </c>
      <c r="C274" s="84"/>
      <c r="D274" s="83" t="str">
        <f t="shared" si="42"/>
        <v/>
      </c>
      <c r="E274" s="84"/>
      <c r="F274" s="83" t="str">
        <f t="shared" si="43"/>
        <v/>
      </c>
      <c r="G274" s="85"/>
      <c r="H274" s="83" t="str">
        <f t="shared" si="44"/>
        <v/>
      </c>
      <c r="I274" s="83" t="str">
        <f t="shared" si="45"/>
        <v/>
      </c>
      <c r="J274" s="69"/>
      <c r="K274" s="69"/>
      <c r="L274" s="78">
        <f t="shared" si="46"/>
        <v>0</v>
      </c>
      <c r="M274" s="67"/>
      <c r="O274" t="str">
        <f t="shared" si="47"/>
        <v/>
      </c>
      <c r="P274" t="str">
        <f t="shared" si="48"/>
        <v/>
      </c>
      <c r="Q274" t="str">
        <f t="shared" si="49"/>
        <v/>
      </c>
      <c r="R274" t="str">
        <f t="shared" si="50"/>
        <v/>
      </c>
      <c r="AB274" t="s">
        <v>929</v>
      </c>
      <c r="AC274" t="s">
        <v>930</v>
      </c>
      <c r="AD274" t="s">
        <v>280</v>
      </c>
      <c r="AE274" t="s">
        <v>281</v>
      </c>
      <c r="AF274" t="s">
        <v>268</v>
      </c>
      <c r="AG274" t="s">
        <v>282</v>
      </c>
    </row>
    <row r="275" spans="1:33">
      <c r="A275" s="83" t="str">
        <f>IF(C275="","",VLOOKUP('OPĆI DIO'!$C$3,'OPĆI DIO'!$L$6:$U$138,10,FALSE))</f>
        <v/>
      </c>
      <c r="B275" s="83" t="str">
        <f>IF(C275="","",VLOOKUP('OPĆI DIO'!$C$3,'OPĆI DIO'!$L$6:$U$138,9,FALSE))</f>
        <v/>
      </c>
      <c r="C275" s="84"/>
      <c r="D275" s="83" t="str">
        <f t="shared" si="42"/>
        <v/>
      </c>
      <c r="E275" s="84"/>
      <c r="F275" s="83" t="str">
        <f t="shared" si="43"/>
        <v/>
      </c>
      <c r="G275" s="85"/>
      <c r="H275" s="83" t="str">
        <f t="shared" si="44"/>
        <v/>
      </c>
      <c r="I275" s="83" t="str">
        <f t="shared" si="45"/>
        <v/>
      </c>
      <c r="J275" s="69"/>
      <c r="K275" s="69"/>
      <c r="L275" s="78">
        <f t="shared" si="46"/>
        <v>0</v>
      </c>
      <c r="M275" s="67"/>
      <c r="O275" t="str">
        <f t="shared" si="47"/>
        <v/>
      </c>
      <c r="P275" t="str">
        <f t="shared" si="48"/>
        <v/>
      </c>
      <c r="Q275" t="str">
        <f t="shared" si="49"/>
        <v/>
      </c>
      <c r="R275" t="str">
        <f t="shared" si="50"/>
        <v/>
      </c>
      <c r="AB275" t="s">
        <v>931</v>
      </c>
      <c r="AC275" t="s">
        <v>932</v>
      </c>
      <c r="AD275" t="s">
        <v>280</v>
      </c>
      <c r="AE275" t="s">
        <v>281</v>
      </c>
      <c r="AF275" t="s">
        <v>268</v>
      </c>
      <c r="AG275" t="s">
        <v>282</v>
      </c>
    </row>
    <row r="276" spans="1:33">
      <c r="A276" s="83" t="str">
        <f>IF(C276="","",VLOOKUP('OPĆI DIO'!$C$3,'OPĆI DIO'!$L$6:$U$138,10,FALSE))</f>
        <v/>
      </c>
      <c r="B276" s="83" t="str">
        <f>IF(C276="","",VLOOKUP('OPĆI DIO'!$C$3,'OPĆI DIO'!$L$6:$U$138,9,FALSE))</f>
        <v/>
      </c>
      <c r="C276" s="84"/>
      <c r="D276" s="83" t="str">
        <f t="shared" si="42"/>
        <v/>
      </c>
      <c r="E276" s="84"/>
      <c r="F276" s="83" t="str">
        <f t="shared" si="43"/>
        <v/>
      </c>
      <c r="G276" s="85"/>
      <c r="H276" s="83" t="str">
        <f t="shared" si="44"/>
        <v/>
      </c>
      <c r="I276" s="83" t="str">
        <f t="shared" si="45"/>
        <v/>
      </c>
      <c r="J276" s="69"/>
      <c r="K276" s="69"/>
      <c r="L276" s="78">
        <f t="shared" si="46"/>
        <v>0</v>
      </c>
      <c r="M276" s="67"/>
      <c r="O276" t="str">
        <f t="shared" si="47"/>
        <v/>
      </c>
      <c r="P276" t="str">
        <f t="shared" si="48"/>
        <v/>
      </c>
      <c r="Q276" t="str">
        <f t="shared" si="49"/>
        <v/>
      </c>
      <c r="R276" t="str">
        <f t="shared" si="50"/>
        <v/>
      </c>
      <c r="AB276" t="s">
        <v>933</v>
      </c>
      <c r="AC276" t="s">
        <v>934</v>
      </c>
      <c r="AD276" t="s">
        <v>280</v>
      </c>
      <c r="AE276" t="s">
        <v>281</v>
      </c>
      <c r="AF276" t="s">
        <v>268</v>
      </c>
      <c r="AG276" t="s">
        <v>282</v>
      </c>
    </row>
    <row r="277" spans="1:33">
      <c r="A277" s="83" t="str">
        <f>IF(C277="","",VLOOKUP('OPĆI DIO'!$C$3,'OPĆI DIO'!$L$6:$U$138,10,FALSE))</f>
        <v/>
      </c>
      <c r="B277" s="83" t="str">
        <f>IF(C277="","",VLOOKUP('OPĆI DIO'!$C$3,'OPĆI DIO'!$L$6:$U$138,9,FALSE))</f>
        <v/>
      </c>
      <c r="C277" s="84"/>
      <c r="D277" s="83" t="str">
        <f t="shared" si="42"/>
        <v/>
      </c>
      <c r="E277" s="84"/>
      <c r="F277" s="83" t="str">
        <f t="shared" si="43"/>
        <v/>
      </c>
      <c r="G277" s="85"/>
      <c r="H277" s="83" t="str">
        <f t="shared" si="44"/>
        <v/>
      </c>
      <c r="I277" s="83" t="str">
        <f t="shared" si="45"/>
        <v/>
      </c>
      <c r="J277" s="69"/>
      <c r="K277" s="69"/>
      <c r="L277" s="78">
        <f t="shared" si="46"/>
        <v>0</v>
      </c>
      <c r="M277" s="67"/>
      <c r="O277" t="str">
        <f t="shared" si="47"/>
        <v/>
      </c>
      <c r="P277" t="str">
        <f t="shared" si="48"/>
        <v/>
      </c>
      <c r="Q277" t="str">
        <f t="shared" si="49"/>
        <v/>
      </c>
      <c r="R277" t="str">
        <f t="shared" si="50"/>
        <v/>
      </c>
      <c r="AB277" t="s">
        <v>935</v>
      </c>
      <c r="AC277" t="s">
        <v>936</v>
      </c>
      <c r="AD277" t="s">
        <v>280</v>
      </c>
      <c r="AE277" t="s">
        <v>281</v>
      </c>
      <c r="AF277" t="s">
        <v>268</v>
      </c>
      <c r="AG277" t="s">
        <v>282</v>
      </c>
    </row>
    <row r="278" spans="1:33">
      <c r="A278" s="83" t="str">
        <f>IF(C278="","",VLOOKUP('OPĆI DIO'!$C$3,'OPĆI DIO'!$L$6:$U$138,10,FALSE))</f>
        <v/>
      </c>
      <c r="B278" s="83" t="str">
        <f>IF(C278="","",VLOOKUP('OPĆI DIO'!$C$3,'OPĆI DIO'!$L$6:$U$138,9,FALSE))</f>
        <v/>
      </c>
      <c r="C278" s="84"/>
      <c r="D278" s="83" t="str">
        <f t="shared" si="42"/>
        <v/>
      </c>
      <c r="E278" s="84"/>
      <c r="F278" s="83" t="str">
        <f t="shared" si="43"/>
        <v/>
      </c>
      <c r="G278" s="85"/>
      <c r="H278" s="83" t="str">
        <f t="shared" si="44"/>
        <v/>
      </c>
      <c r="I278" s="83" t="str">
        <f t="shared" si="45"/>
        <v/>
      </c>
      <c r="J278" s="69"/>
      <c r="K278" s="69"/>
      <c r="L278" s="78">
        <f t="shared" si="46"/>
        <v>0</v>
      </c>
      <c r="M278" s="67"/>
      <c r="O278" t="str">
        <f t="shared" si="47"/>
        <v/>
      </c>
      <c r="P278" t="str">
        <f t="shared" si="48"/>
        <v/>
      </c>
      <c r="Q278" t="str">
        <f t="shared" si="49"/>
        <v/>
      </c>
      <c r="R278" t="str">
        <f t="shared" si="50"/>
        <v/>
      </c>
      <c r="AB278" t="s">
        <v>937</v>
      </c>
      <c r="AC278" t="s">
        <v>938</v>
      </c>
      <c r="AD278" t="s">
        <v>280</v>
      </c>
      <c r="AE278" t="s">
        <v>281</v>
      </c>
      <c r="AF278" t="s">
        <v>268</v>
      </c>
      <c r="AG278" t="s">
        <v>282</v>
      </c>
    </row>
    <row r="279" spans="1:33">
      <c r="A279" s="83" t="str">
        <f>IF(C279="","",VLOOKUP('OPĆI DIO'!$C$3,'OPĆI DIO'!$L$6:$U$138,10,FALSE))</f>
        <v/>
      </c>
      <c r="B279" s="83" t="str">
        <f>IF(C279="","",VLOOKUP('OPĆI DIO'!$C$3,'OPĆI DIO'!$L$6:$U$138,9,FALSE))</f>
        <v/>
      </c>
      <c r="C279" s="84"/>
      <c r="D279" s="83" t="str">
        <f t="shared" si="42"/>
        <v/>
      </c>
      <c r="E279" s="84"/>
      <c r="F279" s="83" t="str">
        <f t="shared" si="43"/>
        <v/>
      </c>
      <c r="G279" s="85"/>
      <c r="H279" s="83" t="str">
        <f t="shared" si="44"/>
        <v/>
      </c>
      <c r="I279" s="83" t="str">
        <f t="shared" si="45"/>
        <v/>
      </c>
      <c r="J279" s="69"/>
      <c r="K279" s="69"/>
      <c r="L279" s="78">
        <f t="shared" si="46"/>
        <v>0</v>
      </c>
      <c r="M279" s="67"/>
      <c r="O279" t="str">
        <f t="shared" si="47"/>
        <v/>
      </c>
      <c r="P279" t="str">
        <f t="shared" si="48"/>
        <v/>
      </c>
      <c r="Q279" t="str">
        <f t="shared" si="49"/>
        <v/>
      </c>
      <c r="R279" t="str">
        <f t="shared" si="50"/>
        <v/>
      </c>
      <c r="AB279" t="s">
        <v>939</v>
      </c>
      <c r="AC279" t="s">
        <v>940</v>
      </c>
      <c r="AD279" t="s">
        <v>280</v>
      </c>
      <c r="AE279" t="s">
        <v>281</v>
      </c>
      <c r="AF279" t="s">
        <v>268</v>
      </c>
      <c r="AG279" t="s">
        <v>282</v>
      </c>
    </row>
    <row r="280" spans="1:33">
      <c r="A280" s="83" t="str">
        <f>IF(C280="","",VLOOKUP('OPĆI DIO'!$C$3,'OPĆI DIO'!$L$6:$U$138,10,FALSE))</f>
        <v/>
      </c>
      <c r="B280" s="83" t="str">
        <f>IF(C280="","",VLOOKUP('OPĆI DIO'!$C$3,'OPĆI DIO'!$L$6:$U$138,9,FALSE))</f>
        <v/>
      </c>
      <c r="C280" s="84"/>
      <c r="D280" s="83" t="str">
        <f t="shared" si="42"/>
        <v/>
      </c>
      <c r="E280" s="84"/>
      <c r="F280" s="83" t="str">
        <f t="shared" si="43"/>
        <v/>
      </c>
      <c r="G280" s="85"/>
      <c r="H280" s="83" t="str">
        <f t="shared" si="44"/>
        <v/>
      </c>
      <c r="I280" s="83" t="str">
        <f t="shared" si="45"/>
        <v/>
      </c>
      <c r="J280" s="69"/>
      <c r="K280" s="69"/>
      <c r="L280" s="78">
        <f t="shared" si="46"/>
        <v>0</v>
      </c>
      <c r="M280" s="67"/>
      <c r="O280" t="str">
        <f t="shared" si="47"/>
        <v/>
      </c>
      <c r="P280" t="str">
        <f t="shared" si="48"/>
        <v/>
      </c>
      <c r="Q280" t="str">
        <f t="shared" si="49"/>
        <v/>
      </c>
      <c r="R280" t="str">
        <f t="shared" si="50"/>
        <v/>
      </c>
      <c r="AB280" t="s">
        <v>941</v>
      </c>
      <c r="AC280" t="s">
        <v>942</v>
      </c>
      <c r="AD280" t="s">
        <v>280</v>
      </c>
      <c r="AE280" t="s">
        <v>281</v>
      </c>
      <c r="AF280" t="s">
        <v>268</v>
      </c>
      <c r="AG280" t="s">
        <v>282</v>
      </c>
    </row>
    <row r="281" spans="1:33">
      <c r="A281" s="83" t="str">
        <f>IF(C281="","",VLOOKUP('OPĆI DIO'!$C$3,'OPĆI DIO'!$L$6:$U$138,10,FALSE))</f>
        <v/>
      </c>
      <c r="B281" s="83" t="str">
        <f>IF(C281="","",VLOOKUP('OPĆI DIO'!$C$3,'OPĆI DIO'!$L$6:$U$138,9,FALSE))</f>
        <v/>
      </c>
      <c r="C281" s="84"/>
      <c r="D281" s="83" t="str">
        <f t="shared" si="42"/>
        <v/>
      </c>
      <c r="E281" s="84"/>
      <c r="F281" s="83" t="str">
        <f t="shared" si="43"/>
        <v/>
      </c>
      <c r="G281" s="85"/>
      <c r="H281" s="83" t="str">
        <f t="shared" si="44"/>
        <v/>
      </c>
      <c r="I281" s="83" t="str">
        <f t="shared" si="45"/>
        <v/>
      </c>
      <c r="J281" s="69"/>
      <c r="K281" s="69"/>
      <c r="L281" s="78">
        <f t="shared" si="46"/>
        <v>0</v>
      </c>
      <c r="M281" s="67"/>
      <c r="O281" t="str">
        <f t="shared" si="47"/>
        <v/>
      </c>
      <c r="P281" t="str">
        <f t="shared" si="48"/>
        <v/>
      </c>
      <c r="Q281" t="str">
        <f t="shared" si="49"/>
        <v/>
      </c>
      <c r="R281" t="str">
        <f t="shared" si="50"/>
        <v/>
      </c>
      <c r="AB281" t="s">
        <v>943</v>
      </c>
      <c r="AC281" t="s">
        <v>944</v>
      </c>
      <c r="AD281" t="s">
        <v>280</v>
      </c>
      <c r="AE281" t="s">
        <v>281</v>
      </c>
      <c r="AF281" t="s">
        <v>268</v>
      </c>
      <c r="AG281" t="s">
        <v>282</v>
      </c>
    </row>
    <row r="282" spans="1:33">
      <c r="A282" s="83" t="str">
        <f>IF(C282="","",VLOOKUP('OPĆI DIO'!$C$3,'OPĆI DIO'!$L$6:$U$138,10,FALSE))</f>
        <v/>
      </c>
      <c r="B282" s="83" t="str">
        <f>IF(C282="","",VLOOKUP('OPĆI DIO'!$C$3,'OPĆI DIO'!$L$6:$U$138,9,FALSE))</f>
        <v/>
      </c>
      <c r="C282" s="84"/>
      <c r="D282" s="83" t="str">
        <f t="shared" si="42"/>
        <v/>
      </c>
      <c r="E282" s="84"/>
      <c r="F282" s="83" t="str">
        <f t="shared" si="43"/>
        <v/>
      </c>
      <c r="G282" s="85"/>
      <c r="H282" s="83" t="str">
        <f t="shared" si="44"/>
        <v/>
      </c>
      <c r="I282" s="83" t="str">
        <f t="shared" si="45"/>
        <v/>
      </c>
      <c r="J282" s="69"/>
      <c r="K282" s="69"/>
      <c r="L282" s="78">
        <f t="shared" si="46"/>
        <v>0</v>
      </c>
      <c r="M282" s="67"/>
      <c r="O282" t="str">
        <f t="shared" si="47"/>
        <v/>
      </c>
      <c r="P282" t="str">
        <f t="shared" si="48"/>
        <v/>
      </c>
      <c r="Q282" t="str">
        <f t="shared" si="49"/>
        <v/>
      </c>
      <c r="R282" t="str">
        <f t="shared" si="50"/>
        <v/>
      </c>
      <c r="AB282" t="s">
        <v>945</v>
      </c>
      <c r="AC282" t="s">
        <v>946</v>
      </c>
      <c r="AD282" t="s">
        <v>280</v>
      </c>
      <c r="AE282" t="s">
        <v>281</v>
      </c>
      <c r="AF282" t="s">
        <v>268</v>
      </c>
      <c r="AG282" t="s">
        <v>282</v>
      </c>
    </row>
    <row r="283" spans="1:33">
      <c r="A283" s="83" t="str">
        <f>IF(C283="","",VLOOKUP('OPĆI DIO'!$C$3,'OPĆI DIO'!$L$6:$U$138,10,FALSE))</f>
        <v/>
      </c>
      <c r="B283" s="83" t="str">
        <f>IF(C283="","",VLOOKUP('OPĆI DIO'!$C$3,'OPĆI DIO'!$L$6:$U$138,9,FALSE))</f>
        <v/>
      </c>
      <c r="C283" s="84"/>
      <c r="D283" s="83" t="str">
        <f t="shared" si="42"/>
        <v/>
      </c>
      <c r="E283" s="84"/>
      <c r="F283" s="83" t="str">
        <f t="shared" si="43"/>
        <v/>
      </c>
      <c r="G283" s="85"/>
      <c r="H283" s="83" t="str">
        <f t="shared" si="44"/>
        <v/>
      </c>
      <c r="I283" s="83" t="str">
        <f t="shared" si="45"/>
        <v/>
      </c>
      <c r="J283" s="69"/>
      <c r="K283" s="69"/>
      <c r="L283" s="78">
        <f t="shared" si="46"/>
        <v>0</v>
      </c>
      <c r="M283" s="67"/>
      <c r="O283" t="str">
        <f t="shared" si="47"/>
        <v/>
      </c>
      <c r="P283" t="str">
        <f t="shared" si="48"/>
        <v/>
      </c>
      <c r="Q283" t="str">
        <f t="shared" si="49"/>
        <v/>
      </c>
      <c r="R283" t="str">
        <f t="shared" si="50"/>
        <v/>
      </c>
      <c r="AB283" t="s">
        <v>947</v>
      </c>
      <c r="AC283" t="s">
        <v>948</v>
      </c>
      <c r="AD283" t="s">
        <v>280</v>
      </c>
      <c r="AE283" t="s">
        <v>281</v>
      </c>
      <c r="AF283" t="s">
        <v>268</v>
      </c>
      <c r="AG283" t="s">
        <v>282</v>
      </c>
    </row>
    <row r="284" spans="1:33">
      <c r="A284" s="83" t="str">
        <f>IF(C284="","",VLOOKUP('OPĆI DIO'!$C$3,'OPĆI DIO'!$L$6:$U$138,10,FALSE))</f>
        <v/>
      </c>
      <c r="B284" s="83" t="str">
        <f>IF(C284="","",VLOOKUP('OPĆI DIO'!$C$3,'OPĆI DIO'!$L$6:$U$138,9,FALSE))</f>
        <v/>
      </c>
      <c r="C284" s="84"/>
      <c r="D284" s="83" t="str">
        <f t="shared" si="42"/>
        <v/>
      </c>
      <c r="E284" s="84"/>
      <c r="F284" s="83" t="str">
        <f t="shared" si="43"/>
        <v/>
      </c>
      <c r="G284" s="85"/>
      <c r="H284" s="83" t="str">
        <f t="shared" si="44"/>
        <v/>
      </c>
      <c r="I284" s="83" t="str">
        <f t="shared" si="45"/>
        <v/>
      </c>
      <c r="J284" s="69"/>
      <c r="K284" s="69"/>
      <c r="L284" s="78">
        <f t="shared" si="46"/>
        <v>0</v>
      </c>
      <c r="M284" s="67"/>
      <c r="O284" t="str">
        <f t="shared" si="47"/>
        <v/>
      </c>
      <c r="P284" t="str">
        <f t="shared" si="48"/>
        <v/>
      </c>
      <c r="Q284" t="str">
        <f t="shared" si="49"/>
        <v/>
      </c>
      <c r="R284" t="str">
        <f t="shared" si="50"/>
        <v/>
      </c>
      <c r="AB284" t="s">
        <v>949</v>
      </c>
      <c r="AC284" t="s">
        <v>950</v>
      </c>
      <c r="AD284" t="s">
        <v>280</v>
      </c>
      <c r="AE284" t="s">
        <v>281</v>
      </c>
      <c r="AF284" t="s">
        <v>268</v>
      </c>
      <c r="AG284" t="s">
        <v>282</v>
      </c>
    </row>
    <row r="285" spans="1:33">
      <c r="A285" s="83" t="str">
        <f>IF(C285="","",VLOOKUP('OPĆI DIO'!$C$3,'OPĆI DIO'!$L$6:$U$138,10,FALSE))</f>
        <v/>
      </c>
      <c r="B285" s="83" t="str">
        <f>IF(C285="","",VLOOKUP('OPĆI DIO'!$C$3,'OPĆI DIO'!$L$6:$U$138,9,FALSE))</f>
        <v/>
      </c>
      <c r="C285" s="84"/>
      <c r="D285" s="83" t="str">
        <f t="shared" si="42"/>
        <v/>
      </c>
      <c r="E285" s="84"/>
      <c r="F285" s="83" t="str">
        <f t="shared" si="43"/>
        <v/>
      </c>
      <c r="G285" s="85"/>
      <c r="H285" s="83" t="str">
        <f t="shared" si="44"/>
        <v/>
      </c>
      <c r="I285" s="83" t="str">
        <f t="shared" si="45"/>
        <v/>
      </c>
      <c r="J285" s="69"/>
      <c r="K285" s="69"/>
      <c r="L285" s="78">
        <f t="shared" si="46"/>
        <v>0</v>
      </c>
      <c r="M285" s="67"/>
      <c r="O285" t="str">
        <f t="shared" si="47"/>
        <v/>
      </c>
      <c r="P285" t="str">
        <f t="shared" si="48"/>
        <v/>
      </c>
      <c r="Q285" t="str">
        <f t="shared" si="49"/>
        <v/>
      </c>
      <c r="R285" t="str">
        <f t="shared" si="50"/>
        <v/>
      </c>
      <c r="AB285" t="s">
        <v>951</v>
      </c>
      <c r="AC285" t="s">
        <v>952</v>
      </c>
      <c r="AD285" t="s">
        <v>280</v>
      </c>
      <c r="AE285" t="s">
        <v>281</v>
      </c>
      <c r="AF285" t="s">
        <v>268</v>
      </c>
      <c r="AG285" t="s">
        <v>282</v>
      </c>
    </row>
    <row r="286" spans="1:33">
      <c r="A286" s="83" t="str">
        <f>IF(C286="","",VLOOKUP('OPĆI DIO'!$C$3,'OPĆI DIO'!$L$6:$U$138,10,FALSE))</f>
        <v/>
      </c>
      <c r="B286" s="83" t="str">
        <f>IF(C286="","",VLOOKUP('OPĆI DIO'!$C$3,'OPĆI DIO'!$L$6:$U$138,9,FALSE))</f>
        <v/>
      </c>
      <c r="C286" s="84"/>
      <c r="D286" s="83" t="str">
        <f t="shared" si="42"/>
        <v/>
      </c>
      <c r="E286" s="84"/>
      <c r="F286" s="83" t="str">
        <f t="shared" si="43"/>
        <v/>
      </c>
      <c r="G286" s="85"/>
      <c r="H286" s="83" t="str">
        <f t="shared" si="44"/>
        <v/>
      </c>
      <c r="I286" s="83" t="str">
        <f t="shared" si="45"/>
        <v/>
      </c>
      <c r="J286" s="69"/>
      <c r="K286" s="69"/>
      <c r="L286" s="78">
        <f t="shared" si="46"/>
        <v>0</v>
      </c>
      <c r="M286" s="67"/>
      <c r="O286" t="str">
        <f t="shared" si="47"/>
        <v/>
      </c>
      <c r="P286" t="str">
        <f t="shared" si="48"/>
        <v/>
      </c>
      <c r="Q286" t="str">
        <f t="shared" si="49"/>
        <v/>
      </c>
      <c r="R286" t="str">
        <f t="shared" si="50"/>
        <v/>
      </c>
      <c r="AB286" t="s">
        <v>953</v>
      </c>
      <c r="AC286" t="s">
        <v>954</v>
      </c>
      <c r="AD286" t="s">
        <v>280</v>
      </c>
      <c r="AE286" t="s">
        <v>281</v>
      </c>
      <c r="AF286" t="s">
        <v>268</v>
      </c>
      <c r="AG286" t="s">
        <v>282</v>
      </c>
    </row>
    <row r="287" spans="1:33">
      <c r="A287" s="83" t="str">
        <f>IF(C287="","",VLOOKUP('OPĆI DIO'!$C$3,'OPĆI DIO'!$L$6:$U$138,10,FALSE))</f>
        <v/>
      </c>
      <c r="B287" s="83" t="str">
        <f>IF(C287="","",VLOOKUP('OPĆI DIO'!$C$3,'OPĆI DIO'!$L$6:$U$138,9,FALSE))</f>
        <v/>
      </c>
      <c r="C287" s="84"/>
      <c r="D287" s="83" t="str">
        <f t="shared" si="42"/>
        <v/>
      </c>
      <c r="E287" s="84"/>
      <c r="F287" s="83" t="str">
        <f t="shared" si="43"/>
        <v/>
      </c>
      <c r="G287" s="85"/>
      <c r="H287" s="83" t="str">
        <f t="shared" si="44"/>
        <v/>
      </c>
      <c r="I287" s="83" t="str">
        <f t="shared" si="45"/>
        <v/>
      </c>
      <c r="J287" s="69"/>
      <c r="K287" s="69"/>
      <c r="L287" s="78">
        <f t="shared" si="46"/>
        <v>0</v>
      </c>
      <c r="M287" s="67"/>
      <c r="O287" t="str">
        <f t="shared" si="47"/>
        <v/>
      </c>
      <c r="P287" t="str">
        <f t="shared" si="48"/>
        <v/>
      </c>
      <c r="Q287" t="str">
        <f t="shared" si="49"/>
        <v/>
      </c>
      <c r="R287" t="str">
        <f t="shared" si="50"/>
        <v/>
      </c>
      <c r="AB287" t="s">
        <v>955</v>
      </c>
      <c r="AC287" t="s">
        <v>956</v>
      </c>
      <c r="AD287" t="s">
        <v>280</v>
      </c>
      <c r="AE287" t="s">
        <v>281</v>
      </c>
      <c r="AF287" t="s">
        <v>268</v>
      </c>
      <c r="AG287" t="s">
        <v>282</v>
      </c>
    </row>
    <row r="288" spans="1:33">
      <c r="A288" s="83" t="str">
        <f>IF(C288="","",VLOOKUP('OPĆI DIO'!$C$3,'OPĆI DIO'!$L$6:$U$138,10,FALSE))</f>
        <v/>
      </c>
      <c r="B288" s="83" t="str">
        <f>IF(C288="","",VLOOKUP('OPĆI DIO'!$C$3,'OPĆI DIO'!$L$6:$U$138,9,FALSE))</f>
        <v/>
      </c>
      <c r="C288" s="84"/>
      <c r="D288" s="83" t="str">
        <f t="shared" si="42"/>
        <v/>
      </c>
      <c r="E288" s="84"/>
      <c r="F288" s="83" t="str">
        <f t="shared" si="43"/>
        <v/>
      </c>
      <c r="G288" s="85"/>
      <c r="H288" s="83" t="str">
        <f t="shared" si="44"/>
        <v/>
      </c>
      <c r="I288" s="83" t="str">
        <f t="shared" si="45"/>
        <v/>
      </c>
      <c r="J288" s="69"/>
      <c r="K288" s="69"/>
      <c r="L288" s="78">
        <f t="shared" si="46"/>
        <v>0</v>
      </c>
      <c r="M288" s="67"/>
      <c r="O288" t="str">
        <f t="shared" si="47"/>
        <v/>
      </c>
      <c r="P288" t="str">
        <f t="shared" si="48"/>
        <v/>
      </c>
      <c r="Q288" t="str">
        <f t="shared" si="49"/>
        <v/>
      </c>
      <c r="R288" t="str">
        <f t="shared" si="50"/>
        <v/>
      </c>
      <c r="AB288" t="s">
        <v>957</v>
      </c>
      <c r="AC288" t="s">
        <v>958</v>
      </c>
      <c r="AD288" t="s">
        <v>280</v>
      </c>
      <c r="AE288" t="s">
        <v>281</v>
      </c>
      <c r="AF288" t="s">
        <v>268</v>
      </c>
      <c r="AG288" t="s">
        <v>282</v>
      </c>
    </row>
    <row r="289" spans="1:33">
      <c r="A289" s="83" t="str">
        <f>IF(C289="","",VLOOKUP('OPĆI DIO'!$C$3,'OPĆI DIO'!$L$6:$U$138,10,FALSE))</f>
        <v/>
      </c>
      <c r="B289" s="83" t="str">
        <f>IF(C289="","",VLOOKUP('OPĆI DIO'!$C$3,'OPĆI DIO'!$L$6:$U$138,9,FALSE))</f>
        <v/>
      </c>
      <c r="C289" s="84"/>
      <c r="D289" s="83" t="str">
        <f t="shared" si="42"/>
        <v/>
      </c>
      <c r="E289" s="84"/>
      <c r="F289" s="83" t="str">
        <f t="shared" si="43"/>
        <v/>
      </c>
      <c r="G289" s="85"/>
      <c r="H289" s="83" t="str">
        <f t="shared" si="44"/>
        <v/>
      </c>
      <c r="I289" s="83" t="str">
        <f t="shared" si="45"/>
        <v/>
      </c>
      <c r="J289" s="69"/>
      <c r="K289" s="69"/>
      <c r="L289" s="78">
        <f t="shared" si="46"/>
        <v>0</v>
      </c>
      <c r="M289" s="67"/>
      <c r="O289" t="str">
        <f t="shared" si="47"/>
        <v/>
      </c>
      <c r="P289" t="str">
        <f t="shared" si="48"/>
        <v/>
      </c>
      <c r="Q289" t="str">
        <f t="shared" si="49"/>
        <v/>
      </c>
      <c r="R289" t="str">
        <f t="shared" si="50"/>
        <v/>
      </c>
      <c r="AB289" t="s">
        <v>959</v>
      </c>
      <c r="AC289" t="s">
        <v>960</v>
      </c>
      <c r="AD289" t="s">
        <v>280</v>
      </c>
      <c r="AE289" t="s">
        <v>281</v>
      </c>
      <c r="AF289" t="s">
        <v>268</v>
      </c>
      <c r="AG289" t="s">
        <v>282</v>
      </c>
    </row>
    <row r="290" spans="1:33">
      <c r="A290" s="83" t="str">
        <f>IF(C290="","",VLOOKUP('OPĆI DIO'!$C$3,'OPĆI DIO'!$L$6:$U$138,10,FALSE))</f>
        <v/>
      </c>
      <c r="B290" s="83" t="str">
        <f>IF(C290="","",VLOOKUP('OPĆI DIO'!$C$3,'OPĆI DIO'!$L$6:$U$138,9,FALSE))</f>
        <v/>
      </c>
      <c r="C290" s="84"/>
      <c r="D290" s="83" t="str">
        <f t="shared" si="42"/>
        <v/>
      </c>
      <c r="E290" s="84"/>
      <c r="F290" s="83" t="str">
        <f t="shared" si="43"/>
        <v/>
      </c>
      <c r="G290" s="85"/>
      <c r="H290" s="83" t="str">
        <f t="shared" si="44"/>
        <v/>
      </c>
      <c r="I290" s="83" t="str">
        <f t="shared" si="45"/>
        <v/>
      </c>
      <c r="J290" s="69"/>
      <c r="K290" s="69"/>
      <c r="L290" s="78">
        <f t="shared" si="46"/>
        <v>0</v>
      </c>
      <c r="M290" s="67"/>
      <c r="O290" t="str">
        <f t="shared" si="47"/>
        <v/>
      </c>
      <c r="P290" t="str">
        <f t="shared" si="48"/>
        <v/>
      </c>
      <c r="Q290" t="str">
        <f t="shared" si="49"/>
        <v/>
      </c>
      <c r="R290" t="str">
        <f t="shared" si="50"/>
        <v/>
      </c>
      <c r="AB290" t="s">
        <v>961</v>
      </c>
      <c r="AC290" t="s">
        <v>962</v>
      </c>
      <c r="AD290" t="s">
        <v>280</v>
      </c>
      <c r="AE290" t="s">
        <v>281</v>
      </c>
      <c r="AF290" t="s">
        <v>268</v>
      </c>
      <c r="AG290" t="s">
        <v>282</v>
      </c>
    </row>
    <row r="291" spans="1:33">
      <c r="A291" s="83" t="str">
        <f>IF(C291="","",VLOOKUP('OPĆI DIO'!$C$3,'OPĆI DIO'!$L$6:$U$138,10,FALSE))</f>
        <v/>
      </c>
      <c r="B291" s="83" t="str">
        <f>IF(C291="","",VLOOKUP('OPĆI DIO'!$C$3,'OPĆI DIO'!$L$6:$U$138,9,FALSE))</f>
        <v/>
      </c>
      <c r="C291" s="84"/>
      <c r="D291" s="83" t="str">
        <f t="shared" si="42"/>
        <v/>
      </c>
      <c r="E291" s="84"/>
      <c r="F291" s="83" t="str">
        <f t="shared" si="43"/>
        <v/>
      </c>
      <c r="G291" s="85"/>
      <c r="H291" s="83" t="str">
        <f t="shared" si="44"/>
        <v/>
      </c>
      <c r="I291" s="83" t="str">
        <f t="shared" si="45"/>
        <v/>
      </c>
      <c r="J291" s="69"/>
      <c r="K291" s="69"/>
      <c r="L291" s="78">
        <f t="shared" si="46"/>
        <v>0</v>
      </c>
      <c r="M291" s="67"/>
      <c r="O291" t="str">
        <f t="shared" si="47"/>
        <v/>
      </c>
      <c r="P291" t="str">
        <f t="shared" si="48"/>
        <v/>
      </c>
      <c r="Q291" t="str">
        <f t="shared" si="49"/>
        <v/>
      </c>
      <c r="R291" t="str">
        <f t="shared" si="50"/>
        <v/>
      </c>
      <c r="AB291" t="s">
        <v>963</v>
      </c>
      <c r="AC291" t="s">
        <v>964</v>
      </c>
      <c r="AD291" t="s">
        <v>280</v>
      </c>
      <c r="AE291" t="s">
        <v>281</v>
      </c>
      <c r="AF291" t="s">
        <v>268</v>
      </c>
      <c r="AG291" t="s">
        <v>282</v>
      </c>
    </row>
    <row r="292" spans="1:33">
      <c r="A292" s="83" t="str">
        <f>IF(C292="","",VLOOKUP('OPĆI DIO'!$C$3,'OPĆI DIO'!$L$6:$U$138,10,FALSE))</f>
        <v/>
      </c>
      <c r="B292" s="83" t="str">
        <f>IF(C292="","",VLOOKUP('OPĆI DIO'!$C$3,'OPĆI DIO'!$L$6:$U$138,9,FALSE))</f>
        <v/>
      </c>
      <c r="C292" s="84"/>
      <c r="D292" s="83" t="str">
        <f t="shared" si="42"/>
        <v/>
      </c>
      <c r="E292" s="84"/>
      <c r="F292" s="83" t="str">
        <f t="shared" si="43"/>
        <v/>
      </c>
      <c r="G292" s="85"/>
      <c r="H292" s="83" t="str">
        <f t="shared" si="44"/>
        <v/>
      </c>
      <c r="I292" s="83" t="str">
        <f t="shared" si="45"/>
        <v/>
      </c>
      <c r="J292" s="69"/>
      <c r="K292" s="69"/>
      <c r="L292" s="78">
        <f t="shared" si="46"/>
        <v>0</v>
      </c>
      <c r="M292" s="67"/>
      <c r="O292" t="str">
        <f t="shared" si="47"/>
        <v/>
      </c>
      <c r="P292" t="str">
        <f t="shared" si="48"/>
        <v/>
      </c>
      <c r="Q292" t="str">
        <f t="shared" si="49"/>
        <v/>
      </c>
      <c r="R292" t="str">
        <f t="shared" si="50"/>
        <v/>
      </c>
      <c r="AB292" t="s">
        <v>965</v>
      </c>
      <c r="AC292" t="s">
        <v>966</v>
      </c>
      <c r="AD292" t="s">
        <v>280</v>
      </c>
      <c r="AE292" t="s">
        <v>281</v>
      </c>
      <c r="AF292" t="s">
        <v>268</v>
      </c>
      <c r="AG292" t="s">
        <v>282</v>
      </c>
    </row>
    <row r="293" spans="1:33">
      <c r="A293" s="83" t="str">
        <f>IF(C293="","",VLOOKUP('OPĆI DIO'!$C$3,'OPĆI DIO'!$L$6:$U$138,10,FALSE))</f>
        <v/>
      </c>
      <c r="B293" s="83" t="str">
        <f>IF(C293="","",VLOOKUP('OPĆI DIO'!$C$3,'OPĆI DIO'!$L$6:$U$138,9,FALSE))</f>
        <v/>
      </c>
      <c r="C293" s="84"/>
      <c r="D293" s="83" t="str">
        <f t="shared" si="42"/>
        <v/>
      </c>
      <c r="E293" s="84"/>
      <c r="F293" s="83" t="str">
        <f t="shared" si="43"/>
        <v/>
      </c>
      <c r="G293" s="85"/>
      <c r="H293" s="83" t="str">
        <f t="shared" si="44"/>
        <v/>
      </c>
      <c r="I293" s="83" t="str">
        <f t="shared" si="45"/>
        <v/>
      </c>
      <c r="J293" s="69"/>
      <c r="K293" s="69"/>
      <c r="L293" s="78">
        <f t="shared" si="46"/>
        <v>0</v>
      </c>
      <c r="M293" s="67"/>
      <c r="O293" t="str">
        <f t="shared" si="47"/>
        <v/>
      </c>
      <c r="P293" t="str">
        <f t="shared" si="48"/>
        <v/>
      </c>
      <c r="Q293" t="str">
        <f t="shared" si="49"/>
        <v/>
      </c>
      <c r="R293" t="str">
        <f t="shared" si="50"/>
        <v/>
      </c>
      <c r="AB293" t="s">
        <v>967</v>
      </c>
      <c r="AC293" t="s">
        <v>968</v>
      </c>
      <c r="AD293" t="s">
        <v>280</v>
      </c>
      <c r="AE293" t="s">
        <v>281</v>
      </c>
      <c r="AF293" t="s">
        <v>268</v>
      </c>
      <c r="AG293" t="s">
        <v>282</v>
      </c>
    </row>
    <row r="294" spans="1:33">
      <c r="A294" s="83" t="str">
        <f>IF(C294="","",VLOOKUP('OPĆI DIO'!$C$3,'OPĆI DIO'!$L$6:$U$138,10,FALSE))</f>
        <v/>
      </c>
      <c r="B294" s="83" t="str">
        <f>IF(C294="","",VLOOKUP('OPĆI DIO'!$C$3,'OPĆI DIO'!$L$6:$U$138,9,FALSE))</f>
        <v/>
      </c>
      <c r="C294" s="84"/>
      <c r="D294" s="83" t="str">
        <f t="shared" si="42"/>
        <v/>
      </c>
      <c r="E294" s="84"/>
      <c r="F294" s="83" t="str">
        <f t="shared" si="43"/>
        <v/>
      </c>
      <c r="G294" s="85"/>
      <c r="H294" s="83" t="str">
        <f t="shared" si="44"/>
        <v/>
      </c>
      <c r="I294" s="83" t="str">
        <f t="shared" si="45"/>
        <v/>
      </c>
      <c r="J294" s="69"/>
      <c r="K294" s="69"/>
      <c r="L294" s="78">
        <f t="shared" si="46"/>
        <v>0</v>
      </c>
      <c r="M294" s="67"/>
      <c r="O294" t="str">
        <f t="shared" si="47"/>
        <v/>
      </c>
      <c r="P294" t="str">
        <f t="shared" si="48"/>
        <v/>
      </c>
      <c r="Q294" t="str">
        <f t="shared" si="49"/>
        <v/>
      </c>
      <c r="R294" t="str">
        <f t="shared" si="50"/>
        <v/>
      </c>
      <c r="AB294" t="s">
        <v>969</v>
      </c>
      <c r="AC294" t="s">
        <v>970</v>
      </c>
      <c r="AD294" t="s">
        <v>280</v>
      </c>
      <c r="AE294" t="s">
        <v>281</v>
      </c>
      <c r="AF294" t="s">
        <v>268</v>
      </c>
      <c r="AG294" t="s">
        <v>282</v>
      </c>
    </row>
    <row r="295" spans="1:33">
      <c r="A295" s="83" t="str">
        <f>IF(C295="","",VLOOKUP('OPĆI DIO'!$C$3,'OPĆI DIO'!$L$6:$U$138,10,FALSE))</f>
        <v/>
      </c>
      <c r="B295" s="83" t="str">
        <f>IF(C295="","",VLOOKUP('OPĆI DIO'!$C$3,'OPĆI DIO'!$L$6:$U$138,9,FALSE))</f>
        <v/>
      </c>
      <c r="C295" s="84"/>
      <c r="D295" s="83" t="str">
        <f t="shared" si="42"/>
        <v/>
      </c>
      <c r="E295" s="84"/>
      <c r="F295" s="83" t="str">
        <f t="shared" si="43"/>
        <v/>
      </c>
      <c r="G295" s="85"/>
      <c r="H295" s="83" t="str">
        <f t="shared" si="44"/>
        <v/>
      </c>
      <c r="I295" s="83" t="str">
        <f t="shared" si="45"/>
        <v/>
      </c>
      <c r="J295" s="69"/>
      <c r="K295" s="69"/>
      <c r="L295" s="78">
        <f t="shared" si="46"/>
        <v>0</v>
      </c>
      <c r="M295" s="67"/>
      <c r="O295" t="str">
        <f t="shared" si="47"/>
        <v/>
      </c>
      <c r="P295" t="str">
        <f t="shared" si="48"/>
        <v/>
      </c>
      <c r="Q295" t="str">
        <f t="shared" si="49"/>
        <v/>
      </c>
      <c r="R295" t="str">
        <f t="shared" si="50"/>
        <v/>
      </c>
      <c r="AB295" t="s">
        <v>971</v>
      </c>
      <c r="AC295" t="s">
        <v>972</v>
      </c>
      <c r="AD295" t="s">
        <v>280</v>
      </c>
      <c r="AE295" t="s">
        <v>281</v>
      </c>
      <c r="AF295" t="s">
        <v>268</v>
      </c>
      <c r="AG295" t="s">
        <v>282</v>
      </c>
    </row>
    <row r="296" spans="1:33">
      <c r="A296" s="83" t="str">
        <f>IF(C296="","",VLOOKUP('OPĆI DIO'!$C$3,'OPĆI DIO'!$L$6:$U$138,10,FALSE))</f>
        <v/>
      </c>
      <c r="B296" s="83" t="str">
        <f>IF(C296="","",VLOOKUP('OPĆI DIO'!$C$3,'OPĆI DIO'!$L$6:$U$138,9,FALSE))</f>
        <v/>
      </c>
      <c r="C296" s="84"/>
      <c r="D296" s="83" t="str">
        <f t="shared" si="42"/>
        <v/>
      </c>
      <c r="E296" s="84"/>
      <c r="F296" s="83" t="str">
        <f t="shared" si="43"/>
        <v/>
      </c>
      <c r="G296" s="85"/>
      <c r="H296" s="83" t="str">
        <f t="shared" si="44"/>
        <v/>
      </c>
      <c r="I296" s="83" t="str">
        <f t="shared" si="45"/>
        <v/>
      </c>
      <c r="J296" s="69"/>
      <c r="K296" s="69"/>
      <c r="L296" s="78">
        <f t="shared" si="46"/>
        <v>0</v>
      </c>
      <c r="M296" s="67"/>
      <c r="O296" t="str">
        <f t="shared" si="47"/>
        <v/>
      </c>
      <c r="P296" t="str">
        <f t="shared" si="48"/>
        <v/>
      </c>
      <c r="Q296" t="str">
        <f t="shared" si="49"/>
        <v/>
      </c>
      <c r="R296" t="str">
        <f t="shared" si="50"/>
        <v/>
      </c>
      <c r="AB296" t="s">
        <v>973</v>
      </c>
      <c r="AC296" t="s">
        <v>974</v>
      </c>
      <c r="AD296" t="s">
        <v>280</v>
      </c>
      <c r="AE296" t="s">
        <v>281</v>
      </c>
      <c r="AF296" t="s">
        <v>268</v>
      </c>
      <c r="AG296" t="s">
        <v>282</v>
      </c>
    </row>
    <row r="297" spans="1:33">
      <c r="A297" s="83" t="str">
        <f>IF(C297="","",VLOOKUP('OPĆI DIO'!$C$3,'OPĆI DIO'!$L$6:$U$138,10,FALSE))</f>
        <v/>
      </c>
      <c r="B297" s="83" t="str">
        <f>IF(C297="","",VLOOKUP('OPĆI DIO'!$C$3,'OPĆI DIO'!$L$6:$U$138,9,FALSE))</f>
        <v/>
      </c>
      <c r="C297" s="84"/>
      <c r="D297" s="83" t="str">
        <f t="shared" si="42"/>
        <v/>
      </c>
      <c r="E297" s="84"/>
      <c r="F297" s="83" t="str">
        <f t="shared" si="43"/>
        <v/>
      </c>
      <c r="G297" s="85"/>
      <c r="H297" s="83" t="str">
        <f t="shared" si="44"/>
        <v/>
      </c>
      <c r="I297" s="83" t="str">
        <f t="shared" si="45"/>
        <v/>
      </c>
      <c r="J297" s="69"/>
      <c r="K297" s="69"/>
      <c r="L297" s="78">
        <f t="shared" si="46"/>
        <v>0</v>
      </c>
      <c r="M297" s="67"/>
      <c r="O297" t="str">
        <f t="shared" si="47"/>
        <v/>
      </c>
      <c r="P297" t="str">
        <f t="shared" si="48"/>
        <v/>
      </c>
      <c r="Q297" t="str">
        <f t="shared" si="49"/>
        <v/>
      </c>
      <c r="R297" t="str">
        <f t="shared" si="50"/>
        <v/>
      </c>
      <c r="AB297" t="s">
        <v>975</v>
      </c>
      <c r="AC297" t="s">
        <v>976</v>
      </c>
      <c r="AD297" t="s">
        <v>280</v>
      </c>
      <c r="AE297" t="s">
        <v>281</v>
      </c>
      <c r="AF297" t="s">
        <v>268</v>
      </c>
      <c r="AG297" t="s">
        <v>282</v>
      </c>
    </row>
    <row r="298" spans="1:33">
      <c r="A298" s="83" t="str">
        <f>IF(C298="","",VLOOKUP('OPĆI DIO'!$C$3,'OPĆI DIO'!$L$6:$U$138,10,FALSE))</f>
        <v/>
      </c>
      <c r="B298" s="83" t="str">
        <f>IF(C298="","",VLOOKUP('OPĆI DIO'!$C$3,'OPĆI DIO'!$L$6:$U$138,9,FALSE))</f>
        <v/>
      </c>
      <c r="C298" s="84"/>
      <c r="D298" s="83" t="str">
        <f t="shared" si="42"/>
        <v/>
      </c>
      <c r="E298" s="84"/>
      <c r="F298" s="83" t="str">
        <f t="shared" si="43"/>
        <v/>
      </c>
      <c r="G298" s="85"/>
      <c r="H298" s="83" t="str">
        <f t="shared" si="44"/>
        <v/>
      </c>
      <c r="I298" s="83" t="str">
        <f t="shared" si="45"/>
        <v/>
      </c>
      <c r="J298" s="69"/>
      <c r="K298" s="69"/>
      <c r="L298" s="78">
        <f t="shared" si="46"/>
        <v>0</v>
      </c>
      <c r="M298" s="67"/>
      <c r="O298" t="str">
        <f t="shared" si="47"/>
        <v/>
      </c>
      <c r="P298" t="str">
        <f t="shared" si="48"/>
        <v/>
      </c>
      <c r="Q298" t="str">
        <f t="shared" si="49"/>
        <v/>
      </c>
      <c r="R298" t="str">
        <f t="shared" si="50"/>
        <v/>
      </c>
      <c r="AB298" t="s">
        <v>977</v>
      </c>
      <c r="AC298" t="s">
        <v>978</v>
      </c>
      <c r="AD298" t="s">
        <v>673</v>
      </c>
      <c r="AE298" t="s">
        <v>674</v>
      </c>
      <c r="AF298" t="s">
        <v>268</v>
      </c>
      <c r="AG298" t="s">
        <v>675</v>
      </c>
    </row>
    <row r="299" spans="1:33">
      <c r="A299" s="83" t="str">
        <f>IF(C299="","",VLOOKUP('OPĆI DIO'!$C$3,'OPĆI DIO'!$L$6:$U$138,10,FALSE))</f>
        <v/>
      </c>
      <c r="B299" s="83" t="str">
        <f>IF(C299="","",VLOOKUP('OPĆI DIO'!$C$3,'OPĆI DIO'!$L$6:$U$138,9,FALSE))</f>
        <v/>
      </c>
      <c r="C299" s="84"/>
      <c r="D299" s="83" t="str">
        <f t="shared" si="42"/>
        <v/>
      </c>
      <c r="E299" s="84"/>
      <c r="F299" s="83" t="str">
        <f t="shared" si="43"/>
        <v/>
      </c>
      <c r="G299" s="85"/>
      <c r="H299" s="83" t="str">
        <f t="shared" si="44"/>
        <v/>
      </c>
      <c r="I299" s="83" t="str">
        <f t="shared" si="45"/>
        <v/>
      </c>
      <c r="J299" s="69"/>
      <c r="K299" s="69"/>
      <c r="L299" s="78">
        <f t="shared" si="46"/>
        <v>0</v>
      </c>
      <c r="M299" s="67"/>
      <c r="O299" t="str">
        <f t="shared" si="47"/>
        <v/>
      </c>
      <c r="P299" t="str">
        <f t="shared" si="48"/>
        <v/>
      </c>
      <c r="Q299" t="str">
        <f t="shared" si="49"/>
        <v/>
      </c>
      <c r="R299" t="str">
        <f t="shared" si="50"/>
        <v/>
      </c>
      <c r="AB299" t="s">
        <v>977</v>
      </c>
      <c r="AC299" t="s">
        <v>978</v>
      </c>
      <c r="AD299" t="s">
        <v>280</v>
      </c>
      <c r="AE299" t="s">
        <v>281</v>
      </c>
      <c r="AF299" t="s">
        <v>268</v>
      </c>
      <c r="AG299" t="s">
        <v>282</v>
      </c>
    </row>
    <row r="300" spans="1:33">
      <c r="A300" s="83" t="str">
        <f>IF(C300="","",VLOOKUP('OPĆI DIO'!$C$3,'OPĆI DIO'!$L$6:$U$138,10,FALSE))</f>
        <v/>
      </c>
      <c r="B300" s="83" t="str">
        <f>IF(C300="","",VLOOKUP('OPĆI DIO'!$C$3,'OPĆI DIO'!$L$6:$U$138,9,FALSE))</f>
        <v/>
      </c>
      <c r="C300" s="84"/>
      <c r="D300" s="83" t="str">
        <f t="shared" si="42"/>
        <v/>
      </c>
      <c r="E300" s="84"/>
      <c r="F300" s="83" t="str">
        <f t="shared" si="43"/>
        <v/>
      </c>
      <c r="G300" s="85"/>
      <c r="H300" s="83" t="str">
        <f t="shared" si="44"/>
        <v/>
      </c>
      <c r="I300" s="83" t="str">
        <f t="shared" si="45"/>
        <v/>
      </c>
      <c r="J300" s="69"/>
      <c r="K300" s="69"/>
      <c r="L300" s="78">
        <f t="shared" si="46"/>
        <v>0</v>
      </c>
      <c r="M300" s="67"/>
      <c r="O300" t="str">
        <f t="shared" si="47"/>
        <v/>
      </c>
      <c r="P300" t="str">
        <f t="shared" si="48"/>
        <v/>
      </c>
      <c r="Q300" t="str">
        <f t="shared" si="49"/>
        <v/>
      </c>
      <c r="R300" t="str">
        <f t="shared" si="50"/>
        <v/>
      </c>
      <c r="AB300" t="s">
        <v>979</v>
      </c>
      <c r="AC300" t="s">
        <v>980</v>
      </c>
      <c r="AD300" t="s">
        <v>280</v>
      </c>
      <c r="AE300" t="s">
        <v>281</v>
      </c>
      <c r="AF300" t="s">
        <v>268</v>
      </c>
      <c r="AG300" t="s">
        <v>282</v>
      </c>
    </row>
    <row r="301" spans="1:33">
      <c r="A301" s="83" t="str">
        <f>IF(C301="","",VLOOKUP('OPĆI DIO'!$C$3,'OPĆI DIO'!$L$6:$U$138,10,FALSE))</f>
        <v/>
      </c>
      <c r="B301" s="83" t="str">
        <f>IF(C301="","",VLOOKUP('OPĆI DIO'!$C$3,'OPĆI DIO'!$L$6:$U$138,9,FALSE))</f>
        <v/>
      </c>
      <c r="C301" s="84"/>
      <c r="D301" s="83" t="str">
        <f t="shared" si="42"/>
        <v/>
      </c>
      <c r="E301" s="84"/>
      <c r="F301" s="83" t="str">
        <f t="shared" si="43"/>
        <v/>
      </c>
      <c r="G301" s="85"/>
      <c r="H301" s="83" t="str">
        <f t="shared" si="44"/>
        <v/>
      </c>
      <c r="I301" s="83" t="str">
        <f t="shared" si="45"/>
        <v/>
      </c>
      <c r="J301" s="69"/>
      <c r="K301" s="69"/>
      <c r="L301" s="78">
        <f t="shared" si="46"/>
        <v>0</v>
      </c>
      <c r="M301" s="67"/>
      <c r="O301" t="str">
        <f t="shared" si="47"/>
        <v/>
      </c>
      <c r="P301" t="str">
        <f t="shared" si="48"/>
        <v/>
      </c>
      <c r="Q301" t="str">
        <f t="shared" si="49"/>
        <v/>
      </c>
      <c r="R301" t="str">
        <f t="shared" si="50"/>
        <v/>
      </c>
      <c r="AB301" t="s">
        <v>981</v>
      </c>
      <c r="AC301" t="s">
        <v>982</v>
      </c>
      <c r="AD301" t="s">
        <v>280</v>
      </c>
      <c r="AE301" t="s">
        <v>281</v>
      </c>
      <c r="AF301" t="s">
        <v>268</v>
      </c>
      <c r="AG301" t="s">
        <v>282</v>
      </c>
    </row>
    <row r="302" spans="1:33">
      <c r="A302" s="83" t="str">
        <f>IF(C302="","",VLOOKUP('OPĆI DIO'!$C$3,'OPĆI DIO'!$L$6:$U$138,10,FALSE))</f>
        <v/>
      </c>
      <c r="B302" s="83" t="str">
        <f>IF(C302="","",VLOOKUP('OPĆI DIO'!$C$3,'OPĆI DIO'!$L$6:$U$138,9,FALSE))</f>
        <v/>
      </c>
      <c r="C302" s="84"/>
      <c r="D302" s="83" t="str">
        <f t="shared" si="42"/>
        <v/>
      </c>
      <c r="E302" s="84"/>
      <c r="F302" s="83" t="str">
        <f t="shared" si="43"/>
        <v/>
      </c>
      <c r="G302" s="85"/>
      <c r="H302" s="83" t="str">
        <f t="shared" si="44"/>
        <v/>
      </c>
      <c r="I302" s="83" t="str">
        <f t="shared" si="45"/>
        <v/>
      </c>
      <c r="J302" s="69"/>
      <c r="K302" s="69"/>
      <c r="L302" s="78">
        <f t="shared" si="46"/>
        <v>0</v>
      </c>
      <c r="M302" s="67"/>
      <c r="O302" t="str">
        <f t="shared" si="47"/>
        <v/>
      </c>
      <c r="P302" t="str">
        <f t="shared" si="48"/>
        <v/>
      </c>
      <c r="Q302" t="str">
        <f t="shared" si="49"/>
        <v/>
      </c>
      <c r="R302" t="str">
        <f t="shared" si="50"/>
        <v/>
      </c>
      <c r="AB302" t="s">
        <v>983</v>
      </c>
      <c r="AC302" t="s">
        <v>984</v>
      </c>
      <c r="AD302" t="s">
        <v>280</v>
      </c>
      <c r="AE302" t="s">
        <v>281</v>
      </c>
      <c r="AF302" t="s">
        <v>268</v>
      </c>
      <c r="AG302" t="s">
        <v>282</v>
      </c>
    </row>
    <row r="303" spans="1:33">
      <c r="A303" s="83" t="str">
        <f>IF(C303="","",VLOOKUP('OPĆI DIO'!$C$3,'OPĆI DIO'!$L$6:$U$138,10,FALSE))</f>
        <v/>
      </c>
      <c r="B303" s="83" t="str">
        <f>IF(C303="","",VLOOKUP('OPĆI DIO'!$C$3,'OPĆI DIO'!$L$6:$U$138,9,FALSE))</f>
        <v/>
      </c>
      <c r="C303" s="84"/>
      <c r="D303" s="83" t="str">
        <f t="shared" si="42"/>
        <v/>
      </c>
      <c r="E303" s="84"/>
      <c r="F303" s="83" t="str">
        <f t="shared" si="43"/>
        <v/>
      </c>
      <c r="G303" s="85"/>
      <c r="H303" s="83" t="str">
        <f t="shared" si="44"/>
        <v/>
      </c>
      <c r="I303" s="83" t="str">
        <f t="shared" si="45"/>
        <v/>
      </c>
      <c r="J303" s="69"/>
      <c r="K303" s="69"/>
      <c r="L303" s="78">
        <f t="shared" si="46"/>
        <v>0</v>
      </c>
      <c r="M303" s="67"/>
      <c r="O303" t="str">
        <f t="shared" si="47"/>
        <v/>
      </c>
      <c r="P303" t="str">
        <f t="shared" si="48"/>
        <v/>
      </c>
      <c r="Q303" t="str">
        <f t="shared" si="49"/>
        <v/>
      </c>
      <c r="R303" t="str">
        <f t="shared" si="50"/>
        <v/>
      </c>
      <c r="AB303" t="s">
        <v>985</v>
      </c>
      <c r="AC303" t="s">
        <v>986</v>
      </c>
      <c r="AD303" t="s">
        <v>280</v>
      </c>
      <c r="AE303" t="s">
        <v>281</v>
      </c>
      <c r="AF303" t="s">
        <v>268</v>
      </c>
      <c r="AG303" t="s">
        <v>282</v>
      </c>
    </row>
    <row r="304" spans="1:33">
      <c r="A304" s="83" t="str">
        <f>IF(C304="","",VLOOKUP('OPĆI DIO'!$C$3,'OPĆI DIO'!$L$6:$U$138,10,FALSE))</f>
        <v/>
      </c>
      <c r="B304" s="83" t="str">
        <f>IF(C304="","",VLOOKUP('OPĆI DIO'!$C$3,'OPĆI DIO'!$L$6:$U$138,9,FALSE))</f>
        <v/>
      </c>
      <c r="C304" s="84"/>
      <c r="D304" s="83" t="str">
        <f t="shared" si="42"/>
        <v/>
      </c>
      <c r="E304" s="84"/>
      <c r="F304" s="83" t="str">
        <f t="shared" si="43"/>
        <v/>
      </c>
      <c r="G304" s="85"/>
      <c r="H304" s="83" t="str">
        <f t="shared" si="44"/>
        <v/>
      </c>
      <c r="I304" s="83" t="str">
        <f t="shared" si="45"/>
        <v/>
      </c>
      <c r="J304" s="69"/>
      <c r="K304" s="69"/>
      <c r="L304" s="78">
        <f t="shared" si="46"/>
        <v>0</v>
      </c>
      <c r="M304" s="67"/>
      <c r="O304" t="str">
        <f t="shared" si="47"/>
        <v/>
      </c>
      <c r="P304" t="str">
        <f t="shared" si="48"/>
        <v/>
      </c>
      <c r="Q304" t="str">
        <f t="shared" si="49"/>
        <v/>
      </c>
      <c r="R304" t="str">
        <f t="shared" si="50"/>
        <v/>
      </c>
      <c r="AB304" t="s">
        <v>987</v>
      </c>
      <c r="AC304" t="s">
        <v>416</v>
      </c>
      <c r="AD304" t="s">
        <v>280</v>
      </c>
      <c r="AE304" t="s">
        <v>281</v>
      </c>
      <c r="AF304" t="s">
        <v>268</v>
      </c>
      <c r="AG304" t="s">
        <v>282</v>
      </c>
    </row>
    <row r="305" spans="1:33">
      <c r="A305" s="83" t="str">
        <f>IF(C305="","",VLOOKUP('OPĆI DIO'!$C$3,'OPĆI DIO'!$L$6:$U$138,10,FALSE))</f>
        <v/>
      </c>
      <c r="B305" s="83" t="str">
        <f>IF(C305="","",VLOOKUP('OPĆI DIO'!$C$3,'OPĆI DIO'!$L$6:$U$138,9,FALSE))</f>
        <v/>
      </c>
      <c r="C305" s="84"/>
      <c r="D305" s="83" t="str">
        <f t="shared" si="42"/>
        <v/>
      </c>
      <c r="E305" s="84"/>
      <c r="F305" s="83" t="str">
        <f t="shared" si="43"/>
        <v/>
      </c>
      <c r="G305" s="85"/>
      <c r="H305" s="83" t="str">
        <f t="shared" si="44"/>
        <v/>
      </c>
      <c r="I305" s="83" t="str">
        <f t="shared" si="45"/>
        <v/>
      </c>
      <c r="J305" s="69"/>
      <c r="K305" s="69"/>
      <c r="L305" s="78">
        <f t="shared" si="46"/>
        <v>0</v>
      </c>
      <c r="M305" s="67"/>
      <c r="O305" t="str">
        <f t="shared" si="47"/>
        <v/>
      </c>
      <c r="P305" t="str">
        <f t="shared" si="48"/>
        <v/>
      </c>
      <c r="Q305" t="str">
        <f t="shared" si="49"/>
        <v/>
      </c>
      <c r="R305" t="str">
        <f t="shared" si="50"/>
        <v/>
      </c>
      <c r="AB305" t="s">
        <v>988</v>
      </c>
      <c r="AC305" t="s">
        <v>989</v>
      </c>
      <c r="AD305" t="s">
        <v>280</v>
      </c>
      <c r="AE305" t="s">
        <v>281</v>
      </c>
      <c r="AF305" t="s">
        <v>268</v>
      </c>
      <c r="AG305" t="s">
        <v>282</v>
      </c>
    </row>
    <row r="306" spans="1:33">
      <c r="A306" s="83" t="str">
        <f>IF(C306="","",VLOOKUP('OPĆI DIO'!$C$3,'OPĆI DIO'!$L$6:$U$138,10,FALSE))</f>
        <v/>
      </c>
      <c r="B306" s="83" t="str">
        <f>IF(C306="","",VLOOKUP('OPĆI DIO'!$C$3,'OPĆI DIO'!$L$6:$U$138,9,FALSE))</f>
        <v/>
      </c>
      <c r="C306" s="84"/>
      <c r="D306" s="83" t="str">
        <f t="shared" si="42"/>
        <v/>
      </c>
      <c r="E306" s="84"/>
      <c r="F306" s="83" t="str">
        <f t="shared" si="43"/>
        <v/>
      </c>
      <c r="G306" s="85"/>
      <c r="H306" s="83" t="str">
        <f t="shared" si="44"/>
        <v/>
      </c>
      <c r="I306" s="83" t="str">
        <f t="shared" si="45"/>
        <v/>
      </c>
      <c r="J306" s="69"/>
      <c r="K306" s="69"/>
      <c r="L306" s="78">
        <f t="shared" si="46"/>
        <v>0</v>
      </c>
      <c r="M306" s="67"/>
      <c r="O306" t="str">
        <f t="shared" si="47"/>
        <v/>
      </c>
      <c r="P306" t="str">
        <f t="shared" si="48"/>
        <v/>
      </c>
      <c r="Q306" t="str">
        <f t="shared" si="49"/>
        <v/>
      </c>
      <c r="R306" t="str">
        <f t="shared" si="50"/>
        <v/>
      </c>
      <c r="AB306" t="s">
        <v>990</v>
      </c>
      <c r="AC306" t="s">
        <v>991</v>
      </c>
      <c r="AD306" t="s">
        <v>280</v>
      </c>
      <c r="AE306" t="s">
        <v>281</v>
      </c>
      <c r="AF306" t="s">
        <v>268</v>
      </c>
      <c r="AG306" t="s">
        <v>282</v>
      </c>
    </row>
    <row r="307" spans="1:33">
      <c r="A307" s="83" t="str">
        <f>IF(C307="","",VLOOKUP('OPĆI DIO'!$C$3,'OPĆI DIO'!$L$6:$U$138,10,FALSE))</f>
        <v/>
      </c>
      <c r="B307" s="83" t="str">
        <f>IF(C307="","",VLOOKUP('OPĆI DIO'!$C$3,'OPĆI DIO'!$L$6:$U$138,9,FALSE))</f>
        <v/>
      </c>
      <c r="C307" s="84"/>
      <c r="D307" s="83" t="str">
        <f t="shared" si="42"/>
        <v/>
      </c>
      <c r="E307" s="84"/>
      <c r="F307" s="83" t="str">
        <f t="shared" si="43"/>
        <v/>
      </c>
      <c r="G307" s="85"/>
      <c r="H307" s="83" t="str">
        <f t="shared" si="44"/>
        <v/>
      </c>
      <c r="I307" s="83" t="str">
        <f t="shared" si="45"/>
        <v/>
      </c>
      <c r="J307" s="69"/>
      <c r="K307" s="69"/>
      <c r="L307" s="78">
        <f t="shared" si="46"/>
        <v>0</v>
      </c>
      <c r="M307" s="67"/>
      <c r="O307" t="str">
        <f t="shared" si="47"/>
        <v/>
      </c>
      <c r="P307" t="str">
        <f t="shared" si="48"/>
        <v/>
      </c>
      <c r="Q307" t="str">
        <f t="shared" si="49"/>
        <v/>
      </c>
      <c r="R307" t="str">
        <f t="shared" si="50"/>
        <v/>
      </c>
      <c r="AB307" t="s">
        <v>992</v>
      </c>
      <c r="AC307" t="s">
        <v>993</v>
      </c>
      <c r="AD307" t="s">
        <v>673</v>
      </c>
      <c r="AE307" t="s">
        <v>674</v>
      </c>
      <c r="AF307" t="s">
        <v>268</v>
      </c>
      <c r="AG307" t="s">
        <v>675</v>
      </c>
    </row>
    <row r="308" spans="1:33">
      <c r="A308" s="83" t="str">
        <f>IF(C308="","",VLOOKUP('OPĆI DIO'!$C$3,'OPĆI DIO'!$L$6:$U$138,10,FALSE))</f>
        <v/>
      </c>
      <c r="B308" s="83" t="str">
        <f>IF(C308="","",VLOOKUP('OPĆI DIO'!$C$3,'OPĆI DIO'!$L$6:$U$138,9,FALSE))</f>
        <v/>
      </c>
      <c r="C308" s="84"/>
      <c r="D308" s="83" t="str">
        <f t="shared" si="42"/>
        <v/>
      </c>
      <c r="E308" s="84"/>
      <c r="F308" s="83" t="str">
        <f t="shared" si="43"/>
        <v/>
      </c>
      <c r="G308" s="85"/>
      <c r="H308" s="83" t="str">
        <f t="shared" si="44"/>
        <v/>
      </c>
      <c r="I308" s="83" t="str">
        <f t="shared" si="45"/>
        <v/>
      </c>
      <c r="J308" s="69"/>
      <c r="K308" s="69"/>
      <c r="L308" s="78">
        <f t="shared" si="46"/>
        <v>0</v>
      </c>
      <c r="M308" s="67"/>
      <c r="O308" t="str">
        <f t="shared" si="47"/>
        <v/>
      </c>
      <c r="P308" t="str">
        <f t="shared" si="48"/>
        <v/>
      </c>
      <c r="Q308" t="str">
        <f t="shared" si="49"/>
        <v/>
      </c>
      <c r="R308" t="str">
        <f t="shared" si="50"/>
        <v/>
      </c>
      <c r="AB308" t="s">
        <v>992</v>
      </c>
      <c r="AC308" t="s">
        <v>993</v>
      </c>
      <c r="AD308" t="s">
        <v>280</v>
      </c>
      <c r="AE308" t="s">
        <v>281</v>
      </c>
      <c r="AF308" t="s">
        <v>268</v>
      </c>
      <c r="AG308" t="s">
        <v>282</v>
      </c>
    </row>
    <row r="309" spans="1:33">
      <c r="A309" s="83" t="str">
        <f>IF(C309="","",VLOOKUP('OPĆI DIO'!$C$3,'OPĆI DIO'!$L$6:$U$138,10,FALSE))</f>
        <v/>
      </c>
      <c r="B309" s="83" t="str">
        <f>IF(C309="","",VLOOKUP('OPĆI DIO'!$C$3,'OPĆI DIO'!$L$6:$U$138,9,FALSE))</f>
        <v/>
      </c>
      <c r="C309" s="84"/>
      <c r="D309" s="83" t="str">
        <f t="shared" si="42"/>
        <v/>
      </c>
      <c r="E309" s="84"/>
      <c r="F309" s="83" t="str">
        <f t="shared" si="43"/>
        <v/>
      </c>
      <c r="G309" s="85"/>
      <c r="H309" s="83" t="str">
        <f t="shared" si="44"/>
        <v/>
      </c>
      <c r="I309" s="83" t="str">
        <f t="shared" si="45"/>
        <v/>
      </c>
      <c r="J309" s="69"/>
      <c r="K309" s="69"/>
      <c r="L309" s="78">
        <f t="shared" si="46"/>
        <v>0</v>
      </c>
      <c r="M309" s="67"/>
      <c r="O309" t="str">
        <f t="shared" si="47"/>
        <v/>
      </c>
      <c r="P309" t="str">
        <f t="shared" si="48"/>
        <v/>
      </c>
      <c r="Q309" t="str">
        <f t="shared" si="49"/>
        <v/>
      </c>
      <c r="R309" t="str">
        <f t="shared" si="50"/>
        <v/>
      </c>
      <c r="AB309" t="s">
        <v>994</v>
      </c>
      <c r="AC309" t="s">
        <v>995</v>
      </c>
      <c r="AD309" t="s">
        <v>280</v>
      </c>
      <c r="AE309" t="s">
        <v>281</v>
      </c>
      <c r="AF309" t="s">
        <v>268</v>
      </c>
      <c r="AG309" t="s">
        <v>282</v>
      </c>
    </row>
    <row r="310" spans="1:33">
      <c r="A310" s="83" t="str">
        <f>IF(C310="","",VLOOKUP('OPĆI DIO'!$C$3,'OPĆI DIO'!$L$6:$U$138,10,FALSE))</f>
        <v/>
      </c>
      <c r="B310" s="83" t="str">
        <f>IF(C310="","",VLOOKUP('OPĆI DIO'!$C$3,'OPĆI DIO'!$L$6:$U$138,9,FALSE))</f>
        <v/>
      </c>
      <c r="C310" s="84"/>
      <c r="D310" s="83" t="str">
        <f t="shared" si="42"/>
        <v/>
      </c>
      <c r="E310" s="84"/>
      <c r="F310" s="83" t="str">
        <f t="shared" si="43"/>
        <v/>
      </c>
      <c r="G310" s="85"/>
      <c r="H310" s="83" t="str">
        <f t="shared" si="44"/>
        <v/>
      </c>
      <c r="I310" s="83" t="str">
        <f t="shared" si="45"/>
        <v/>
      </c>
      <c r="J310" s="69"/>
      <c r="K310" s="69"/>
      <c r="L310" s="78">
        <f t="shared" si="46"/>
        <v>0</v>
      </c>
      <c r="M310" s="67"/>
      <c r="O310" t="str">
        <f t="shared" si="47"/>
        <v/>
      </c>
      <c r="P310" t="str">
        <f t="shared" si="48"/>
        <v/>
      </c>
      <c r="Q310" t="str">
        <f t="shared" si="49"/>
        <v/>
      </c>
      <c r="R310" t="str">
        <f t="shared" si="50"/>
        <v/>
      </c>
      <c r="AB310" t="s">
        <v>996</v>
      </c>
      <c r="AC310" t="s">
        <v>997</v>
      </c>
      <c r="AD310" t="s">
        <v>280</v>
      </c>
      <c r="AE310" t="s">
        <v>281</v>
      </c>
      <c r="AF310" t="s">
        <v>268</v>
      </c>
      <c r="AG310" t="s">
        <v>282</v>
      </c>
    </row>
    <row r="311" spans="1:33">
      <c r="A311" s="83" t="str">
        <f>IF(C311="","",VLOOKUP('OPĆI DIO'!$C$3,'OPĆI DIO'!$L$6:$U$138,10,FALSE))</f>
        <v/>
      </c>
      <c r="B311" s="83" t="str">
        <f>IF(C311="","",VLOOKUP('OPĆI DIO'!$C$3,'OPĆI DIO'!$L$6:$U$138,9,FALSE))</f>
        <v/>
      </c>
      <c r="C311" s="84"/>
      <c r="D311" s="83" t="str">
        <f t="shared" si="42"/>
        <v/>
      </c>
      <c r="E311" s="84"/>
      <c r="F311" s="83" t="str">
        <f t="shared" si="43"/>
        <v/>
      </c>
      <c r="G311" s="85"/>
      <c r="H311" s="83" t="str">
        <f t="shared" si="44"/>
        <v/>
      </c>
      <c r="I311" s="83" t="str">
        <f t="shared" si="45"/>
        <v/>
      </c>
      <c r="J311" s="69"/>
      <c r="K311" s="69"/>
      <c r="L311" s="78">
        <f t="shared" si="46"/>
        <v>0</v>
      </c>
      <c r="M311" s="67"/>
      <c r="O311" t="str">
        <f t="shared" si="47"/>
        <v/>
      </c>
      <c r="P311" t="str">
        <f t="shared" si="48"/>
        <v/>
      </c>
      <c r="Q311" t="str">
        <f t="shared" si="49"/>
        <v/>
      </c>
      <c r="R311" t="str">
        <f t="shared" si="50"/>
        <v/>
      </c>
      <c r="AB311" t="s">
        <v>998</v>
      </c>
      <c r="AC311" t="s">
        <v>999</v>
      </c>
      <c r="AD311" t="s">
        <v>280</v>
      </c>
      <c r="AE311" t="s">
        <v>281</v>
      </c>
      <c r="AF311" t="s">
        <v>268</v>
      </c>
      <c r="AG311" t="s">
        <v>282</v>
      </c>
    </row>
    <row r="312" spans="1:33">
      <c r="A312" s="83" t="str">
        <f>IF(C312="","",VLOOKUP('OPĆI DIO'!$C$3,'OPĆI DIO'!$L$6:$U$138,10,FALSE))</f>
        <v/>
      </c>
      <c r="B312" s="83" t="str">
        <f>IF(C312="","",VLOOKUP('OPĆI DIO'!$C$3,'OPĆI DIO'!$L$6:$U$138,9,FALSE))</f>
        <v/>
      </c>
      <c r="C312" s="84"/>
      <c r="D312" s="83" t="str">
        <f t="shared" si="42"/>
        <v/>
      </c>
      <c r="E312" s="84"/>
      <c r="F312" s="83" t="str">
        <f t="shared" si="43"/>
        <v/>
      </c>
      <c r="G312" s="85"/>
      <c r="H312" s="83" t="str">
        <f t="shared" si="44"/>
        <v/>
      </c>
      <c r="I312" s="83" t="str">
        <f t="shared" si="45"/>
        <v/>
      </c>
      <c r="J312" s="69"/>
      <c r="K312" s="69"/>
      <c r="L312" s="78">
        <f t="shared" si="46"/>
        <v>0</v>
      </c>
      <c r="M312" s="67"/>
      <c r="O312" t="str">
        <f t="shared" si="47"/>
        <v/>
      </c>
      <c r="P312" t="str">
        <f t="shared" si="48"/>
        <v/>
      </c>
      <c r="Q312" t="str">
        <f t="shared" si="49"/>
        <v/>
      </c>
      <c r="R312" t="str">
        <f t="shared" si="50"/>
        <v/>
      </c>
      <c r="AB312" t="s">
        <v>1000</v>
      </c>
      <c r="AC312" t="s">
        <v>1001</v>
      </c>
      <c r="AD312" t="s">
        <v>280</v>
      </c>
      <c r="AE312" t="s">
        <v>281</v>
      </c>
      <c r="AF312" t="s">
        <v>268</v>
      </c>
      <c r="AG312" t="s">
        <v>282</v>
      </c>
    </row>
    <row r="313" spans="1:33">
      <c r="A313" s="83" t="str">
        <f>IF(C313="","",VLOOKUP('OPĆI DIO'!$C$3,'OPĆI DIO'!$L$6:$U$138,10,FALSE))</f>
        <v/>
      </c>
      <c r="B313" s="83" t="str">
        <f>IF(C313="","",VLOOKUP('OPĆI DIO'!$C$3,'OPĆI DIO'!$L$6:$U$138,9,FALSE))</f>
        <v/>
      </c>
      <c r="C313" s="84"/>
      <c r="D313" s="83" t="str">
        <f t="shared" si="42"/>
        <v/>
      </c>
      <c r="E313" s="84"/>
      <c r="F313" s="83" t="str">
        <f t="shared" si="43"/>
        <v/>
      </c>
      <c r="G313" s="85"/>
      <c r="H313" s="83" t="str">
        <f t="shared" si="44"/>
        <v/>
      </c>
      <c r="I313" s="83" t="str">
        <f t="shared" si="45"/>
        <v/>
      </c>
      <c r="J313" s="69"/>
      <c r="K313" s="69"/>
      <c r="L313" s="78">
        <f t="shared" si="46"/>
        <v>0</v>
      </c>
      <c r="M313" s="67"/>
      <c r="O313" t="str">
        <f t="shared" si="47"/>
        <v/>
      </c>
      <c r="P313" t="str">
        <f t="shared" si="48"/>
        <v/>
      </c>
      <c r="Q313" t="str">
        <f t="shared" si="49"/>
        <v/>
      </c>
      <c r="R313" t="str">
        <f t="shared" si="50"/>
        <v/>
      </c>
      <c r="AB313" t="s">
        <v>1002</v>
      </c>
      <c r="AC313" t="s">
        <v>1003</v>
      </c>
      <c r="AD313" t="s">
        <v>280</v>
      </c>
      <c r="AE313" t="s">
        <v>281</v>
      </c>
      <c r="AF313" t="s">
        <v>268</v>
      </c>
      <c r="AG313" t="s">
        <v>282</v>
      </c>
    </row>
    <row r="314" spans="1:33">
      <c r="A314" s="83" t="str">
        <f>IF(C314="","",VLOOKUP('OPĆI DIO'!$C$3,'OPĆI DIO'!$L$6:$U$138,10,FALSE))</f>
        <v/>
      </c>
      <c r="B314" s="83" t="str">
        <f>IF(C314="","",VLOOKUP('OPĆI DIO'!$C$3,'OPĆI DIO'!$L$6:$U$138,9,FALSE))</f>
        <v/>
      </c>
      <c r="C314" s="84"/>
      <c r="D314" s="83" t="str">
        <f t="shared" si="42"/>
        <v/>
      </c>
      <c r="E314" s="84"/>
      <c r="F314" s="83" t="str">
        <f t="shared" si="43"/>
        <v/>
      </c>
      <c r="G314" s="85"/>
      <c r="H314" s="83" t="str">
        <f t="shared" si="44"/>
        <v/>
      </c>
      <c r="I314" s="83" t="str">
        <f t="shared" si="45"/>
        <v/>
      </c>
      <c r="J314" s="69"/>
      <c r="K314" s="69"/>
      <c r="L314" s="78">
        <f t="shared" si="46"/>
        <v>0</v>
      </c>
      <c r="M314" s="67"/>
      <c r="O314" t="str">
        <f t="shared" si="47"/>
        <v/>
      </c>
      <c r="P314" t="str">
        <f t="shared" si="48"/>
        <v/>
      </c>
      <c r="Q314" t="str">
        <f t="shared" si="49"/>
        <v/>
      </c>
      <c r="R314" t="str">
        <f t="shared" si="50"/>
        <v/>
      </c>
      <c r="AB314" t="s">
        <v>1004</v>
      </c>
      <c r="AC314" t="s">
        <v>1005</v>
      </c>
      <c r="AD314" t="s">
        <v>280</v>
      </c>
      <c r="AE314" t="s">
        <v>281</v>
      </c>
      <c r="AF314" t="s">
        <v>268</v>
      </c>
      <c r="AG314" t="s">
        <v>282</v>
      </c>
    </row>
    <row r="315" spans="1:33">
      <c r="A315" s="83" t="str">
        <f>IF(C315="","",VLOOKUP('OPĆI DIO'!$C$3,'OPĆI DIO'!$L$6:$U$138,10,FALSE))</f>
        <v/>
      </c>
      <c r="B315" s="83" t="str">
        <f>IF(C315="","",VLOOKUP('OPĆI DIO'!$C$3,'OPĆI DIO'!$L$6:$U$138,9,FALSE))</f>
        <v/>
      </c>
      <c r="C315" s="84"/>
      <c r="D315" s="83" t="str">
        <f t="shared" si="42"/>
        <v/>
      </c>
      <c r="E315" s="84"/>
      <c r="F315" s="83" t="str">
        <f t="shared" si="43"/>
        <v/>
      </c>
      <c r="G315" s="85"/>
      <c r="H315" s="83" t="str">
        <f t="shared" si="44"/>
        <v/>
      </c>
      <c r="I315" s="83" t="str">
        <f t="shared" si="45"/>
        <v/>
      </c>
      <c r="J315" s="69"/>
      <c r="K315" s="69"/>
      <c r="L315" s="78">
        <f t="shared" si="46"/>
        <v>0</v>
      </c>
      <c r="M315" s="67"/>
      <c r="O315" t="str">
        <f t="shared" si="47"/>
        <v/>
      </c>
      <c r="P315" t="str">
        <f t="shared" si="48"/>
        <v/>
      </c>
      <c r="Q315" t="str">
        <f t="shared" si="49"/>
        <v/>
      </c>
      <c r="R315" t="str">
        <f t="shared" si="50"/>
        <v/>
      </c>
      <c r="AB315" t="s">
        <v>1006</v>
      </c>
      <c r="AC315" t="s">
        <v>773</v>
      </c>
      <c r="AD315" t="s">
        <v>673</v>
      </c>
      <c r="AE315" t="s">
        <v>674</v>
      </c>
      <c r="AF315" t="s">
        <v>268</v>
      </c>
      <c r="AG315" t="s">
        <v>675</v>
      </c>
    </row>
    <row r="316" spans="1:33">
      <c r="A316" s="83" t="str">
        <f>IF(C316="","",VLOOKUP('OPĆI DIO'!$C$3,'OPĆI DIO'!$L$6:$U$138,10,FALSE))</f>
        <v/>
      </c>
      <c r="B316" s="83" t="str">
        <f>IF(C316="","",VLOOKUP('OPĆI DIO'!$C$3,'OPĆI DIO'!$L$6:$U$138,9,FALSE))</f>
        <v/>
      </c>
      <c r="C316" s="84"/>
      <c r="D316" s="83" t="str">
        <f t="shared" si="42"/>
        <v/>
      </c>
      <c r="E316" s="84"/>
      <c r="F316" s="83" t="str">
        <f t="shared" si="43"/>
        <v/>
      </c>
      <c r="G316" s="85"/>
      <c r="H316" s="83" t="str">
        <f t="shared" si="44"/>
        <v/>
      </c>
      <c r="I316" s="83" t="str">
        <f t="shared" si="45"/>
        <v/>
      </c>
      <c r="J316" s="69"/>
      <c r="K316" s="69"/>
      <c r="L316" s="78">
        <f t="shared" si="46"/>
        <v>0</v>
      </c>
      <c r="M316" s="67"/>
      <c r="O316" t="str">
        <f t="shared" si="47"/>
        <v/>
      </c>
      <c r="P316" t="str">
        <f t="shared" si="48"/>
        <v/>
      </c>
      <c r="Q316" t="str">
        <f t="shared" si="49"/>
        <v/>
      </c>
      <c r="R316" t="str">
        <f t="shared" si="50"/>
        <v/>
      </c>
      <c r="AB316" t="s">
        <v>1007</v>
      </c>
      <c r="AC316" t="s">
        <v>1008</v>
      </c>
      <c r="AD316" t="s">
        <v>673</v>
      </c>
      <c r="AE316" t="s">
        <v>674</v>
      </c>
      <c r="AF316" t="s">
        <v>268</v>
      </c>
      <c r="AG316" t="s">
        <v>675</v>
      </c>
    </row>
    <row r="317" spans="1:33">
      <c r="A317" s="83" t="str">
        <f>IF(C317="","",VLOOKUP('OPĆI DIO'!$C$3,'OPĆI DIO'!$L$6:$U$138,10,FALSE))</f>
        <v/>
      </c>
      <c r="B317" s="83" t="str">
        <f>IF(C317="","",VLOOKUP('OPĆI DIO'!$C$3,'OPĆI DIO'!$L$6:$U$138,9,FALSE))</f>
        <v/>
      </c>
      <c r="C317" s="84"/>
      <c r="D317" s="83" t="str">
        <f t="shared" si="42"/>
        <v/>
      </c>
      <c r="E317" s="84"/>
      <c r="F317" s="83" t="str">
        <f t="shared" si="43"/>
        <v/>
      </c>
      <c r="G317" s="85"/>
      <c r="H317" s="83" t="str">
        <f t="shared" si="44"/>
        <v/>
      </c>
      <c r="I317" s="83" t="str">
        <f t="shared" si="45"/>
        <v/>
      </c>
      <c r="J317" s="69"/>
      <c r="K317" s="69"/>
      <c r="L317" s="78">
        <f t="shared" si="46"/>
        <v>0</v>
      </c>
      <c r="M317" s="67"/>
      <c r="O317" t="str">
        <f t="shared" si="47"/>
        <v/>
      </c>
      <c r="P317" t="str">
        <f t="shared" si="48"/>
        <v/>
      </c>
      <c r="Q317" t="str">
        <f t="shared" si="49"/>
        <v/>
      </c>
      <c r="R317" t="str">
        <f t="shared" si="50"/>
        <v/>
      </c>
      <c r="AB317" t="s">
        <v>271</v>
      </c>
      <c r="AC317" t="s">
        <v>272</v>
      </c>
      <c r="AD317" t="s">
        <v>273</v>
      </c>
      <c r="AE317" t="s">
        <v>274</v>
      </c>
      <c r="AF317" t="s">
        <v>275</v>
      </c>
      <c r="AG317" t="s">
        <v>276</v>
      </c>
    </row>
    <row r="318" spans="1:33">
      <c r="A318" s="83" t="str">
        <f>IF(C318="","",VLOOKUP('OPĆI DIO'!$C$3,'OPĆI DIO'!$L$6:$U$138,10,FALSE))</f>
        <v/>
      </c>
      <c r="B318" s="83" t="str">
        <f>IF(C318="","",VLOOKUP('OPĆI DIO'!$C$3,'OPĆI DIO'!$L$6:$U$138,9,FALSE))</f>
        <v/>
      </c>
      <c r="C318" s="84"/>
      <c r="D318" s="83" t="str">
        <f t="shared" si="42"/>
        <v/>
      </c>
      <c r="E318" s="84"/>
      <c r="F318" s="83" t="str">
        <f t="shared" si="43"/>
        <v/>
      </c>
      <c r="G318" s="85"/>
      <c r="H318" s="83" t="str">
        <f t="shared" si="44"/>
        <v/>
      </c>
      <c r="I318" s="83" t="str">
        <f t="shared" si="45"/>
        <v/>
      </c>
      <c r="J318" s="69"/>
      <c r="K318" s="69"/>
      <c r="L318" s="78">
        <f t="shared" si="46"/>
        <v>0</v>
      </c>
      <c r="M318" s="67"/>
      <c r="O318" t="str">
        <f t="shared" si="47"/>
        <v/>
      </c>
      <c r="P318" t="str">
        <f t="shared" si="48"/>
        <v/>
      </c>
      <c r="Q318" t="str">
        <f t="shared" si="49"/>
        <v/>
      </c>
      <c r="R318" t="str">
        <f t="shared" si="50"/>
        <v/>
      </c>
      <c r="AB318" t="s">
        <v>361</v>
      </c>
      <c r="AC318" t="s">
        <v>362</v>
      </c>
      <c r="AD318" t="s">
        <v>273</v>
      </c>
      <c r="AE318" t="s">
        <v>274</v>
      </c>
      <c r="AF318" t="s">
        <v>275</v>
      </c>
      <c r="AG318" t="s">
        <v>276</v>
      </c>
    </row>
    <row r="319" spans="1:33">
      <c r="A319" s="83" t="str">
        <f>IF(C319="","",VLOOKUP('OPĆI DIO'!$C$3,'OPĆI DIO'!$L$6:$U$138,10,FALSE))</f>
        <v/>
      </c>
      <c r="B319" s="83" t="str">
        <f>IF(C319="","",VLOOKUP('OPĆI DIO'!$C$3,'OPĆI DIO'!$L$6:$U$138,9,FALSE))</f>
        <v/>
      </c>
      <c r="C319" s="84"/>
      <c r="D319" s="83" t="str">
        <f t="shared" si="42"/>
        <v/>
      </c>
      <c r="E319" s="84"/>
      <c r="F319" s="83" t="str">
        <f t="shared" si="43"/>
        <v/>
      </c>
      <c r="G319" s="85"/>
      <c r="H319" s="83" t="str">
        <f t="shared" si="44"/>
        <v/>
      </c>
      <c r="I319" s="83" t="str">
        <f t="shared" si="45"/>
        <v/>
      </c>
      <c r="J319" s="69"/>
      <c r="K319" s="69"/>
      <c r="L319" s="78">
        <f t="shared" si="46"/>
        <v>0</v>
      </c>
      <c r="M319" s="67"/>
      <c r="O319" t="str">
        <f t="shared" si="47"/>
        <v/>
      </c>
      <c r="P319" t="str">
        <f t="shared" si="48"/>
        <v/>
      </c>
      <c r="Q319" t="str">
        <f t="shared" si="49"/>
        <v/>
      </c>
      <c r="R319" t="str">
        <f t="shared" si="50"/>
        <v/>
      </c>
      <c r="AB319" t="s">
        <v>1009</v>
      </c>
      <c r="AC319" t="s">
        <v>1010</v>
      </c>
      <c r="AD319" t="s">
        <v>273</v>
      </c>
      <c r="AE319" t="s">
        <v>274</v>
      </c>
      <c r="AF319" t="s">
        <v>275</v>
      </c>
      <c r="AG319" t="s">
        <v>276</v>
      </c>
    </row>
    <row r="320" spans="1:33">
      <c r="A320" s="83" t="str">
        <f>IF(C320="","",VLOOKUP('OPĆI DIO'!$C$3,'OPĆI DIO'!$L$6:$U$138,10,FALSE))</f>
        <v/>
      </c>
      <c r="B320" s="83" t="str">
        <f>IF(C320="","",VLOOKUP('OPĆI DIO'!$C$3,'OPĆI DIO'!$L$6:$U$138,9,FALSE))</f>
        <v/>
      </c>
      <c r="C320" s="84"/>
      <c r="D320" s="83" t="str">
        <f t="shared" si="42"/>
        <v/>
      </c>
      <c r="E320" s="84"/>
      <c r="F320" s="83" t="str">
        <f t="shared" si="43"/>
        <v/>
      </c>
      <c r="G320" s="85"/>
      <c r="H320" s="83" t="str">
        <f t="shared" si="44"/>
        <v/>
      </c>
      <c r="I320" s="83" t="str">
        <f t="shared" si="45"/>
        <v/>
      </c>
      <c r="J320" s="69"/>
      <c r="K320" s="69"/>
      <c r="L320" s="78">
        <f t="shared" si="46"/>
        <v>0</v>
      </c>
      <c r="M320" s="67"/>
      <c r="O320" t="str">
        <f t="shared" si="47"/>
        <v/>
      </c>
      <c r="P320" t="str">
        <f t="shared" si="48"/>
        <v/>
      </c>
      <c r="Q320" t="str">
        <f t="shared" si="49"/>
        <v/>
      </c>
      <c r="R320" t="str">
        <f t="shared" si="50"/>
        <v/>
      </c>
      <c r="AB320" t="s">
        <v>1011</v>
      </c>
      <c r="AC320" t="s">
        <v>1012</v>
      </c>
      <c r="AD320" t="s">
        <v>273</v>
      </c>
      <c r="AE320" t="s">
        <v>274</v>
      </c>
      <c r="AF320" t="s">
        <v>275</v>
      </c>
      <c r="AG320" t="s">
        <v>276</v>
      </c>
    </row>
    <row r="321" spans="1:33">
      <c r="A321" s="83" t="str">
        <f>IF(C321="","",VLOOKUP('OPĆI DIO'!$C$3,'OPĆI DIO'!$L$6:$U$138,10,FALSE))</f>
        <v/>
      </c>
      <c r="B321" s="83" t="str">
        <f>IF(C321="","",VLOOKUP('OPĆI DIO'!$C$3,'OPĆI DIO'!$L$6:$U$138,9,FALSE))</f>
        <v/>
      </c>
      <c r="C321" s="84"/>
      <c r="D321" s="83" t="str">
        <f t="shared" si="42"/>
        <v/>
      </c>
      <c r="E321" s="84"/>
      <c r="F321" s="83" t="str">
        <f t="shared" si="43"/>
        <v/>
      </c>
      <c r="G321" s="85"/>
      <c r="H321" s="83" t="str">
        <f t="shared" si="44"/>
        <v/>
      </c>
      <c r="I321" s="83" t="str">
        <f t="shared" si="45"/>
        <v/>
      </c>
      <c r="J321" s="69"/>
      <c r="K321" s="69"/>
      <c r="L321" s="78">
        <f t="shared" si="46"/>
        <v>0</v>
      </c>
      <c r="M321" s="67"/>
      <c r="O321" t="str">
        <f t="shared" si="47"/>
        <v/>
      </c>
      <c r="P321" t="str">
        <f t="shared" si="48"/>
        <v/>
      </c>
      <c r="Q321" t="str">
        <f t="shared" si="49"/>
        <v/>
      </c>
      <c r="R321" t="str">
        <f t="shared" si="50"/>
        <v/>
      </c>
      <c r="AB321" t="s">
        <v>1013</v>
      </c>
      <c r="AC321" t="s">
        <v>1014</v>
      </c>
      <c r="AD321" t="s">
        <v>273</v>
      </c>
      <c r="AE321" t="s">
        <v>274</v>
      </c>
      <c r="AF321" t="s">
        <v>275</v>
      </c>
      <c r="AG321" t="s">
        <v>276</v>
      </c>
    </row>
    <row r="322" spans="1:33">
      <c r="A322" s="83" t="str">
        <f>IF(C322="","",VLOOKUP('OPĆI DIO'!$C$3,'OPĆI DIO'!$L$6:$U$138,10,FALSE))</f>
        <v/>
      </c>
      <c r="B322" s="83" t="str">
        <f>IF(C322="","",VLOOKUP('OPĆI DIO'!$C$3,'OPĆI DIO'!$L$6:$U$138,9,FALSE))</f>
        <v/>
      </c>
      <c r="C322" s="84"/>
      <c r="D322" s="83" t="str">
        <f t="shared" si="42"/>
        <v/>
      </c>
      <c r="E322" s="84"/>
      <c r="F322" s="83" t="str">
        <f t="shared" si="43"/>
        <v/>
      </c>
      <c r="G322" s="85"/>
      <c r="H322" s="83" t="str">
        <f t="shared" si="44"/>
        <v/>
      </c>
      <c r="I322" s="83" t="str">
        <f t="shared" si="45"/>
        <v/>
      </c>
      <c r="J322" s="69"/>
      <c r="K322" s="69"/>
      <c r="L322" s="78">
        <f t="shared" si="46"/>
        <v>0</v>
      </c>
      <c r="M322" s="67"/>
      <c r="O322" t="str">
        <f t="shared" si="47"/>
        <v/>
      </c>
      <c r="P322" t="str">
        <f t="shared" si="48"/>
        <v/>
      </c>
      <c r="Q322" t="str">
        <f t="shared" si="49"/>
        <v/>
      </c>
      <c r="R322" t="str">
        <f t="shared" si="50"/>
        <v/>
      </c>
      <c r="AB322" t="s">
        <v>455</v>
      </c>
      <c r="AC322" t="s">
        <v>456</v>
      </c>
      <c r="AD322" t="s">
        <v>273</v>
      </c>
      <c r="AE322" t="s">
        <v>274</v>
      </c>
      <c r="AF322" t="s">
        <v>275</v>
      </c>
      <c r="AG322" t="s">
        <v>276</v>
      </c>
    </row>
    <row r="323" spans="1:33">
      <c r="A323" s="83" t="str">
        <f>IF(C323="","",VLOOKUP('OPĆI DIO'!$C$3,'OPĆI DIO'!$L$6:$U$138,10,FALSE))</f>
        <v/>
      </c>
      <c r="B323" s="83" t="str">
        <f>IF(C323="","",VLOOKUP('OPĆI DIO'!$C$3,'OPĆI DIO'!$L$6:$U$138,9,FALSE))</f>
        <v/>
      </c>
      <c r="C323" s="84"/>
      <c r="D323" s="83" t="str">
        <f t="shared" ref="D323:D386" si="51">IFERROR(VLOOKUP(C323,$S$6:$T$24,2,FALSE),"")</f>
        <v/>
      </c>
      <c r="E323" s="84"/>
      <c r="F323" s="83" t="str">
        <f t="shared" ref="F323:F386" si="52">IFERROR(VLOOKUP(E323,$V$5:$X$129,2,FALSE),"")</f>
        <v/>
      </c>
      <c r="G323" s="85"/>
      <c r="H323" s="83" t="str">
        <f t="shared" ref="H323:H386" si="53">IFERROR(VLOOKUP(G323,$AB$6:$AC$327,2,FALSE),"")</f>
        <v/>
      </c>
      <c r="I323" s="83" t="str">
        <f t="shared" ref="I323:I386" si="54">IFERROR(VLOOKUP(G323,$AB$6:$AF$327,3,FALSE),"")</f>
        <v/>
      </c>
      <c r="J323" s="69"/>
      <c r="K323" s="69"/>
      <c r="L323" s="78">
        <f t="shared" si="46"/>
        <v>0</v>
      </c>
      <c r="M323" s="67"/>
      <c r="O323" t="str">
        <f t="shared" si="47"/>
        <v/>
      </c>
      <c r="P323" t="str">
        <f t="shared" si="48"/>
        <v/>
      </c>
      <c r="Q323" t="str">
        <f t="shared" si="49"/>
        <v/>
      </c>
      <c r="R323" t="str">
        <f t="shared" si="50"/>
        <v/>
      </c>
      <c r="AB323" t="s">
        <v>537</v>
      </c>
      <c r="AC323" t="s">
        <v>538</v>
      </c>
      <c r="AD323" t="s">
        <v>273</v>
      </c>
      <c r="AE323" t="s">
        <v>274</v>
      </c>
      <c r="AF323" t="s">
        <v>275</v>
      </c>
      <c r="AG323" t="s">
        <v>276</v>
      </c>
    </row>
    <row r="324" spans="1:33">
      <c r="A324" s="83" t="str">
        <f>IF(C324="","",VLOOKUP('OPĆI DIO'!$C$3,'OPĆI DIO'!$L$6:$U$138,10,FALSE))</f>
        <v/>
      </c>
      <c r="B324" s="83" t="str">
        <f>IF(C324="","",VLOOKUP('OPĆI DIO'!$C$3,'OPĆI DIO'!$L$6:$U$138,9,FALSE))</f>
        <v/>
      </c>
      <c r="C324" s="84"/>
      <c r="D324" s="83" t="str">
        <f t="shared" si="51"/>
        <v/>
      </c>
      <c r="E324" s="84"/>
      <c r="F324" s="83" t="str">
        <f t="shared" si="52"/>
        <v/>
      </c>
      <c r="G324" s="85"/>
      <c r="H324" s="83" t="str">
        <f t="shared" si="53"/>
        <v/>
      </c>
      <c r="I324" s="83" t="str">
        <f t="shared" si="54"/>
        <v/>
      </c>
      <c r="J324" s="69"/>
      <c r="K324" s="69"/>
      <c r="L324" s="78">
        <f t="shared" ref="L324:L387" si="55">K324-J324</f>
        <v>0</v>
      </c>
      <c r="M324" s="67"/>
      <c r="O324" t="str">
        <f t="shared" ref="O324:O387" si="56">LEFT(E324,3)</f>
        <v/>
      </c>
      <c r="P324" t="str">
        <f t="shared" ref="P324:P387" si="57">LEFT(E324,2)</f>
        <v/>
      </c>
      <c r="Q324" t="str">
        <f t="shared" ref="Q324:Q387" si="58">LEFT(C324,3)</f>
        <v/>
      </c>
      <c r="R324" t="str">
        <f t="shared" ref="R324:R387" si="59">MID(I324,2,2)</f>
        <v/>
      </c>
      <c r="AB324" t="s">
        <v>1015</v>
      </c>
      <c r="AC324" t="s">
        <v>1016</v>
      </c>
      <c r="AD324" t="s">
        <v>273</v>
      </c>
      <c r="AE324" t="s">
        <v>274</v>
      </c>
      <c r="AF324" t="s">
        <v>275</v>
      </c>
      <c r="AG324" t="s">
        <v>276</v>
      </c>
    </row>
    <row r="325" spans="1:33">
      <c r="A325" s="83" t="str">
        <f>IF(C325="","",VLOOKUP('OPĆI DIO'!$C$3,'OPĆI DIO'!$L$6:$U$138,10,FALSE))</f>
        <v/>
      </c>
      <c r="B325" s="83" t="str">
        <f>IF(C325="","",VLOOKUP('OPĆI DIO'!$C$3,'OPĆI DIO'!$L$6:$U$138,9,FALSE))</f>
        <v/>
      </c>
      <c r="C325" s="84"/>
      <c r="D325" s="83" t="str">
        <f t="shared" si="51"/>
        <v/>
      </c>
      <c r="E325" s="84"/>
      <c r="F325" s="83" t="str">
        <f t="shared" si="52"/>
        <v/>
      </c>
      <c r="G325" s="85"/>
      <c r="H325" s="83" t="str">
        <f t="shared" si="53"/>
        <v/>
      </c>
      <c r="I325" s="83" t="str">
        <f t="shared" si="54"/>
        <v/>
      </c>
      <c r="J325" s="69"/>
      <c r="K325" s="69"/>
      <c r="L325" s="78">
        <f t="shared" si="55"/>
        <v>0</v>
      </c>
      <c r="M325" s="67"/>
      <c r="O325" t="str">
        <f t="shared" si="56"/>
        <v/>
      </c>
      <c r="P325" t="str">
        <f t="shared" si="57"/>
        <v/>
      </c>
      <c r="Q325" t="str">
        <f t="shared" si="58"/>
        <v/>
      </c>
      <c r="R325" t="str">
        <f t="shared" si="59"/>
        <v/>
      </c>
      <c r="AB325" t="s">
        <v>1017</v>
      </c>
      <c r="AC325" t="s">
        <v>1018</v>
      </c>
      <c r="AD325" t="s">
        <v>273</v>
      </c>
      <c r="AE325" t="s">
        <v>274</v>
      </c>
      <c r="AF325" t="s">
        <v>275</v>
      </c>
      <c r="AG325" t="s">
        <v>276</v>
      </c>
    </row>
    <row r="326" spans="1:33">
      <c r="A326" s="83" t="str">
        <f>IF(C326="","",VLOOKUP('OPĆI DIO'!$C$3,'OPĆI DIO'!$L$6:$U$138,10,FALSE))</f>
        <v/>
      </c>
      <c r="B326" s="83" t="str">
        <f>IF(C326="","",VLOOKUP('OPĆI DIO'!$C$3,'OPĆI DIO'!$L$6:$U$138,9,FALSE))</f>
        <v/>
      </c>
      <c r="C326" s="84"/>
      <c r="D326" s="83" t="str">
        <f t="shared" si="51"/>
        <v/>
      </c>
      <c r="E326" s="84"/>
      <c r="F326" s="83" t="str">
        <f t="shared" si="52"/>
        <v/>
      </c>
      <c r="G326" s="85"/>
      <c r="H326" s="83" t="str">
        <f t="shared" si="53"/>
        <v/>
      </c>
      <c r="I326" s="83" t="str">
        <f t="shared" si="54"/>
        <v/>
      </c>
      <c r="J326" s="69"/>
      <c r="K326" s="69"/>
      <c r="L326" s="78">
        <f t="shared" si="55"/>
        <v>0</v>
      </c>
      <c r="M326" s="67"/>
      <c r="O326" t="str">
        <f t="shared" si="56"/>
        <v/>
      </c>
      <c r="P326" t="str">
        <f t="shared" si="57"/>
        <v/>
      </c>
      <c r="Q326" t="str">
        <f t="shared" si="58"/>
        <v/>
      </c>
      <c r="R326" t="str">
        <f t="shared" si="59"/>
        <v/>
      </c>
      <c r="AB326" t="s">
        <v>1019</v>
      </c>
      <c r="AC326" t="s">
        <v>1020</v>
      </c>
      <c r="AD326" t="s">
        <v>273</v>
      </c>
      <c r="AE326" t="s">
        <v>274</v>
      </c>
      <c r="AF326" t="s">
        <v>275</v>
      </c>
      <c r="AG326" t="s">
        <v>276</v>
      </c>
    </row>
    <row r="327" spans="1:33">
      <c r="A327" s="83" t="str">
        <f>IF(C327="","",VLOOKUP('OPĆI DIO'!$C$3,'OPĆI DIO'!$L$6:$U$138,10,FALSE))</f>
        <v/>
      </c>
      <c r="B327" s="83" t="str">
        <f>IF(C327="","",VLOOKUP('OPĆI DIO'!$C$3,'OPĆI DIO'!$L$6:$U$138,9,FALSE))</f>
        <v/>
      </c>
      <c r="C327" s="84"/>
      <c r="D327" s="83" t="str">
        <f t="shared" si="51"/>
        <v/>
      </c>
      <c r="E327" s="84"/>
      <c r="F327" s="83" t="str">
        <f t="shared" si="52"/>
        <v/>
      </c>
      <c r="G327" s="85"/>
      <c r="H327" s="83" t="str">
        <f t="shared" si="53"/>
        <v/>
      </c>
      <c r="I327" s="83" t="str">
        <f t="shared" si="54"/>
        <v/>
      </c>
      <c r="J327" s="69"/>
      <c r="K327" s="69"/>
      <c r="L327" s="78">
        <f t="shared" si="55"/>
        <v>0</v>
      </c>
      <c r="M327" s="67"/>
      <c r="O327" t="str">
        <f t="shared" si="56"/>
        <v/>
      </c>
      <c r="P327" t="str">
        <f t="shared" si="57"/>
        <v/>
      </c>
      <c r="Q327" t="str">
        <f t="shared" si="58"/>
        <v/>
      </c>
      <c r="R327" t="str">
        <f t="shared" si="59"/>
        <v/>
      </c>
      <c r="AB327" t="s">
        <v>1021</v>
      </c>
      <c r="AC327" t="s">
        <v>773</v>
      </c>
      <c r="AD327" t="s">
        <v>273</v>
      </c>
      <c r="AE327" t="s">
        <v>274</v>
      </c>
      <c r="AF327" t="s">
        <v>275</v>
      </c>
      <c r="AG327" t="s">
        <v>276</v>
      </c>
    </row>
    <row r="328" spans="1:33">
      <c r="A328" s="83" t="str">
        <f>IF(C328="","",VLOOKUP('OPĆI DIO'!$C$3,'OPĆI DIO'!$L$6:$U$138,10,FALSE))</f>
        <v/>
      </c>
      <c r="B328" s="83" t="str">
        <f>IF(C328="","",VLOOKUP('OPĆI DIO'!$C$3,'OPĆI DIO'!$L$6:$U$138,9,FALSE))</f>
        <v/>
      </c>
      <c r="C328" s="84"/>
      <c r="D328" s="83" t="str">
        <f t="shared" si="51"/>
        <v/>
      </c>
      <c r="E328" s="84"/>
      <c r="F328" s="83" t="str">
        <f t="shared" si="52"/>
        <v/>
      </c>
      <c r="G328" s="85"/>
      <c r="H328" s="83" t="str">
        <f t="shared" si="53"/>
        <v/>
      </c>
      <c r="I328" s="83" t="str">
        <f t="shared" si="54"/>
        <v/>
      </c>
      <c r="J328" s="69"/>
      <c r="K328" s="69"/>
      <c r="L328" s="78">
        <f t="shared" si="55"/>
        <v>0</v>
      </c>
      <c r="M328" s="67"/>
      <c r="O328" t="str">
        <f t="shared" si="56"/>
        <v/>
      </c>
      <c r="P328" t="str">
        <f t="shared" si="57"/>
        <v/>
      </c>
      <c r="Q328" t="str">
        <f t="shared" si="58"/>
        <v/>
      </c>
      <c r="R328" t="str">
        <f t="shared" si="59"/>
        <v/>
      </c>
    </row>
    <row r="329" spans="1:33">
      <c r="A329" s="83" t="str">
        <f>IF(C329="","",VLOOKUP('OPĆI DIO'!$C$3,'OPĆI DIO'!$L$6:$U$138,10,FALSE))</f>
        <v/>
      </c>
      <c r="B329" s="83" t="str">
        <f>IF(C329="","",VLOOKUP('OPĆI DIO'!$C$3,'OPĆI DIO'!$L$6:$U$138,9,FALSE))</f>
        <v/>
      </c>
      <c r="C329" s="84"/>
      <c r="D329" s="83" t="str">
        <f t="shared" si="51"/>
        <v/>
      </c>
      <c r="E329" s="84"/>
      <c r="F329" s="83" t="str">
        <f t="shared" si="52"/>
        <v/>
      </c>
      <c r="G329" s="85"/>
      <c r="H329" s="83" t="str">
        <f t="shared" si="53"/>
        <v/>
      </c>
      <c r="I329" s="83" t="str">
        <f t="shared" si="54"/>
        <v/>
      </c>
      <c r="J329" s="69"/>
      <c r="K329" s="69"/>
      <c r="L329" s="78">
        <f t="shared" si="55"/>
        <v>0</v>
      </c>
      <c r="M329" s="67"/>
      <c r="O329" t="str">
        <f t="shared" si="56"/>
        <v/>
      </c>
      <c r="P329" t="str">
        <f t="shared" si="57"/>
        <v/>
      </c>
      <c r="Q329" t="str">
        <f t="shared" si="58"/>
        <v/>
      </c>
      <c r="R329" t="str">
        <f t="shared" si="59"/>
        <v/>
      </c>
    </row>
    <row r="330" spans="1:33">
      <c r="A330" s="83" t="str">
        <f>IF(C330="","",VLOOKUP('OPĆI DIO'!$C$3,'OPĆI DIO'!$L$6:$U$138,10,FALSE))</f>
        <v/>
      </c>
      <c r="B330" s="83" t="str">
        <f>IF(C330="","",VLOOKUP('OPĆI DIO'!$C$3,'OPĆI DIO'!$L$6:$U$138,9,FALSE))</f>
        <v/>
      </c>
      <c r="C330" s="84"/>
      <c r="D330" s="83" t="str">
        <f t="shared" si="51"/>
        <v/>
      </c>
      <c r="E330" s="84"/>
      <c r="F330" s="83" t="str">
        <f t="shared" si="52"/>
        <v/>
      </c>
      <c r="G330" s="85"/>
      <c r="H330" s="83" t="str">
        <f t="shared" si="53"/>
        <v/>
      </c>
      <c r="I330" s="83" t="str">
        <f t="shared" si="54"/>
        <v/>
      </c>
      <c r="J330" s="69"/>
      <c r="K330" s="69"/>
      <c r="L330" s="78">
        <f t="shared" si="55"/>
        <v>0</v>
      </c>
      <c r="M330" s="67"/>
      <c r="O330" t="str">
        <f t="shared" si="56"/>
        <v/>
      </c>
      <c r="P330" t="str">
        <f t="shared" si="57"/>
        <v/>
      </c>
      <c r="Q330" t="str">
        <f t="shared" si="58"/>
        <v/>
      </c>
      <c r="R330" t="str">
        <f t="shared" si="59"/>
        <v/>
      </c>
    </row>
    <row r="331" spans="1:33">
      <c r="A331" s="83" t="str">
        <f>IF(C331="","",VLOOKUP('OPĆI DIO'!$C$3,'OPĆI DIO'!$L$6:$U$138,10,FALSE))</f>
        <v/>
      </c>
      <c r="B331" s="83" t="str">
        <f>IF(C331="","",VLOOKUP('OPĆI DIO'!$C$3,'OPĆI DIO'!$L$6:$U$138,9,FALSE))</f>
        <v/>
      </c>
      <c r="C331" s="84"/>
      <c r="D331" s="83" t="str">
        <f t="shared" si="51"/>
        <v/>
      </c>
      <c r="E331" s="84"/>
      <c r="F331" s="83" t="str">
        <f t="shared" si="52"/>
        <v/>
      </c>
      <c r="G331" s="85"/>
      <c r="H331" s="83" t="str">
        <f t="shared" si="53"/>
        <v/>
      </c>
      <c r="I331" s="83" t="str">
        <f t="shared" si="54"/>
        <v/>
      </c>
      <c r="J331" s="69"/>
      <c r="K331" s="69"/>
      <c r="L331" s="78">
        <f t="shared" si="55"/>
        <v>0</v>
      </c>
      <c r="M331" s="67"/>
      <c r="O331" t="str">
        <f t="shared" si="56"/>
        <v/>
      </c>
      <c r="P331" t="str">
        <f t="shared" si="57"/>
        <v/>
      </c>
      <c r="Q331" t="str">
        <f t="shared" si="58"/>
        <v/>
      </c>
      <c r="R331" t="str">
        <f t="shared" si="59"/>
        <v/>
      </c>
    </row>
    <row r="332" spans="1:33">
      <c r="A332" s="83" t="str">
        <f>IF(C332="","",VLOOKUP('OPĆI DIO'!$C$3,'OPĆI DIO'!$L$6:$U$138,10,FALSE))</f>
        <v/>
      </c>
      <c r="B332" s="83" t="str">
        <f>IF(C332="","",VLOOKUP('OPĆI DIO'!$C$3,'OPĆI DIO'!$L$6:$U$138,9,FALSE))</f>
        <v/>
      </c>
      <c r="C332" s="84"/>
      <c r="D332" s="83" t="str">
        <f t="shared" si="51"/>
        <v/>
      </c>
      <c r="E332" s="84"/>
      <c r="F332" s="83" t="str">
        <f t="shared" si="52"/>
        <v/>
      </c>
      <c r="G332" s="85"/>
      <c r="H332" s="83" t="str">
        <f t="shared" si="53"/>
        <v/>
      </c>
      <c r="I332" s="83" t="str">
        <f t="shared" si="54"/>
        <v/>
      </c>
      <c r="J332" s="69"/>
      <c r="K332" s="69"/>
      <c r="L332" s="78">
        <f t="shared" si="55"/>
        <v>0</v>
      </c>
      <c r="M332" s="67"/>
      <c r="O332" t="str">
        <f t="shared" si="56"/>
        <v/>
      </c>
      <c r="P332" t="str">
        <f t="shared" si="57"/>
        <v/>
      </c>
      <c r="Q332" t="str">
        <f t="shared" si="58"/>
        <v/>
      </c>
      <c r="R332" t="str">
        <f t="shared" si="59"/>
        <v/>
      </c>
    </row>
    <row r="333" spans="1:33">
      <c r="A333" s="83" t="str">
        <f>IF(C333="","",VLOOKUP('OPĆI DIO'!$C$3,'OPĆI DIO'!$L$6:$U$138,10,FALSE))</f>
        <v/>
      </c>
      <c r="B333" s="83" t="str">
        <f>IF(C333="","",VLOOKUP('OPĆI DIO'!$C$3,'OPĆI DIO'!$L$6:$U$138,9,FALSE))</f>
        <v/>
      </c>
      <c r="C333" s="84"/>
      <c r="D333" s="83" t="str">
        <f t="shared" si="51"/>
        <v/>
      </c>
      <c r="E333" s="84"/>
      <c r="F333" s="83" t="str">
        <f t="shared" si="52"/>
        <v/>
      </c>
      <c r="G333" s="85"/>
      <c r="H333" s="83" t="str">
        <f t="shared" si="53"/>
        <v/>
      </c>
      <c r="I333" s="83" t="str">
        <f t="shared" si="54"/>
        <v/>
      </c>
      <c r="J333" s="69"/>
      <c r="K333" s="69"/>
      <c r="L333" s="78">
        <f t="shared" si="55"/>
        <v>0</v>
      </c>
      <c r="M333" s="67"/>
      <c r="O333" t="str">
        <f t="shared" si="56"/>
        <v/>
      </c>
      <c r="P333" t="str">
        <f t="shared" si="57"/>
        <v/>
      </c>
      <c r="Q333" t="str">
        <f t="shared" si="58"/>
        <v/>
      </c>
      <c r="R333" t="str">
        <f t="shared" si="59"/>
        <v/>
      </c>
    </row>
    <row r="334" spans="1:33">
      <c r="A334" s="83" t="str">
        <f>IF(C334="","",VLOOKUP('OPĆI DIO'!$C$3,'OPĆI DIO'!$L$6:$U$138,10,FALSE))</f>
        <v/>
      </c>
      <c r="B334" s="83" t="str">
        <f>IF(C334="","",VLOOKUP('OPĆI DIO'!$C$3,'OPĆI DIO'!$L$6:$U$138,9,FALSE))</f>
        <v/>
      </c>
      <c r="C334" s="84"/>
      <c r="D334" s="83" t="str">
        <f t="shared" si="51"/>
        <v/>
      </c>
      <c r="E334" s="84"/>
      <c r="F334" s="83" t="str">
        <f t="shared" si="52"/>
        <v/>
      </c>
      <c r="G334" s="85"/>
      <c r="H334" s="83" t="str">
        <f t="shared" si="53"/>
        <v/>
      </c>
      <c r="I334" s="83" t="str">
        <f t="shared" si="54"/>
        <v/>
      </c>
      <c r="J334" s="69"/>
      <c r="K334" s="69"/>
      <c r="L334" s="78">
        <f t="shared" si="55"/>
        <v>0</v>
      </c>
      <c r="M334" s="67"/>
      <c r="O334" t="str">
        <f t="shared" si="56"/>
        <v/>
      </c>
      <c r="P334" t="str">
        <f t="shared" si="57"/>
        <v/>
      </c>
      <c r="Q334" t="str">
        <f t="shared" si="58"/>
        <v/>
      </c>
      <c r="R334" t="str">
        <f t="shared" si="59"/>
        <v/>
      </c>
    </row>
    <row r="335" spans="1:33">
      <c r="A335" s="83" t="str">
        <f>IF(C335="","",VLOOKUP('OPĆI DIO'!$C$3,'OPĆI DIO'!$L$6:$U$138,10,FALSE))</f>
        <v/>
      </c>
      <c r="B335" s="83" t="str">
        <f>IF(C335="","",VLOOKUP('OPĆI DIO'!$C$3,'OPĆI DIO'!$L$6:$U$138,9,FALSE))</f>
        <v/>
      </c>
      <c r="C335" s="84"/>
      <c r="D335" s="83" t="str">
        <f t="shared" si="51"/>
        <v/>
      </c>
      <c r="E335" s="84"/>
      <c r="F335" s="83" t="str">
        <f t="shared" si="52"/>
        <v/>
      </c>
      <c r="G335" s="85"/>
      <c r="H335" s="83" t="str">
        <f t="shared" si="53"/>
        <v/>
      </c>
      <c r="I335" s="83" t="str">
        <f t="shared" si="54"/>
        <v/>
      </c>
      <c r="J335" s="69"/>
      <c r="K335" s="69"/>
      <c r="L335" s="78">
        <f t="shared" si="55"/>
        <v>0</v>
      </c>
      <c r="M335" s="67"/>
      <c r="O335" t="str">
        <f t="shared" si="56"/>
        <v/>
      </c>
      <c r="P335" t="str">
        <f t="shared" si="57"/>
        <v/>
      </c>
      <c r="Q335" t="str">
        <f t="shared" si="58"/>
        <v/>
      </c>
      <c r="R335" t="str">
        <f t="shared" si="59"/>
        <v/>
      </c>
    </row>
    <row r="336" spans="1:33">
      <c r="A336" s="83" t="str">
        <f>IF(C336="","",VLOOKUP('OPĆI DIO'!$C$3,'OPĆI DIO'!$L$6:$U$138,10,FALSE))</f>
        <v/>
      </c>
      <c r="B336" s="83" t="str">
        <f>IF(C336="","",VLOOKUP('OPĆI DIO'!$C$3,'OPĆI DIO'!$L$6:$U$138,9,FALSE))</f>
        <v/>
      </c>
      <c r="C336" s="84"/>
      <c r="D336" s="83" t="str">
        <f t="shared" si="51"/>
        <v/>
      </c>
      <c r="E336" s="84"/>
      <c r="F336" s="83" t="str">
        <f t="shared" si="52"/>
        <v/>
      </c>
      <c r="G336" s="85"/>
      <c r="H336" s="83" t="str">
        <f t="shared" si="53"/>
        <v/>
      </c>
      <c r="I336" s="83" t="str">
        <f t="shared" si="54"/>
        <v/>
      </c>
      <c r="J336" s="69"/>
      <c r="K336" s="69"/>
      <c r="L336" s="78">
        <f t="shared" si="55"/>
        <v>0</v>
      </c>
      <c r="M336" s="67"/>
      <c r="O336" t="str">
        <f t="shared" si="56"/>
        <v/>
      </c>
      <c r="P336" t="str">
        <f t="shared" si="57"/>
        <v/>
      </c>
      <c r="Q336" t="str">
        <f t="shared" si="58"/>
        <v/>
      </c>
      <c r="R336" t="str">
        <f t="shared" si="59"/>
        <v/>
      </c>
    </row>
    <row r="337" spans="1:18">
      <c r="A337" s="83" t="str">
        <f>IF(C337="","",VLOOKUP('OPĆI DIO'!$C$3,'OPĆI DIO'!$L$6:$U$138,10,FALSE))</f>
        <v/>
      </c>
      <c r="B337" s="83" t="str">
        <f>IF(C337="","",VLOOKUP('OPĆI DIO'!$C$3,'OPĆI DIO'!$L$6:$U$138,9,FALSE))</f>
        <v/>
      </c>
      <c r="C337" s="84"/>
      <c r="D337" s="83" t="str">
        <f t="shared" si="51"/>
        <v/>
      </c>
      <c r="E337" s="84"/>
      <c r="F337" s="83" t="str">
        <f t="shared" si="52"/>
        <v/>
      </c>
      <c r="G337" s="85"/>
      <c r="H337" s="83" t="str">
        <f t="shared" si="53"/>
        <v/>
      </c>
      <c r="I337" s="83" t="str">
        <f t="shared" si="54"/>
        <v/>
      </c>
      <c r="J337" s="69"/>
      <c r="K337" s="69"/>
      <c r="L337" s="78">
        <f t="shared" si="55"/>
        <v>0</v>
      </c>
      <c r="M337" s="67"/>
      <c r="O337" t="str">
        <f t="shared" si="56"/>
        <v/>
      </c>
      <c r="P337" t="str">
        <f t="shared" si="57"/>
        <v/>
      </c>
      <c r="Q337" t="str">
        <f t="shared" si="58"/>
        <v/>
      </c>
      <c r="R337" t="str">
        <f t="shared" si="59"/>
        <v/>
      </c>
    </row>
    <row r="338" spans="1:18">
      <c r="A338" s="83" t="str">
        <f>IF(C338="","",VLOOKUP('OPĆI DIO'!$C$3,'OPĆI DIO'!$L$6:$U$138,10,FALSE))</f>
        <v/>
      </c>
      <c r="B338" s="83" t="str">
        <f>IF(C338="","",VLOOKUP('OPĆI DIO'!$C$3,'OPĆI DIO'!$L$6:$U$138,9,FALSE))</f>
        <v/>
      </c>
      <c r="C338" s="84"/>
      <c r="D338" s="83" t="str">
        <f t="shared" si="51"/>
        <v/>
      </c>
      <c r="E338" s="84"/>
      <c r="F338" s="83" t="str">
        <f t="shared" si="52"/>
        <v/>
      </c>
      <c r="G338" s="85"/>
      <c r="H338" s="83" t="str">
        <f t="shared" si="53"/>
        <v/>
      </c>
      <c r="I338" s="83" t="str">
        <f t="shared" si="54"/>
        <v/>
      </c>
      <c r="J338" s="69"/>
      <c r="K338" s="69"/>
      <c r="L338" s="78">
        <f t="shared" si="55"/>
        <v>0</v>
      </c>
      <c r="M338" s="67"/>
      <c r="O338" t="str">
        <f t="shared" si="56"/>
        <v/>
      </c>
      <c r="P338" t="str">
        <f t="shared" si="57"/>
        <v/>
      </c>
      <c r="Q338" t="str">
        <f t="shared" si="58"/>
        <v/>
      </c>
      <c r="R338" t="str">
        <f t="shared" si="59"/>
        <v/>
      </c>
    </row>
    <row r="339" spans="1:18">
      <c r="A339" s="83" t="str">
        <f>IF(C339="","",VLOOKUP('OPĆI DIO'!$C$3,'OPĆI DIO'!$L$6:$U$138,10,FALSE))</f>
        <v/>
      </c>
      <c r="B339" s="83" t="str">
        <f>IF(C339="","",VLOOKUP('OPĆI DIO'!$C$3,'OPĆI DIO'!$L$6:$U$138,9,FALSE))</f>
        <v/>
      </c>
      <c r="C339" s="84"/>
      <c r="D339" s="83" t="str">
        <f t="shared" si="51"/>
        <v/>
      </c>
      <c r="E339" s="84"/>
      <c r="F339" s="83" t="str">
        <f t="shared" si="52"/>
        <v/>
      </c>
      <c r="G339" s="85"/>
      <c r="H339" s="83" t="str">
        <f t="shared" si="53"/>
        <v/>
      </c>
      <c r="I339" s="83" t="str">
        <f t="shared" si="54"/>
        <v/>
      </c>
      <c r="J339" s="69"/>
      <c r="K339" s="69"/>
      <c r="L339" s="78">
        <f t="shared" si="55"/>
        <v>0</v>
      </c>
      <c r="M339" s="67"/>
      <c r="O339" t="str">
        <f t="shared" si="56"/>
        <v/>
      </c>
      <c r="P339" t="str">
        <f t="shared" si="57"/>
        <v/>
      </c>
      <c r="Q339" t="str">
        <f t="shared" si="58"/>
        <v/>
      </c>
      <c r="R339" t="str">
        <f t="shared" si="59"/>
        <v/>
      </c>
    </row>
    <row r="340" spans="1:18">
      <c r="A340" s="83" t="str">
        <f>IF(C340="","",VLOOKUP('OPĆI DIO'!$C$3,'OPĆI DIO'!$L$6:$U$138,10,FALSE))</f>
        <v/>
      </c>
      <c r="B340" s="83" t="str">
        <f>IF(C340="","",VLOOKUP('OPĆI DIO'!$C$3,'OPĆI DIO'!$L$6:$U$138,9,FALSE))</f>
        <v/>
      </c>
      <c r="C340" s="84"/>
      <c r="D340" s="83" t="str">
        <f t="shared" si="51"/>
        <v/>
      </c>
      <c r="E340" s="84"/>
      <c r="F340" s="83" t="str">
        <f t="shared" si="52"/>
        <v/>
      </c>
      <c r="G340" s="85"/>
      <c r="H340" s="83" t="str">
        <f t="shared" si="53"/>
        <v/>
      </c>
      <c r="I340" s="83" t="str">
        <f t="shared" si="54"/>
        <v/>
      </c>
      <c r="J340" s="69"/>
      <c r="K340" s="69"/>
      <c r="L340" s="78">
        <f t="shared" si="55"/>
        <v>0</v>
      </c>
      <c r="M340" s="67"/>
      <c r="O340" t="str">
        <f t="shared" si="56"/>
        <v/>
      </c>
      <c r="P340" t="str">
        <f t="shared" si="57"/>
        <v/>
      </c>
      <c r="Q340" t="str">
        <f t="shared" si="58"/>
        <v/>
      </c>
      <c r="R340" t="str">
        <f t="shared" si="59"/>
        <v/>
      </c>
    </row>
    <row r="341" spans="1:18">
      <c r="A341" s="83" t="str">
        <f>IF(C341="","",VLOOKUP('OPĆI DIO'!$C$3,'OPĆI DIO'!$L$6:$U$138,10,FALSE))</f>
        <v/>
      </c>
      <c r="B341" s="83" t="str">
        <f>IF(C341="","",VLOOKUP('OPĆI DIO'!$C$3,'OPĆI DIO'!$L$6:$U$138,9,FALSE))</f>
        <v/>
      </c>
      <c r="C341" s="84"/>
      <c r="D341" s="83" t="str">
        <f t="shared" si="51"/>
        <v/>
      </c>
      <c r="E341" s="84"/>
      <c r="F341" s="83" t="str">
        <f t="shared" si="52"/>
        <v/>
      </c>
      <c r="G341" s="85"/>
      <c r="H341" s="83" t="str">
        <f t="shared" si="53"/>
        <v/>
      </c>
      <c r="I341" s="83" t="str">
        <f t="shared" si="54"/>
        <v/>
      </c>
      <c r="J341" s="69"/>
      <c r="K341" s="69"/>
      <c r="L341" s="78">
        <f t="shared" si="55"/>
        <v>0</v>
      </c>
      <c r="M341" s="67"/>
      <c r="O341" t="str">
        <f t="shared" si="56"/>
        <v/>
      </c>
      <c r="P341" t="str">
        <f t="shared" si="57"/>
        <v/>
      </c>
      <c r="Q341" t="str">
        <f t="shared" si="58"/>
        <v/>
      </c>
      <c r="R341" t="str">
        <f t="shared" si="59"/>
        <v/>
      </c>
    </row>
    <row r="342" spans="1:18">
      <c r="A342" s="83" t="str">
        <f>IF(C342="","",VLOOKUP('OPĆI DIO'!$C$3,'OPĆI DIO'!$L$6:$U$138,10,FALSE))</f>
        <v/>
      </c>
      <c r="B342" s="83" t="str">
        <f>IF(C342="","",VLOOKUP('OPĆI DIO'!$C$3,'OPĆI DIO'!$L$6:$U$138,9,FALSE))</f>
        <v/>
      </c>
      <c r="C342" s="84"/>
      <c r="D342" s="83" t="str">
        <f t="shared" si="51"/>
        <v/>
      </c>
      <c r="E342" s="84"/>
      <c r="F342" s="83" t="str">
        <f t="shared" si="52"/>
        <v/>
      </c>
      <c r="G342" s="85"/>
      <c r="H342" s="83" t="str">
        <f t="shared" si="53"/>
        <v/>
      </c>
      <c r="I342" s="83" t="str">
        <f t="shared" si="54"/>
        <v/>
      </c>
      <c r="J342" s="69"/>
      <c r="K342" s="69"/>
      <c r="L342" s="78">
        <f t="shared" si="55"/>
        <v>0</v>
      </c>
      <c r="M342" s="67"/>
      <c r="O342" t="str">
        <f t="shared" si="56"/>
        <v/>
      </c>
      <c r="P342" t="str">
        <f t="shared" si="57"/>
        <v/>
      </c>
      <c r="Q342" t="str">
        <f t="shared" si="58"/>
        <v/>
      </c>
      <c r="R342" t="str">
        <f t="shared" si="59"/>
        <v/>
      </c>
    </row>
    <row r="343" spans="1:18">
      <c r="A343" s="83" t="str">
        <f>IF(C343="","",VLOOKUP('OPĆI DIO'!$C$3,'OPĆI DIO'!$L$6:$U$138,10,FALSE))</f>
        <v/>
      </c>
      <c r="B343" s="83" t="str">
        <f>IF(C343="","",VLOOKUP('OPĆI DIO'!$C$3,'OPĆI DIO'!$L$6:$U$138,9,FALSE))</f>
        <v/>
      </c>
      <c r="C343" s="84"/>
      <c r="D343" s="83" t="str">
        <f t="shared" si="51"/>
        <v/>
      </c>
      <c r="E343" s="84"/>
      <c r="F343" s="83" t="str">
        <f t="shared" si="52"/>
        <v/>
      </c>
      <c r="G343" s="85"/>
      <c r="H343" s="83" t="str">
        <f t="shared" si="53"/>
        <v/>
      </c>
      <c r="I343" s="83" t="str">
        <f t="shared" si="54"/>
        <v/>
      </c>
      <c r="J343" s="69"/>
      <c r="K343" s="69"/>
      <c r="L343" s="78">
        <f t="shared" si="55"/>
        <v>0</v>
      </c>
      <c r="M343" s="67"/>
      <c r="O343" t="str">
        <f t="shared" si="56"/>
        <v/>
      </c>
      <c r="P343" t="str">
        <f t="shared" si="57"/>
        <v/>
      </c>
      <c r="Q343" t="str">
        <f t="shared" si="58"/>
        <v/>
      </c>
      <c r="R343" t="str">
        <f t="shared" si="59"/>
        <v/>
      </c>
    </row>
    <row r="344" spans="1:18">
      <c r="A344" s="83" t="str">
        <f>IF(C344="","",VLOOKUP('OPĆI DIO'!$C$3,'OPĆI DIO'!$L$6:$U$138,10,FALSE))</f>
        <v/>
      </c>
      <c r="B344" s="83" t="str">
        <f>IF(C344="","",VLOOKUP('OPĆI DIO'!$C$3,'OPĆI DIO'!$L$6:$U$138,9,FALSE))</f>
        <v/>
      </c>
      <c r="C344" s="84"/>
      <c r="D344" s="83" t="str">
        <f t="shared" si="51"/>
        <v/>
      </c>
      <c r="E344" s="84"/>
      <c r="F344" s="83" t="str">
        <f t="shared" si="52"/>
        <v/>
      </c>
      <c r="G344" s="85"/>
      <c r="H344" s="83" t="str">
        <f t="shared" si="53"/>
        <v/>
      </c>
      <c r="I344" s="83" t="str">
        <f t="shared" si="54"/>
        <v/>
      </c>
      <c r="J344" s="69"/>
      <c r="K344" s="69"/>
      <c r="L344" s="78">
        <f t="shared" si="55"/>
        <v>0</v>
      </c>
      <c r="M344" s="67"/>
      <c r="O344" t="str">
        <f t="shared" si="56"/>
        <v/>
      </c>
      <c r="P344" t="str">
        <f t="shared" si="57"/>
        <v/>
      </c>
      <c r="Q344" t="str">
        <f t="shared" si="58"/>
        <v/>
      </c>
      <c r="R344" t="str">
        <f t="shared" si="59"/>
        <v/>
      </c>
    </row>
    <row r="345" spans="1:18">
      <c r="A345" s="83" t="str">
        <f>IF(C345="","",VLOOKUP('OPĆI DIO'!$C$3,'OPĆI DIO'!$L$6:$U$138,10,FALSE))</f>
        <v/>
      </c>
      <c r="B345" s="83" t="str">
        <f>IF(C345="","",VLOOKUP('OPĆI DIO'!$C$3,'OPĆI DIO'!$L$6:$U$138,9,FALSE))</f>
        <v/>
      </c>
      <c r="C345" s="84"/>
      <c r="D345" s="83" t="str">
        <f t="shared" si="51"/>
        <v/>
      </c>
      <c r="E345" s="84"/>
      <c r="F345" s="83" t="str">
        <f t="shared" si="52"/>
        <v/>
      </c>
      <c r="G345" s="85"/>
      <c r="H345" s="83" t="str">
        <f t="shared" si="53"/>
        <v/>
      </c>
      <c r="I345" s="83" t="str">
        <f t="shared" si="54"/>
        <v/>
      </c>
      <c r="J345" s="69"/>
      <c r="K345" s="69"/>
      <c r="L345" s="78">
        <f t="shared" si="55"/>
        <v>0</v>
      </c>
      <c r="M345" s="67"/>
      <c r="O345" t="str">
        <f t="shared" si="56"/>
        <v/>
      </c>
      <c r="P345" t="str">
        <f t="shared" si="57"/>
        <v/>
      </c>
      <c r="Q345" t="str">
        <f t="shared" si="58"/>
        <v/>
      </c>
      <c r="R345" t="str">
        <f t="shared" si="59"/>
        <v/>
      </c>
    </row>
    <row r="346" spans="1:18">
      <c r="A346" s="83" t="str">
        <f>IF(C346="","",VLOOKUP('OPĆI DIO'!$C$3,'OPĆI DIO'!$L$6:$U$138,10,FALSE))</f>
        <v/>
      </c>
      <c r="B346" s="83" t="str">
        <f>IF(C346="","",VLOOKUP('OPĆI DIO'!$C$3,'OPĆI DIO'!$L$6:$U$138,9,FALSE))</f>
        <v/>
      </c>
      <c r="C346" s="84"/>
      <c r="D346" s="83" t="str">
        <f t="shared" si="51"/>
        <v/>
      </c>
      <c r="E346" s="84"/>
      <c r="F346" s="83" t="str">
        <f t="shared" si="52"/>
        <v/>
      </c>
      <c r="G346" s="85"/>
      <c r="H346" s="83" t="str">
        <f t="shared" si="53"/>
        <v/>
      </c>
      <c r="I346" s="83" t="str">
        <f t="shared" si="54"/>
        <v/>
      </c>
      <c r="J346" s="69"/>
      <c r="K346" s="69"/>
      <c r="L346" s="78">
        <f t="shared" si="55"/>
        <v>0</v>
      </c>
      <c r="M346" s="67"/>
      <c r="O346" t="str">
        <f t="shared" si="56"/>
        <v/>
      </c>
      <c r="P346" t="str">
        <f t="shared" si="57"/>
        <v/>
      </c>
      <c r="Q346" t="str">
        <f t="shared" si="58"/>
        <v/>
      </c>
      <c r="R346" t="str">
        <f t="shared" si="59"/>
        <v/>
      </c>
    </row>
    <row r="347" spans="1:18">
      <c r="A347" s="83" t="str">
        <f>IF(C347="","",VLOOKUP('OPĆI DIO'!$C$3,'OPĆI DIO'!$L$6:$U$138,10,FALSE))</f>
        <v/>
      </c>
      <c r="B347" s="83" t="str">
        <f>IF(C347="","",VLOOKUP('OPĆI DIO'!$C$3,'OPĆI DIO'!$L$6:$U$138,9,FALSE))</f>
        <v/>
      </c>
      <c r="C347" s="84"/>
      <c r="D347" s="83" t="str">
        <f t="shared" si="51"/>
        <v/>
      </c>
      <c r="E347" s="84"/>
      <c r="F347" s="83" t="str">
        <f t="shared" si="52"/>
        <v/>
      </c>
      <c r="G347" s="85"/>
      <c r="H347" s="83" t="str">
        <f t="shared" si="53"/>
        <v/>
      </c>
      <c r="I347" s="83" t="str">
        <f t="shared" si="54"/>
        <v/>
      </c>
      <c r="J347" s="69"/>
      <c r="K347" s="69"/>
      <c r="L347" s="78">
        <f t="shared" si="55"/>
        <v>0</v>
      </c>
      <c r="M347" s="67"/>
      <c r="O347" t="str">
        <f t="shared" si="56"/>
        <v/>
      </c>
      <c r="P347" t="str">
        <f t="shared" si="57"/>
        <v/>
      </c>
      <c r="Q347" t="str">
        <f t="shared" si="58"/>
        <v/>
      </c>
      <c r="R347" t="str">
        <f t="shared" si="59"/>
        <v/>
      </c>
    </row>
    <row r="348" spans="1:18">
      <c r="A348" s="83" t="str">
        <f>IF(C348="","",VLOOKUP('OPĆI DIO'!$C$3,'OPĆI DIO'!$L$6:$U$138,10,FALSE))</f>
        <v/>
      </c>
      <c r="B348" s="83" t="str">
        <f>IF(C348="","",VLOOKUP('OPĆI DIO'!$C$3,'OPĆI DIO'!$L$6:$U$138,9,FALSE))</f>
        <v/>
      </c>
      <c r="C348" s="84"/>
      <c r="D348" s="83" t="str">
        <f t="shared" si="51"/>
        <v/>
      </c>
      <c r="E348" s="84"/>
      <c r="F348" s="83" t="str">
        <f t="shared" si="52"/>
        <v/>
      </c>
      <c r="G348" s="85"/>
      <c r="H348" s="83" t="str">
        <f t="shared" si="53"/>
        <v/>
      </c>
      <c r="I348" s="83" t="str">
        <f t="shared" si="54"/>
        <v/>
      </c>
      <c r="J348" s="69"/>
      <c r="K348" s="69"/>
      <c r="L348" s="78">
        <f t="shared" si="55"/>
        <v>0</v>
      </c>
      <c r="M348" s="67"/>
      <c r="O348" t="str">
        <f t="shared" si="56"/>
        <v/>
      </c>
      <c r="P348" t="str">
        <f t="shared" si="57"/>
        <v/>
      </c>
      <c r="Q348" t="str">
        <f t="shared" si="58"/>
        <v/>
      </c>
      <c r="R348" t="str">
        <f t="shared" si="59"/>
        <v/>
      </c>
    </row>
    <row r="349" spans="1:18">
      <c r="A349" s="83" t="str">
        <f>IF(C349="","",VLOOKUP('OPĆI DIO'!$C$3,'OPĆI DIO'!$L$6:$U$138,10,FALSE))</f>
        <v/>
      </c>
      <c r="B349" s="83" t="str">
        <f>IF(C349="","",VLOOKUP('OPĆI DIO'!$C$3,'OPĆI DIO'!$L$6:$U$138,9,FALSE))</f>
        <v/>
      </c>
      <c r="C349" s="84"/>
      <c r="D349" s="83" t="str">
        <f t="shared" si="51"/>
        <v/>
      </c>
      <c r="E349" s="84"/>
      <c r="F349" s="83" t="str">
        <f t="shared" si="52"/>
        <v/>
      </c>
      <c r="G349" s="85"/>
      <c r="H349" s="83" t="str">
        <f t="shared" si="53"/>
        <v/>
      </c>
      <c r="I349" s="83" t="str">
        <f t="shared" si="54"/>
        <v/>
      </c>
      <c r="J349" s="69"/>
      <c r="K349" s="69"/>
      <c r="L349" s="78">
        <f t="shared" si="55"/>
        <v>0</v>
      </c>
      <c r="M349" s="67"/>
      <c r="O349" t="str">
        <f t="shared" si="56"/>
        <v/>
      </c>
      <c r="P349" t="str">
        <f t="shared" si="57"/>
        <v/>
      </c>
      <c r="Q349" t="str">
        <f t="shared" si="58"/>
        <v/>
      </c>
      <c r="R349" t="str">
        <f t="shared" si="59"/>
        <v/>
      </c>
    </row>
    <row r="350" spans="1:18">
      <c r="A350" s="83" t="str">
        <f>IF(C350="","",VLOOKUP('OPĆI DIO'!$C$3,'OPĆI DIO'!$L$6:$U$138,10,FALSE))</f>
        <v/>
      </c>
      <c r="B350" s="83" t="str">
        <f>IF(C350="","",VLOOKUP('OPĆI DIO'!$C$3,'OPĆI DIO'!$L$6:$U$138,9,FALSE))</f>
        <v/>
      </c>
      <c r="C350" s="84"/>
      <c r="D350" s="83" t="str">
        <f t="shared" si="51"/>
        <v/>
      </c>
      <c r="E350" s="84"/>
      <c r="F350" s="83" t="str">
        <f t="shared" si="52"/>
        <v/>
      </c>
      <c r="G350" s="85"/>
      <c r="H350" s="83" t="str">
        <f t="shared" si="53"/>
        <v/>
      </c>
      <c r="I350" s="83" t="str">
        <f t="shared" si="54"/>
        <v/>
      </c>
      <c r="J350" s="69"/>
      <c r="K350" s="69"/>
      <c r="L350" s="78">
        <f t="shared" si="55"/>
        <v>0</v>
      </c>
      <c r="M350" s="67"/>
      <c r="O350" t="str">
        <f t="shared" si="56"/>
        <v/>
      </c>
      <c r="P350" t="str">
        <f t="shared" si="57"/>
        <v/>
      </c>
      <c r="Q350" t="str">
        <f t="shared" si="58"/>
        <v/>
      </c>
      <c r="R350" t="str">
        <f t="shared" si="59"/>
        <v/>
      </c>
    </row>
    <row r="351" spans="1:18">
      <c r="A351" s="83" t="str">
        <f>IF(C351="","",VLOOKUP('OPĆI DIO'!$C$3,'OPĆI DIO'!$L$6:$U$138,10,FALSE))</f>
        <v/>
      </c>
      <c r="B351" s="83" t="str">
        <f>IF(C351="","",VLOOKUP('OPĆI DIO'!$C$3,'OPĆI DIO'!$L$6:$U$138,9,FALSE))</f>
        <v/>
      </c>
      <c r="C351" s="84"/>
      <c r="D351" s="83" t="str">
        <f t="shared" si="51"/>
        <v/>
      </c>
      <c r="E351" s="84"/>
      <c r="F351" s="83" t="str">
        <f t="shared" si="52"/>
        <v/>
      </c>
      <c r="G351" s="85"/>
      <c r="H351" s="83" t="str">
        <f t="shared" si="53"/>
        <v/>
      </c>
      <c r="I351" s="83" t="str">
        <f t="shared" si="54"/>
        <v/>
      </c>
      <c r="J351" s="69"/>
      <c r="K351" s="69"/>
      <c r="L351" s="78">
        <f t="shared" si="55"/>
        <v>0</v>
      </c>
      <c r="M351" s="67"/>
      <c r="O351" t="str">
        <f t="shared" si="56"/>
        <v/>
      </c>
      <c r="P351" t="str">
        <f t="shared" si="57"/>
        <v/>
      </c>
      <c r="Q351" t="str">
        <f t="shared" si="58"/>
        <v/>
      </c>
      <c r="R351" t="str">
        <f t="shared" si="59"/>
        <v/>
      </c>
    </row>
    <row r="352" spans="1:18">
      <c r="A352" s="83" t="str">
        <f>IF(C352="","",VLOOKUP('OPĆI DIO'!$C$3,'OPĆI DIO'!$L$6:$U$138,10,FALSE))</f>
        <v/>
      </c>
      <c r="B352" s="83" t="str">
        <f>IF(C352="","",VLOOKUP('OPĆI DIO'!$C$3,'OPĆI DIO'!$L$6:$U$138,9,FALSE))</f>
        <v/>
      </c>
      <c r="C352" s="84"/>
      <c r="D352" s="83" t="str">
        <f t="shared" si="51"/>
        <v/>
      </c>
      <c r="E352" s="84"/>
      <c r="F352" s="83" t="str">
        <f t="shared" si="52"/>
        <v/>
      </c>
      <c r="G352" s="85"/>
      <c r="H352" s="83" t="str">
        <f t="shared" si="53"/>
        <v/>
      </c>
      <c r="I352" s="83" t="str">
        <f t="shared" si="54"/>
        <v/>
      </c>
      <c r="J352" s="69"/>
      <c r="K352" s="69"/>
      <c r="L352" s="78">
        <f t="shared" si="55"/>
        <v>0</v>
      </c>
      <c r="M352" s="67"/>
      <c r="O352" t="str">
        <f t="shared" si="56"/>
        <v/>
      </c>
      <c r="P352" t="str">
        <f t="shared" si="57"/>
        <v/>
      </c>
      <c r="Q352" t="str">
        <f t="shared" si="58"/>
        <v/>
      </c>
      <c r="R352" t="str">
        <f t="shared" si="59"/>
        <v/>
      </c>
    </row>
    <row r="353" spans="1:18">
      <c r="A353" s="83" t="str">
        <f>IF(C353="","",VLOOKUP('OPĆI DIO'!$C$3,'OPĆI DIO'!$L$6:$U$138,10,FALSE))</f>
        <v/>
      </c>
      <c r="B353" s="83" t="str">
        <f>IF(C353="","",VLOOKUP('OPĆI DIO'!$C$3,'OPĆI DIO'!$L$6:$U$138,9,FALSE))</f>
        <v/>
      </c>
      <c r="C353" s="84"/>
      <c r="D353" s="83" t="str">
        <f t="shared" si="51"/>
        <v/>
      </c>
      <c r="E353" s="84"/>
      <c r="F353" s="83" t="str">
        <f t="shared" si="52"/>
        <v/>
      </c>
      <c r="G353" s="85"/>
      <c r="H353" s="83" t="str">
        <f t="shared" si="53"/>
        <v/>
      </c>
      <c r="I353" s="83" t="str">
        <f t="shared" si="54"/>
        <v/>
      </c>
      <c r="J353" s="69"/>
      <c r="K353" s="69"/>
      <c r="L353" s="78">
        <f t="shared" si="55"/>
        <v>0</v>
      </c>
      <c r="M353" s="67"/>
      <c r="O353" t="str">
        <f t="shared" si="56"/>
        <v/>
      </c>
      <c r="P353" t="str">
        <f t="shared" si="57"/>
        <v/>
      </c>
      <c r="Q353" t="str">
        <f t="shared" si="58"/>
        <v/>
      </c>
      <c r="R353" t="str">
        <f t="shared" si="59"/>
        <v/>
      </c>
    </row>
    <row r="354" spans="1:18">
      <c r="A354" s="83" t="str">
        <f>IF(C354="","",VLOOKUP('OPĆI DIO'!$C$3,'OPĆI DIO'!$L$6:$U$138,10,FALSE))</f>
        <v/>
      </c>
      <c r="B354" s="83" t="str">
        <f>IF(C354="","",VLOOKUP('OPĆI DIO'!$C$3,'OPĆI DIO'!$L$6:$U$138,9,FALSE))</f>
        <v/>
      </c>
      <c r="C354" s="84"/>
      <c r="D354" s="83" t="str">
        <f t="shared" si="51"/>
        <v/>
      </c>
      <c r="E354" s="84"/>
      <c r="F354" s="83" t="str">
        <f t="shared" si="52"/>
        <v/>
      </c>
      <c r="G354" s="85"/>
      <c r="H354" s="83" t="str">
        <f t="shared" si="53"/>
        <v/>
      </c>
      <c r="I354" s="83" t="str">
        <f t="shared" si="54"/>
        <v/>
      </c>
      <c r="J354" s="69"/>
      <c r="K354" s="69"/>
      <c r="L354" s="78">
        <f t="shared" si="55"/>
        <v>0</v>
      </c>
      <c r="M354" s="67"/>
      <c r="O354" t="str">
        <f t="shared" si="56"/>
        <v/>
      </c>
      <c r="P354" t="str">
        <f t="shared" si="57"/>
        <v/>
      </c>
      <c r="Q354" t="str">
        <f t="shared" si="58"/>
        <v/>
      </c>
      <c r="R354" t="str">
        <f t="shared" si="59"/>
        <v/>
      </c>
    </row>
    <row r="355" spans="1:18">
      <c r="A355" s="83" t="str">
        <f>IF(C355="","",VLOOKUP('OPĆI DIO'!$C$3,'OPĆI DIO'!$L$6:$U$138,10,FALSE))</f>
        <v/>
      </c>
      <c r="B355" s="83" t="str">
        <f>IF(C355="","",VLOOKUP('OPĆI DIO'!$C$3,'OPĆI DIO'!$L$6:$U$138,9,FALSE))</f>
        <v/>
      </c>
      <c r="C355" s="84"/>
      <c r="D355" s="83" t="str">
        <f t="shared" si="51"/>
        <v/>
      </c>
      <c r="E355" s="84"/>
      <c r="F355" s="83" t="str">
        <f t="shared" si="52"/>
        <v/>
      </c>
      <c r="G355" s="85"/>
      <c r="H355" s="83" t="str">
        <f t="shared" si="53"/>
        <v/>
      </c>
      <c r="I355" s="83" t="str">
        <f t="shared" si="54"/>
        <v/>
      </c>
      <c r="J355" s="69"/>
      <c r="K355" s="69"/>
      <c r="L355" s="78">
        <f t="shared" si="55"/>
        <v>0</v>
      </c>
      <c r="M355" s="67"/>
      <c r="O355" t="str">
        <f t="shared" si="56"/>
        <v/>
      </c>
      <c r="P355" t="str">
        <f t="shared" si="57"/>
        <v/>
      </c>
      <c r="Q355" t="str">
        <f t="shared" si="58"/>
        <v/>
      </c>
      <c r="R355" t="str">
        <f t="shared" si="59"/>
        <v/>
      </c>
    </row>
    <row r="356" spans="1:18">
      <c r="A356" s="83" t="str">
        <f>IF(C356="","",VLOOKUP('OPĆI DIO'!$C$3,'OPĆI DIO'!$L$6:$U$138,10,FALSE))</f>
        <v/>
      </c>
      <c r="B356" s="83" t="str">
        <f>IF(C356="","",VLOOKUP('OPĆI DIO'!$C$3,'OPĆI DIO'!$L$6:$U$138,9,FALSE))</f>
        <v/>
      </c>
      <c r="C356" s="84"/>
      <c r="D356" s="83" t="str">
        <f t="shared" si="51"/>
        <v/>
      </c>
      <c r="E356" s="84"/>
      <c r="F356" s="83" t="str">
        <f t="shared" si="52"/>
        <v/>
      </c>
      <c r="G356" s="85"/>
      <c r="H356" s="83" t="str">
        <f t="shared" si="53"/>
        <v/>
      </c>
      <c r="I356" s="83" t="str">
        <f t="shared" si="54"/>
        <v/>
      </c>
      <c r="J356" s="69"/>
      <c r="K356" s="69"/>
      <c r="L356" s="78">
        <f t="shared" si="55"/>
        <v>0</v>
      </c>
      <c r="M356" s="67"/>
      <c r="O356" t="str">
        <f t="shared" si="56"/>
        <v/>
      </c>
      <c r="P356" t="str">
        <f t="shared" si="57"/>
        <v/>
      </c>
      <c r="Q356" t="str">
        <f t="shared" si="58"/>
        <v/>
      </c>
      <c r="R356" t="str">
        <f t="shared" si="59"/>
        <v/>
      </c>
    </row>
    <row r="357" spans="1:18">
      <c r="A357" s="83" t="str">
        <f>IF(C357="","",VLOOKUP('OPĆI DIO'!$C$3,'OPĆI DIO'!$L$6:$U$138,10,FALSE))</f>
        <v/>
      </c>
      <c r="B357" s="83" t="str">
        <f>IF(C357="","",VLOOKUP('OPĆI DIO'!$C$3,'OPĆI DIO'!$L$6:$U$138,9,FALSE))</f>
        <v/>
      </c>
      <c r="C357" s="84"/>
      <c r="D357" s="83" t="str">
        <f t="shared" si="51"/>
        <v/>
      </c>
      <c r="E357" s="84"/>
      <c r="F357" s="83" t="str">
        <f t="shared" si="52"/>
        <v/>
      </c>
      <c r="G357" s="85"/>
      <c r="H357" s="83" t="str">
        <f t="shared" si="53"/>
        <v/>
      </c>
      <c r="I357" s="83" t="str">
        <f t="shared" si="54"/>
        <v/>
      </c>
      <c r="J357" s="69"/>
      <c r="K357" s="69"/>
      <c r="L357" s="78">
        <f t="shared" si="55"/>
        <v>0</v>
      </c>
      <c r="M357" s="67"/>
      <c r="O357" t="str">
        <f t="shared" si="56"/>
        <v/>
      </c>
      <c r="P357" t="str">
        <f t="shared" si="57"/>
        <v/>
      </c>
      <c r="Q357" t="str">
        <f t="shared" si="58"/>
        <v/>
      </c>
      <c r="R357" t="str">
        <f t="shared" si="59"/>
        <v/>
      </c>
    </row>
    <row r="358" spans="1:18">
      <c r="A358" s="83" t="str">
        <f>IF(C358="","",VLOOKUP('OPĆI DIO'!$C$3,'OPĆI DIO'!$L$6:$U$138,10,FALSE))</f>
        <v/>
      </c>
      <c r="B358" s="83" t="str">
        <f>IF(C358="","",VLOOKUP('OPĆI DIO'!$C$3,'OPĆI DIO'!$L$6:$U$138,9,FALSE))</f>
        <v/>
      </c>
      <c r="C358" s="84"/>
      <c r="D358" s="83" t="str">
        <f t="shared" si="51"/>
        <v/>
      </c>
      <c r="E358" s="84"/>
      <c r="F358" s="83" t="str">
        <f t="shared" si="52"/>
        <v/>
      </c>
      <c r="G358" s="85"/>
      <c r="H358" s="83" t="str">
        <f t="shared" si="53"/>
        <v/>
      </c>
      <c r="I358" s="83" t="str">
        <f t="shared" si="54"/>
        <v/>
      </c>
      <c r="J358" s="69"/>
      <c r="K358" s="69"/>
      <c r="L358" s="78">
        <f t="shared" si="55"/>
        <v>0</v>
      </c>
      <c r="M358" s="67"/>
      <c r="O358" t="str">
        <f t="shared" si="56"/>
        <v/>
      </c>
      <c r="P358" t="str">
        <f t="shared" si="57"/>
        <v/>
      </c>
      <c r="Q358" t="str">
        <f t="shared" si="58"/>
        <v/>
      </c>
      <c r="R358" t="str">
        <f t="shared" si="59"/>
        <v/>
      </c>
    </row>
    <row r="359" spans="1:18">
      <c r="A359" s="83" t="str">
        <f>IF(C359="","",VLOOKUP('OPĆI DIO'!$C$3,'OPĆI DIO'!$L$6:$U$138,10,FALSE))</f>
        <v/>
      </c>
      <c r="B359" s="83" t="str">
        <f>IF(C359="","",VLOOKUP('OPĆI DIO'!$C$3,'OPĆI DIO'!$L$6:$U$138,9,FALSE))</f>
        <v/>
      </c>
      <c r="C359" s="84"/>
      <c r="D359" s="83" t="str">
        <f t="shared" si="51"/>
        <v/>
      </c>
      <c r="E359" s="84"/>
      <c r="F359" s="83" t="str">
        <f t="shared" si="52"/>
        <v/>
      </c>
      <c r="G359" s="85"/>
      <c r="H359" s="83" t="str">
        <f t="shared" si="53"/>
        <v/>
      </c>
      <c r="I359" s="83" t="str">
        <f t="shared" si="54"/>
        <v/>
      </c>
      <c r="J359" s="69"/>
      <c r="K359" s="69"/>
      <c r="L359" s="78">
        <f t="shared" si="55"/>
        <v>0</v>
      </c>
      <c r="M359" s="67"/>
      <c r="O359" t="str">
        <f t="shared" si="56"/>
        <v/>
      </c>
      <c r="P359" t="str">
        <f t="shared" si="57"/>
        <v/>
      </c>
      <c r="Q359" t="str">
        <f t="shared" si="58"/>
        <v/>
      </c>
      <c r="R359" t="str">
        <f t="shared" si="59"/>
        <v/>
      </c>
    </row>
    <row r="360" spans="1:18">
      <c r="A360" s="83" t="str">
        <f>IF(C360="","",VLOOKUP('OPĆI DIO'!$C$3,'OPĆI DIO'!$L$6:$U$138,10,FALSE))</f>
        <v/>
      </c>
      <c r="B360" s="83" t="str">
        <f>IF(C360="","",VLOOKUP('OPĆI DIO'!$C$3,'OPĆI DIO'!$L$6:$U$138,9,FALSE))</f>
        <v/>
      </c>
      <c r="C360" s="84"/>
      <c r="D360" s="83" t="str">
        <f t="shared" si="51"/>
        <v/>
      </c>
      <c r="E360" s="84"/>
      <c r="F360" s="83" t="str">
        <f t="shared" si="52"/>
        <v/>
      </c>
      <c r="G360" s="85"/>
      <c r="H360" s="83" t="str">
        <f t="shared" si="53"/>
        <v/>
      </c>
      <c r="I360" s="83" t="str">
        <f t="shared" si="54"/>
        <v/>
      </c>
      <c r="J360" s="69"/>
      <c r="K360" s="69"/>
      <c r="L360" s="78">
        <f t="shared" si="55"/>
        <v>0</v>
      </c>
      <c r="M360" s="67"/>
      <c r="O360" t="str">
        <f t="shared" si="56"/>
        <v/>
      </c>
      <c r="P360" t="str">
        <f t="shared" si="57"/>
        <v/>
      </c>
      <c r="Q360" t="str">
        <f t="shared" si="58"/>
        <v/>
      </c>
      <c r="R360" t="str">
        <f t="shared" si="59"/>
        <v/>
      </c>
    </row>
    <row r="361" spans="1:18">
      <c r="A361" s="83" t="str">
        <f>IF(C361="","",VLOOKUP('OPĆI DIO'!$C$3,'OPĆI DIO'!$L$6:$U$138,10,FALSE))</f>
        <v/>
      </c>
      <c r="B361" s="83" t="str">
        <f>IF(C361="","",VLOOKUP('OPĆI DIO'!$C$3,'OPĆI DIO'!$L$6:$U$138,9,FALSE))</f>
        <v/>
      </c>
      <c r="C361" s="84"/>
      <c r="D361" s="83" t="str">
        <f t="shared" si="51"/>
        <v/>
      </c>
      <c r="E361" s="84"/>
      <c r="F361" s="83" t="str">
        <f t="shared" si="52"/>
        <v/>
      </c>
      <c r="G361" s="85"/>
      <c r="H361" s="83" t="str">
        <f t="shared" si="53"/>
        <v/>
      </c>
      <c r="I361" s="83" t="str">
        <f t="shared" si="54"/>
        <v/>
      </c>
      <c r="J361" s="69"/>
      <c r="K361" s="69"/>
      <c r="L361" s="78">
        <f t="shared" si="55"/>
        <v>0</v>
      </c>
      <c r="M361" s="67"/>
      <c r="O361" t="str">
        <f t="shared" si="56"/>
        <v/>
      </c>
      <c r="P361" t="str">
        <f t="shared" si="57"/>
        <v/>
      </c>
      <c r="Q361" t="str">
        <f t="shared" si="58"/>
        <v/>
      </c>
      <c r="R361" t="str">
        <f t="shared" si="59"/>
        <v/>
      </c>
    </row>
    <row r="362" spans="1:18">
      <c r="A362" s="83" t="str">
        <f>IF(C362="","",VLOOKUP('OPĆI DIO'!$C$3,'OPĆI DIO'!$L$6:$U$138,10,FALSE))</f>
        <v/>
      </c>
      <c r="B362" s="83" t="str">
        <f>IF(C362="","",VLOOKUP('OPĆI DIO'!$C$3,'OPĆI DIO'!$L$6:$U$138,9,FALSE))</f>
        <v/>
      </c>
      <c r="C362" s="84"/>
      <c r="D362" s="83" t="str">
        <f t="shared" si="51"/>
        <v/>
      </c>
      <c r="E362" s="84"/>
      <c r="F362" s="83" t="str">
        <f t="shared" si="52"/>
        <v/>
      </c>
      <c r="G362" s="85"/>
      <c r="H362" s="83" t="str">
        <f t="shared" si="53"/>
        <v/>
      </c>
      <c r="I362" s="83" t="str">
        <f t="shared" si="54"/>
        <v/>
      </c>
      <c r="J362" s="69"/>
      <c r="K362" s="69"/>
      <c r="L362" s="78">
        <f t="shared" si="55"/>
        <v>0</v>
      </c>
      <c r="M362" s="67"/>
      <c r="O362" t="str">
        <f t="shared" si="56"/>
        <v/>
      </c>
      <c r="P362" t="str">
        <f t="shared" si="57"/>
        <v/>
      </c>
      <c r="Q362" t="str">
        <f t="shared" si="58"/>
        <v/>
      </c>
      <c r="R362" t="str">
        <f t="shared" si="59"/>
        <v/>
      </c>
    </row>
    <row r="363" spans="1:18">
      <c r="A363" s="83" t="str">
        <f>IF(C363="","",VLOOKUP('OPĆI DIO'!$C$3,'OPĆI DIO'!$L$6:$U$138,10,FALSE))</f>
        <v/>
      </c>
      <c r="B363" s="83" t="str">
        <f>IF(C363="","",VLOOKUP('OPĆI DIO'!$C$3,'OPĆI DIO'!$L$6:$U$138,9,FALSE))</f>
        <v/>
      </c>
      <c r="C363" s="84"/>
      <c r="D363" s="83" t="str">
        <f t="shared" si="51"/>
        <v/>
      </c>
      <c r="E363" s="84"/>
      <c r="F363" s="83" t="str">
        <f t="shared" si="52"/>
        <v/>
      </c>
      <c r="G363" s="85"/>
      <c r="H363" s="83" t="str">
        <f t="shared" si="53"/>
        <v/>
      </c>
      <c r="I363" s="83" t="str">
        <f t="shared" si="54"/>
        <v/>
      </c>
      <c r="J363" s="69"/>
      <c r="K363" s="69"/>
      <c r="L363" s="78">
        <f t="shared" si="55"/>
        <v>0</v>
      </c>
      <c r="M363" s="67"/>
      <c r="O363" t="str">
        <f t="shared" si="56"/>
        <v/>
      </c>
      <c r="P363" t="str">
        <f t="shared" si="57"/>
        <v/>
      </c>
      <c r="Q363" t="str">
        <f t="shared" si="58"/>
        <v/>
      </c>
      <c r="R363" t="str">
        <f t="shared" si="59"/>
        <v/>
      </c>
    </row>
    <row r="364" spans="1:18">
      <c r="A364" s="83" t="str">
        <f>IF(C364="","",VLOOKUP('OPĆI DIO'!$C$3,'OPĆI DIO'!$L$6:$U$138,10,FALSE))</f>
        <v/>
      </c>
      <c r="B364" s="83" t="str">
        <f>IF(C364="","",VLOOKUP('OPĆI DIO'!$C$3,'OPĆI DIO'!$L$6:$U$138,9,FALSE))</f>
        <v/>
      </c>
      <c r="C364" s="84"/>
      <c r="D364" s="83" t="str">
        <f t="shared" si="51"/>
        <v/>
      </c>
      <c r="E364" s="84"/>
      <c r="F364" s="83" t="str">
        <f t="shared" si="52"/>
        <v/>
      </c>
      <c r="G364" s="85"/>
      <c r="H364" s="83" t="str">
        <f t="shared" si="53"/>
        <v/>
      </c>
      <c r="I364" s="83" t="str">
        <f t="shared" si="54"/>
        <v/>
      </c>
      <c r="J364" s="69"/>
      <c r="K364" s="69"/>
      <c r="L364" s="78">
        <f t="shared" si="55"/>
        <v>0</v>
      </c>
      <c r="M364" s="67"/>
      <c r="O364" t="str">
        <f t="shared" si="56"/>
        <v/>
      </c>
      <c r="P364" t="str">
        <f t="shared" si="57"/>
        <v/>
      </c>
      <c r="Q364" t="str">
        <f t="shared" si="58"/>
        <v/>
      </c>
      <c r="R364" t="str">
        <f t="shared" si="59"/>
        <v/>
      </c>
    </row>
    <row r="365" spans="1:18">
      <c r="A365" s="83" t="str">
        <f>IF(C365="","",VLOOKUP('OPĆI DIO'!$C$3,'OPĆI DIO'!$L$6:$U$138,10,FALSE))</f>
        <v/>
      </c>
      <c r="B365" s="83" t="str">
        <f>IF(C365="","",VLOOKUP('OPĆI DIO'!$C$3,'OPĆI DIO'!$L$6:$U$138,9,FALSE))</f>
        <v/>
      </c>
      <c r="C365" s="84"/>
      <c r="D365" s="83" t="str">
        <f t="shared" si="51"/>
        <v/>
      </c>
      <c r="E365" s="84"/>
      <c r="F365" s="83" t="str">
        <f t="shared" si="52"/>
        <v/>
      </c>
      <c r="G365" s="85"/>
      <c r="H365" s="83" t="str">
        <f t="shared" si="53"/>
        <v/>
      </c>
      <c r="I365" s="83" t="str">
        <f t="shared" si="54"/>
        <v/>
      </c>
      <c r="J365" s="69"/>
      <c r="K365" s="69"/>
      <c r="L365" s="78">
        <f t="shared" si="55"/>
        <v>0</v>
      </c>
      <c r="M365" s="67"/>
      <c r="O365" t="str">
        <f t="shared" si="56"/>
        <v/>
      </c>
      <c r="P365" t="str">
        <f t="shared" si="57"/>
        <v/>
      </c>
      <c r="Q365" t="str">
        <f t="shared" si="58"/>
        <v/>
      </c>
      <c r="R365" t="str">
        <f t="shared" si="59"/>
        <v/>
      </c>
    </row>
    <row r="366" spans="1:18">
      <c r="A366" s="83" t="str">
        <f>IF(C366="","",VLOOKUP('OPĆI DIO'!$C$3,'OPĆI DIO'!$L$6:$U$138,10,FALSE))</f>
        <v/>
      </c>
      <c r="B366" s="83" t="str">
        <f>IF(C366="","",VLOOKUP('OPĆI DIO'!$C$3,'OPĆI DIO'!$L$6:$U$138,9,FALSE))</f>
        <v/>
      </c>
      <c r="C366" s="84"/>
      <c r="D366" s="83" t="str">
        <f t="shared" si="51"/>
        <v/>
      </c>
      <c r="E366" s="84"/>
      <c r="F366" s="83" t="str">
        <f t="shared" si="52"/>
        <v/>
      </c>
      <c r="G366" s="85"/>
      <c r="H366" s="83" t="str">
        <f t="shared" si="53"/>
        <v/>
      </c>
      <c r="I366" s="83" t="str">
        <f t="shared" si="54"/>
        <v/>
      </c>
      <c r="J366" s="69"/>
      <c r="K366" s="69"/>
      <c r="L366" s="78">
        <f t="shared" si="55"/>
        <v>0</v>
      </c>
      <c r="M366" s="67"/>
      <c r="O366" t="str">
        <f t="shared" si="56"/>
        <v/>
      </c>
      <c r="P366" t="str">
        <f t="shared" si="57"/>
        <v/>
      </c>
      <c r="Q366" t="str">
        <f t="shared" si="58"/>
        <v/>
      </c>
      <c r="R366" t="str">
        <f t="shared" si="59"/>
        <v/>
      </c>
    </row>
    <row r="367" spans="1:18">
      <c r="A367" s="83" t="str">
        <f>IF(C367="","",VLOOKUP('OPĆI DIO'!$C$3,'OPĆI DIO'!$L$6:$U$138,10,FALSE))</f>
        <v/>
      </c>
      <c r="B367" s="83" t="str">
        <f>IF(C367="","",VLOOKUP('OPĆI DIO'!$C$3,'OPĆI DIO'!$L$6:$U$138,9,FALSE))</f>
        <v/>
      </c>
      <c r="C367" s="84"/>
      <c r="D367" s="83" t="str">
        <f t="shared" si="51"/>
        <v/>
      </c>
      <c r="E367" s="84"/>
      <c r="F367" s="83" t="str">
        <f t="shared" si="52"/>
        <v/>
      </c>
      <c r="G367" s="85"/>
      <c r="H367" s="83" t="str">
        <f t="shared" si="53"/>
        <v/>
      </c>
      <c r="I367" s="83" t="str">
        <f t="shared" si="54"/>
        <v/>
      </c>
      <c r="J367" s="69"/>
      <c r="K367" s="69"/>
      <c r="L367" s="78">
        <f t="shared" si="55"/>
        <v>0</v>
      </c>
      <c r="M367" s="67"/>
      <c r="O367" t="str">
        <f t="shared" si="56"/>
        <v/>
      </c>
      <c r="P367" t="str">
        <f t="shared" si="57"/>
        <v/>
      </c>
      <c r="Q367" t="str">
        <f t="shared" si="58"/>
        <v/>
      </c>
      <c r="R367" t="str">
        <f t="shared" si="59"/>
        <v/>
      </c>
    </row>
    <row r="368" spans="1:18">
      <c r="A368" s="83" t="str">
        <f>IF(C368="","",VLOOKUP('OPĆI DIO'!$C$3,'OPĆI DIO'!$L$6:$U$138,10,FALSE))</f>
        <v/>
      </c>
      <c r="B368" s="83" t="str">
        <f>IF(C368="","",VLOOKUP('OPĆI DIO'!$C$3,'OPĆI DIO'!$L$6:$U$138,9,FALSE))</f>
        <v/>
      </c>
      <c r="C368" s="84"/>
      <c r="D368" s="83" t="str">
        <f t="shared" si="51"/>
        <v/>
      </c>
      <c r="E368" s="84"/>
      <c r="F368" s="83" t="str">
        <f t="shared" si="52"/>
        <v/>
      </c>
      <c r="G368" s="85"/>
      <c r="H368" s="83" t="str">
        <f t="shared" si="53"/>
        <v/>
      </c>
      <c r="I368" s="83" t="str">
        <f t="shared" si="54"/>
        <v/>
      </c>
      <c r="J368" s="69"/>
      <c r="K368" s="69"/>
      <c r="L368" s="78">
        <f t="shared" si="55"/>
        <v>0</v>
      </c>
      <c r="M368" s="67"/>
      <c r="O368" t="str">
        <f t="shared" si="56"/>
        <v/>
      </c>
      <c r="P368" t="str">
        <f t="shared" si="57"/>
        <v/>
      </c>
      <c r="Q368" t="str">
        <f t="shared" si="58"/>
        <v/>
      </c>
      <c r="R368" t="str">
        <f t="shared" si="59"/>
        <v/>
      </c>
    </row>
    <row r="369" spans="1:18">
      <c r="A369" s="83" t="str">
        <f>IF(C369="","",VLOOKUP('OPĆI DIO'!$C$3,'OPĆI DIO'!$L$6:$U$138,10,FALSE))</f>
        <v/>
      </c>
      <c r="B369" s="83" t="str">
        <f>IF(C369="","",VLOOKUP('OPĆI DIO'!$C$3,'OPĆI DIO'!$L$6:$U$138,9,FALSE))</f>
        <v/>
      </c>
      <c r="C369" s="84"/>
      <c r="D369" s="83" t="str">
        <f t="shared" si="51"/>
        <v/>
      </c>
      <c r="E369" s="84"/>
      <c r="F369" s="83" t="str">
        <f t="shared" si="52"/>
        <v/>
      </c>
      <c r="G369" s="85"/>
      <c r="H369" s="83" t="str">
        <f t="shared" si="53"/>
        <v/>
      </c>
      <c r="I369" s="83" t="str">
        <f t="shared" si="54"/>
        <v/>
      </c>
      <c r="J369" s="69"/>
      <c r="K369" s="69"/>
      <c r="L369" s="78">
        <f t="shared" si="55"/>
        <v>0</v>
      </c>
      <c r="M369" s="67"/>
      <c r="O369" t="str">
        <f t="shared" si="56"/>
        <v/>
      </c>
      <c r="P369" t="str">
        <f t="shared" si="57"/>
        <v/>
      </c>
      <c r="Q369" t="str">
        <f t="shared" si="58"/>
        <v/>
      </c>
      <c r="R369" t="str">
        <f t="shared" si="59"/>
        <v/>
      </c>
    </row>
    <row r="370" spans="1:18">
      <c r="A370" s="83" t="str">
        <f>IF(C370="","",VLOOKUP('OPĆI DIO'!$C$3,'OPĆI DIO'!$L$6:$U$138,10,FALSE))</f>
        <v/>
      </c>
      <c r="B370" s="83" t="str">
        <f>IF(C370="","",VLOOKUP('OPĆI DIO'!$C$3,'OPĆI DIO'!$L$6:$U$138,9,FALSE))</f>
        <v/>
      </c>
      <c r="C370" s="84"/>
      <c r="D370" s="83" t="str">
        <f t="shared" si="51"/>
        <v/>
      </c>
      <c r="E370" s="84"/>
      <c r="F370" s="83" t="str">
        <f t="shared" si="52"/>
        <v/>
      </c>
      <c r="G370" s="85"/>
      <c r="H370" s="83" t="str">
        <f t="shared" si="53"/>
        <v/>
      </c>
      <c r="I370" s="83" t="str">
        <f t="shared" si="54"/>
        <v/>
      </c>
      <c r="J370" s="69"/>
      <c r="K370" s="69"/>
      <c r="L370" s="78">
        <f t="shared" si="55"/>
        <v>0</v>
      </c>
      <c r="M370" s="67"/>
      <c r="O370" t="str">
        <f t="shared" si="56"/>
        <v/>
      </c>
      <c r="P370" t="str">
        <f t="shared" si="57"/>
        <v/>
      </c>
      <c r="Q370" t="str">
        <f t="shared" si="58"/>
        <v/>
      </c>
      <c r="R370" t="str">
        <f t="shared" si="59"/>
        <v/>
      </c>
    </row>
    <row r="371" spans="1:18">
      <c r="A371" s="83" t="str">
        <f>IF(C371="","",VLOOKUP('OPĆI DIO'!$C$3,'OPĆI DIO'!$L$6:$U$138,10,FALSE))</f>
        <v/>
      </c>
      <c r="B371" s="83" t="str">
        <f>IF(C371="","",VLOOKUP('OPĆI DIO'!$C$3,'OPĆI DIO'!$L$6:$U$138,9,FALSE))</f>
        <v/>
      </c>
      <c r="C371" s="84"/>
      <c r="D371" s="83" t="str">
        <f t="shared" si="51"/>
        <v/>
      </c>
      <c r="E371" s="84"/>
      <c r="F371" s="83" t="str">
        <f t="shared" si="52"/>
        <v/>
      </c>
      <c r="G371" s="85"/>
      <c r="H371" s="83" t="str">
        <f t="shared" si="53"/>
        <v/>
      </c>
      <c r="I371" s="83" t="str">
        <f t="shared" si="54"/>
        <v/>
      </c>
      <c r="J371" s="69"/>
      <c r="K371" s="69"/>
      <c r="L371" s="78">
        <f t="shared" si="55"/>
        <v>0</v>
      </c>
      <c r="M371" s="67"/>
      <c r="O371" t="str">
        <f t="shared" si="56"/>
        <v/>
      </c>
      <c r="P371" t="str">
        <f t="shared" si="57"/>
        <v/>
      </c>
      <c r="Q371" t="str">
        <f t="shared" si="58"/>
        <v/>
      </c>
      <c r="R371" t="str">
        <f t="shared" si="59"/>
        <v/>
      </c>
    </row>
    <row r="372" spans="1:18">
      <c r="A372" s="83" t="str">
        <f>IF(C372="","",VLOOKUP('OPĆI DIO'!$C$3,'OPĆI DIO'!$L$6:$U$138,10,FALSE))</f>
        <v/>
      </c>
      <c r="B372" s="83" t="str">
        <f>IF(C372="","",VLOOKUP('OPĆI DIO'!$C$3,'OPĆI DIO'!$L$6:$U$138,9,FALSE))</f>
        <v/>
      </c>
      <c r="C372" s="84"/>
      <c r="D372" s="83" t="str">
        <f t="shared" si="51"/>
        <v/>
      </c>
      <c r="E372" s="84"/>
      <c r="F372" s="83" t="str">
        <f t="shared" si="52"/>
        <v/>
      </c>
      <c r="G372" s="85"/>
      <c r="H372" s="83" t="str">
        <f t="shared" si="53"/>
        <v/>
      </c>
      <c r="I372" s="83" t="str">
        <f t="shared" si="54"/>
        <v/>
      </c>
      <c r="J372" s="69"/>
      <c r="K372" s="69"/>
      <c r="L372" s="78">
        <f t="shared" si="55"/>
        <v>0</v>
      </c>
      <c r="M372" s="67"/>
      <c r="O372" t="str">
        <f t="shared" si="56"/>
        <v/>
      </c>
      <c r="P372" t="str">
        <f t="shared" si="57"/>
        <v/>
      </c>
      <c r="Q372" t="str">
        <f t="shared" si="58"/>
        <v/>
      </c>
      <c r="R372" t="str">
        <f t="shared" si="59"/>
        <v/>
      </c>
    </row>
    <row r="373" spans="1:18">
      <c r="A373" s="83" t="str">
        <f>IF(C373="","",VLOOKUP('OPĆI DIO'!$C$3,'OPĆI DIO'!$L$6:$U$138,10,FALSE))</f>
        <v/>
      </c>
      <c r="B373" s="83" t="str">
        <f>IF(C373="","",VLOOKUP('OPĆI DIO'!$C$3,'OPĆI DIO'!$L$6:$U$138,9,FALSE))</f>
        <v/>
      </c>
      <c r="C373" s="84"/>
      <c r="D373" s="83" t="str">
        <f t="shared" si="51"/>
        <v/>
      </c>
      <c r="E373" s="84"/>
      <c r="F373" s="83" t="str">
        <f t="shared" si="52"/>
        <v/>
      </c>
      <c r="G373" s="85"/>
      <c r="H373" s="83" t="str">
        <f t="shared" si="53"/>
        <v/>
      </c>
      <c r="I373" s="83" t="str">
        <f t="shared" si="54"/>
        <v/>
      </c>
      <c r="J373" s="69"/>
      <c r="K373" s="69"/>
      <c r="L373" s="78">
        <f t="shared" si="55"/>
        <v>0</v>
      </c>
      <c r="M373" s="67"/>
      <c r="O373" t="str">
        <f t="shared" si="56"/>
        <v/>
      </c>
      <c r="P373" t="str">
        <f t="shared" si="57"/>
        <v/>
      </c>
      <c r="Q373" t="str">
        <f t="shared" si="58"/>
        <v/>
      </c>
      <c r="R373" t="str">
        <f t="shared" si="59"/>
        <v/>
      </c>
    </row>
    <row r="374" spans="1:18">
      <c r="A374" s="83" t="str">
        <f>IF(C374="","",VLOOKUP('OPĆI DIO'!$C$3,'OPĆI DIO'!$L$6:$U$138,10,FALSE))</f>
        <v/>
      </c>
      <c r="B374" s="83" t="str">
        <f>IF(C374="","",VLOOKUP('OPĆI DIO'!$C$3,'OPĆI DIO'!$L$6:$U$138,9,FALSE))</f>
        <v/>
      </c>
      <c r="C374" s="84"/>
      <c r="D374" s="83" t="str">
        <f t="shared" si="51"/>
        <v/>
      </c>
      <c r="E374" s="84"/>
      <c r="F374" s="83" t="str">
        <f t="shared" si="52"/>
        <v/>
      </c>
      <c r="G374" s="85"/>
      <c r="H374" s="83" t="str">
        <f t="shared" si="53"/>
        <v/>
      </c>
      <c r="I374" s="83" t="str">
        <f t="shared" si="54"/>
        <v/>
      </c>
      <c r="J374" s="69"/>
      <c r="K374" s="69"/>
      <c r="L374" s="78">
        <f t="shared" si="55"/>
        <v>0</v>
      </c>
      <c r="M374" s="67"/>
      <c r="O374" t="str">
        <f t="shared" si="56"/>
        <v/>
      </c>
      <c r="P374" t="str">
        <f t="shared" si="57"/>
        <v/>
      </c>
      <c r="Q374" t="str">
        <f t="shared" si="58"/>
        <v/>
      </c>
      <c r="R374" t="str">
        <f t="shared" si="59"/>
        <v/>
      </c>
    </row>
    <row r="375" spans="1:18">
      <c r="A375" s="83" t="str">
        <f>IF(C375="","",VLOOKUP('OPĆI DIO'!$C$3,'OPĆI DIO'!$L$6:$U$138,10,FALSE))</f>
        <v/>
      </c>
      <c r="B375" s="83" t="str">
        <f>IF(C375="","",VLOOKUP('OPĆI DIO'!$C$3,'OPĆI DIO'!$L$6:$U$138,9,FALSE))</f>
        <v/>
      </c>
      <c r="C375" s="84"/>
      <c r="D375" s="83" t="str">
        <f t="shared" si="51"/>
        <v/>
      </c>
      <c r="E375" s="84"/>
      <c r="F375" s="83" t="str">
        <f t="shared" si="52"/>
        <v/>
      </c>
      <c r="G375" s="85"/>
      <c r="H375" s="83" t="str">
        <f t="shared" si="53"/>
        <v/>
      </c>
      <c r="I375" s="83" t="str">
        <f t="shared" si="54"/>
        <v/>
      </c>
      <c r="J375" s="69"/>
      <c r="K375" s="69"/>
      <c r="L375" s="78">
        <f t="shared" si="55"/>
        <v>0</v>
      </c>
      <c r="M375" s="67"/>
      <c r="O375" t="str">
        <f t="shared" si="56"/>
        <v/>
      </c>
      <c r="P375" t="str">
        <f t="shared" si="57"/>
        <v/>
      </c>
      <c r="Q375" t="str">
        <f t="shared" si="58"/>
        <v/>
      </c>
      <c r="R375" t="str">
        <f t="shared" si="59"/>
        <v/>
      </c>
    </row>
    <row r="376" spans="1:18">
      <c r="A376" s="83" t="str">
        <f>IF(C376="","",VLOOKUP('OPĆI DIO'!$C$3,'OPĆI DIO'!$L$6:$U$138,10,FALSE))</f>
        <v/>
      </c>
      <c r="B376" s="83" t="str">
        <f>IF(C376="","",VLOOKUP('OPĆI DIO'!$C$3,'OPĆI DIO'!$L$6:$U$138,9,FALSE))</f>
        <v/>
      </c>
      <c r="C376" s="84"/>
      <c r="D376" s="83" t="str">
        <f t="shared" si="51"/>
        <v/>
      </c>
      <c r="E376" s="84"/>
      <c r="F376" s="83" t="str">
        <f t="shared" si="52"/>
        <v/>
      </c>
      <c r="G376" s="85"/>
      <c r="H376" s="83" t="str">
        <f t="shared" si="53"/>
        <v/>
      </c>
      <c r="I376" s="83" t="str">
        <f t="shared" si="54"/>
        <v/>
      </c>
      <c r="J376" s="69"/>
      <c r="K376" s="69"/>
      <c r="L376" s="78">
        <f t="shared" si="55"/>
        <v>0</v>
      </c>
      <c r="M376" s="67"/>
      <c r="O376" t="str">
        <f t="shared" si="56"/>
        <v/>
      </c>
      <c r="P376" t="str">
        <f t="shared" si="57"/>
        <v/>
      </c>
      <c r="Q376" t="str">
        <f t="shared" si="58"/>
        <v/>
      </c>
      <c r="R376" t="str">
        <f t="shared" si="59"/>
        <v/>
      </c>
    </row>
    <row r="377" spans="1:18">
      <c r="A377" s="83" t="str">
        <f>IF(C377="","",VLOOKUP('OPĆI DIO'!$C$3,'OPĆI DIO'!$L$6:$U$138,10,FALSE))</f>
        <v/>
      </c>
      <c r="B377" s="83" t="str">
        <f>IF(C377="","",VLOOKUP('OPĆI DIO'!$C$3,'OPĆI DIO'!$L$6:$U$138,9,FALSE))</f>
        <v/>
      </c>
      <c r="C377" s="84"/>
      <c r="D377" s="83" t="str">
        <f t="shared" si="51"/>
        <v/>
      </c>
      <c r="E377" s="84"/>
      <c r="F377" s="83" t="str">
        <f t="shared" si="52"/>
        <v/>
      </c>
      <c r="G377" s="85"/>
      <c r="H377" s="83" t="str">
        <f t="shared" si="53"/>
        <v/>
      </c>
      <c r="I377" s="83" t="str">
        <f t="shared" si="54"/>
        <v/>
      </c>
      <c r="J377" s="69"/>
      <c r="K377" s="69"/>
      <c r="L377" s="78">
        <f t="shared" si="55"/>
        <v>0</v>
      </c>
      <c r="M377" s="67"/>
      <c r="O377" t="str">
        <f t="shared" si="56"/>
        <v/>
      </c>
      <c r="P377" t="str">
        <f t="shared" si="57"/>
        <v/>
      </c>
      <c r="Q377" t="str">
        <f t="shared" si="58"/>
        <v/>
      </c>
      <c r="R377" t="str">
        <f t="shared" si="59"/>
        <v/>
      </c>
    </row>
    <row r="378" spans="1:18">
      <c r="A378" s="83" t="str">
        <f>IF(C378="","",VLOOKUP('OPĆI DIO'!$C$3,'OPĆI DIO'!$L$6:$U$138,10,FALSE))</f>
        <v/>
      </c>
      <c r="B378" s="83" t="str">
        <f>IF(C378="","",VLOOKUP('OPĆI DIO'!$C$3,'OPĆI DIO'!$L$6:$U$138,9,FALSE))</f>
        <v/>
      </c>
      <c r="C378" s="84"/>
      <c r="D378" s="83" t="str">
        <f t="shared" si="51"/>
        <v/>
      </c>
      <c r="E378" s="84"/>
      <c r="F378" s="83" t="str">
        <f t="shared" si="52"/>
        <v/>
      </c>
      <c r="G378" s="85"/>
      <c r="H378" s="83" t="str">
        <f t="shared" si="53"/>
        <v/>
      </c>
      <c r="I378" s="83" t="str">
        <f t="shared" si="54"/>
        <v/>
      </c>
      <c r="J378" s="69"/>
      <c r="K378" s="69"/>
      <c r="L378" s="78">
        <f t="shared" si="55"/>
        <v>0</v>
      </c>
      <c r="M378" s="67"/>
      <c r="O378" t="str">
        <f t="shared" si="56"/>
        <v/>
      </c>
      <c r="P378" t="str">
        <f t="shared" si="57"/>
        <v/>
      </c>
      <c r="Q378" t="str">
        <f t="shared" si="58"/>
        <v/>
      </c>
      <c r="R378" t="str">
        <f t="shared" si="59"/>
        <v/>
      </c>
    </row>
    <row r="379" spans="1:18">
      <c r="A379" s="83" t="str">
        <f>IF(C379="","",VLOOKUP('OPĆI DIO'!$C$3,'OPĆI DIO'!$L$6:$U$138,10,FALSE))</f>
        <v/>
      </c>
      <c r="B379" s="83" t="str">
        <f>IF(C379="","",VLOOKUP('OPĆI DIO'!$C$3,'OPĆI DIO'!$L$6:$U$138,9,FALSE))</f>
        <v/>
      </c>
      <c r="C379" s="84"/>
      <c r="D379" s="83" t="str">
        <f t="shared" si="51"/>
        <v/>
      </c>
      <c r="E379" s="84"/>
      <c r="F379" s="83" t="str">
        <f t="shared" si="52"/>
        <v/>
      </c>
      <c r="G379" s="85"/>
      <c r="H379" s="83" t="str">
        <f t="shared" si="53"/>
        <v/>
      </c>
      <c r="I379" s="83" t="str">
        <f t="shared" si="54"/>
        <v/>
      </c>
      <c r="J379" s="69"/>
      <c r="K379" s="69"/>
      <c r="L379" s="78">
        <f t="shared" si="55"/>
        <v>0</v>
      </c>
      <c r="M379" s="67"/>
      <c r="O379" t="str">
        <f t="shared" si="56"/>
        <v/>
      </c>
      <c r="P379" t="str">
        <f t="shared" si="57"/>
        <v/>
      </c>
      <c r="Q379" t="str">
        <f t="shared" si="58"/>
        <v/>
      </c>
      <c r="R379" t="str">
        <f t="shared" si="59"/>
        <v/>
      </c>
    </row>
    <row r="380" spans="1:18">
      <c r="A380" s="83" t="str">
        <f>IF(C380="","",VLOOKUP('OPĆI DIO'!$C$3,'OPĆI DIO'!$L$6:$U$138,10,FALSE))</f>
        <v/>
      </c>
      <c r="B380" s="83" t="str">
        <f>IF(C380="","",VLOOKUP('OPĆI DIO'!$C$3,'OPĆI DIO'!$L$6:$U$138,9,FALSE))</f>
        <v/>
      </c>
      <c r="C380" s="84"/>
      <c r="D380" s="83" t="str">
        <f t="shared" si="51"/>
        <v/>
      </c>
      <c r="E380" s="84"/>
      <c r="F380" s="83" t="str">
        <f t="shared" si="52"/>
        <v/>
      </c>
      <c r="G380" s="85"/>
      <c r="H380" s="83" t="str">
        <f t="shared" si="53"/>
        <v/>
      </c>
      <c r="I380" s="83" t="str">
        <f t="shared" si="54"/>
        <v/>
      </c>
      <c r="J380" s="69"/>
      <c r="K380" s="69"/>
      <c r="L380" s="78">
        <f t="shared" si="55"/>
        <v>0</v>
      </c>
      <c r="M380" s="67"/>
      <c r="O380" t="str">
        <f t="shared" si="56"/>
        <v/>
      </c>
      <c r="P380" t="str">
        <f t="shared" si="57"/>
        <v/>
      </c>
      <c r="Q380" t="str">
        <f t="shared" si="58"/>
        <v/>
      </c>
      <c r="R380" t="str">
        <f t="shared" si="59"/>
        <v/>
      </c>
    </row>
    <row r="381" spans="1:18">
      <c r="A381" s="83" t="str">
        <f>IF(C381="","",VLOOKUP('OPĆI DIO'!$C$3,'OPĆI DIO'!$L$6:$U$138,10,FALSE))</f>
        <v/>
      </c>
      <c r="B381" s="83" t="str">
        <f>IF(C381="","",VLOOKUP('OPĆI DIO'!$C$3,'OPĆI DIO'!$L$6:$U$138,9,FALSE))</f>
        <v/>
      </c>
      <c r="C381" s="84"/>
      <c r="D381" s="83" t="str">
        <f t="shared" si="51"/>
        <v/>
      </c>
      <c r="E381" s="84"/>
      <c r="F381" s="83" t="str">
        <f t="shared" si="52"/>
        <v/>
      </c>
      <c r="G381" s="85"/>
      <c r="H381" s="83" t="str">
        <f t="shared" si="53"/>
        <v/>
      </c>
      <c r="I381" s="83" t="str">
        <f t="shared" si="54"/>
        <v/>
      </c>
      <c r="J381" s="69"/>
      <c r="K381" s="69"/>
      <c r="L381" s="78">
        <f t="shared" si="55"/>
        <v>0</v>
      </c>
      <c r="M381" s="67"/>
      <c r="O381" t="str">
        <f t="shared" si="56"/>
        <v/>
      </c>
      <c r="P381" t="str">
        <f t="shared" si="57"/>
        <v/>
      </c>
      <c r="Q381" t="str">
        <f t="shared" si="58"/>
        <v/>
      </c>
      <c r="R381" t="str">
        <f t="shared" si="59"/>
        <v/>
      </c>
    </row>
    <row r="382" spans="1:18">
      <c r="A382" s="83" t="str">
        <f>IF(C382="","",VLOOKUP('OPĆI DIO'!$C$3,'OPĆI DIO'!$L$6:$U$138,10,FALSE))</f>
        <v/>
      </c>
      <c r="B382" s="83" t="str">
        <f>IF(C382="","",VLOOKUP('OPĆI DIO'!$C$3,'OPĆI DIO'!$L$6:$U$138,9,FALSE))</f>
        <v/>
      </c>
      <c r="C382" s="84"/>
      <c r="D382" s="83" t="str">
        <f t="shared" si="51"/>
        <v/>
      </c>
      <c r="E382" s="84"/>
      <c r="F382" s="83" t="str">
        <f t="shared" si="52"/>
        <v/>
      </c>
      <c r="G382" s="85"/>
      <c r="H382" s="83" t="str">
        <f t="shared" si="53"/>
        <v/>
      </c>
      <c r="I382" s="83" t="str">
        <f t="shared" si="54"/>
        <v/>
      </c>
      <c r="J382" s="69"/>
      <c r="K382" s="69"/>
      <c r="L382" s="78">
        <f t="shared" si="55"/>
        <v>0</v>
      </c>
      <c r="M382" s="67"/>
      <c r="O382" t="str">
        <f t="shared" si="56"/>
        <v/>
      </c>
      <c r="P382" t="str">
        <f t="shared" si="57"/>
        <v/>
      </c>
      <c r="Q382" t="str">
        <f t="shared" si="58"/>
        <v/>
      </c>
      <c r="R382" t="str">
        <f t="shared" si="59"/>
        <v/>
      </c>
    </row>
    <row r="383" spans="1:18">
      <c r="A383" s="83" t="str">
        <f>IF(C383="","",VLOOKUP('OPĆI DIO'!$C$3,'OPĆI DIO'!$L$6:$U$138,10,FALSE))</f>
        <v/>
      </c>
      <c r="B383" s="83" t="str">
        <f>IF(C383="","",VLOOKUP('OPĆI DIO'!$C$3,'OPĆI DIO'!$L$6:$U$138,9,FALSE))</f>
        <v/>
      </c>
      <c r="C383" s="84"/>
      <c r="D383" s="83" t="str">
        <f t="shared" si="51"/>
        <v/>
      </c>
      <c r="E383" s="84"/>
      <c r="F383" s="83" t="str">
        <f t="shared" si="52"/>
        <v/>
      </c>
      <c r="G383" s="85"/>
      <c r="H383" s="83" t="str">
        <f t="shared" si="53"/>
        <v/>
      </c>
      <c r="I383" s="83" t="str">
        <f t="shared" si="54"/>
        <v/>
      </c>
      <c r="J383" s="69"/>
      <c r="K383" s="69"/>
      <c r="L383" s="78">
        <f t="shared" si="55"/>
        <v>0</v>
      </c>
      <c r="M383" s="67"/>
      <c r="O383" t="str">
        <f t="shared" si="56"/>
        <v/>
      </c>
      <c r="P383" t="str">
        <f t="shared" si="57"/>
        <v/>
      </c>
      <c r="Q383" t="str">
        <f t="shared" si="58"/>
        <v/>
      </c>
      <c r="R383" t="str">
        <f t="shared" si="59"/>
        <v/>
      </c>
    </row>
    <row r="384" spans="1:18">
      <c r="A384" s="83" t="str">
        <f>IF(C384="","",VLOOKUP('OPĆI DIO'!$C$3,'OPĆI DIO'!$L$6:$U$138,10,FALSE))</f>
        <v/>
      </c>
      <c r="B384" s="83" t="str">
        <f>IF(C384="","",VLOOKUP('OPĆI DIO'!$C$3,'OPĆI DIO'!$L$6:$U$138,9,FALSE))</f>
        <v/>
      </c>
      <c r="C384" s="84"/>
      <c r="D384" s="83" t="str">
        <f t="shared" si="51"/>
        <v/>
      </c>
      <c r="E384" s="84"/>
      <c r="F384" s="83" t="str">
        <f t="shared" si="52"/>
        <v/>
      </c>
      <c r="G384" s="85"/>
      <c r="H384" s="83" t="str">
        <f t="shared" si="53"/>
        <v/>
      </c>
      <c r="I384" s="83" t="str">
        <f t="shared" si="54"/>
        <v/>
      </c>
      <c r="J384" s="69"/>
      <c r="K384" s="69"/>
      <c r="L384" s="78">
        <f t="shared" si="55"/>
        <v>0</v>
      </c>
      <c r="M384" s="67"/>
      <c r="O384" t="str">
        <f t="shared" si="56"/>
        <v/>
      </c>
      <c r="P384" t="str">
        <f t="shared" si="57"/>
        <v/>
      </c>
      <c r="Q384" t="str">
        <f t="shared" si="58"/>
        <v/>
      </c>
      <c r="R384" t="str">
        <f t="shared" si="59"/>
        <v/>
      </c>
    </row>
    <row r="385" spans="1:18">
      <c r="A385" s="83" t="str">
        <f>IF(C385="","",VLOOKUP('OPĆI DIO'!$C$3,'OPĆI DIO'!$L$6:$U$138,10,FALSE))</f>
        <v/>
      </c>
      <c r="B385" s="83" t="str">
        <f>IF(C385="","",VLOOKUP('OPĆI DIO'!$C$3,'OPĆI DIO'!$L$6:$U$138,9,FALSE))</f>
        <v/>
      </c>
      <c r="C385" s="84"/>
      <c r="D385" s="83" t="str">
        <f t="shared" si="51"/>
        <v/>
      </c>
      <c r="E385" s="84"/>
      <c r="F385" s="83" t="str">
        <f t="shared" si="52"/>
        <v/>
      </c>
      <c r="G385" s="85"/>
      <c r="H385" s="83" t="str">
        <f t="shared" si="53"/>
        <v/>
      </c>
      <c r="I385" s="83" t="str">
        <f t="shared" si="54"/>
        <v/>
      </c>
      <c r="J385" s="69"/>
      <c r="K385" s="69"/>
      <c r="L385" s="78">
        <f t="shared" si="55"/>
        <v>0</v>
      </c>
      <c r="M385" s="67"/>
      <c r="O385" t="str">
        <f t="shared" si="56"/>
        <v/>
      </c>
      <c r="P385" t="str">
        <f t="shared" si="57"/>
        <v/>
      </c>
      <c r="Q385" t="str">
        <f t="shared" si="58"/>
        <v/>
      </c>
      <c r="R385" t="str">
        <f t="shared" si="59"/>
        <v/>
      </c>
    </row>
    <row r="386" spans="1:18">
      <c r="A386" s="83" t="str">
        <f>IF(C386="","",VLOOKUP('OPĆI DIO'!$C$3,'OPĆI DIO'!$L$6:$U$138,10,FALSE))</f>
        <v/>
      </c>
      <c r="B386" s="83" t="str">
        <f>IF(C386="","",VLOOKUP('OPĆI DIO'!$C$3,'OPĆI DIO'!$L$6:$U$138,9,FALSE))</f>
        <v/>
      </c>
      <c r="C386" s="84"/>
      <c r="D386" s="83" t="str">
        <f t="shared" si="51"/>
        <v/>
      </c>
      <c r="E386" s="84"/>
      <c r="F386" s="83" t="str">
        <f t="shared" si="52"/>
        <v/>
      </c>
      <c r="G386" s="85"/>
      <c r="H386" s="83" t="str">
        <f t="shared" si="53"/>
        <v/>
      </c>
      <c r="I386" s="83" t="str">
        <f t="shared" si="54"/>
        <v/>
      </c>
      <c r="J386" s="69"/>
      <c r="K386" s="69"/>
      <c r="L386" s="78">
        <f t="shared" si="55"/>
        <v>0</v>
      </c>
      <c r="M386" s="67"/>
      <c r="O386" t="str">
        <f t="shared" si="56"/>
        <v/>
      </c>
      <c r="P386" t="str">
        <f t="shared" si="57"/>
        <v/>
      </c>
      <c r="Q386" t="str">
        <f t="shared" si="58"/>
        <v/>
      </c>
      <c r="R386" t="str">
        <f t="shared" si="59"/>
        <v/>
      </c>
    </row>
    <row r="387" spans="1:18">
      <c r="A387" s="83" t="str">
        <f>IF(C387="","",VLOOKUP('OPĆI DIO'!$C$3,'OPĆI DIO'!$L$6:$U$138,10,FALSE))</f>
        <v/>
      </c>
      <c r="B387" s="83" t="str">
        <f>IF(C387="","",VLOOKUP('OPĆI DIO'!$C$3,'OPĆI DIO'!$L$6:$U$138,9,FALSE))</f>
        <v/>
      </c>
      <c r="C387" s="84"/>
      <c r="D387" s="83" t="str">
        <f t="shared" ref="D387:D450" si="60">IFERROR(VLOOKUP(C387,$S$6:$T$24,2,FALSE),"")</f>
        <v/>
      </c>
      <c r="E387" s="84"/>
      <c r="F387" s="83" t="str">
        <f t="shared" ref="F387:F450" si="61">IFERROR(VLOOKUP(E387,$V$5:$X$129,2,FALSE),"")</f>
        <v/>
      </c>
      <c r="G387" s="85"/>
      <c r="H387" s="83" t="str">
        <f t="shared" ref="H387:H450" si="62">IFERROR(VLOOKUP(G387,$AB$6:$AC$327,2,FALSE),"")</f>
        <v/>
      </c>
      <c r="I387" s="83" t="str">
        <f t="shared" ref="I387:I450" si="63">IFERROR(VLOOKUP(G387,$AB$6:$AF$327,3,FALSE),"")</f>
        <v/>
      </c>
      <c r="J387" s="69"/>
      <c r="K387" s="69"/>
      <c r="L387" s="78">
        <f t="shared" si="55"/>
        <v>0</v>
      </c>
      <c r="M387" s="67"/>
      <c r="O387" t="str">
        <f t="shared" si="56"/>
        <v/>
      </c>
      <c r="P387" t="str">
        <f t="shared" si="57"/>
        <v/>
      </c>
      <c r="Q387" t="str">
        <f t="shared" si="58"/>
        <v/>
      </c>
      <c r="R387" t="str">
        <f t="shared" si="59"/>
        <v/>
      </c>
    </row>
    <row r="388" spans="1:18">
      <c r="A388" s="83" t="str">
        <f>IF(C388="","",VLOOKUP('OPĆI DIO'!$C$3,'OPĆI DIO'!$L$6:$U$138,10,FALSE))</f>
        <v/>
      </c>
      <c r="B388" s="83" t="str">
        <f>IF(C388="","",VLOOKUP('OPĆI DIO'!$C$3,'OPĆI DIO'!$L$6:$U$138,9,FALSE))</f>
        <v/>
      </c>
      <c r="C388" s="84"/>
      <c r="D388" s="83" t="str">
        <f t="shared" si="60"/>
        <v/>
      </c>
      <c r="E388" s="84"/>
      <c r="F388" s="83" t="str">
        <f t="shared" si="61"/>
        <v/>
      </c>
      <c r="G388" s="85"/>
      <c r="H388" s="83" t="str">
        <f t="shared" si="62"/>
        <v/>
      </c>
      <c r="I388" s="83" t="str">
        <f t="shared" si="63"/>
        <v/>
      </c>
      <c r="J388" s="69"/>
      <c r="K388" s="69"/>
      <c r="L388" s="78">
        <f t="shared" ref="L388:L451" si="64">K388-J388</f>
        <v>0</v>
      </c>
      <c r="M388" s="67"/>
      <c r="O388" t="str">
        <f t="shared" ref="O388:O451" si="65">LEFT(E388,3)</f>
        <v/>
      </c>
      <c r="P388" t="str">
        <f t="shared" ref="P388:P451" si="66">LEFT(E388,2)</f>
        <v/>
      </c>
      <c r="Q388" t="str">
        <f t="shared" ref="Q388:Q451" si="67">LEFT(C388,3)</f>
        <v/>
      </c>
      <c r="R388" t="str">
        <f t="shared" ref="R388:R451" si="68">MID(I388,2,2)</f>
        <v/>
      </c>
    </row>
    <row r="389" spans="1:18">
      <c r="A389" s="83" t="str">
        <f>IF(C389="","",VLOOKUP('OPĆI DIO'!$C$3,'OPĆI DIO'!$L$6:$U$138,10,FALSE))</f>
        <v/>
      </c>
      <c r="B389" s="83" t="str">
        <f>IF(C389="","",VLOOKUP('OPĆI DIO'!$C$3,'OPĆI DIO'!$L$6:$U$138,9,FALSE))</f>
        <v/>
      </c>
      <c r="C389" s="84"/>
      <c r="D389" s="83" t="str">
        <f t="shared" si="60"/>
        <v/>
      </c>
      <c r="E389" s="84"/>
      <c r="F389" s="83" t="str">
        <f t="shared" si="61"/>
        <v/>
      </c>
      <c r="G389" s="85"/>
      <c r="H389" s="83" t="str">
        <f t="shared" si="62"/>
        <v/>
      </c>
      <c r="I389" s="83" t="str">
        <f t="shared" si="63"/>
        <v/>
      </c>
      <c r="J389" s="69"/>
      <c r="K389" s="69"/>
      <c r="L389" s="78">
        <f t="shared" si="64"/>
        <v>0</v>
      </c>
      <c r="M389" s="67"/>
      <c r="O389" t="str">
        <f t="shared" si="65"/>
        <v/>
      </c>
      <c r="P389" t="str">
        <f t="shared" si="66"/>
        <v/>
      </c>
      <c r="Q389" t="str">
        <f t="shared" si="67"/>
        <v/>
      </c>
      <c r="R389" t="str">
        <f t="shared" si="68"/>
        <v/>
      </c>
    </row>
    <row r="390" spans="1:18">
      <c r="A390" s="83" t="str">
        <f>IF(C390="","",VLOOKUP('OPĆI DIO'!$C$3,'OPĆI DIO'!$L$6:$U$138,10,FALSE))</f>
        <v/>
      </c>
      <c r="B390" s="83" t="str">
        <f>IF(C390="","",VLOOKUP('OPĆI DIO'!$C$3,'OPĆI DIO'!$L$6:$U$138,9,FALSE))</f>
        <v/>
      </c>
      <c r="C390" s="84"/>
      <c r="D390" s="83" t="str">
        <f t="shared" si="60"/>
        <v/>
      </c>
      <c r="E390" s="84"/>
      <c r="F390" s="83" t="str">
        <f t="shared" si="61"/>
        <v/>
      </c>
      <c r="G390" s="85"/>
      <c r="H390" s="83" t="str">
        <f t="shared" si="62"/>
        <v/>
      </c>
      <c r="I390" s="83" t="str">
        <f t="shared" si="63"/>
        <v/>
      </c>
      <c r="J390" s="69"/>
      <c r="K390" s="69"/>
      <c r="L390" s="78">
        <f t="shared" si="64"/>
        <v>0</v>
      </c>
      <c r="M390" s="67"/>
      <c r="O390" t="str">
        <f t="shared" si="65"/>
        <v/>
      </c>
      <c r="P390" t="str">
        <f t="shared" si="66"/>
        <v/>
      </c>
      <c r="Q390" t="str">
        <f t="shared" si="67"/>
        <v/>
      </c>
      <c r="R390" t="str">
        <f t="shared" si="68"/>
        <v/>
      </c>
    </row>
    <row r="391" spans="1:18">
      <c r="A391" s="83" t="str">
        <f>IF(C391="","",VLOOKUP('OPĆI DIO'!$C$3,'OPĆI DIO'!$L$6:$U$138,10,FALSE))</f>
        <v/>
      </c>
      <c r="B391" s="83" t="str">
        <f>IF(C391="","",VLOOKUP('OPĆI DIO'!$C$3,'OPĆI DIO'!$L$6:$U$138,9,FALSE))</f>
        <v/>
      </c>
      <c r="C391" s="84"/>
      <c r="D391" s="83" t="str">
        <f t="shared" si="60"/>
        <v/>
      </c>
      <c r="E391" s="84"/>
      <c r="F391" s="83" t="str">
        <f t="shared" si="61"/>
        <v/>
      </c>
      <c r="G391" s="85"/>
      <c r="H391" s="83" t="str">
        <f t="shared" si="62"/>
        <v/>
      </c>
      <c r="I391" s="83" t="str">
        <f t="shared" si="63"/>
        <v/>
      </c>
      <c r="J391" s="69"/>
      <c r="K391" s="69"/>
      <c r="L391" s="78">
        <f t="shared" si="64"/>
        <v>0</v>
      </c>
      <c r="M391" s="67"/>
      <c r="O391" t="str">
        <f t="shared" si="65"/>
        <v/>
      </c>
      <c r="P391" t="str">
        <f t="shared" si="66"/>
        <v/>
      </c>
      <c r="Q391" t="str">
        <f t="shared" si="67"/>
        <v/>
      </c>
      <c r="R391" t="str">
        <f t="shared" si="68"/>
        <v/>
      </c>
    </row>
    <row r="392" spans="1:18">
      <c r="A392" s="83" t="str">
        <f>IF(C392="","",VLOOKUP('OPĆI DIO'!$C$3,'OPĆI DIO'!$L$6:$U$138,10,FALSE))</f>
        <v/>
      </c>
      <c r="B392" s="83" t="str">
        <f>IF(C392="","",VLOOKUP('OPĆI DIO'!$C$3,'OPĆI DIO'!$L$6:$U$138,9,FALSE))</f>
        <v/>
      </c>
      <c r="C392" s="84"/>
      <c r="D392" s="83" t="str">
        <f t="shared" si="60"/>
        <v/>
      </c>
      <c r="E392" s="84"/>
      <c r="F392" s="83" t="str">
        <f t="shared" si="61"/>
        <v/>
      </c>
      <c r="G392" s="85"/>
      <c r="H392" s="83" t="str">
        <f t="shared" si="62"/>
        <v/>
      </c>
      <c r="I392" s="83" t="str">
        <f t="shared" si="63"/>
        <v/>
      </c>
      <c r="J392" s="69"/>
      <c r="K392" s="69"/>
      <c r="L392" s="78">
        <f t="shared" si="64"/>
        <v>0</v>
      </c>
      <c r="M392" s="67"/>
      <c r="O392" t="str">
        <f t="shared" si="65"/>
        <v/>
      </c>
      <c r="P392" t="str">
        <f t="shared" si="66"/>
        <v/>
      </c>
      <c r="Q392" t="str">
        <f t="shared" si="67"/>
        <v/>
      </c>
      <c r="R392" t="str">
        <f t="shared" si="68"/>
        <v/>
      </c>
    </row>
    <row r="393" spans="1:18">
      <c r="A393" s="83" t="str">
        <f>IF(C393="","",VLOOKUP('OPĆI DIO'!$C$3,'OPĆI DIO'!$L$6:$U$138,10,FALSE))</f>
        <v/>
      </c>
      <c r="B393" s="83" t="str">
        <f>IF(C393="","",VLOOKUP('OPĆI DIO'!$C$3,'OPĆI DIO'!$L$6:$U$138,9,FALSE))</f>
        <v/>
      </c>
      <c r="C393" s="84"/>
      <c r="D393" s="83" t="str">
        <f t="shared" si="60"/>
        <v/>
      </c>
      <c r="E393" s="84"/>
      <c r="F393" s="83" t="str">
        <f t="shared" si="61"/>
        <v/>
      </c>
      <c r="G393" s="85"/>
      <c r="H393" s="83" t="str">
        <f t="shared" si="62"/>
        <v/>
      </c>
      <c r="I393" s="83" t="str">
        <f t="shared" si="63"/>
        <v/>
      </c>
      <c r="J393" s="69"/>
      <c r="K393" s="69"/>
      <c r="L393" s="78">
        <f t="shared" si="64"/>
        <v>0</v>
      </c>
      <c r="M393" s="67"/>
      <c r="O393" t="str">
        <f t="shared" si="65"/>
        <v/>
      </c>
      <c r="P393" t="str">
        <f t="shared" si="66"/>
        <v/>
      </c>
      <c r="Q393" t="str">
        <f t="shared" si="67"/>
        <v/>
      </c>
      <c r="R393" t="str">
        <f t="shared" si="68"/>
        <v/>
      </c>
    </row>
    <row r="394" spans="1:18">
      <c r="A394" s="83" t="str">
        <f>IF(C394="","",VLOOKUP('OPĆI DIO'!$C$3,'OPĆI DIO'!$L$6:$U$138,10,FALSE))</f>
        <v/>
      </c>
      <c r="B394" s="83" t="str">
        <f>IF(C394="","",VLOOKUP('OPĆI DIO'!$C$3,'OPĆI DIO'!$L$6:$U$138,9,FALSE))</f>
        <v/>
      </c>
      <c r="C394" s="84"/>
      <c r="D394" s="83" t="str">
        <f t="shared" si="60"/>
        <v/>
      </c>
      <c r="E394" s="84"/>
      <c r="F394" s="83" t="str">
        <f t="shared" si="61"/>
        <v/>
      </c>
      <c r="G394" s="85"/>
      <c r="H394" s="83" t="str">
        <f t="shared" si="62"/>
        <v/>
      </c>
      <c r="I394" s="83" t="str">
        <f t="shared" si="63"/>
        <v/>
      </c>
      <c r="J394" s="69"/>
      <c r="K394" s="69"/>
      <c r="L394" s="78">
        <f t="shared" si="64"/>
        <v>0</v>
      </c>
      <c r="M394" s="67"/>
      <c r="O394" t="str">
        <f t="shared" si="65"/>
        <v/>
      </c>
      <c r="P394" t="str">
        <f t="shared" si="66"/>
        <v/>
      </c>
      <c r="Q394" t="str">
        <f t="shared" si="67"/>
        <v/>
      </c>
      <c r="R394" t="str">
        <f t="shared" si="68"/>
        <v/>
      </c>
    </row>
    <row r="395" spans="1:18">
      <c r="A395" s="83" t="str">
        <f>IF(C395="","",VLOOKUP('OPĆI DIO'!$C$3,'OPĆI DIO'!$L$6:$U$138,10,FALSE))</f>
        <v/>
      </c>
      <c r="B395" s="83" t="str">
        <f>IF(C395="","",VLOOKUP('OPĆI DIO'!$C$3,'OPĆI DIO'!$L$6:$U$138,9,FALSE))</f>
        <v/>
      </c>
      <c r="C395" s="84"/>
      <c r="D395" s="83" t="str">
        <f t="shared" si="60"/>
        <v/>
      </c>
      <c r="E395" s="84"/>
      <c r="F395" s="83" t="str">
        <f t="shared" si="61"/>
        <v/>
      </c>
      <c r="G395" s="85"/>
      <c r="H395" s="83" t="str">
        <f t="shared" si="62"/>
        <v/>
      </c>
      <c r="I395" s="83" t="str">
        <f t="shared" si="63"/>
        <v/>
      </c>
      <c r="J395" s="69"/>
      <c r="K395" s="69"/>
      <c r="L395" s="78">
        <f t="shared" si="64"/>
        <v>0</v>
      </c>
      <c r="M395" s="67"/>
      <c r="O395" t="str">
        <f t="shared" si="65"/>
        <v/>
      </c>
      <c r="P395" t="str">
        <f t="shared" si="66"/>
        <v/>
      </c>
      <c r="Q395" t="str">
        <f t="shared" si="67"/>
        <v/>
      </c>
      <c r="R395" t="str">
        <f t="shared" si="68"/>
        <v/>
      </c>
    </row>
    <row r="396" spans="1:18">
      <c r="A396" s="83" t="str">
        <f>IF(C396="","",VLOOKUP('OPĆI DIO'!$C$3,'OPĆI DIO'!$L$6:$U$138,10,FALSE))</f>
        <v/>
      </c>
      <c r="B396" s="83" t="str">
        <f>IF(C396="","",VLOOKUP('OPĆI DIO'!$C$3,'OPĆI DIO'!$L$6:$U$138,9,FALSE))</f>
        <v/>
      </c>
      <c r="C396" s="84"/>
      <c r="D396" s="83" t="str">
        <f t="shared" si="60"/>
        <v/>
      </c>
      <c r="E396" s="84"/>
      <c r="F396" s="83" t="str">
        <f t="shared" si="61"/>
        <v/>
      </c>
      <c r="G396" s="85"/>
      <c r="H396" s="83" t="str">
        <f t="shared" si="62"/>
        <v/>
      </c>
      <c r="I396" s="83" t="str">
        <f t="shared" si="63"/>
        <v/>
      </c>
      <c r="J396" s="69"/>
      <c r="K396" s="69"/>
      <c r="L396" s="78">
        <f t="shared" si="64"/>
        <v>0</v>
      </c>
      <c r="M396" s="67"/>
      <c r="O396" t="str">
        <f t="shared" si="65"/>
        <v/>
      </c>
      <c r="P396" t="str">
        <f t="shared" si="66"/>
        <v/>
      </c>
      <c r="Q396" t="str">
        <f t="shared" si="67"/>
        <v/>
      </c>
      <c r="R396" t="str">
        <f t="shared" si="68"/>
        <v/>
      </c>
    </row>
    <row r="397" spans="1:18">
      <c r="A397" s="83" t="str">
        <f>IF(C397="","",VLOOKUP('OPĆI DIO'!$C$3,'OPĆI DIO'!$L$6:$U$138,10,FALSE))</f>
        <v/>
      </c>
      <c r="B397" s="83" t="str">
        <f>IF(C397="","",VLOOKUP('OPĆI DIO'!$C$3,'OPĆI DIO'!$L$6:$U$138,9,FALSE))</f>
        <v/>
      </c>
      <c r="C397" s="84"/>
      <c r="D397" s="83" t="str">
        <f t="shared" si="60"/>
        <v/>
      </c>
      <c r="E397" s="84"/>
      <c r="F397" s="83" t="str">
        <f t="shared" si="61"/>
        <v/>
      </c>
      <c r="G397" s="85"/>
      <c r="H397" s="83" t="str">
        <f t="shared" si="62"/>
        <v/>
      </c>
      <c r="I397" s="83" t="str">
        <f t="shared" si="63"/>
        <v/>
      </c>
      <c r="J397" s="69"/>
      <c r="K397" s="69"/>
      <c r="L397" s="78">
        <f t="shared" si="64"/>
        <v>0</v>
      </c>
      <c r="M397" s="67"/>
      <c r="O397" t="str">
        <f t="shared" si="65"/>
        <v/>
      </c>
      <c r="P397" t="str">
        <f t="shared" si="66"/>
        <v/>
      </c>
      <c r="Q397" t="str">
        <f t="shared" si="67"/>
        <v/>
      </c>
      <c r="R397" t="str">
        <f t="shared" si="68"/>
        <v/>
      </c>
    </row>
    <row r="398" spans="1:18">
      <c r="A398" s="83" t="str">
        <f>IF(C398="","",VLOOKUP('OPĆI DIO'!$C$3,'OPĆI DIO'!$L$6:$U$138,10,FALSE))</f>
        <v/>
      </c>
      <c r="B398" s="83" t="str">
        <f>IF(C398="","",VLOOKUP('OPĆI DIO'!$C$3,'OPĆI DIO'!$L$6:$U$138,9,FALSE))</f>
        <v/>
      </c>
      <c r="C398" s="84"/>
      <c r="D398" s="83" t="str">
        <f t="shared" si="60"/>
        <v/>
      </c>
      <c r="E398" s="84"/>
      <c r="F398" s="83" t="str">
        <f t="shared" si="61"/>
        <v/>
      </c>
      <c r="G398" s="85"/>
      <c r="H398" s="83" t="str">
        <f t="shared" si="62"/>
        <v/>
      </c>
      <c r="I398" s="83" t="str">
        <f t="shared" si="63"/>
        <v/>
      </c>
      <c r="J398" s="69"/>
      <c r="K398" s="69"/>
      <c r="L398" s="78">
        <f t="shared" si="64"/>
        <v>0</v>
      </c>
      <c r="M398" s="67"/>
      <c r="O398" t="str">
        <f t="shared" si="65"/>
        <v/>
      </c>
      <c r="P398" t="str">
        <f t="shared" si="66"/>
        <v/>
      </c>
      <c r="Q398" t="str">
        <f t="shared" si="67"/>
        <v/>
      </c>
      <c r="R398" t="str">
        <f t="shared" si="68"/>
        <v/>
      </c>
    </row>
    <row r="399" spans="1:18">
      <c r="A399" s="83" t="str">
        <f>IF(C399="","",VLOOKUP('OPĆI DIO'!$C$3,'OPĆI DIO'!$L$6:$U$138,10,FALSE))</f>
        <v/>
      </c>
      <c r="B399" s="83" t="str">
        <f>IF(C399="","",VLOOKUP('OPĆI DIO'!$C$3,'OPĆI DIO'!$L$6:$U$138,9,FALSE))</f>
        <v/>
      </c>
      <c r="C399" s="84"/>
      <c r="D399" s="83" t="str">
        <f t="shared" si="60"/>
        <v/>
      </c>
      <c r="E399" s="84"/>
      <c r="F399" s="83" t="str">
        <f t="shared" si="61"/>
        <v/>
      </c>
      <c r="G399" s="85"/>
      <c r="H399" s="83" t="str">
        <f t="shared" si="62"/>
        <v/>
      </c>
      <c r="I399" s="83" t="str">
        <f t="shared" si="63"/>
        <v/>
      </c>
      <c r="J399" s="69"/>
      <c r="K399" s="69"/>
      <c r="L399" s="78">
        <f t="shared" si="64"/>
        <v>0</v>
      </c>
      <c r="M399" s="67"/>
      <c r="O399" t="str">
        <f t="shared" si="65"/>
        <v/>
      </c>
      <c r="P399" t="str">
        <f t="shared" si="66"/>
        <v/>
      </c>
      <c r="Q399" t="str">
        <f t="shared" si="67"/>
        <v/>
      </c>
      <c r="R399" t="str">
        <f t="shared" si="68"/>
        <v/>
      </c>
    </row>
    <row r="400" spans="1:18">
      <c r="A400" s="83" t="str">
        <f>IF(C400="","",VLOOKUP('OPĆI DIO'!$C$3,'OPĆI DIO'!$L$6:$U$138,10,FALSE))</f>
        <v/>
      </c>
      <c r="B400" s="83" t="str">
        <f>IF(C400="","",VLOOKUP('OPĆI DIO'!$C$3,'OPĆI DIO'!$L$6:$U$138,9,FALSE))</f>
        <v/>
      </c>
      <c r="C400" s="84"/>
      <c r="D400" s="83" t="str">
        <f t="shared" si="60"/>
        <v/>
      </c>
      <c r="E400" s="84"/>
      <c r="F400" s="83" t="str">
        <f t="shared" si="61"/>
        <v/>
      </c>
      <c r="G400" s="85"/>
      <c r="H400" s="83" t="str">
        <f t="shared" si="62"/>
        <v/>
      </c>
      <c r="I400" s="83" t="str">
        <f t="shared" si="63"/>
        <v/>
      </c>
      <c r="J400" s="69"/>
      <c r="K400" s="69"/>
      <c r="L400" s="78">
        <f t="shared" si="64"/>
        <v>0</v>
      </c>
      <c r="M400" s="67"/>
      <c r="O400" t="str">
        <f t="shared" si="65"/>
        <v/>
      </c>
      <c r="P400" t="str">
        <f t="shared" si="66"/>
        <v/>
      </c>
      <c r="Q400" t="str">
        <f t="shared" si="67"/>
        <v/>
      </c>
      <c r="R400" t="str">
        <f t="shared" si="68"/>
        <v/>
      </c>
    </row>
    <row r="401" spans="1:18">
      <c r="A401" s="83" t="str">
        <f>IF(C401="","",VLOOKUP('OPĆI DIO'!$C$3,'OPĆI DIO'!$L$6:$U$138,10,FALSE))</f>
        <v/>
      </c>
      <c r="B401" s="83" t="str">
        <f>IF(C401="","",VLOOKUP('OPĆI DIO'!$C$3,'OPĆI DIO'!$L$6:$U$138,9,FALSE))</f>
        <v/>
      </c>
      <c r="C401" s="84"/>
      <c r="D401" s="83" t="str">
        <f t="shared" si="60"/>
        <v/>
      </c>
      <c r="E401" s="84"/>
      <c r="F401" s="83" t="str">
        <f t="shared" si="61"/>
        <v/>
      </c>
      <c r="G401" s="85"/>
      <c r="H401" s="83" t="str">
        <f t="shared" si="62"/>
        <v/>
      </c>
      <c r="I401" s="83" t="str">
        <f t="shared" si="63"/>
        <v/>
      </c>
      <c r="J401" s="69"/>
      <c r="K401" s="69"/>
      <c r="L401" s="78">
        <f t="shared" si="64"/>
        <v>0</v>
      </c>
      <c r="M401" s="67"/>
      <c r="O401" t="str">
        <f t="shared" si="65"/>
        <v/>
      </c>
      <c r="P401" t="str">
        <f t="shared" si="66"/>
        <v/>
      </c>
      <c r="Q401" t="str">
        <f t="shared" si="67"/>
        <v/>
      </c>
      <c r="R401" t="str">
        <f t="shared" si="68"/>
        <v/>
      </c>
    </row>
    <row r="402" spans="1:18">
      <c r="A402" s="83" t="str">
        <f>IF(C402="","",VLOOKUP('OPĆI DIO'!$C$3,'OPĆI DIO'!$L$6:$U$138,10,FALSE))</f>
        <v/>
      </c>
      <c r="B402" s="83" t="str">
        <f>IF(C402="","",VLOOKUP('OPĆI DIO'!$C$3,'OPĆI DIO'!$L$6:$U$138,9,FALSE))</f>
        <v/>
      </c>
      <c r="C402" s="84"/>
      <c r="D402" s="83" t="str">
        <f t="shared" si="60"/>
        <v/>
      </c>
      <c r="E402" s="84"/>
      <c r="F402" s="83" t="str">
        <f t="shared" si="61"/>
        <v/>
      </c>
      <c r="G402" s="85"/>
      <c r="H402" s="83" t="str">
        <f t="shared" si="62"/>
        <v/>
      </c>
      <c r="I402" s="83" t="str">
        <f t="shared" si="63"/>
        <v/>
      </c>
      <c r="J402" s="69"/>
      <c r="K402" s="69"/>
      <c r="L402" s="78">
        <f t="shared" si="64"/>
        <v>0</v>
      </c>
      <c r="M402" s="67"/>
      <c r="O402" t="str">
        <f t="shared" si="65"/>
        <v/>
      </c>
      <c r="P402" t="str">
        <f t="shared" si="66"/>
        <v/>
      </c>
      <c r="Q402" t="str">
        <f t="shared" si="67"/>
        <v/>
      </c>
      <c r="R402" t="str">
        <f t="shared" si="68"/>
        <v/>
      </c>
    </row>
    <row r="403" spans="1:18">
      <c r="A403" s="83" t="str">
        <f>IF(C403="","",VLOOKUP('OPĆI DIO'!$C$3,'OPĆI DIO'!$L$6:$U$138,10,FALSE))</f>
        <v/>
      </c>
      <c r="B403" s="83" t="str">
        <f>IF(C403="","",VLOOKUP('OPĆI DIO'!$C$3,'OPĆI DIO'!$L$6:$U$138,9,FALSE))</f>
        <v/>
      </c>
      <c r="C403" s="84"/>
      <c r="D403" s="83" t="str">
        <f t="shared" si="60"/>
        <v/>
      </c>
      <c r="E403" s="84"/>
      <c r="F403" s="83" t="str">
        <f t="shared" si="61"/>
        <v/>
      </c>
      <c r="G403" s="85"/>
      <c r="H403" s="83" t="str">
        <f t="shared" si="62"/>
        <v/>
      </c>
      <c r="I403" s="83" t="str">
        <f t="shared" si="63"/>
        <v/>
      </c>
      <c r="J403" s="69"/>
      <c r="K403" s="69"/>
      <c r="L403" s="78">
        <f t="shared" si="64"/>
        <v>0</v>
      </c>
      <c r="M403" s="67"/>
      <c r="O403" t="str">
        <f t="shared" si="65"/>
        <v/>
      </c>
      <c r="P403" t="str">
        <f t="shared" si="66"/>
        <v/>
      </c>
      <c r="Q403" t="str">
        <f t="shared" si="67"/>
        <v/>
      </c>
      <c r="R403" t="str">
        <f t="shared" si="68"/>
        <v/>
      </c>
    </row>
    <row r="404" spans="1:18">
      <c r="A404" s="83" t="str">
        <f>IF(C404="","",VLOOKUP('OPĆI DIO'!$C$3,'OPĆI DIO'!$L$6:$U$138,10,FALSE))</f>
        <v/>
      </c>
      <c r="B404" s="83" t="str">
        <f>IF(C404="","",VLOOKUP('OPĆI DIO'!$C$3,'OPĆI DIO'!$L$6:$U$138,9,FALSE))</f>
        <v/>
      </c>
      <c r="C404" s="84"/>
      <c r="D404" s="83" t="str">
        <f t="shared" si="60"/>
        <v/>
      </c>
      <c r="E404" s="84"/>
      <c r="F404" s="83" t="str">
        <f t="shared" si="61"/>
        <v/>
      </c>
      <c r="G404" s="85"/>
      <c r="H404" s="83" t="str">
        <f t="shared" si="62"/>
        <v/>
      </c>
      <c r="I404" s="83" t="str">
        <f t="shared" si="63"/>
        <v/>
      </c>
      <c r="J404" s="69"/>
      <c r="K404" s="69"/>
      <c r="L404" s="78">
        <f t="shared" si="64"/>
        <v>0</v>
      </c>
      <c r="M404" s="67"/>
      <c r="O404" t="str">
        <f t="shared" si="65"/>
        <v/>
      </c>
      <c r="P404" t="str">
        <f t="shared" si="66"/>
        <v/>
      </c>
      <c r="Q404" t="str">
        <f t="shared" si="67"/>
        <v/>
      </c>
      <c r="R404" t="str">
        <f t="shared" si="68"/>
        <v/>
      </c>
    </row>
    <row r="405" spans="1:18">
      <c r="A405" s="83" t="str">
        <f>IF(C405="","",VLOOKUP('OPĆI DIO'!$C$3,'OPĆI DIO'!$L$6:$U$138,10,FALSE))</f>
        <v/>
      </c>
      <c r="B405" s="83" t="str">
        <f>IF(C405="","",VLOOKUP('OPĆI DIO'!$C$3,'OPĆI DIO'!$L$6:$U$138,9,FALSE))</f>
        <v/>
      </c>
      <c r="C405" s="84"/>
      <c r="D405" s="83" t="str">
        <f t="shared" si="60"/>
        <v/>
      </c>
      <c r="E405" s="84"/>
      <c r="F405" s="83" t="str">
        <f t="shared" si="61"/>
        <v/>
      </c>
      <c r="G405" s="85"/>
      <c r="H405" s="83" t="str">
        <f t="shared" si="62"/>
        <v/>
      </c>
      <c r="I405" s="83" t="str">
        <f t="shared" si="63"/>
        <v/>
      </c>
      <c r="J405" s="69"/>
      <c r="K405" s="69"/>
      <c r="L405" s="78">
        <f t="shared" si="64"/>
        <v>0</v>
      </c>
      <c r="M405" s="67"/>
      <c r="O405" t="str">
        <f t="shared" si="65"/>
        <v/>
      </c>
      <c r="P405" t="str">
        <f t="shared" si="66"/>
        <v/>
      </c>
      <c r="Q405" t="str">
        <f t="shared" si="67"/>
        <v/>
      </c>
      <c r="R405" t="str">
        <f t="shared" si="68"/>
        <v/>
      </c>
    </row>
    <row r="406" spans="1:18">
      <c r="A406" s="83" t="str">
        <f>IF(C406="","",VLOOKUP('OPĆI DIO'!$C$3,'OPĆI DIO'!$L$6:$U$138,10,FALSE))</f>
        <v/>
      </c>
      <c r="B406" s="83" t="str">
        <f>IF(C406="","",VLOOKUP('OPĆI DIO'!$C$3,'OPĆI DIO'!$L$6:$U$138,9,FALSE))</f>
        <v/>
      </c>
      <c r="C406" s="84"/>
      <c r="D406" s="83" t="str">
        <f t="shared" si="60"/>
        <v/>
      </c>
      <c r="E406" s="84"/>
      <c r="F406" s="83" t="str">
        <f t="shared" si="61"/>
        <v/>
      </c>
      <c r="G406" s="85"/>
      <c r="H406" s="83" t="str">
        <f t="shared" si="62"/>
        <v/>
      </c>
      <c r="I406" s="83" t="str">
        <f t="shared" si="63"/>
        <v/>
      </c>
      <c r="J406" s="69"/>
      <c r="K406" s="69"/>
      <c r="L406" s="78">
        <f t="shared" si="64"/>
        <v>0</v>
      </c>
      <c r="M406" s="67"/>
      <c r="O406" t="str">
        <f t="shared" si="65"/>
        <v/>
      </c>
      <c r="P406" t="str">
        <f t="shared" si="66"/>
        <v/>
      </c>
      <c r="Q406" t="str">
        <f t="shared" si="67"/>
        <v/>
      </c>
      <c r="R406" t="str">
        <f t="shared" si="68"/>
        <v/>
      </c>
    </row>
    <row r="407" spans="1:18">
      <c r="A407" s="83" t="str">
        <f>IF(C407="","",VLOOKUP('OPĆI DIO'!$C$3,'OPĆI DIO'!$L$6:$U$138,10,FALSE))</f>
        <v/>
      </c>
      <c r="B407" s="83" t="str">
        <f>IF(C407="","",VLOOKUP('OPĆI DIO'!$C$3,'OPĆI DIO'!$L$6:$U$138,9,FALSE))</f>
        <v/>
      </c>
      <c r="C407" s="84"/>
      <c r="D407" s="83" t="str">
        <f t="shared" si="60"/>
        <v/>
      </c>
      <c r="E407" s="84"/>
      <c r="F407" s="83" t="str">
        <f t="shared" si="61"/>
        <v/>
      </c>
      <c r="G407" s="85"/>
      <c r="H407" s="83" t="str">
        <f t="shared" si="62"/>
        <v/>
      </c>
      <c r="I407" s="83" t="str">
        <f t="shared" si="63"/>
        <v/>
      </c>
      <c r="J407" s="69"/>
      <c r="K407" s="69"/>
      <c r="L407" s="78">
        <f t="shared" si="64"/>
        <v>0</v>
      </c>
      <c r="M407" s="67"/>
      <c r="O407" t="str">
        <f t="shared" si="65"/>
        <v/>
      </c>
      <c r="P407" t="str">
        <f t="shared" si="66"/>
        <v/>
      </c>
      <c r="Q407" t="str">
        <f t="shared" si="67"/>
        <v/>
      </c>
      <c r="R407" t="str">
        <f t="shared" si="68"/>
        <v/>
      </c>
    </row>
    <row r="408" spans="1:18">
      <c r="A408" s="83" t="str">
        <f>IF(C408="","",VLOOKUP('OPĆI DIO'!$C$3,'OPĆI DIO'!$L$6:$U$138,10,FALSE))</f>
        <v/>
      </c>
      <c r="B408" s="83" t="str">
        <f>IF(C408="","",VLOOKUP('OPĆI DIO'!$C$3,'OPĆI DIO'!$L$6:$U$138,9,FALSE))</f>
        <v/>
      </c>
      <c r="C408" s="84"/>
      <c r="D408" s="83" t="str">
        <f t="shared" si="60"/>
        <v/>
      </c>
      <c r="E408" s="84"/>
      <c r="F408" s="83" t="str">
        <f t="shared" si="61"/>
        <v/>
      </c>
      <c r="G408" s="85"/>
      <c r="H408" s="83" t="str">
        <f t="shared" si="62"/>
        <v/>
      </c>
      <c r="I408" s="83" t="str">
        <f t="shared" si="63"/>
        <v/>
      </c>
      <c r="J408" s="69"/>
      <c r="K408" s="69"/>
      <c r="L408" s="78">
        <f t="shared" si="64"/>
        <v>0</v>
      </c>
      <c r="M408" s="67"/>
      <c r="O408" t="str">
        <f t="shared" si="65"/>
        <v/>
      </c>
      <c r="P408" t="str">
        <f t="shared" si="66"/>
        <v/>
      </c>
      <c r="Q408" t="str">
        <f t="shared" si="67"/>
        <v/>
      </c>
      <c r="R408" t="str">
        <f t="shared" si="68"/>
        <v/>
      </c>
    </row>
    <row r="409" spans="1:18">
      <c r="A409" s="83" t="str">
        <f>IF(C409="","",VLOOKUP('OPĆI DIO'!$C$3,'OPĆI DIO'!$L$6:$U$138,10,FALSE))</f>
        <v/>
      </c>
      <c r="B409" s="83" t="str">
        <f>IF(C409="","",VLOOKUP('OPĆI DIO'!$C$3,'OPĆI DIO'!$L$6:$U$138,9,FALSE))</f>
        <v/>
      </c>
      <c r="C409" s="84"/>
      <c r="D409" s="83" t="str">
        <f t="shared" si="60"/>
        <v/>
      </c>
      <c r="E409" s="84"/>
      <c r="F409" s="83" t="str">
        <f t="shared" si="61"/>
        <v/>
      </c>
      <c r="G409" s="85"/>
      <c r="H409" s="83" t="str">
        <f t="shared" si="62"/>
        <v/>
      </c>
      <c r="I409" s="83" t="str">
        <f t="shared" si="63"/>
        <v/>
      </c>
      <c r="J409" s="69"/>
      <c r="K409" s="69"/>
      <c r="L409" s="78">
        <f t="shared" si="64"/>
        <v>0</v>
      </c>
      <c r="M409" s="67"/>
      <c r="O409" t="str">
        <f t="shared" si="65"/>
        <v/>
      </c>
      <c r="P409" t="str">
        <f t="shared" si="66"/>
        <v/>
      </c>
      <c r="Q409" t="str">
        <f t="shared" si="67"/>
        <v/>
      </c>
      <c r="R409" t="str">
        <f t="shared" si="68"/>
        <v/>
      </c>
    </row>
    <row r="410" spans="1:18">
      <c r="A410" s="83" t="str">
        <f>IF(C410="","",VLOOKUP('OPĆI DIO'!$C$3,'OPĆI DIO'!$L$6:$U$138,10,FALSE))</f>
        <v/>
      </c>
      <c r="B410" s="83" t="str">
        <f>IF(C410="","",VLOOKUP('OPĆI DIO'!$C$3,'OPĆI DIO'!$L$6:$U$138,9,FALSE))</f>
        <v/>
      </c>
      <c r="C410" s="84"/>
      <c r="D410" s="83" t="str">
        <f t="shared" si="60"/>
        <v/>
      </c>
      <c r="E410" s="84"/>
      <c r="F410" s="83" t="str">
        <f t="shared" si="61"/>
        <v/>
      </c>
      <c r="G410" s="85"/>
      <c r="H410" s="83" t="str">
        <f t="shared" si="62"/>
        <v/>
      </c>
      <c r="I410" s="83" t="str">
        <f t="shared" si="63"/>
        <v/>
      </c>
      <c r="J410" s="69"/>
      <c r="K410" s="69"/>
      <c r="L410" s="78">
        <f t="shared" si="64"/>
        <v>0</v>
      </c>
      <c r="M410" s="67"/>
      <c r="O410" t="str">
        <f t="shared" si="65"/>
        <v/>
      </c>
      <c r="P410" t="str">
        <f t="shared" si="66"/>
        <v/>
      </c>
      <c r="Q410" t="str">
        <f t="shared" si="67"/>
        <v/>
      </c>
      <c r="R410" t="str">
        <f t="shared" si="68"/>
        <v/>
      </c>
    </row>
    <row r="411" spans="1:18">
      <c r="A411" s="83" t="str">
        <f>IF(C411="","",VLOOKUP('OPĆI DIO'!$C$3,'OPĆI DIO'!$L$6:$U$138,10,FALSE))</f>
        <v/>
      </c>
      <c r="B411" s="83" t="str">
        <f>IF(C411="","",VLOOKUP('OPĆI DIO'!$C$3,'OPĆI DIO'!$L$6:$U$138,9,FALSE))</f>
        <v/>
      </c>
      <c r="C411" s="84"/>
      <c r="D411" s="83" t="str">
        <f t="shared" si="60"/>
        <v/>
      </c>
      <c r="E411" s="84"/>
      <c r="F411" s="83" t="str">
        <f t="shared" si="61"/>
        <v/>
      </c>
      <c r="G411" s="85"/>
      <c r="H411" s="83" t="str">
        <f t="shared" si="62"/>
        <v/>
      </c>
      <c r="I411" s="83" t="str">
        <f t="shared" si="63"/>
        <v/>
      </c>
      <c r="J411" s="69"/>
      <c r="K411" s="69"/>
      <c r="L411" s="78">
        <f t="shared" si="64"/>
        <v>0</v>
      </c>
      <c r="M411" s="67"/>
      <c r="O411" t="str">
        <f t="shared" si="65"/>
        <v/>
      </c>
      <c r="P411" t="str">
        <f t="shared" si="66"/>
        <v/>
      </c>
      <c r="Q411" t="str">
        <f t="shared" si="67"/>
        <v/>
      </c>
      <c r="R411" t="str">
        <f t="shared" si="68"/>
        <v/>
      </c>
    </row>
    <row r="412" spans="1:18">
      <c r="A412" s="83" t="str">
        <f>IF(C412="","",VLOOKUP('OPĆI DIO'!$C$3,'OPĆI DIO'!$L$6:$U$138,10,FALSE))</f>
        <v/>
      </c>
      <c r="B412" s="83" t="str">
        <f>IF(C412="","",VLOOKUP('OPĆI DIO'!$C$3,'OPĆI DIO'!$L$6:$U$138,9,FALSE))</f>
        <v/>
      </c>
      <c r="C412" s="84"/>
      <c r="D412" s="83" t="str">
        <f t="shared" si="60"/>
        <v/>
      </c>
      <c r="E412" s="84"/>
      <c r="F412" s="83" t="str">
        <f t="shared" si="61"/>
        <v/>
      </c>
      <c r="G412" s="85"/>
      <c r="H412" s="83" t="str">
        <f t="shared" si="62"/>
        <v/>
      </c>
      <c r="I412" s="83" t="str">
        <f t="shared" si="63"/>
        <v/>
      </c>
      <c r="J412" s="69"/>
      <c r="K412" s="69"/>
      <c r="L412" s="78">
        <f t="shared" si="64"/>
        <v>0</v>
      </c>
      <c r="M412" s="67"/>
      <c r="O412" t="str">
        <f t="shared" si="65"/>
        <v/>
      </c>
      <c r="P412" t="str">
        <f t="shared" si="66"/>
        <v/>
      </c>
      <c r="Q412" t="str">
        <f t="shared" si="67"/>
        <v/>
      </c>
      <c r="R412" t="str">
        <f t="shared" si="68"/>
        <v/>
      </c>
    </row>
    <row r="413" spans="1:18">
      <c r="A413" s="83" t="str">
        <f>IF(C413="","",VLOOKUP('OPĆI DIO'!$C$3,'OPĆI DIO'!$L$6:$U$138,10,FALSE))</f>
        <v/>
      </c>
      <c r="B413" s="83" t="str">
        <f>IF(C413="","",VLOOKUP('OPĆI DIO'!$C$3,'OPĆI DIO'!$L$6:$U$138,9,FALSE))</f>
        <v/>
      </c>
      <c r="C413" s="84"/>
      <c r="D413" s="83" t="str">
        <f t="shared" si="60"/>
        <v/>
      </c>
      <c r="E413" s="84"/>
      <c r="F413" s="83" t="str">
        <f t="shared" si="61"/>
        <v/>
      </c>
      <c r="G413" s="85"/>
      <c r="H413" s="83" t="str">
        <f t="shared" si="62"/>
        <v/>
      </c>
      <c r="I413" s="83" t="str">
        <f t="shared" si="63"/>
        <v/>
      </c>
      <c r="J413" s="69"/>
      <c r="K413" s="69"/>
      <c r="L413" s="78">
        <f t="shared" si="64"/>
        <v>0</v>
      </c>
      <c r="M413" s="67"/>
      <c r="O413" t="str">
        <f t="shared" si="65"/>
        <v/>
      </c>
      <c r="P413" t="str">
        <f t="shared" si="66"/>
        <v/>
      </c>
      <c r="Q413" t="str">
        <f t="shared" si="67"/>
        <v/>
      </c>
      <c r="R413" t="str">
        <f t="shared" si="68"/>
        <v/>
      </c>
    </row>
    <row r="414" spans="1:18">
      <c r="A414" s="83" t="str">
        <f>IF(C414="","",VLOOKUP('OPĆI DIO'!$C$3,'OPĆI DIO'!$L$6:$U$138,10,FALSE))</f>
        <v/>
      </c>
      <c r="B414" s="83" t="str">
        <f>IF(C414="","",VLOOKUP('OPĆI DIO'!$C$3,'OPĆI DIO'!$L$6:$U$138,9,FALSE))</f>
        <v/>
      </c>
      <c r="C414" s="84"/>
      <c r="D414" s="83" t="str">
        <f t="shared" si="60"/>
        <v/>
      </c>
      <c r="E414" s="84"/>
      <c r="F414" s="83" t="str">
        <f t="shared" si="61"/>
        <v/>
      </c>
      <c r="G414" s="85"/>
      <c r="H414" s="83" t="str">
        <f t="shared" si="62"/>
        <v/>
      </c>
      <c r="I414" s="83" t="str">
        <f t="shared" si="63"/>
        <v/>
      </c>
      <c r="J414" s="69"/>
      <c r="K414" s="69"/>
      <c r="L414" s="78">
        <f t="shared" si="64"/>
        <v>0</v>
      </c>
      <c r="M414" s="67"/>
      <c r="O414" t="str">
        <f t="shared" si="65"/>
        <v/>
      </c>
      <c r="P414" t="str">
        <f t="shared" si="66"/>
        <v/>
      </c>
      <c r="Q414" t="str">
        <f t="shared" si="67"/>
        <v/>
      </c>
      <c r="R414" t="str">
        <f t="shared" si="68"/>
        <v/>
      </c>
    </row>
    <row r="415" spans="1:18">
      <c r="A415" s="83" t="str">
        <f>IF(C415="","",VLOOKUP('OPĆI DIO'!$C$3,'OPĆI DIO'!$L$6:$U$138,10,FALSE))</f>
        <v/>
      </c>
      <c r="B415" s="83" t="str">
        <f>IF(C415="","",VLOOKUP('OPĆI DIO'!$C$3,'OPĆI DIO'!$L$6:$U$138,9,FALSE))</f>
        <v/>
      </c>
      <c r="C415" s="84"/>
      <c r="D415" s="83" t="str">
        <f t="shared" si="60"/>
        <v/>
      </c>
      <c r="E415" s="84"/>
      <c r="F415" s="83" t="str">
        <f t="shared" si="61"/>
        <v/>
      </c>
      <c r="G415" s="85"/>
      <c r="H415" s="83" t="str">
        <f t="shared" si="62"/>
        <v/>
      </c>
      <c r="I415" s="83" t="str">
        <f t="shared" si="63"/>
        <v/>
      </c>
      <c r="J415" s="69"/>
      <c r="K415" s="69"/>
      <c r="L415" s="78">
        <f t="shared" si="64"/>
        <v>0</v>
      </c>
      <c r="M415" s="67"/>
      <c r="O415" t="str">
        <f t="shared" si="65"/>
        <v/>
      </c>
      <c r="P415" t="str">
        <f t="shared" si="66"/>
        <v/>
      </c>
      <c r="Q415" t="str">
        <f t="shared" si="67"/>
        <v/>
      </c>
      <c r="R415" t="str">
        <f t="shared" si="68"/>
        <v/>
      </c>
    </row>
    <row r="416" spans="1:18">
      <c r="A416" s="83" t="str">
        <f>IF(C416="","",VLOOKUP('OPĆI DIO'!$C$3,'OPĆI DIO'!$L$6:$U$138,10,FALSE))</f>
        <v/>
      </c>
      <c r="B416" s="83" t="str">
        <f>IF(C416="","",VLOOKUP('OPĆI DIO'!$C$3,'OPĆI DIO'!$L$6:$U$138,9,FALSE))</f>
        <v/>
      </c>
      <c r="C416" s="84"/>
      <c r="D416" s="83" t="str">
        <f t="shared" si="60"/>
        <v/>
      </c>
      <c r="E416" s="84"/>
      <c r="F416" s="83" t="str">
        <f t="shared" si="61"/>
        <v/>
      </c>
      <c r="G416" s="85"/>
      <c r="H416" s="83" t="str">
        <f t="shared" si="62"/>
        <v/>
      </c>
      <c r="I416" s="83" t="str">
        <f t="shared" si="63"/>
        <v/>
      </c>
      <c r="J416" s="69"/>
      <c r="K416" s="69"/>
      <c r="L416" s="78">
        <f t="shared" si="64"/>
        <v>0</v>
      </c>
      <c r="M416" s="67"/>
      <c r="O416" t="str">
        <f t="shared" si="65"/>
        <v/>
      </c>
      <c r="P416" t="str">
        <f t="shared" si="66"/>
        <v/>
      </c>
      <c r="Q416" t="str">
        <f t="shared" si="67"/>
        <v/>
      </c>
      <c r="R416" t="str">
        <f t="shared" si="68"/>
        <v/>
      </c>
    </row>
    <row r="417" spans="1:18">
      <c r="A417" s="83" t="str">
        <f>IF(C417="","",VLOOKUP('OPĆI DIO'!$C$3,'OPĆI DIO'!$L$6:$U$138,10,FALSE))</f>
        <v/>
      </c>
      <c r="B417" s="83" t="str">
        <f>IF(C417="","",VLOOKUP('OPĆI DIO'!$C$3,'OPĆI DIO'!$L$6:$U$138,9,FALSE))</f>
        <v/>
      </c>
      <c r="C417" s="84"/>
      <c r="D417" s="83" t="str">
        <f t="shared" si="60"/>
        <v/>
      </c>
      <c r="E417" s="84"/>
      <c r="F417" s="83" t="str">
        <f t="shared" si="61"/>
        <v/>
      </c>
      <c r="G417" s="85"/>
      <c r="H417" s="83" t="str">
        <f t="shared" si="62"/>
        <v/>
      </c>
      <c r="I417" s="83" t="str">
        <f t="shared" si="63"/>
        <v/>
      </c>
      <c r="J417" s="69"/>
      <c r="K417" s="69"/>
      <c r="L417" s="78">
        <f t="shared" si="64"/>
        <v>0</v>
      </c>
      <c r="M417" s="67"/>
      <c r="O417" t="str">
        <f t="shared" si="65"/>
        <v/>
      </c>
      <c r="P417" t="str">
        <f t="shared" si="66"/>
        <v/>
      </c>
      <c r="Q417" t="str">
        <f t="shared" si="67"/>
        <v/>
      </c>
      <c r="R417" t="str">
        <f t="shared" si="68"/>
        <v/>
      </c>
    </row>
    <row r="418" spans="1:18">
      <c r="A418" s="83" t="str">
        <f>IF(C418="","",VLOOKUP('OPĆI DIO'!$C$3,'OPĆI DIO'!$L$6:$U$138,10,FALSE))</f>
        <v/>
      </c>
      <c r="B418" s="83" t="str">
        <f>IF(C418="","",VLOOKUP('OPĆI DIO'!$C$3,'OPĆI DIO'!$L$6:$U$138,9,FALSE))</f>
        <v/>
      </c>
      <c r="C418" s="84"/>
      <c r="D418" s="83" t="str">
        <f t="shared" si="60"/>
        <v/>
      </c>
      <c r="E418" s="84"/>
      <c r="F418" s="83" t="str">
        <f t="shared" si="61"/>
        <v/>
      </c>
      <c r="G418" s="85"/>
      <c r="H418" s="83" t="str">
        <f t="shared" si="62"/>
        <v/>
      </c>
      <c r="I418" s="83" t="str">
        <f t="shared" si="63"/>
        <v/>
      </c>
      <c r="J418" s="69"/>
      <c r="K418" s="69"/>
      <c r="L418" s="78">
        <f t="shared" si="64"/>
        <v>0</v>
      </c>
      <c r="M418" s="67"/>
      <c r="O418" t="str">
        <f t="shared" si="65"/>
        <v/>
      </c>
      <c r="P418" t="str">
        <f t="shared" si="66"/>
        <v/>
      </c>
      <c r="Q418" t="str">
        <f t="shared" si="67"/>
        <v/>
      </c>
      <c r="R418" t="str">
        <f t="shared" si="68"/>
        <v/>
      </c>
    </row>
    <row r="419" spans="1:18">
      <c r="A419" s="83" t="str">
        <f>IF(C419="","",VLOOKUP('OPĆI DIO'!$C$3,'OPĆI DIO'!$L$6:$U$138,10,FALSE))</f>
        <v/>
      </c>
      <c r="B419" s="83" t="str">
        <f>IF(C419="","",VLOOKUP('OPĆI DIO'!$C$3,'OPĆI DIO'!$L$6:$U$138,9,FALSE))</f>
        <v/>
      </c>
      <c r="C419" s="84"/>
      <c r="D419" s="83" t="str">
        <f t="shared" si="60"/>
        <v/>
      </c>
      <c r="E419" s="84"/>
      <c r="F419" s="83" t="str">
        <f t="shared" si="61"/>
        <v/>
      </c>
      <c r="G419" s="85"/>
      <c r="H419" s="83" t="str">
        <f t="shared" si="62"/>
        <v/>
      </c>
      <c r="I419" s="83" t="str">
        <f t="shared" si="63"/>
        <v/>
      </c>
      <c r="J419" s="69"/>
      <c r="K419" s="69"/>
      <c r="L419" s="78">
        <f t="shared" si="64"/>
        <v>0</v>
      </c>
      <c r="M419" s="67"/>
      <c r="O419" t="str">
        <f t="shared" si="65"/>
        <v/>
      </c>
      <c r="P419" t="str">
        <f t="shared" si="66"/>
        <v/>
      </c>
      <c r="Q419" t="str">
        <f t="shared" si="67"/>
        <v/>
      </c>
      <c r="R419" t="str">
        <f t="shared" si="68"/>
        <v/>
      </c>
    </row>
    <row r="420" spans="1:18">
      <c r="A420" s="83" t="str">
        <f>IF(C420="","",VLOOKUP('OPĆI DIO'!$C$3,'OPĆI DIO'!$L$6:$U$138,10,FALSE))</f>
        <v/>
      </c>
      <c r="B420" s="83" t="str">
        <f>IF(C420="","",VLOOKUP('OPĆI DIO'!$C$3,'OPĆI DIO'!$L$6:$U$138,9,FALSE))</f>
        <v/>
      </c>
      <c r="C420" s="84"/>
      <c r="D420" s="83" t="str">
        <f t="shared" si="60"/>
        <v/>
      </c>
      <c r="E420" s="84"/>
      <c r="F420" s="83" t="str">
        <f t="shared" si="61"/>
        <v/>
      </c>
      <c r="G420" s="85"/>
      <c r="H420" s="83" t="str">
        <f t="shared" si="62"/>
        <v/>
      </c>
      <c r="I420" s="83" t="str">
        <f t="shared" si="63"/>
        <v/>
      </c>
      <c r="J420" s="69"/>
      <c r="K420" s="69"/>
      <c r="L420" s="78">
        <f t="shared" si="64"/>
        <v>0</v>
      </c>
      <c r="M420" s="67"/>
      <c r="O420" t="str">
        <f t="shared" si="65"/>
        <v/>
      </c>
      <c r="P420" t="str">
        <f t="shared" si="66"/>
        <v/>
      </c>
      <c r="Q420" t="str">
        <f t="shared" si="67"/>
        <v/>
      </c>
      <c r="R420" t="str">
        <f t="shared" si="68"/>
        <v/>
      </c>
    </row>
    <row r="421" spans="1:18">
      <c r="A421" s="83" t="str">
        <f>IF(C421="","",VLOOKUP('OPĆI DIO'!$C$3,'OPĆI DIO'!$L$6:$U$138,10,FALSE))</f>
        <v/>
      </c>
      <c r="B421" s="83" t="str">
        <f>IF(C421="","",VLOOKUP('OPĆI DIO'!$C$3,'OPĆI DIO'!$L$6:$U$138,9,FALSE))</f>
        <v/>
      </c>
      <c r="C421" s="84"/>
      <c r="D421" s="83" t="str">
        <f t="shared" si="60"/>
        <v/>
      </c>
      <c r="E421" s="84"/>
      <c r="F421" s="83" t="str">
        <f t="shared" si="61"/>
        <v/>
      </c>
      <c r="G421" s="85"/>
      <c r="H421" s="83" t="str">
        <f t="shared" si="62"/>
        <v/>
      </c>
      <c r="I421" s="83" t="str">
        <f t="shared" si="63"/>
        <v/>
      </c>
      <c r="J421" s="69"/>
      <c r="K421" s="69"/>
      <c r="L421" s="78">
        <f t="shared" si="64"/>
        <v>0</v>
      </c>
      <c r="M421" s="67"/>
      <c r="O421" t="str">
        <f t="shared" si="65"/>
        <v/>
      </c>
      <c r="P421" t="str">
        <f t="shared" si="66"/>
        <v/>
      </c>
      <c r="Q421" t="str">
        <f t="shared" si="67"/>
        <v/>
      </c>
      <c r="R421" t="str">
        <f t="shared" si="68"/>
        <v/>
      </c>
    </row>
    <row r="422" spans="1:18">
      <c r="A422" s="83" t="str">
        <f>IF(C422="","",VLOOKUP('OPĆI DIO'!$C$3,'OPĆI DIO'!$L$6:$U$138,10,FALSE))</f>
        <v/>
      </c>
      <c r="B422" s="83" t="str">
        <f>IF(C422="","",VLOOKUP('OPĆI DIO'!$C$3,'OPĆI DIO'!$L$6:$U$138,9,FALSE))</f>
        <v/>
      </c>
      <c r="C422" s="84"/>
      <c r="D422" s="83" t="str">
        <f t="shared" si="60"/>
        <v/>
      </c>
      <c r="E422" s="84"/>
      <c r="F422" s="83" t="str">
        <f t="shared" si="61"/>
        <v/>
      </c>
      <c r="G422" s="85"/>
      <c r="H422" s="83" t="str">
        <f t="shared" si="62"/>
        <v/>
      </c>
      <c r="I422" s="83" t="str">
        <f t="shared" si="63"/>
        <v/>
      </c>
      <c r="J422" s="69"/>
      <c r="K422" s="69"/>
      <c r="L422" s="78">
        <f t="shared" si="64"/>
        <v>0</v>
      </c>
      <c r="M422" s="67"/>
      <c r="O422" t="str">
        <f t="shared" si="65"/>
        <v/>
      </c>
      <c r="P422" t="str">
        <f t="shared" si="66"/>
        <v/>
      </c>
      <c r="Q422" t="str">
        <f t="shared" si="67"/>
        <v/>
      </c>
      <c r="R422" t="str">
        <f t="shared" si="68"/>
        <v/>
      </c>
    </row>
    <row r="423" spans="1:18">
      <c r="A423" s="83" t="str">
        <f>IF(C423="","",VLOOKUP('OPĆI DIO'!$C$3,'OPĆI DIO'!$L$6:$U$138,10,FALSE))</f>
        <v/>
      </c>
      <c r="B423" s="83" t="str">
        <f>IF(C423="","",VLOOKUP('OPĆI DIO'!$C$3,'OPĆI DIO'!$L$6:$U$138,9,FALSE))</f>
        <v/>
      </c>
      <c r="C423" s="84"/>
      <c r="D423" s="83" t="str">
        <f t="shared" si="60"/>
        <v/>
      </c>
      <c r="E423" s="84"/>
      <c r="F423" s="83" t="str">
        <f t="shared" si="61"/>
        <v/>
      </c>
      <c r="G423" s="85"/>
      <c r="H423" s="83" t="str">
        <f t="shared" si="62"/>
        <v/>
      </c>
      <c r="I423" s="83" t="str">
        <f t="shared" si="63"/>
        <v/>
      </c>
      <c r="J423" s="69"/>
      <c r="K423" s="69"/>
      <c r="L423" s="78">
        <f t="shared" si="64"/>
        <v>0</v>
      </c>
      <c r="M423" s="67"/>
      <c r="O423" t="str">
        <f t="shared" si="65"/>
        <v/>
      </c>
      <c r="P423" t="str">
        <f t="shared" si="66"/>
        <v/>
      </c>
      <c r="Q423" t="str">
        <f t="shared" si="67"/>
        <v/>
      </c>
      <c r="R423" t="str">
        <f t="shared" si="68"/>
        <v/>
      </c>
    </row>
    <row r="424" spans="1:18">
      <c r="A424" s="83" t="str">
        <f>IF(C424="","",VLOOKUP('OPĆI DIO'!$C$3,'OPĆI DIO'!$L$6:$U$138,10,FALSE))</f>
        <v/>
      </c>
      <c r="B424" s="83" t="str">
        <f>IF(C424="","",VLOOKUP('OPĆI DIO'!$C$3,'OPĆI DIO'!$L$6:$U$138,9,FALSE))</f>
        <v/>
      </c>
      <c r="C424" s="84"/>
      <c r="D424" s="83" t="str">
        <f t="shared" si="60"/>
        <v/>
      </c>
      <c r="E424" s="84"/>
      <c r="F424" s="83" t="str">
        <f t="shared" si="61"/>
        <v/>
      </c>
      <c r="G424" s="85"/>
      <c r="H424" s="83" t="str">
        <f t="shared" si="62"/>
        <v/>
      </c>
      <c r="I424" s="83" t="str">
        <f t="shared" si="63"/>
        <v/>
      </c>
      <c r="J424" s="69"/>
      <c r="K424" s="69"/>
      <c r="L424" s="78">
        <f t="shared" si="64"/>
        <v>0</v>
      </c>
      <c r="M424" s="67"/>
      <c r="O424" t="str">
        <f t="shared" si="65"/>
        <v/>
      </c>
      <c r="P424" t="str">
        <f t="shared" si="66"/>
        <v/>
      </c>
      <c r="Q424" t="str">
        <f t="shared" si="67"/>
        <v/>
      </c>
      <c r="R424" t="str">
        <f t="shared" si="68"/>
        <v/>
      </c>
    </row>
    <row r="425" spans="1:18">
      <c r="A425" s="83" t="str">
        <f>IF(C425="","",VLOOKUP('OPĆI DIO'!$C$3,'OPĆI DIO'!$L$6:$U$138,10,FALSE))</f>
        <v/>
      </c>
      <c r="B425" s="83" t="str">
        <f>IF(C425="","",VLOOKUP('OPĆI DIO'!$C$3,'OPĆI DIO'!$L$6:$U$138,9,FALSE))</f>
        <v/>
      </c>
      <c r="C425" s="84"/>
      <c r="D425" s="83" t="str">
        <f t="shared" si="60"/>
        <v/>
      </c>
      <c r="E425" s="84"/>
      <c r="F425" s="83" t="str">
        <f t="shared" si="61"/>
        <v/>
      </c>
      <c r="G425" s="85"/>
      <c r="H425" s="83" t="str">
        <f t="shared" si="62"/>
        <v/>
      </c>
      <c r="I425" s="83" t="str">
        <f t="shared" si="63"/>
        <v/>
      </c>
      <c r="J425" s="69"/>
      <c r="K425" s="69"/>
      <c r="L425" s="78">
        <f t="shared" si="64"/>
        <v>0</v>
      </c>
      <c r="M425" s="67"/>
      <c r="O425" t="str">
        <f t="shared" si="65"/>
        <v/>
      </c>
      <c r="P425" t="str">
        <f t="shared" si="66"/>
        <v/>
      </c>
      <c r="Q425" t="str">
        <f t="shared" si="67"/>
        <v/>
      </c>
      <c r="R425" t="str">
        <f t="shared" si="68"/>
        <v/>
      </c>
    </row>
    <row r="426" spans="1:18">
      <c r="A426" s="83" t="str">
        <f>IF(C426="","",VLOOKUP('OPĆI DIO'!$C$3,'OPĆI DIO'!$L$6:$U$138,10,FALSE))</f>
        <v/>
      </c>
      <c r="B426" s="83" t="str">
        <f>IF(C426="","",VLOOKUP('OPĆI DIO'!$C$3,'OPĆI DIO'!$L$6:$U$138,9,FALSE))</f>
        <v/>
      </c>
      <c r="C426" s="84"/>
      <c r="D426" s="83" t="str">
        <f t="shared" si="60"/>
        <v/>
      </c>
      <c r="E426" s="84"/>
      <c r="F426" s="83" t="str">
        <f t="shared" si="61"/>
        <v/>
      </c>
      <c r="G426" s="85"/>
      <c r="H426" s="83" t="str">
        <f t="shared" si="62"/>
        <v/>
      </c>
      <c r="I426" s="83" t="str">
        <f t="shared" si="63"/>
        <v/>
      </c>
      <c r="J426" s="69"/>
      <c r="K426" s="69"/>
      <c r="L426" s="78">
        <f t="shared" si="64"/>
        <v>0</v>
      </c>
      <c r="M426" s="67"/>
      <c r="O426" t="str">
        <f t="shared" si="65"/>
        <v/>
      </c>
      <c r="P426" t="str">
        <f t="shared" si="66"/>
        <v/>
      </c>
      <c r="Q426" t="str">
        <f t="shared" si="67"/>
        <v/>
      </c>
      <c r="R426" t="str">
        <f t="shared" si="68"/>
        <v/>
      </c>
    </row>
    <row r="427" spans="1:18">
      <c r="A427" s="83" t="str">
        <f>IF(C427="","",VLOOKUP('OPĆI DIO'!$C$3,'OPĆI DIO'!$L$6:$U$138,10,FALSE))</f>
        <v/>
      </c>
      <c r="B427" s="83" t="str">
        <f>IF(C427="","",VLOOKUP('OPĆI DIO'!$C$3,'OPĆI DIO'!$L$6:$U$138,9,FALSE))</f>
        <v/>
      </c>
      <c r="C427" s="84"/>
      <c r="D427" s="83" t="str">
        <f t="shared" si="60"/>
        <v/>
      </c>
      <c r="E427" s="84"/>
      <c r="F427" s="83" t="str">
        <f t="shared" si="61"/>
        <v/>
      </c>
      <c r="G427" s="85"/>
      <c r="H427" s="83" t="str">
        <f t="shared" si="62"/>
        <v/>
      </c>
      <c r="I427" s="83" t="str">
        <f t="shared" si="63"/>
        <v/>
      </c>
      <c r="J427" s="69"/>
      <c r="K427" s="69"/>
      <c r="L427" s="78">
        <f t="shared" si="64"/>
        <v>0</v>
      </c>
      <c r="M427" s="67"/>
      <c r="O427" t="str">
        <f t="shared" si="65"/>
        <v/>
      </c>
      <c r="P427" t="str">
        <f t="shared" si="66"/>
        <v/>
      </c>
      <c r="Q427" t="str">
        <f t="shared" si="67"/>
        <v/>
      </c>
      <c r="R427" t="str">
        <f t="shared" si="68"/>
        <v/>
      </c>
    </row>
    <row r="428" spans="1:18">
      <c r="A428" s="83" t="str">
        <f>IF(C428="","",VLOOKUP('OPĆI DIO'!$C$3,'OPĆI DIO'!$L$6:$U$138,10,FALSE))</f>
        <v/>
      </c>
      <c r="B428" s="83" t="str">
        <f>IF(C428="","",VLOOKUP('OPĆI DIO'!$C$3,'OPĆI DIO'!$L$6:$U$138,9,FALSE))</f>
        <v/>
      </c>
      <c r="C428" s="84"/>
      <c r="D428" s="83" t="str">
        <f t="shared" si="60"/>
        <v/>
      </c>
      <c r="E428" s="84"/>
      <c r="F428" s="83" t="str">
        <f t="shared" si="61"/>
        <v/>
      </c>
      <c r="G428" s="85"/>
      <c r="H428" s="83" t="str">
        <f t="shared" si="62"/>
        <v/>
      </c>
      <c r="I428" s="83" t="str">
        <f t="shared" si="63"/>
        <v/>
      </c>
      <c r="J428" s="69"/>
      <c r="K428" s="69"/>
      <c r="L428" s="78">
        <f t="shared" si="64"/>
        <v>0</v>
      </c>
      <c r="M428" s="67"/>
      <c r="O428" t="str">
        <f t="shared" si="65"/>
        <v/>
      </c>
      <c r="P428" t="str">
        <f t="shared" si="66"/>
        <v/>
      </c>
      <c r="Q428" t="str">
        <f t="shared" si="67"/>
        <v/>
      </c>
      <c r="R428" t="str">
        <f t="shared" si="68"/>
        <v/>
      </c>
    </row>
    <row r="429" spans="1:18">
      <c r="A429" s="83" t="str">
        <f>IF(C429="","",VLOOKUP('OPĆI DIO'!$C$3,'OPĆI DIO'!$L$6:$U$138,10,FALSE))</f>
        <v/>
      </c>
      <c r="B429" s="83" t="str">
        <f>IF(C429="","",VLOOKUP('OPĆI DIO'!$C$3,'OPĆI DIO'!$L$6:$U$138,9,FALSE))</f>
        <v/>
      </c>
      <c r="C429" s="84"/>
      <c r="D429" s="83" t="str">
        <f t="shared" si="60"/>
        <v/>
      </c>
      <c r="E429" s="84"/>
      <c r="F429" s="83" t="str">
        <f t="shared" si="61"/>
        <v/>
      </c>
      <c r="G429" s="85"/>
      <c r="H429" s="83" t="str">
        <f t="shared" si="62"/>
        <v/>
      </c>
      <c r="I429" s="83" t="str">
        <f t="shared" si="63"/>
        <v/>
      </c>
      <c r="J429" s="69"/>
      <c r="K429" s="69"/>
      <c r="L429" s="78">
        <f t="shared" si="64"/>
        <v>0</v>
      </c>
      <c r="M429" s="67"/>
      <c r="O429" t="str">
        <f t="shared" si="65"/>
        <v/>
      </c>
      <c r="P429" t="str">
        <f t="shared" si="66"/>
        <v/>
      </c>
      <c r="Q429" t="str">
        <f t="shared" si="67"/>
        <v/>
      </c>
      <c r="R429" t="str">
        <f t="shared" si="68"/>
        <v/>
      </c>
    </row>
    <row r="430" spans="1:18">
      <c r="A430" s="83" t="str">
        <f>IF(C430="","",VLOOKUP('OPĆI DIO'!$C$3,'OPĆI DIO'!$L$6:$U$138,10,FALSE))</f>
        <v/>
      </c>
      <c r="B430" s="83" t="str">
        <f>IF(C430="","",VLOOKUP('OPĆI DIO'!$C$3,'OPĆI DIO'!$L$6:$U$138,9,FALSE))</f>
        <v/>
      </c>
      <c r="C430" s="84"/>
      <c r="D430" s="83" t="str">
        <f t="shared" si="60"/>
        <v/>
      </c>
      <c r="E430" s="84"/>
      <c r="F430" s="83" t="str">
        <f t="shared" si="61"/>
        <v/>
      </c>
      <c r="G430" s="85"/>
      <c r="H430" s="83" t="str">
        <f t="shared" si="62"/>
        <v/>
      </c>
      <c r="I430" s="83" t="str">
        <f t="shared" si="63"/>
        <v/>
      </c>
      <c r="J430" s="69"/>
      <c r="K430" s="69"/>
      <c r="L430" s="78">
        <f t="shared" si="64"/>
        <v>0</v>
      </c>
      <c r="M430" s="67"/>
      <c r="O430" t="str">
        <f t="shared" si="65"/>
        <v/>
      </c>
      <c r="P430" t="str">
        <f t="shared" si="66"/>
        <v/>
      </c>
      <c r="Q430" t="str">
        <f t="shared" si="67"/>
        <v/>
      </c>
      <c r="R430" t="str">
        <f t="shared" si="68"/>
        <v/>
      </c>
    </row>
    <row r="431" spans="1:18">
      <c r="A431" s="83" t="str">
        <f>IF(C431="","",VLOOKUP('OPĆI DIO'!$C$3,'OPĆI DIO'!$L$6:$U$138,10,FALSE))</f>
        <v/>
      </c>
      <c r="B431" s="83" t="str">
        <f>IF(C431="","",VLOOKUP('OPĆI DIO'!$C$3,'OPĆI DIO'!$L$6:$U$138,9,FALSE))</f>
        <v/>
      </c>
      <c r="C431" s="84"/>
      <c r="D431" s="83" t="str">
        <f t="shared" si="60"/>
        <v/>
      </c>
      <c r="E431" s="84"/>
      <c r="F431" s="83" t="str">
        <f t="shared" si="61"/>
        <v/>
      </c>
      <c r="G431" s="85"/>
      <c r="H431" s="83" t="str">
        <f t="shared" si="62"/>
        <v/>
      </c>
      <c r="I431" s="83" t="str">
        <f t="shared" si="63"/>
        <v/>
      </c>
      <c r="J431" s="69"/>
      <c r="K431" s="69"/>
      <c r="L431" s="78">
        <f t="shared" si="64"/>
        <v>0</v>
      </c>
      <c r="M431" s="67"/>
      <c r="O431" t="str">
        <f t="shared" si="65"/>
        <v/>
      </c>
      <c r="P431" t="str">
        <f t="shared" si="66"/>
        <v/>
      </c>
      <c r="Q431" t="str">
        <f t="shared" si="67"/>
        <v/>
      </c>
      <c r="R431" t="str">
        <f t="shared" si="68"/>
        <v/>
      </c>
    </row>
    <row r="432" spans="1:18">
      <c r="A432" s="83" t="str">
        <f>IF(C432="","",VLOOKUP('OPĆI DIO'!$C$3,'OPĆI DIO'!$L$6:$U$138,10,FALSE))</f>
        <v/>
      </c>
      <c r="B432" s="83" t="str">
        <f>IF(C432="","",VLOOKUP('OPĆI DIO'!$C$3,'OPĆI DIO'!$L$6:$U$138,9,FALSE))</f>
        <v/>
      </c>
      <c r="C432" s="84"/>
      <c r="D432" s="83" t="str">
        <f t="shared" si="60"/>
        <v/>
      </c>
      <c r="E432" s="84"/>
      <c r="F432" s="83" t="str">
        <f t="shared" si="61"/>
        <v/>
      </c>
      <c r="G432" s="85"/>
      <c r="H432" s="83" t="str">
        <f t="shared" si="62"/>
        <v/>
      </c>
      <c r="I432" s="83" t="str">
        <f t="shared" si="63"/>
        <v/>
      </c>
      <c r="J432" s="69"/>
      <c r="K432" s="69"/>
      <c r="L432" s="78">
        <f t="shared" si="64"/>
        <v>0</v>
      </c>
      <c r="M432" s="67"/>
      <c r="O432" t="str">
        <f t="shared" si="65"/>
        <v/>
      </c>
      <c r="P432" t="str">
        <f t="shared" si="66"/>
        <v/>
      </c>
      <c r="Q432" t="str">
        <f t="shared" si="67"/>
        <v/>
      </c>
      <c r="R432" t="str">
        <f t="shared" si="68"/>
        <v/>
      </c>
    </row>
    <row r="433" spans="1:18">
      <c r="A433" s="83" t="str">
        <f>IF(C433="","",VLOOKUP('OPĆI DIO'!$C$3,'OPĆI DIO'!$L$6:$U$138,10,FALSE))</f>
        <v/>
      </c>
      <c r="B433" s="83" t="str">
        <f>IF(C433="","",VLOOKUP('OPĆI DIO'!$C$3,'OPĆI DIO'!$L$6:$U$138,9,FALSE))</f>
        <v/>
      </c>
      <c r="C433" s="84"/>
      <c r="D433" s="83" t="str">
        <f t="shared" si="60"/>
        <v/>
      </c>
      <c r="E433" s="84"/>
      <c r="F433" s="83" t="str">
        <f t="shared" si="61"/>
        <v/>
      </c>
      <c r="G433" s="85"/>
      <c r="H433" s="83" t="str">
        <f t="shared" si="62"/>
        <v/>
      </c>
      <c r="I433" s="83" t="str">
        <f t="shared" si="63"/>
        <v/>
      </c>
      <c r="J433" s="69"/>
      <c r="K433" s="69"/>
      <c r="L433" s="78">
        <f t="shared" si="64"/>
        <v>0</v>
      </c>
      <c r="M433" s="67"/>
      <c r="O433" t="str">
        <f t="shared" si="65"/>
        <v/>
      </c>
      <c r="P433" t="str">
        <f t="shared" si="66"/>
        <v/>
      </c>
      <c r="Q433" t="str">
        <f t="shared" si="67"/>
        <v/>
      </c>
      <c r="R433" t="str">
        <f t="shared" si="68"/>
        <v/>
      </c>
    </row>
    <row r="434" spans="1:18">
      <c r="A434" s="83" t="str">
        <f>IF(C434="","",VLOOKUP('OPĆI DIO'!$C$3,'OPĆI DIO'!$L$6:$U$138,10,FALSE))</f>
        <v/>
      </c>
      <c r="B434" s="83" t="str">
        <f>IF(C434="","",VLOOKUP('OPĆI DIO'!$C$3,'OPĆI DIO'!$L$6:$U$138,9,FALSE))</f>
        <v/>
      </c>
      <c r="C434" s="84"/>
      <c r="D434" s="83" t="str">
        <f t="shared" si="60"/>
        <v/>
      </c>
      <c r="E434" s="84"/>
      <c r="F434" s="83" t="str">
        <f t="shared" si="61"/>
        <v/>
      </c>
      <c r="G434" s="85"/>
      <c r="H434" s="83" t="str">
        <f t="shared" si="62"/>
        <v/>
      </c>
      <c r="I434" s="83" t="str">
        <f t="shared" si="63"/>
        <v/>
      </c>
      <c r="J434" s="69"/>
      <c r="K434" s="69"/>
      <c r="L434" s="78">
        <f t="shared" si="64"/>
        <v>0</v>
      </c>
      <c r="M434" s="67"/>
      <c r="O434" t="str">
        <f t="shared" si="65"/>
        <v/>
      </c>
      <c r="P434" t="str">
        <f t="shared" si="66"/>
        <v/>
      </c>
      <c r="Q434" t="str">
        <f t="shared" si="67"/>
        <v/>
      </c>
      <c r="R434" t="str">
        <f t="shared" si="68"/>
        <v/>
      </c>
    </row>
    <row r="435" spans="1:18">
      <c r="A435" s="83" t="str">
        <f>IF(C435="","",VLOOKUP('OPĆI DIO'!$C$3,'OPĆI DIO'!$L$6:$U$138,10,FALSE))</f>
        <v/>
      </c>
      <c r="B435" s="83" t="str">
        <f>IF(C435="","",VLOOKUP('OPĆI DIO'!$C$3,'OPĆI DIO'!$L$6:$U$138,9,FALSE))</f>
        <v/>
      </c>
      <c r="C435" s="84"/>
      <c r="D435" s="83" t="str">
        <f t="shared" si="60"/>
        <v/>
      </c>
      <c r="E435" s="84"/>
      <c r="F435" s="83" t="str">
        <f t="shared" si="61"/>
        <v/>
      </c>
      <c r="G435" s="85"/>
      <c r="H435" s="83" t="str">
        <f t="shared" si="62"/>
        <v/>
      </c>
      <c r="I435" s="83" t="str">
        <f t="shared" si="63"/>
        <v/>
      </c>
      <c r="J435" s="69"/>
      <c r="K435" s="69"/>
      <c r="L435" s="78">
        <f t="shared" si="64"/>
        <v>0</v>
      </c>
      <c r="M435" s="67"/>
      <c r="O435" t="str">
        <f t="shared" si="65"/>
        <v/>
      </c>
      <c r="P435" t="str">
        <f t="shared" si="66"/>
        <v/>
      </c>
      <c r="Q435" t="str">
        <f t="shared" si="67"/>
        <v/>
      </c>
      <c r="R435" t="str">
        <f t="shared" si="68"/>
        <v/>
      </c>
    </row>
    <row r="436" spans="1:18">
      <c r="A436" s="83" t="str">
        <f>IF(C436="","",VLOOKUP('OPĆI DIO'!$C$3,'OPĆI DIO'!$L$6:$U$138,10,FALSE))</f>
        <v/>
      </c>
      <c r="B436" s="83" t="str">
        <f>IF(C436="","",VLOOKUP('OPĆI DIO'!$C$3,'OPĆI DIO'!$L$6:$U$138,9,FALSE))</f>
        <v/>
      </c>
      <c r="C436" s="84"/>
      <c r="D436" s="83" t="str">
        <f t="shared" si="60"/>
        <v/>
      </c>
      <c r="E436" s="84"/>
      <c r="F436" s="83" t="str">
        <f t="shared" si="61"/>
        <v/>
      </c>
      <c r="G436" s="85"/>
      <c r="H436" s="83" t="str">
        <f t="shared" si="62"/>
        <v/>
      </c>
      <c r="I436" s="83" t="str">
        <f t="shared" si="63"/>
        <v/>
      </c>
      <c r="J436" s="69"/>
      <c r="K436" s="69"/>
      <c r="L436" s="78">
        <f t="shared" si="64"/>
        <v>0</v>
      </c>
      <c r="M436" s="67"/>
      <c r="O436" t="str">
        <f t="shared" si="65"/>
        <v/>
      </c>
      <c r="P436" t="str">
        <f t="shared" si="66"/>
        <v/>
      </c>
      <c r="Q436" t="str">
        <f t="shared" si="67"/>
        <v/>
      </c>
      <c r="R436" t="str">
        <f t="shared" si="68"/>
        <v/>
      </c>
    </row>
    <row r="437" spans="1:18">
      <c r="A437" s="83" t="str">
        <f>IF(C437="","",VLOOKUP('OPĆI DIO'!$C$3,'OPĆI DIO'!$L$6:$U$138,10,FALSE))</f>
        <v/>
      </c>
      <c r="B437" s="83" t="str">
        <f>IF(C437="","",VLOOKUP('OPĆI DIO'!$C$3,'OPĆI DIO'!$L$6:$U$138,9,FALSE))</f>
        <v/>
      </c>
      <c r="C437" s="84"/>
      <c r="D437" s="83" t="str">
        <f t="shared" si="60"/>
        <v/>
      </c>
      <c r="E437" s="84"/>
      <c r="F437" s="83" t="str">
        <f t="shared" si="61"/>
        <v/>
      </c>
      <c r="G437" s="85"/>
      <c r="H437" s="83" t="str">
        <f t="shared" si="62"/>
        <v/>
      </c>
      <c r="I437" s="83" t="str">
        <f t="shared" si="63"/>
        <v/>
      </c>
      <c r="J437" s="69"/>
      <c r="K437" s="69"/>
      <c r="L437" s="78">
        <f t="shared" si="64"/>
        <v>0</v>
      </c>
      <c r="M437" s="67"/>
      <c r="O437" t="str">
        <f t="shared" si="65"/>
        <v/>
      </c>
      <c r="P437" t="str">
        <f t="shared" si="66"/>
        <v/>
      </c>
      <c r="Q437" t="str">
        <f t="shared" si="67"/>
        <v/>
      </c>
      <c r="R437" t="str">
        <f t="shared" si="68"/>
        <v/>
      </c>
    </row>
    <row r="438" spans="1:18">
      <c r="A438" s="83" t="str">
        <f>IF(C438="","",VLOOKUP('OPĆI DIO'!$C$3,'OPĆI DIO'!$L$6:$U$138,10,FALSE))</f>
        <v/>
      </c>
      <c r="B438" s="83" t="str">
        <f>IF(C438="","",VLOOKUP('OPĆI DIO'!$C$3,'OPĆI DIO'!$L$6:$U$138,9,FALSE))</f>
        <v/>
      </c>
      <c r="C438" s="84"/>
      <c r="D438" s="83" t="str">
        <f t="shared" si="60"/>
        <v/>
      </c>
      <c r="E438" s="84"/>
      <c r="F438" s="83" t="str">
        <f t="shared" si="61"/>
        <v/>
      </c>
      <c r="G438" s="85"/>
      <c r="H438" s="83" t="str">
        <f t="shared" si="62"/>
        <v/>
      </c>
      <c r="I438" s="83" t="str">
        <f t="shared" si="63"/>
        <v/>
      </c>
      <c r="J438" s="69"/>
      <c r="K438" s="69"/>
      <c r="L438" s="78">
        <f t="shared" si="64"/>
        <v>0</v>
      </c>
      <c r="M438" s="67"/>
      <c r="O438" t="str">
        <f t="shared" si="65"/>
        <v/>
      </c>
      <c r="P438" t="str">
        <f t="shared" si="66"/>
        <v/>
      </c>
      <c r="Q438" t="str">
        <f t="shared" si="67"/>
        <v/>
      </c>
      <c r="R438" t="str">
        <f t="shared" si="68"/>
        <v/>
      </c>
    </row>
    <row r="439" spans="1:18">
      <c r="A439" s="83" t="str">
        <f>IF(C439="","",VLOOKUP('OPĆI DIO'!$C$3,'OPĆI DIO'!$L$6:$U$138,10,FALSE))</f>
        <v/>
      </c>
      <c r="B439" s="83" t="str">
        <f>IF(C439="","",VLOOKUP('OPĆI DIO'!$C$3,'OPĆI DIO'!$L$6:$U$138,9,FALSE))</f>
        <v/>
      </c>
      <c r="C439" s="84"/>
      <c r="D439" s="83" t="str">
        <f t="shared" si="60"/>
        <v/>
      </c>
      <c r="E439" s="84"/>
      <c r="F439" s="83" t="str">
        <f t="shared" si="61"/>
        <v/>
      </c>
      <c r="G439" s="85"/>
      <c r="H439" s="83" t="str">
        <f t="shared" si="62"/>
        <v/>
      </c>
      <c r="I439" s="83" t="str">
        <f t="shared" si="63"/>
        <v/>
      </c>
      <c r="J439" s="69"/>
      <c r="K439" s="69"/>
      <c r="L439" s="78">
        <f t="shared" si="64"/>
        <v>0</v>
      </c>
      <c r="M439" s="67"/>
      <c r="O439" t="str">
        <f t="shared" si="65"/>
        <v/>
      </c>
      <c r="P439" t="str">
        <f t="shared" si="66"/>
        <v/>
      </c>
      <c r="Q439" t="str">
        <f t="shared" si="67"/>
        <v/>
      </c>
      <c r="R439" t="str">
        <f t="shared" si="68"/>
        <v/>
      </c>
    </row>
    <row r="440" spans="1:18">
      <c r="A440" s="83" t="str">
        <f>IF(C440="","",VLOOKUP('OPĆI DIO'!$C$3,'OPĆI DIO'!$L$6:$U$138,10,FALSE))</f>
        <v/>
      </c>
      <c r="B440" s="83" t="str">
        <f>IF(C440="","",VLOOKUP('OPĆI DIO'!$C$3,'OPĆI DIO'!$L$6:$U$138,9,FALSE))</f>
        <v/>
      </c>
      <c r="C440" s="84"/>
      <c r="D440" s="83" t="str">
        <f t="shared" si="60"/>
        <v/>
      </c>
      <c r="E440" s="84"/>
      <c r="F440" s="83" t="str">
        <f t="shared" si="61"/>
        <v/>
      </c>
      <c r="G440" s="85"/>
      <c r="H440" s="83" t="str">
        <f t="shared" si="62"/>
        <v/>
      </c>
      <c r="I440" s="83" t="str">
        <f t="shared" si="63"/>
        <v/>
      </c>
      <c r="J440" s="69"/>
      <c r="K440" s="69"/>
      <c r="L440" s="78">
        <f t="shared" si="64"/>
        <v>0</v>
      </c>
      <c r="M440" s="67"/>
      <c r="O440" t="str">
        <f t="shared" si="65"/>
        <v/>
      </c>
      <c r="P440" t="str">
        <f t="shared" si="66"/>
        <v/>
      </c>
      <c r="Q440" t="str">
        <f t="shared" si="67"/>
        <v/>
      </c>
      <c r="R440" t="str">
        <f t="shared" si="68"/>
        <v/>
      </c>
    </row>
    <row r="441" spans="1:18">
      <c r="A441" s="83" t="str">
        <f>IF(C441="","",VLOOKUP('OPĆI DIO'!$C$3,'OPĆI DIO'!$L$6:$U$138,10,FALSE))</f>
        <v/>
      </c>
      <c r="B441" s="83" t="str">
        <f>IF(C441="","",VLOOKUP('OPĆI DIO'!$C$3,'OPĆI DIO'!$L$6:$U$138,9,FALSE))</f>
        <v/>
      </c>
      <c r="C441" s="84"/>
      <c r="D441" s="83" t="str">
        <f t="shared" si="60"/>
        <v/>
      </c>
      <c r="E441" s="84"/>
      <c r="F441" s="83" t="str">
        <f t="shared" si="61"/>
        <v/>
      </c>
      <c r="G441" s="85"/>
      <c r="H441" s="83" t="str">
        <f t="shared" si="62"/>
        <v/>
      </c>
      <c r="I441" s="83" t="str">
        <f t="shared" si="63"/>
        <v/>
      </c>
      <c r="J441" s="69"/>
      <c r="K441" s="69"/>
      <c r="L441" s="78">
        <f t="shared" si="64"/>
        <v>0</v>
      </c>
      <c r="M441" s="67"/>
      <c r="O441" t="str">
        <f t="shared" si="65"/>
        <v/>
      </c>
      <c r="P441" t="str">
        <f t="shared" si="66"/>
        <v/>
      </c>
      <c r="Q441" t="str">
        <f t="shared" si="67"/>
        <v/>
      </c>
      <c r="R441" t="str">
        <f t="shared" si="68"/>
        <v/>
      </c>
    </row>
    <row r="442" spans="1:18">
      <c r="A442" s="83" t="str">
        <f>IF(C442="","",VLOOKUP('OPĆI DIO'!$C$3,'OPĆI DIO'!$L$6:$U$138,10,FALSE))</f>
        <v/>
      </c>
      <c r="B442" s="83" t="str">
        <f>IF(C442="","",VLOOKUP('OPĆI DIO'!$C$3,'OPĆI DIO'!$L$6:$U$138,9,FALSE))</f>
        <v/>
      </c>
      <c r="C442" s="84"/>
      <c r="D442" s="83" t="str">
        <f t="shared" si="60"/>
        <v/>
      </c>
      <c r="E442" s="84"/>
      <c r="F442" s="83" t="str">
        <f t="shared" si="61"/>
        <v/>
      </c>
      <c r="G442" s="85"/>
      <c r="H442" s="83" t="str">
        <f t="shared" si="62"/>
        <v/>
      </c>
      <c r="I442" s="83" t="str">
        <f t="shared" si="63"/>
        <v/>
      </c>
      <c r="J442" s="69"/>
      <c r="K442" s="69"/>
      <c r="L442" s="78">
        <f t="shared" si="64"/>
        <v>0</v>
      </c>
      <c r="M442" s="67"/>
      <c r="O442" t="str">
        <f t="shared" si="65"/>
        <v/>
      </c>
      <c r="P442" t="str">
        <f t="shared" si="66"/>
        <v/>
      </c>
      <c r="Q442" t="str">
        <f t="shared" si="67"/>
        <v/>
      </c>
      <c r="R442" t="str">
        <f t="shared" si="68"/>
        <v/>
      </c>
    </row>
    <row r="443" spans="1:18">
      <c r="A443" s="83" t="str">
        <f>IF(C443="","",VLOOKUP('OPĆI DIO'!$C$3,'OPĆI DIO'!$L$6:$U$138,10,FALSE))</f>
        <v/>
      </c>
      <c r="B443" s="83" t="str">
        <f>IF(C443="","",VLOOKUP('OPĆI DIO'!$C$3,'OPĆI DIO'!$L$6:$U$138,9,FALSE))</f>
        <v/>
      </c>
      <c r="C443" s="84"/>
      <c r="D443" s="83" t="str">
        <f t="shared" si="60"/>
        <v/>
      </c>
      <c r="E443" s="84"/>
      <c r="F443" s="83" t="str">
        <f t="shared" si="61"/>
        <v/>
      </c>
      <c r="G443" s="85"/>
      <c r="H443" s="83" t="str">
        <f t="shared" si="62"/>
        <v/>
      </c>
      <c r="I443" s="83" t="str">
        <f t="shared" si="63"/>
        <v/>
      </c>
      <c r="J443" s="69"/>
      <c r="K443" s="69"/>
      <c r="L443" s="78">
        <f t="shared" si="64"/>
        <v>0</v>
      </c>
      <c r="M443" s="67"/>
      <c r="O443" t="str">
        <f t="shared" si="65"/>
        <v/>
      </c>
      <c r="P443" t="str">
        <f t="shared" si="66"/>
        <v/>
      </c>
      <c r="Q443" t="str">
        <f t="shared" si="67"/>
        <v/>
      </c>
      <c r="R443" t="str">
        <f t="shared" si="68"/>
        <v/>
      </c>
    </row>
    <row r="444" spans="1:18">
      <c r="A444" s="83" t="str">
        <f>IF(C444="","",VLOOKUP('OPĆI DIO'!$C$3,'OPĆI DIO'!$L$6:$U$138,10,FALSE))</f>
        <v/>
      </c>
      <c r="B444" s="83" t="str">
        <f>IF(C444="","",VLOOKUP('OPĆI DIO'!$C$3,'OPĆI DIO'!$L$6:$U$138,9,FALSE))</f>
        <v/>
      </c>
      <c r="C444" s="84"/>
      <c r="D444" s="83" t="str">
        <f t="shared" si="60"/>
        <v/>
      </c>
      <c r="E444" s="84"/>
      <c r="F444" s="83" t="str">
        <f t="shared" si="61"/>
        <v/>
      </c>
      <c r="G444" s="85"/>
      <c r="H444" s="83" t="str">
        <f t="shared" si="62"/>
        <v/>
      </c>
      <c r="I444" s="83" t="str">
        <f t="shared" si="63"/>
        <v/>
      </c>
      <c r="J444" s="69"/>
      <c r="K444" s="69"/>
      <c r="L444" s="78">
        <f t="shared" si="64"/>
        <v>0</v>
      </c>
      <c r="M444" s="67"/>
      <c r="O444" t="str">
        <f t="shared" si="65"/>
        <v/>
      </c>
      <c r="P444" t="str">
        <f t="shared" si="66"/>
        <v/>
      </c>
      <c r="Q444" t="str">
        <f t="shared" si="67"/>
        <v/>
      </c>
      <c r="R444" t="str">
        <f t="shared" si="68"/>
        <v/>
      </c>
    </row>
    <row r="445" spans="1:18">
      <c r="A445" s="83" t="str">
        <f>IF(C445="","",VLOOKUP('OPĆI DIO'!$C$3,'OPĆI DIO'!$L$6:$U$138,10,FALSE))</f>
        <v/>
      </c>
      <c r="B445" s="83" t="str">
        <f>IF(C445="","",VLOOKUP('OPĆI DIO'!$C$3,'OPĆI DIO'!$L$6:$U$138,9,FALSE))</f>
        <v/>
      </c>
      <c r="C445" s="84"/>
      <c r="D445" s="83" t="str">
        <f t="shared" si="60"/>
        <v/>
      </c>
      <c r="E445" s="84"/>
      <c r="F445" s="83" t="str">
        <f t="shared" si="61"/>
        <v/>
      </c>
      <c r="G445" s="85"/>
      <c r="H445" s="83" t="str">
        <f t="shared" si="62"/>
        <v/>
      </c>
      <c r="I445" s="83" t="str">
        <f t="shared" si="63"/>
        <v/>
      </c>
      <c r="J445" s="69"/>
      <c r="K445" s="69"/>
      <c r="L445" s="78">
        <f t="shared" si="64"/>
        <v>0</v>
      </c>
      <c r="M445" s="67"/>
      <c r="O445" t="str">
        <f t="shared" si="65"/>
        <v/>
      </c>
      <c r="P445" t="str">
        <f t="shared" si="66"/>
        <v/>
      </c>
      <c r="Q445" t="str">
        <f t="shared" si="67"/>
        <v/>
      </c>
      <c r="R445" t="str">
        <f t="shared" si="68"/>
        <v/>
      </c>
    </row>
    <row r="446" spans="1:18">
      <c r="A446" s="83" t="str">
        <f>IF(C446="","",VLOOKUP('OPĆI DIO'!$C$3,'OPĆI DIO'!$L$6:$U$138,10,FALSE))</f>
        <v/>
      </c>
      <c r="B446" s="83" t="str">
        <f>IF(C446="","",VLOOKUP('OPĆI DIO'!$C$3,'OPĆI DIO'!$L$6:$U$138,9,FALSE))</f>
        <v/>
      </c>
      <c r="C446" s="84"/>
      <c r="D446" s="83" t="str">
        <f t="shared" si="60"/>
        <v/>
      </c>
      <c r="E446" s="84"/>
      <c r="F446" s="83" t="str">
        <f t="shared" si="61"/>
        <v/>
      </c>
      <c r="G446" s="85"/>
      <c r="H446" s="83" t="str">
        <f t="shared" si="62"/>
        <v/>
      </c>
      <c r="I446" s="83" t="str">
        <f t="shared" si="63"/>
        <v/>
      </c>
      <c r="J446" s="69"/>
      <c r="K446" s="69"/>
      <c r="L446" s="78">
        <f t="shared" si="64"/>
        <v>0</v>
      </c>
      <c r="M446" s="67"/>
      <c r="O446" t="str">
        <f t="shared" si="65"/>
        <v/>
      </c>
      <c r="P446" t="str">
        <f t="shared" si="66"/>
        <v/>
      </c>
      <c r="Q446" t="str">
        <f t="shared" si="67"/>
        <v/>
      </c>
      <c r="R446" t="str">
        <f t="shared" si="68"/>
        <v/>
      </c>
    </row>
    <row r="447" spans="1:18">
      <c r="A447" s="83" t="str">
        <f>IF(C447="","",VLOOKUP('OPĆI DIO'!$C$3,'OPĆI DIO'!$L$6:$U$138,10,FALSE))</f>
        <v/>
      </c>
      <c r="B447" s="83" t="str">
        <f>IF(C447="","",VLOOKUP('OPĆI DIO'!$C$3,'OPĆI DIO'!$L$6:$U$138,9,FALSE))</f>
        <v/>
      </c>
      <c r="C447" s="84"/>
      <c r="D447" s="83" t="str">
        <f t="shared" si="60"/>
        <v/>
      </c>
      <c r="E447" s="84"/>
      <c r="F447" s="83" t="str">
        <f t="shared" si="61"/>
        <v/>
      </c>
      <c r="G447" s="85"/>
      <c r="H447" s="83" t="str">
        <f t="shared" si="62"/>
        <v/>
      </c>
      <c r="I447" s="83" t="str">
        <f t="shared" si="63"/>
        <v/>
      </c>
      <c r="J447" s="69"/>
      <c r="K447" s="69"/>
      <c r="L447" s="78">
        <f t="shared" si="64"/>
        <v>0</v>
      </c>
      <c r="M447" s="67"/>
      <c r="O447" t="str">
        <f t="shared" si="65"/>
        <v/>
      </c>
      <c r="P447" t="str">
        <f t="shared" si="66"/>
        <v/>
      </c>
      <c r="Q447" t="str">
        <f t="shared" si="67"/>
        <v/>
      </c>
      <c r="R447" t="str">
        <f t="shared" si="68"/>
        <v/>
      </c>
    </row>
    <row r="448" spans="1:18">
      <c r="A448" s="83" t="str">
        <f>IF(C448="","",VLOOKUP('OPĆI DIO'!$C$3,'OPĆI DIO'!$L$6:$U$138,10,FALSE))</f>
        <v/>
      </c>
      <c r="B448" s="83" t="str">
        <f>IF(C448="","",VLOOKUP('OPĆI DIO'!$C$3,'OPĆI DIO'!$L$6:$U$138,9,FALSE))</f>
        <v/>
      </c>
      <c r="C448" s="84"/>
      <c r="D448" s="83" t="str">
        <f t="shared" si="60"/>
        <v/>
      </c>
      <c r="E448" s="84"/>
      <c r="F448" s="83" t="str">
        <f t="shared" si="61"/>
        <v/>
      </c>
      <c r="G448" s="85"/>
      <c r="H448" s="83" t="str">
        <f t="shared" si="62"/>
        <v/>
      </c>
      <c r="I448" s="83" t="str">
        <f t="shared" si="63"/>
        <v/>
      </c>
      <c r="J448" s="69"/>
      <c r="K448" s="69"/>
      <c r="L448" s="78">
        <f t="shared" si="64"/>
        <v>0</v>
      </c>
      <c r="M448" s="67"/>
      <c r="O448" t="str">
        <f t="shared" si="65"/>
        <v/>
      </c>
      <c r="P448" t="str">
        <f t="shared" si="66"/>
        <v/>
      </c>
      <c r="Q448" t="str">
        <f t="shared" si="67"/>
        <v/>
      </c>
      <c r="R448" t="str">
        <f t="shared" si="68"/>
        <v/>
      </c>
    </row>
    <row r="449" spans="1:18">
      <c r="A449" s="83" t="str">
        <f>IF(C449="","",VLOOKUP('OPĆI DIO'!$C$3,'OPĆI DIO'!$L$6:$U$138,10,FALSE))</f>
        <v/>
      </c>
      <c r="B449" s="83" t="str">
        <f>IF(C449="","",VLOOKUP('OPĆI DIO'!$C$3,'OPĆI DIO'!$L$6:$U$138,9,FALSE))</f>
        <v/>
      </c>
      <c r="C449" s="84"/>
      <c r="D449" s="83" t="str">
        <f t="shared" si="60"/>
        <v/>
      </c>
      <c r="E449" s="84"/>
      <c r="F449" s="83" t="str">
        <f t="shared" si="61"/>
        <v/>
      </c>
      <c r="G449" s="85"/>
      <c r="H449" s="83" t="str">
        <f t="shared" si="62"/>
        <v/>
      </c>
      <c r="I449" s="83" t="str">
        <f t="shared" si="63"/>
        <v/>
      </c>
      <c r="J449" s="69"/>
      <c r="K449" s="69"/>
      <c r="L449" s="78">
        <f t="shared" si="64"/>
        <v>0</v>
      </c>
      <c r="M449" s="67"/>
      <c r="O449" t="str">
        <f t="shared" si="65"/>
        <v/>
      </c>
      <c r="P449" t="str">
        <f t="shared" si="66"/>
        <v/>
      </c>
      <c r="Q449" t="str">
        <f t="shared" si="67"/>
        <v/>
      </c>
      <c r="R449" t="str">
        <f t="shared" si="68"/>
        <v/>
      </c>
    </row>
    <row r="450" spans="1:18">
      <c r="A450" s="83" t="str">
        <f>IF(C450="","",VLOOKUP('OPĆI DIO'!$C$3,'OPĆI DIO'!$L$6:$U$138,10,FALSE))</f>
        <v/>
      </c>
      <c r="B450" s="83" t="str">
        <f>IF(C450="","",VLOOKUP('OPĆI DIO'!$C$3,'OPĆI DIO'!$L$6:$U$138,9,FALSE))</f>
        <v/>
      </c>
      <c r="C450" s="84"/>
      <c r="D450" s="83" t="str">
        <f t="shared" si="60"/>
        <v/>
      </c>
      <c r="E450" s="84"/>
      <c r="F450" s="83" t="str">
        <f t="shared" si="61"/>
        <v/>
      </c>
      <c r="G450" s="85"/>
      <c r="H450" s="83" t="str">
        <f t="shared" si="62"/>
        <v/>
      </c>
      <c r="I450" s="83" t="str">
        <f t="shared" si="63"/>
        <v/>
      </c>
      <c r="J450" s="69"/>
      <c r="K450" s="69"/>
      <c r="L450" s="78">
        <f t="shared" si="64"/>
        <v>0</v>
      </c>
      <c r="M450" s="67"/>
      <c r="O450" t="str">
        <f t="shared" si="65"/>
        <v/>
      </c>
      <c r="P450" t="str">
        <f t="shared" si="66"/>
        <v/>
      </c>
      <c r="Q450" t="str">
        <f t="shared" si="67"/>
        <v/>
      </c>
      <c r="R450" t="str">
        <f t="shared" si="68"/>
        <v/>
      </c>
    </row>
    <row r="451" spans="1:18">
      <c r="A451" s="83" t="str">
        <f>IF(C451="","",VLOOKUP('OPĆI DIO'!$C$3,'OPĆI DIO'!$L$6:$U$138,10,FALSE))</f>
        <v/>
      </c>
      <c r="B451" s="83" t="str">
        <f>IF(C451="","",VLOOKUP('OPĆI DIO'!$C$3,'OPĆI DIO'!$L$6:$U$138,9,FALSE))</f>
        <v/>
      </c>
      <c r="C451" s="84"/>
      <c r="D451" s="83" t="str">
        <f t="shared" ref="D451:D501" si="69">IFERROR(VLOOKUP(C451,$S$6:$T$24,2,FALSE),"")</f>
        <v/>
      </c>
      <c r="E451" s="84"/>
      <c r="F451" s="83" t="str">
        <f t="shared" ref="F451:F501" si="70">IFERROR(VLOOKUP(E451,$V$5:$X$129,2,FALSE),"")</f>
        <v/>
      </c>
      <c r="G451" s="85"/>
      <c r="H451" s="83" t="str">
        <f t="shared" ref="H451:H501" si="71">IFERROR(VLOOKUP(G451,$AB$6:$AC$327,2,FALSE),"")</f>
        <v/>
      </c>
      <c r="I451" s="83" t="str">
        <f t="shared" ref="I451:I501" si="72">IFERROR(VLOOKUP(G451,$AB$6:$AF$327,3,FALSE),"")</f>
        <v/>
      </c>
      <c r="J451" s="69"/>
      <c r="K451" s="69"/>
      <c r="L451" s="78">
        <f t="shared" si="64"/>
        <v>0</v>
      </c>
      <c r="M451" s="67"/>
      <c r="O451" t="str">
        <f t="shared" si="65"/>
        <v/>
      </c>
      <c r="P451" t="str">
        <f t="shared" si="66"/>
        <v/>
      </c>
      <c r="Q451" t="str">
        <f t="shared" si="67"/>
        <v/>
      </c>
      <c r="R451" t="str">
        <f t="shared" si="68"/>
        <v/>
      </c>
    </row>
    <row r="452" spans="1:18">
      <c r="A452" s="83" t="str">
        <f>IF(C452="","",VLOOKUP('OPĆI DIO'!$C$3,'OPĆI DIO'!$L$6:$U$138,10,FALSE))</f>
        <v/>
      </c>
      <c r="B452" s="83" t="str">
        <f>IF(C452="","",VLOOKUP('OPĆI DIO'!$C$3,'OPĆI DIO'!$L$6:$U$138,9,FALSE))</f>
        <v/>
      </c>
      <c r="C452" s="84"/>
      <c r="D452" s="83" t="str">
        <f t="shared" si="69"/>
        <v/>
      </c>
      <c r="E452" s="84"/>
      <c r="F452" s="83" t="str">
        <f t="shared" si="70"/>
        <v/>
      </c>
      <c r="G452" s="85"/>
      <c r="H452" s="83" t="str">
        <f t="shared" si="71"/>
        <v/>
      </c>
      <c r="I452" s="83" t="str">
        <f t="shared" si="72"/>
        <v/>
      </c>
      <c r="J452" s="69"/>
      <c r="K452" s="69"/>
      <c r="L452" s="78">
        <f t="shared" ref="L452:L501" si="73">K452-J452</f>
        <v>0</v>
      </c>
      <c r="M452" s="67"/>
      <c r="O452" t="str">
        <f t="shared" ref="O452:O501" si="74">LEFT(E452,3)</f>
        <v/>
      </c>
      <c r="P452" t="str">
        <f t="shared" ref="P452:P501" si="75">LEFT(E452,2)</f>
        <v/>
      </c>
      <c r="Q452" t="str">
        <f t="shared" ref="Q452:Q501" si="76">LEFT(C452,3)</f>
        <v/>
      </c>
      <c r="R452" t="str">
        <f t="shared" ref="R452:R501" si="77">MID(I452,2,2)</f>
        <v/>
      </c>
    </row>
    <row r="453" spans="1:18">
      <c r="A453" s="83" t="str">
        <f>IF(C453="","",VLOOKUP('OPĆI DIO'!$C$3,'OPĆI DIO'!$L$6:$U$138,10,FALSE))</f>
        <v/>
      </c>
      <c r="B453" s="83" t="str">
        <f>IF(C453="","",VLOOKUP('OPĆI DIO'!$C$3,'OPĆI DIO'!$L$6:$U$138,9,FALSE))</f>
        <v/>
      </c>
      <c r="C453" s="84"/>
      <c r="D453" s="83" t="str">
        <f t="shared" si="69"/>
        <v/>
      </c>
      <c r="E453" s="84"/>
      <c r="F453" s="83" t="str">
        <f t="shared" si="70"/>
        <v/>
      </c>
      <c r="G453" s="85"/>
      <c r="H453" s="83" t="str">
        <f t="shared" si="71"/>
        <v/>
      </c>
      <c r="I453" s="83" t="str">
        <f t="shared" si="72"/>
        <v/>
      </c>
      <c r="J453" s="69"/>
      <c r="K453" s="69"/>
      <c r="L453" s="78">
        <f t="shared" si="73"/>
        <v>0</v>
      </c>
      <c r="M453" s="67"/>
      <c r="O453" t="str">
        <f t="shared" si="74"/>
        <v/>
      </c>
      <c r="P453" t="str">
        <f t="shared" si="75"/>
        <v/>
      </c>
      <c r="Q453" t="str">
        <f t="shared" si="76"/>
        <v/>
      </c>
      <c r="R453" t="str">
        <f t="shared" si="77"/>
        <v/>
      </c>
    </row>
    <row r="454" spans="1:18">
      <c r="A454" s="83" t="str">
        <f>IF(C454="","",VLOOKUP('OPĆI DIO'!$C$3,'OPĆI DIO'!$L$6:$U$138,10,FALSE))</f>
        <v/>
      </c>
      <c r="B454" s="83" t="str">
        <f>IF(C454="","",VLOOKUP('OPĆI DIO'!$C$3,'OPĆI DIO'!$L$6:$U$138,9,FALSE))</f>
        <v/>
      </c>
      <c r="C454" s="84"/>
      <c r="D454" s="83" t="str">
        <f t="shared" si="69"/>
        <v/>
      </c>
      <c r="E454" s="84"/>
      <c r="F454" s="83" t="str">
        <f t="shared" si="70"/>
        <v/>
      </c>
      <c r="G454" s="85"/>
      <c r="H454" s="83" t="str">
        <f t="shared" si="71"/>
        <v/>
      </c>
      <c r="I454" s="83" t="str">
        <f t="shared" si="72"/>
        <v/>
      </c>
      <c r="J454" s="69"/>
      <c r="K454" s="69"/>
      <c r="L454" s="78">
        <f t="shared" si="73"/>
        <v>0</v>
      </c>
      <c r="M454" s="67"/>
      <c r="O454" t="str">
        <f t="shared" si="74"/>
        <v/>
      </c>
      <c r="P454" t="str">
        <f t="shared" si="75"/>
        <v/>
      </c>
      <c r="Q454" t="str">
        <f t="shared" si="76"/>
        <v/>
      </c>
      <c r="R454" t="str">
        <f t="shared" si="77"/>
        <v/>
      </c>
    </row>
    <row r="455" spans="1:18">
      <c r="A455" s="83" t="str">
        <f>IF(C455="","",VLOOKUP('OPĆI DIO'!$C$3,'OPĆI DIO'!$L$6:$U$138,10,FALSE))</f>
        <v/>
      </c>
      <c r="B455" s="83" t="str">
        <f>IF(C455="","",VLOOKUP('OPĆI DIO'!$C$3,'OPĆI DIO'!$L$6:$U$138,9,FALSE))</f>
        <v/>
      </c>
      <c r="C455" s="84"/>
      <c r="D455" s="83" t="str">
        <f t="shared" si="69"/>
        <v/>
      </c>
      <c r="E455" s="84"/>
      <c r="F455" s="83" t="str">
        <f t="shared" si="70"/>
        <v/>
      </c>
      <c r="G455" s="85"/>
      <c r="H455" s="83" t="str">
        <f t="shared" si="71"/>
        <v/>
      </c>
      <c r="I455" s="83" t="str">
        <f t="shared" si="72"/>
        <v/>
      </c>
      <c r="J455" s="69"/>
      <c r="K455" s="69"/>
      <c r="L455" s="78">
        <f t="shared" si="73"/>
        <v>0</v>
      </c>
      <c r="M455" s="67"/>
      <c r="O455" t="str">
        <f t="shared" si="74"/>
        <v/>
      </c>
      <c r="P455" t="str">
        <f t="shared" si="75"/>
        <v/>
      </c>
      <c r="Q455" t="str">
        <f t="shared" si="76"/>
        <v/>
      </c>
      <c r="R455" t="str">
        <f t="shared" si="77"/>
        <v/>
      </c>
    </row>
    <row r="456" spans="1:18">
      <c r="A456" s="83" t="str">
        <f>IF(C456="","",VLOOKUP('OPĆI DIO'!$C$3,'OPĆI DIO'!$L$6:$U$138,10,FALSE))</f>
        <v/>
      </c>
      <c r="B456" s="83" t="str">
        <f>IF(C456="","",VLOOKUP('OPĆI DIO'!$C$3,'OPĆI DIO'!$L$6:$U$138,9,FALSE))</f>
        <v/>
      </c>
      <c r="C456" s="84"/>
      <c r="D456" s="83" t="str">
        <f t="shared" si="69"/>
        <v/>
      </c>
      <c r="E456" s="84"/>
      <c r="F456" s="83" t="str">
        <f t="shared" si="70"/>
        <v/>
      </c>
      <c r="G456" s="85"/>
      <c r="H456" s="83" t="str">
        <f t="shared" si="71"/>
        <v/>
      </c>
      <c r="I456" s="83" t="str">
        <f t="shared" si="72"/>
        <v/>
      </c>
      <c r="J456" s="69"/>
      <c r="K456" s="69"/>
      <c r="L456" s="78">
        <f t="shared" si="73"/>
        <v>0</v>
      </c>
      <c r="M456" s="67"/>
      <c r="O456" t="str">
        <f t="shared" si="74"/>
        <v/>
      </c>
      <c r="P456" t="str">
        <f t="shared" si="75"/>
        <v/>
      </c>
      <c r="Q456" t="str">
        <f t="shared" si="76"/>
        <v/>
      </c>
      <c r="R456" t="str">
        <f t="shared" si="77"/>
        <v/>
      </c>
    </row>
    <row r="457" spans="1:18">
      <c r="A457" s="83" t="str">
        <f>IF(C457="","",VLOOKUP('OPĆI DIO'!$C$3,'OPĆI DIO'!$L$6:$U$138,10,FALSE))</f>
        <v/>
      </c>
      <c r="B457" s="83" t="str">
        <f>IF(C457="","",VLOOKUP('OPĆI DIO'!$C$3,'OPĆI DIO'!$L$6:$U$138,9,FALSE))</f>
        <v/>
      </c>
      <c r="C457" s="84"/>
      <c r="D457" s="83" t="str">
        <f t="shared" si="69"/>
        <v/>
      </c>
      <c r="E457" s="84"/>
      <c r="F457" s="83" t="str">
        <f t="shared" si="70"/>
        <v/>
      </c>
      <c r="G457" s="85"/>
      <c r="H457" s="83" t="str">
        <f t="shared" si="71"/>
        <v/>
      </c>
      <c r="I457" s="83" t="str">
        <f t="shared" si="72"/>
        <v/>
      </c>
      <c r="J457" s="69"/>
      <c r="K457" s="69"/>
      <c r="L457" s="78">
        <f t="shared" si="73"/>
        <v>0</v>
      </c>
      <c r="M457" s="67"/>
      <c r="O457" t="str">
        <f t="shared" si="74"/>
        <v/>
      </c>
      <c r="P457" t="str">
        <f t="shared" si="75"/>
        <v/>
      </c>
      <c r="Q457" t="str">
        <f t="shared" si="76"/>
        <v/>
      </c>
      <c r="R457" t="str">
        <f t="shared" si="77"/>
        <v/>
      </c>
    </row>
    <row r="458" spans="1:18">
      <c r="A458" s="83" t="str">
        <f>IF(C458="","",VLOOKUP('OPĆI DIO'!$C$3,'OPĆI DIO'!$L$6:$U$138,10,FALSE))</f>
        <v/>
      </c>
      <c r="B458" s="83" t="str">
        <f>IF(C458="","",VLOOKUP('OPĆI DIO'!$C$3,'OPĆI DIO'!$L$6:$U$138,9,FALSE))</f>
        <v/>
      </c>
      <c r="C458" s="84"/>
      <c r="D458" s="83" t="str">
        <f t="shared" si="69"/>
        <v/>
      </c>
      <c r="E458" s="84"/>
      <c r="F458" s="83" t="str">
        <f t="shared" si="70"/>
        <v/>
      </c>
      <c r="G458" s="85"/>
      <c r="H458" s="83" t="str">
        <f t="shared" si="71"/>
        <v/>
      </c>
      <c r="I458" s="83" t="str">
        <f t="shared" si="72"/>
        <v/>
      </c>
      <c r="J458" s="69"/>
      <c r="K458" s="69"/>
      <c r="L458" s="78">
        <f t="shared" si="73"/>
        <v>0</v>
      </c>
      <c r="M458" s="67"/>
      <c r="O458" t="str">
        <f t="shared" si="74"/>
        <v/>
      </c>
      <c r="P458" t="str">
        <f t="shared" si="75"/>
        <v/>
      </c>
      <c r="Q458" t="str">
        <f t="shared" si="76"/>
        <v/>
      </c>
      <c r="R458" t="str">
        <f t="shared" si="77"/>
        <v/>
      </c>
    </row>
    <row r="459" spans="1:18">
      <c r="A459" s="83" t="str">
        <f>IF(C459="","",VLOOKUP('OPĆI DIO'!$C$3,'OPĆI DIO'!$L$6:$U$138,10,FALSE))</f>
        <v/>
      </c>
      <c r="B459" s="83" t="str">
        <f>IF(C459="","",VLOOKUP('OPĆI DIO'!$C$3,'OPĆI DIO'!$L$6:$U$138,9,FALSE))</f>
        <v/>
      </c>
      <c r="C459" s="84"/>
      <c r="D459" s="83" t="str">
        <f t="shared" si="69"/>
        <v/>
      </c>
      <c r="E459" s="84"/>
      <c r="F459" s="83" t="str">
        <f t="shared" si="70"/>
        <v/>
      </c>
      <c r="G459" s="85"/>
      <c r="H459" s="83" t="str">
        <f t="shared" si="71"/>
        <v/>
      </c>
      <c r="I459" s="83" t="str">
        <f t="shared" si="72"/>
        <v/>
      </c>
      <c r="J459" s="69"/>
      <c r="K459" s="69"/>
      <c r="L459" s="78">
        <f t="shared" si="73"/>
        <v>0</v>
      </c>
      <c r="M459" s="67"/>
      <c r="O459" t="str">
        <f t="shared" si="74"/>
        <v/>
      </c>
      <c r="P459" t="str">
        <f t="shared" si="75"/>
        <v/>
      </c>
      <c r="Q459" t="str">
        <f t="shared" si="76"/>
        <v/>
      </c>
      <c r="R459" t="str">
        <f t="shared" si="77"/>
        <v/>
      </c>
    </row>
    <row r="460" spans="1:18">
      <c r="A460" s="83" t="str">
        <f>IF(C460="","",VLOOKUP('OPĆI DIO'!$C$3,'OPĆI DIO'!$L$6:$U$138,10,FALSE))</f>
        <v/>
      </c>
      <c r="B460" s="83" t="str">
        <f>IF(C460="","",VLOOKUP('OPĆI DIO'!$C$3,'OPĆI DIO'!$L$6:$U$138,9,FALSE))</f>
        <v/>
      </c>
      <c r="C460" s="84"/>
      <c r="D460" s="83" t="str">
        <f t="shared" si="69"/>
        <v/>
      </c>
      <c r="E460" s="84"/>
      <c r="F460" s="83" t="str">
        <f t="shared" si="70"/>
        <v/>
      </c>
      <c r="G460" s="85"/>
      <c r="H460" s="83" t="str">
        <f t="shared" si="71"/>
        <v/>
      </c>
      <c r="I460" s="83" t="str">
        <f t="shared" si="72"/>
        <v/>
      </c>
      <c r="J460" s="69"/>
      <c r="K460" s="69"/>
      <c r="L460" s="78">
        <f t="shared" si="73"/>
        <v>0</v>
      </c>
      <c r="M460" s="67"/>
      <c r="O460" t="str">
        <f t="shared" si="74"/>
        <v/>
      </c>
      <c r="P460" t="str">
        <f t="shared" si="75"/>
        <v/>
      </c>
      <c r="Q460" t="str">
        <f t="shared" si="76"/>
        <v/>
      </c>
      <c r="R460" t="str">
        <f t="shared" si="77"/>
        <v/>
      </c>
    </row>
    <row r="461" spans="1:18">
      <c r="A461" s="83" t="str">
        <f>IF(C461="","",VLOOKUP('OPĆI DIO'!$C$3,'OPĆI DIO'!$L$6:$U$138,10,FALSE))</f>
        <v/>
      </c>
      <c r="B461" s="83" t="str">
        <f>IF(C461="","",VLOOKUP('OPĆI DIO'!$C$3,'OPĆI DIO'!$L$6:$U$138,9,FALSE))</f>
        <v/>
      </c>
      <c r="C461" s="84"/>
      <c r="D461" s="83" t="str">
        <f t="shared" si="69"/>
        <v/>
      </c>
      <c r="E461" s="84"/>
      <c r="F461" s="83" t="str">
        <f t="shared" si="70"/>
        <v/>
      </c>
      <c r="G461" s="85"/>
      <c r="H461" s="83" t="str">
        <f t="shared" si="71"/>
        <v/>
      </c>
      <c r="I461" s="83" t="str">
        <f t="shared" si="72"/>
        <v/>
      </c>
      <c r="J461" s="69"/>
      <c r="K461" s="69"/>
      <c r="L461" s="78">
        <f t="shared" si="73"/>
        <v>0</v>
      </c>
      <c r="M461" s="67"/>
      <c r="O461" t="str">
        <f t="shared" si="74"/>
        <v/>
      </c>
      <c r="P461" t="str">
        <f t="shared" si="75"/>
        <v/>
      </c>
      <c r="Q461" t="str">
        <f t="shared" si="76"/>
        <v/>
      </c>
      <c r="R461" t="str">
        <f t="shared" si="77"/>
        <v/>
      </c>
    </row>
    <row r="462" spans="1:18">
      <c r="A462" s="83" t="str">
        <f>IF(C462="","",VLOOKUP('OPĆI DIO'!$C$3,'OPĆI DIO'!$L$6:$U$138,10,FALSE))</f>
        <v/>
      </c>
      <c r="B462" s="83" t="str">
        <f>IF(C462="","",VLOOKUP('OPĆI DIO'!$C$3,'OPĆI DIO'!$L$6:$U$138,9,FALSE))</f>
        <v/>
      </c>
      <c r="C462" s="84"/>
      <c r="D462" s="83" t="str">
        <f t="shared" si="69"/>
        <v/>
      </c>
      <c r="E462" s="84"/>
      <c r="F462" s="83" t="str">
        <f t="shared" si="70"/>
        <v/>
      </c>
      <c r="G462" s="85"/>
      <c r="H462" s="83" t="str">
        <f t="shared" si="71"/>
        <v/>
      </c>
      <c r="I462" s="83" t="str">
        <f t="shared" si="72"/>
        <v/>
      </c>
      <c r="J462" s="69"/>
      <c r="K462" s="69"/>
      <c r="L462" s="78">
        <f t="shared" si="73"/>
        <v>0</v>
      </c>
      <c r="M462" s="67"/>
      <c r="O462" t="str">
        <f t="shared" si="74"/>
        <v/>
      </c>
      <c r="P462" t="str">
        <f t="shared" si="75"/>
        <v/>
      </c>
      <c r="Q462" t="str">
        <f t="shared" si="76"/>
        <v/>
      </c>
      <c r="R462" t="str">
        <f t="shared" si="77"/>
        <v/>
      </c>
    </row>
    <row r="463" spans="1:18">
      <c r="A463" s="83" t="str">
        <f>IF(C463="","",VLOOKUP('OPĆI DIO'!$C$3,'OPĆI DIO'!$L$6:$U$138,10,FALSE))</f>
        <v/>
      </c>
      <c r="B463" s="83" t="str">
        <f>IF(C463="","",VLOOKUP('OPĆI DIO'!$C$3,'OPĆI DIO'!$L$6:$U$138,9,FALSE))</f>
        <v/>
      </c>
      <c r="C463" s="84"/>
      <c r="D463" s="83" t="str">
        <f t="shared" si="69"/>
        <v/>
      </c>
      <c r="E463" s="84"/>
      <c r="F463" s="83" t="str">
        <f t="shared" si="70"/>
        <v/>
      </c>
      <c r="G463" s="85"/>
      <c r="H463" s="83" t="str">
        <f t="shared" si="71"/>
        <v/>
      </c>
      <c r="I463" s="83" t="str">
        <f t="shared" si="72"/>
        <v/>
      </c>
      <c r="J463" s="69"/>
      <c r="K463" s="69"/>
      <c r="L463" s="78">
        <f t="shared" si="73"/>
        <v>0</v>
      </c>
      <c r="M463" s="67"/>
      <c r="O463" t="str">
        <f t="shared" si="74"/>
        <v/>
      </c>
      <c r="P463" t="str">
        <f t="shared" si="75"/>
        <v/>
      </c>
      <c r="Q463" t="str">
        <f t="shared" si="76"/>
        <v/>
      </c>
      <c r="R463" t="str">
        <f t="shared" si="77"/>
        <v/>
      </c>
    </row>
    <row r="464" spans="1:18">
      <c r="A464" s="83" t="str">
        <f>IF(C464="","",VLOOKUP('OPĆI DIO'!$C$3,'OPĆI DIO'!$L$6:$U$138,10,FALSE))</f>
        <v/>
      </c>
      <c r="B464" s="83" t="str">
        <f>IF(C464="","",VLOOKUP('OPĆI DIO'!$C$3,'OPĆI DIO'!$L$6:$U$138,9,FALSE))</f>
        <v/>
      </c>
      <c r="C464" s="84"/>
      <c r="D464" s="83" t="str">
        <f t="shared" si="69"/>
        <v/>
      </c>
      <c r="E464" s="84"/>
      <c r="F464" s="83" t="str">
        <f t="shared" si="70"/>
        <v/>
      </c>
      <c r="G464" s="85"/>
      <c r="H464" s="83" t="str">
        <f t="shared" si="71"/>
        <v/>
      </c>
      <c r="I464" s="83" t="str">
        <f t="shared" si="72"/>
        <v/>
      </c>
      <c r="J464" s="69"/>
      <c r="K464" s="69"/>
      <c r="L464" s="78">
        <f t="shared" si="73"/>
        <v>0</v>
      </c>
      <c r="M464" s="67"/>
      <c r="O464" t="str">
        <f t="shared" si="74"/>
        <v/>
      </c>
      <c r="P464" t="str">
        <f t="shared" si="75"/>
        <v/>
      </c>
      <c r="Q464" t="str">
        <f t="shared" si="76"/>
        <v/>
      </c>
      <c r="R464" t="str">
        <f t="shared" si="77"/>
        <v/>
      </c>
    </row>
    <row r="465" spans="1:18">
      <c r="A465" s="83" t="str">
        <f>IF(C465="","",VLOOKUP('OPĆI DIO'!$C$3,'OPĆI DIO'!$L$6:$U$138,10,FALSE))</f>
        <v/>
      </c>
      <c r="B465" s="83" t="str">
        <f>IF(C465="","",VLOOKUP('OPĆI DIO'!$C$3,'OPĆI DIO'!$L$6:$U$138,9,FALSE))</f>
        <v/>
      </c>
      <c r="C465" s="84"/>
      <c r="D465" s="83" t="str">
        <f t="shared" si="69"/>
        <v/>
      </c>
      <c r="E465" s="84"/>
      <c r="F465" s="83" t="str">
        <f t="shared" si="70"/>
        <v/>
      </c>
      <c r="G465" s="85"/>
      <c r="H465" s="83" t="str">
        <f t="shared" si="71"/>
        <v/>
      </c>
      <c r="I465" s="83" t="str">
        <f t="shared" si="72"/>
        <v/>
      </c>
      <c r="J465" s="69"/>
      <c r="K465" s="69"/>
      <c r="L465" s="78">
        <f t="shared" si="73"/>
        <v>0</v>
      </c>
      <c r="M465" s="67"/>
      <c r="O465" t="str">
        <f t="shared" si="74"/>
        <v/>
      </c>
      <c r="P465" t="str">
        <f t="shared" si="75"/>
        <v/>
      </c>
      <c r="Q465" t="str">
        <f t="shared" si="76"/>
        <v/>
      </c>
      <c r="R465" t="str">
        <f t="shared" si="77"/>
        <v/>
      </c>
    </row>
    <row r="466" spans="1:18">
      <c r="A466" s="83" t="str">
        <f>IF(C466="","",VLOOKUP('OPĆI DIO'!$C$3,'OPĆI DIO'!$L$6:$U$138,10,FALSE))</f>
        <v/>
      </c>
      <c r="B466" s="83" t="str">
        <f>IF(C466="","",VLOOKUP('OPĆI DIO'!$C$3,'OPĆI DIO'!$L$6:$U$138,9,FALSE))</f>
        <v/>
      </c>
      <c r="C466" s="84"/>
      <c r="D466" s="83" t="str">
        <f t="shared" si="69"/>
        <v/>
      </c>
      <c r="E466" s="84"/>
      <c r="F466" s="83" t="str">
        <f t="shared" si="70"/>
        <v/>
      </c>
      <c r="G466" s="85"/>
      <c r="H466" s="83" t="str">
        <f t="shared" si="71"/>
        <v/>
      </c>
      <c r="I466" s="83" t="str">
        <f t="shared" si="72"/>
        <v/>
      </c>
      <c r="J466" s="69"/>
      <c r="K466" s="69"/>
      <c r="L466" s="78">
        <f t="shared" si="73"/>
        <v>0</v>
      </c>
      <c r="M466" s="67"/>
      <c r="O466" t="str">
        <f t="shared" si="74"/>
        <v/>
      </c>
      <c r="P466" t="str">
        <f t="shared" si="75"/>
        <v/>
      </c>
      <c r="Q466" t="str">
        <f t="shared" si="76"/>
        <v/>
      </c>
      <c r="R466" t="str">
        <f t="shared" si="77"/>
        <v/>
      </c>
    </row>
    <row r="467" spans="1:18">
      <c r="A467" s="83" t="str">
        <f>IF(C467="","",VLOOKUP('OPĆI DIO'!$C$3,'OPĆI DIO'!$L$6:$U$138,10,FALSE))</f>
        <v/>
      </c>
      <c r="B467" s="83" t="str">
        <f>IF(C467="","",VLOOKUP('OPĆI DIO'!$C$3,'OPĆI DIO'!$L$6:$U$138,9,FALSE))</f>
        <v/>
      </c>
      <c r="C467" s="84"/>
      <c r="D467" s="83" t="str">
        <f t="shared" si="69"/>
        <v/>
      </c>
      <c r="E467" s="84"/>
      <c r="F467" s="83" t="str">
        <f t="shared" si="70"/>
        <v/>
      </c>
      <c r="G467" s="85"/>
      <c r="H467" s="83" t="str">
        <f t="shared" si="71"/>
        <v/>
      </c>
      <c r="I467" s="83" t="str">
        <f t="shared" si="72"/>
        <v/>
      </c>
      <c r="J467" s="69"/>
      <c r="K467" s="69"/>
      <c r="L467" s="78">
        <f t="shared" si="73"/>
        <v>0</v>
      </c>
      <c r="M467" s="67"/>
      <c r="O467" t="str">
        <f t="shared" si="74"/>
        <v/>
      </c>
      <c r="P467" t="str">
        <f t="shared" si="75"/>
        <v/>
      </c>
      <c r="Q467" t="str">
        <f t="shared" si="76"/>
        <v/>
      </c>
      <c r="R467" t="str">
        <f t="shared" si="77"/>
        <v/>
      </c>
    </row>
    <row r="468" spans="1:18">
      <c r="A468" s="83" t="str">
        <f>IF(C468="","",VLOOKUP('OPĆI DIO'!$C$3,'OPĆI DIO'!$L$6:$U$138,10,FALSE))</f>
        <v/>
      </c>
      <c r="B468" s="83" t="str">
        <f>IF(C468="","",VLOOKUP('OPĆI DIO'!$C$3,'OPĆI DIO'!$L$6:$U$138,9,FALSE))</f>
        <v/>
      </c>
      <c r="C468" s="84"/>
      <c r="D468" s="83" t="str">
        <f t="shared" si="69"/>
        <v/>
      </c>
      <c r="E468" s="84"/>
      <c r="F468" s="83" t="str">
        <f t="shared" si="70"/>
        <v/>
      </c>
      <c r="G468" s="85"/>
      <c r="H468" s="83" t="str">
        <f t="shared" si="71"/>
        <v/>
      </c>
      <c r="I468" s="83" t="str">
        <f t="shared" si="72"/>
        <v/>
      </c>
      <c r="J468" s="69"/>
      <c r="K468" s="69"/>
      <c r="L468" s="78">
        <f t="shared" si="73"/>
        <v>0</v>
      </c>
      <c r="M468" s="67"/>
      <c r="O468" t="str">
        <f t="shared" si="74"/>
        <v/>
      </c>
      <c r="P468" t="str">
        <f t="shared" si="75"/>
        <v/>
      </c>
      <c r="Q468" t="str">
        <f t="shared" si="76"/>
        <v/>
      </c>
      <c r="R468" t="str">
        <f t="shared" si="77"/>
        <v/>
      </c>
    </row>
    <row r="469" spans="1:18">
      <c r="A469" s="83" t="str">
        <f>IF(C469="","",VLOOKUP('OPĆI DIO'!$C$3,'OPĆI DIO'!$L$6:$U$138,10,FALSE))</f>
        <v/>
      </c>
      <c r="B469" s="83" t="str">
        <f>IF(C469="","",VLOOKUP('OPĆI DIO'!$C$3,'OPĆI DIO'!$L$6:$U$138,9,FALSE))</f>
        <v/>
      </c>
      <c r="C469" s="84"/>
      <c r="D469" s="83" t="str">
        <f t="shared" si="69"/>
        <v/>
      </c>
      <c r="E469" s="84"/>
      <c r="F469" s="83" t="str">
        <f t="shared" si="70"/>
        <v/>
      </c>
      <c r="G469" s="85"/>
      <c r="H469" s="83" t="str">
        <f t="shared" si="71"/>
        <v/>
      </c>
      <c r="I469" s="83" t="str">
        <f t="shared" si="72"/>
        <v/>
      </c>
      <c r="J469" s="69"/>
      <c r="K469" s="69"/>
      <c r="L469" s="78">
        <f t="shared" si="73"/>
        <v>0</v>
      </c>
      <c r="M469" s="67"/>
      <c r="O469" t="str">
        <f t="shared" si="74"/>
        <v/>
      </c>
      <c r="P469" t="str">
        <f t="shared" si="75"/>
        <v/>
      </c>
      <c r="Q469" t="str">
        <f t="shared" si="76"/>
        <v/>
      </c>
      <c r="R469" t="str">
        <f t="shared" si="77"/>
        <v/>
      </c>
    </row>
    <row r="470" spans="1:18">
      <c r="A470" s="83" t="str">
        <f>IF(C470="","",VLOOKUP('OPĆI DIO'!$C$3,'OPĆI DIO'!$L$6:$U$138,10,FALSE))</f>
        <v/>
      </c>
      <c r="B470" s="83" t="str">
        <f>IF(C470="","",VLOOKUP('OPĆI DIO'!$C$3,'OPĆI DIO'!$L$6:$U$138,9,FALSE))</f>
        <v/>
      </c>
      <c r="C470" s="84"/>
      <c r="D470" s="83" t="str">
        <f t="shared" si="69"/>
        <v/>
      </c>
      <c r="E470" s="84"/>
      <c r="F470" s="83" t="str">
        <f t="shared" si="70"/>
        <v/>
      </c>
      <c r="G470" s="85"/>
      <c r="H470" s="83" t="str">
        <f t="shared" si="71"/>
        <v/>
      </c>
      <c r="I470" s="83" t="str">
        <f t="shared" si="72"/>
        <v/>
      </c>
      <c r="J470" s="69"/>
      <c r="K470" s="69"/>
      <c r="L470" s="78">
        <f t="shared" si="73"/>
        <v>0</v>
      </c>
      <c r="M470" s="67"/>
      <c r="O470" t="str">
        <f t="shared" si="74"/>
        <v/>
      </c>
      <c r="P470" t="str">
        <f t="shared" si="75"/>
        <v/>
      </c>
      <c r="Q470" t="str">
        <f t="shared" si="76"/>
        <v/>
      </c>
      <c r="R470" t="str">
        <f t="shared" si="77"/>
        <v/>
      </c>
    </row>
    <row r="471" spans="1:18">
      <c r="A471" s="83" t="str">
        <f>IF(C471="","",VLOOKUP('OPĆI DIO'!$C$3,'OPĆI DIO'!$L$6:$U$138,10,FALSE))</f>
        <v/>
      </c>
      <c r="B471" s="83" t="str">
        <f>IF(C471="","",VLOOKUP('OPĆI DIO'!$C$3,'OPĆI DIO'!$L$6:$U$138,9,FALSE))</f>
        <v/>
      </c>
      <c r="C471" s="84"/>
      <c r="D471" s="83" t="str">
        <f t="shared" si="69"/>
        <v/>
      </c>
      <c r="E471" s="84"/>
      <c r="F471" s="83" t="str">
        <f t="shared" si="70"/>
        <v/>
      </c>
      <c r="G471" s="85"/>
      <c r="H471" s="83" t="str">
        <f t="shared" si="71"/>
        <v/>
      </c>
      <c r="I471" s="83" t="str">
        <f t="shared" si="72"/>
        <v/>
      </c>
      <c r="J471" s="69"/>
      <c r="K471" s="69"/>
      <c r="L471" s="78">
        <f t="shared" si="73"/>
        <v>0</v>
      </c>
      <c r="M471" s="67"/>
      <c r="O471" t="str">
        <f t="shared" si="74"/>
        <v/>
      </c>
      <c r="P471" t="str">
        <f t="shared" si="75"/>
        <v/>
      </c>
      <c r="Q471" t="str">
        <f t="shared" si="76"/>
        <v/>
      </c>
      <c r="R471" t="str">
        <f t="shared" si="77"/>
        <v/>
      </c>
    </row>
    <row r="472" spans="1:18">
      <c r="A472" s="83" t="str">
        <f>IF(C472="","",VLOOKUP('OPĆI DIO'!$C$3,'OPĆI DIO'!$L$6:$U$138,10,FALSE))</f>
        <v/>
      </c>
      <c r="B472" s="83" t="str">
        <f>IF(C472="","",VLOOKUP('OPĆI DIO'!$C$3,'OPĆI DIO'!$L$6:$U$138,9,FALSE))</f>
        <v/>
      </c>
      <c r="C472" s="84"/>
      <c r="D472" s="83" t="str">
        <f t="shared" si="69"/>
        <v/>
      </c>
      <c r="E472" s="84"/>
      <c r="F472" s="83" t="str">
        <f t="shared" si="70"/>
        <v/>
      </c>
      <c r="G472" s="85"/>
      <c r="H472" s="83" t="str">
        <f t="shared" si="71"/>
        <v/>
      </c>
      <c r="I472" s="83" t="str">
        <f t="shared" si="72"/>
        <v/>
      </c>
      <c r="J472" s="69"/>
      <c r="K472" s="69"/>
      <c r="L472" s="78">
        <f t="shared" si="73"/>
        <v>0</v>
      </c>
      <c r="M472" s="67"/>
      <c r="O472" t="str">
        <f t="shared" si="74"/>
        <v/>
      </c>
      <c r="P472" t="str">
        <f t="shared" si="75"/>
        <v/>
      </c>
      <c r="Q472" t="str">
        <f t="shared" si="76"/>
        <v/>
      </c>
      <c r="R472" t="str">
        <f t="shared" si="77"/>
        <v/>
      </c>
    </row>
    <row r="473" spans="1:18">
      <c r="A473" s="83" t="str">
        <f>IF(C473="","",VLOOKUP('OPĆI DIO'!$C$3,'OPĆI DIO'!$L$6:$U$138,10,FALSE))</f>
        <v/>
      </c>
      <c r="B473" s="83" t="str">
        <f>IF(C473="","",VLOOKUP('OPĆI DIO'!$C$3,'OPĆI DIO'!$L$6:$U$138,9,FALSE))</f>
        <v/>
      </c>
      <c r="C473" s="84"/>
      <c r="D473" s="83" t="str">
        <f t="shared" si="69"/>
        <v/>
      </c>
      <c r="E473" s="84"/>
      <c r="F473" s="83" t="str">
        <f t="shared" si="70"/>
        <v/>
      </c>
      <c r="G473" s="85"/>
      <c r="H473" s="83" t="str">
        <f t="shared" si="71"/>
        <v/>
      </c>
      <c r="I473" s="83" t="str">
        <f t="shared" si="72"/>
        <v/>
      </c>
      <c r="J473" s="69"/>
      <c r="K473" s="69"/>
      <c r="L473" s="78">
        <f t="shared" si="73"/>
        <v>0</v>
      </c>
      <c r="M473" s="67"/>
      <c r="O473" t="str">
        <f t="shared" si="74"/>
        <v/>
      </c>
      <c r="P473" t="str">
        <f t="shared" si="75"/>
        <v/>
      </c>
      <c r="Q473" t="str">
        <f t="shared" si="76"/>
        <v/>
      </c>
      <c r="R473" t="str">
        <f t="shared" si="77"/>
        <v/>
      </c>
    </row>
    <row r="474" spans="1:18">
      <c r="A474" s="83" t="str">
        <f>IF(C474="","",VLOOKUP('OPĆI DIO'!$C$3,'OPĆI DIO'!$L$6:$U$138,10,FALSE))</f>
        <v/>
      </c>
      <c r="B474" s="83" t="str">
        <f>IF(C474="","",VLOOKUP('OPĆI DIO'!$C$3,'OPĆI DIO'!$L$6:$U$138,9,FALSE))</f>
        <v/>
      </c>
      <c r="C474" s="84"/>
      <c r="D474" s="83" t="str">
        <f t="shared" si="69"/>
        <v/>
      </c>
      <c r="E474" s="84"/>
      <c r="F474" s="83" t="str">
        <f t="shared" si="70"/>
        <v/>
      </c>
      <c r="G474" s="85"/>
      <c r="H474" s="83" t="str">
        <f t="shared" si="71"/>
        <v/>
      </c>
      <c r="I474" s="83" t="str">
        <f t="shared" si="72"/>
        <v/>
      </c>
      <c r="J474" s="69"/>
      <c r="K474" s="69"/>
      <c r="L474" s="78">
        <f t="shared" si="73"/>
        <v>0</v>
      </c>
      <c r="M474" s="67"/>
      <c r="O474" t="str">
        <f t="shared" si="74"/>
        <v/>
      </c>
      <c r="P474" t="str">
        <f t="shared" si="75"/>
        <v/>
      </c>
      <c r="Q474" t="str">
        <f t="shared" si="76"/>
        <v/>
      </c>
      <c r="R474" t="str">
        <f t="shared" si="77"/>
        <v/>
      </c>
    </row>
    <row r="475" spans="1:18">
      <c r="A475" s="83" t="str">
        <f>IF(C475="","",VLOOKUP('OPĆI DIO'!$C$3,'OPĆI DIO'!$L$6:$U$138,10,FALSE))</f>
        <v/>
      </c>
      <c r="B475" s="83" t="str">
        <f>IF(C475="","",VLOOKUP('OPĆI DIO'!$C$3,'OPĆI DIO'!$L$6:$U$138,9,FALSE))</f>
        <v/>
      </c>
      <c r="C475" s="84"/>
      <c r="D475" s="83" t="str">
        <f t="shared" si="69"/>
        <v/>
      </c>
      <c r="E475" s="84"/>
      <c r="F475" s="83" t="str">
        <f t="shared" si="70"/>
        <v/>
      </c>
      <c r="G475" s="85"/>
      <c r="H475" s="83" t="str">
        <f t="shared" si="71"/>
        <v/>
      </c>
      <c r="I475" s="83" t="str">
        <f t="shared" si="72"/>
        <v/>
      </c>
      <c r="J475" s="69"/>
      <c r="K475" s="69"/>
      <c r="L475" s="78">
        <f t="shared" si="73"/>
        <v>0</v>
      </c>
      <c r="M475" s="67"/>
      <c r="O475" t="str">
        <f t="shared" si="74"/>
        <v/>
      </c>
      <c r="P475" t="str">
        <f t="shared" si="75"/>
        <v/>
      </c>
      <c r="Q475" t="str">
        <f t="shared" si="76"/>
        <v/>
      </c>
      <c r="R475" t="str">
        <f t="shared" si="77"/>
        <v/>
      </c>
    </row>
    <row r="476" spans="1:18">
      <c r="A476" s="83" t="str">
        <f>IF(C476="","",VLOOKUP('OPĆI DIO'!$C$3,'OPĆI DIO'!$L$6:$U$138,10,FALSE))</f>
        <v/>
      </c>
      <c r="B476" s="83" t="str">
        <f>IF(C476="","",VLOOKUP('OPĆI DIO'!$C$3,'OPĆI DIO'!$L$6:$U$138,9,FALSE))</f>
        <v/>
      </c>
      <c r="C476" s="84"/>
      <c r="D476" s="83" t="str">
        <f t="shared" si="69"/>
        <v/>
      </c>
      <c r="E476" s="84"/>
      <c r="F476" s="83" t="str">
        <f t="shared" si="70"/>
        <v/>
      </c>
      <c r="G476" s="85"/>
      <c r="H476" s="83" t="str">
        <f t="shared" si="71"/>
        <v/>
      </c>
      <c r="I476" s="83" t="str">
        <f t="shared" si="72"/>
        <v/>
      </c>
      <c r="J476" s="69"/>
      <c r="K476" s="69"/>
      <c r="L476" s="78">
        <f t="shared" si="73"/>
        <v>0</v>
      </c>
      <c r="M476" s="67"/>
      <c r="O476" t="str">
        <f t="shared" si="74"/>
        <v/>
      </c>
      <c r="P476" t="str">
        <f t="shared" si="75"/>
        <v/>
      </c>
      <c r="Q476" t="str">
        <f t="shared" si="76"/>
        <v/>
      </c>
      <c r="R476" t="str">
        <f t="shared" si="77"/>
        <v/>
      </c>
    </row>
    <row r="477" spans="1:18">
      <c r="A477" s="83" t="str">
        <f>IF(C477="","",VLOOKUP('OPĆI DIO'!$C$3,'OPĆI DIO'!$L$6:$U$138,10,FALSE))</f>
        <v/>
      </c>
      <c r="B477" s="83" t="str">
        <f>IF(C477="","",VLOOKUP('OPĆI DIO'!$C$3,'OPĆI DIO'!$L$6:$U$138,9,FALSE))</f>
        <v/>
      </c>
      <c r="C477" s="84"/>
      <c r="D477" s="83" t="str">
        <f t="shared" si="69"/>
        <v/>
      </c>
      <c r="E477" s="84"/>
      <c r="F477" s="83" t="str">
        <f t="shared" si="70"/>
        <v/>
      </c>
      <c r="G477" s="85"/>
      <c r="H477" s="83" t="str">
        <f t="shared" si="71"/>
        <v/>
      </c>
      <c r="I477" s="83" t="str">
        <f t="shared" si="72"/>
        <v/>
      </c>
      <c r="J477" s="69"/>
      <c r="K477" s="69"/>
      <c r="L477" s="78">
        <f t="shared" si="73"/>
        <v>0</v>
      </c>
      <c r="M477" s="67"/>
      <c r="O477" t="str">
        <f t="shared" si="74"/>
        <v/>
      </c>
      <c r="P477" t="str">
        <f t="shared" si="75"/>
        <v/>
      </c>
      <c r="Q477" t="str">
        <f t="shared" si="76"/>
        <v/>
      </c>
      <c r="R477" t="str">
        <f t="shared" si="77"/>
        <v/>
      </c>
    </row>
    <row r="478" spans="1:18">
      <c r="A478" s="83" t="str">
        <f>IF(C478="","",VLOOKUP('OPĆI DIO'!$C$3,'OPĆI DIO'!$L$6:$U$138,10,FALSE))</f>
        <v/>
      </c>
      <c r="B478" s="83" t="str">
        <f>IF(C478="","",VLOOKUP('OPĆI DIO'!$C$3,'OPĆI DIO'!$L$6:$U$138,9,FALSE))</f>
        <v/>
      </c>
      <c r="C478" s="84"/>
      <c r="D478" s="83" t="str">
        <f t="shared" si="69"/>
        <v/>
      </c>
      <c r="E478" s="84"/>
      <c r="F478" s="83" t="str">
        <f t="shared" si="70"/>
        <v/>
      </c>
      <c r="G478" s="85"/>
      <c r="H478" s="83" t="str">
        <f t="shared" si="71"/>
        <v/>
      </c>
      <c r="I478" s="83" t="str">
        <f t="shared" si="72"/>
        <v/>
      </c>
      <c r="J478" s="69"/>
      <c r="K478" s="69"/>
      <c r="L478" s="78">
        <f t="shared" si="73"/>
        <v>0</v>
      </c>
      <c r="M478" s="67"/>
      <c r="O478" t="str">
        <f t="shared" si="74"/>
        <v/>
      </c>
      <c r="P478" t="str">
        <f t="shared" si="75"/>
        <v/>
      </c>
      <c r="Q478" t="str">
        <f t="shared" si="76"/>
        <v/>
      </c>
      <c r="R478" t="str">
        <f t="shared" si="77"/>
        <v/>
      </c>
    </row>
    <row r="479" spans="1:18">
      <c r="A479" s="83" t="str">
        <f>IF(C479="","",VLOOKUP('OPĆI DIO'!$C$3,'OPĆI DIO'!$L$6:$U$138,10,FALSE))</f>
        <v/>
      </c>
      <c r="B479" s="83" t="str">
        <f>IF(C479="","",VLOOKUP('OPĆI DIO'!$C$3,'OPĆI DIO'!$L$6:$U$138,9,FALSE))</f>
        <v/>
      </c>
      <c r="C479" s="84"/>
      <c r="D479" s="83" t="str">
        <f t="shared" si="69"/>
        <v/>
      </c>
      <c r="E479" s="84"/>
      <c r="F479" s="83" t="str">
        <f t="shared" si="70"/>
        <v/>
      </c>
      <c r="G479" s="85"/>
      <c r="H479" s="83" t="str">
        <f t="shared" si="71"/>
        <v/>
      </c>
      <c r="I479" s="83" t="str">
        <f t="shared" si="72"/>
        <v/>
      </c>
      <c r="J479" s="69"/>
      <c r="K479" s="69"/>
      <c r="L479" s="78">
        <f t="shared" si="73"/>
        <v>0</v>
      </c>
      <c r="M479" s="67"/>
      <c r="O479" t="str">
        <f t="shared" si="74"/>
        <v/>
      </c>
      <c r="P479" t="str">
        <f t="shared" si="75"/>
        <v/>
      </c>
      <c r="Q479" t="str">
        <f t="shared" si="76"/>
        <v/>
      </c>
      <c r="R479" t="str">
        <f t="shared" si="77"/>
        <v/>
      </c>
    </row>
    <row r="480" spans="1:18">
      <c r="A480" s="83" t="str">
        <f>IF(C480="","",VLOOKUP('OPĆI DIO'!$C$3,'OPĆI DIO'!$L$6:$U$138,10,FALSE))</f>
        <v/>
      </c>
      <c r="B480" s="83" t="str">
        <f>IF(C480="","",VLOOKUP('OPĆI DIO'!$C$3,'OPĆI DIO'!$L$6:$U$138,9,FALSE))</f>
        <v/>
      </c>
      <c r="C480" s="84"/>
      <c r="D480" s="83" t="str">
        <f t="shared" si="69"/>
        <v/>
      </c>
      <c r="E480" s="84"/>
      <c r="F480" s="83" t="str">
        <f t="shared" si="70"/>
        <v/>
      </c>
      <c r="G480" s="85"/>
      <c r="H480" s="83" t="str">
        <f t="shared" si="71"/>
        <v/>
      </c>
      <c r="I480" s="83" t="str">
        <f t="shared" si="72"/>
        <v/>
      </c>
      <c r="J480" s="69"/>
      <c r="K480" s="69"/>
      <c r="L480" s="78">
        <f t="shared" si="73"/>
        <v>0</v>
      </c>
      <c r="M480" s="67"/>
      <c r="O480" t="str">
        <f t="shared" si="74"/>
        <v/>
      </c>
      <c r="P480" t="str">
        <f t="shared" si="75"/>
        <v/>
      </c>
      <c r="Q480" t="str">
        <f t="shared" si="76"/>
        <v/>
      </c>
      <c r="R480" t="str">
        <f t="shared" si="77"/>
        <v/>
      </c>
    </row>
    <row r="481" spans="1:18">
      <c r="A481" s="83" t="str">
        <f>IF(C481="","",VLOOKUP('OPĆI DIO'!$C$3,'OPĆI DIO'!$L$6:$U$138,10,FALSE))</f>
        <v/>
      </c>
      <c r="B481" s="83" t="str">
        <f>IF(C481="","",VLOOKUP('OPĆI DIO'!$C$3,'OPĆI DIO'!$L$6:$U$138,9,FALSE))</f>
        <v/>
      </c>
      <c r="C481" s="84"/>
      <c r="D481" s="83" t="str">
        <f t="shared" si="69"/>
        <v/>
      </c>
      <c r="E481" s="84"/>
      <c r="F481" s="83" t="str">
        <f t="shared" si="70"/>
        <v/>
      </c>
      <c r="G481" s="85"/>
      <c r="H481" s="83" t="str">
        <f t="shared" si="71"/>
        <v/>
      </c>
      <c r="I481" s="83" t="str">
        <f t="shared" si="72"/>
        <v/>
      </c>
      <c r="J481" s="69"/>
      <c r="K481" s="69"/>
      <c r="L481" s="78">
        <f t="shared" si="73"/>
        <v>0</v>
      </c>
      <c r="M481" s="67"/>
      <c r="O481" t="str">
        <f t="shared" si="74"/>
        <v/>
      </c>
      <c r="P481" t="str">
        <f t="shared" si="75"/>
        <v/>
      </c>
      <c r="Q481" t="str">
        <f t="shared" si="76"/>
        <v/>
      </c>
      <c r="R481" t="str">
        <f t="shared" si="77"/>
        <v/>
      </c>
    </row>
    <row r="482" spans="1:18">
      <c r="A482" s="83" t="str">
        <f>IF(C482="","",VLOOKUP('OPĆI DIO'!$C$3,'OPĆI DIO'!$L$6:$U$138,10,FALSE))</f>
        <v/>
      </c>
      <c r="B482" s="83" t="str">
        <f>IF(C482="","",VLOOKUP('OPĆI DIO'!$C$3,'OPĆI DIO'!$L$6:$U$138,9,FALSE))</f>
        <v/>
      </c>
      <c r="C482" s="84"/>
      <c r="D482" s="83" t="str">
        <f t="shared" si="69"/>
        <v/>
      </c>
      <c r="E482" s="84"/>
      <c r="F482" s="83" t="str">
        <f t="shared" si="70"/>
        <v/>
      </c>
      <c r="G482" s="85"/>
      <c r="H482" s="83" t="str">
        <f t="shared" si="71"/>
        <v/>
      </c>
      <c r="I482" s="83" t="str">
        <f t="shared" si="72"/>
        <v/>
      </c>
      <c r="J482" s="69"/>
      <c r="K482" s="69"/>
      <c r="L482" s="78">
        <f t="shared" si="73"/>
        <v>0</v>
      </c>
      <c r="M482" s="67"/>
      <c r="O482" t="str">
        <f t="shared" si="74"/>
        <v/>
      </c>
      <c r="P482" t="str">
        <f t="shared" si="75"/>
        <v/>
      </c>
      <c r="Q482" t="str">
        <f t="shared" si="76"/>
        <v/>
      </c>
      <c r="R482" t="str">
        <f t="shared" si="77"/>
        <v/>
      </c>
    </row>
    <row r="483" spans="1:18">
      <c r="A483" s="83" t="str">
        <f>IF(C483="","",VLOOKUP('OPĆI DIO'!$C$3,'OPĆI DIO'!$L$6:$U$138,10,FALSE))</f>
        <v/>
      </c>
      <c r="B483" s="83" t="str">
        <f>IF(C483="","",VLOOKUP('OPĆI DIO'!$C$3,'OPĆI DIO'!$L$6:$U$138,9,FALSE))</f>
        <v/>
      </c>
      <c r="C483" s="84"/>
      <c r="D483" s="83" t="str">
        <f t="shared" si="69"/>
        <v/>
      </c>
      <c r="E483" s="84"/>
      <c r="F483" s="83" t="str">
        <f t="shared" si="70"/>
        <v/>
      </c>
      <c r="G483" s="85"/>
      <c r="H483" s="83" t="str">
        <f t="shared" si="71"/>
        <v/>
      </c>
      <c r="I483" s="83" t="str">
        <f t="shared" si="72"/>
        <v/>
      </c>
      <c r="J483" s="69"/>
      <c r="K483" s="69"/>
      <c r="L483" s="78">
        <f t="shared" si="73"/>
        <v>0</v>
      </c>
      <c r="M483" s="67"/>
      <c r="O483" t="str">
        <f t="shared" si="74"/>
        <v/>
      </c>
      <c r="P483" t="str">
        <f t="shared" si="75"/>
        <v/>
      </c>
      <c r="Q483" t="str">
        <f t="shared" si="76"/>
        <v/>
      </c>
      <c r="R483" t="str">
        <f t="shared" si="77"/>
        <v/>
      </c>
    </row>
    <row r="484" spans="1:18">
      <c r="A484" s="83" t="str">
        <f>IF(C484="","",VLOOKUP('OPĆI DIO'!$C$3,'OPĆI DIO'!$L$6:$U$138,10,FALSE))</f>
        <v/>
      </c>
      <c r="B484" s="83" t="str">
        <f>IF(C484="","",VLOOKUP('OPĆI DIO'!$C$3,'OPĆI DIO'!$L$6:$U$138,9,FALSE))</f>
        <v/>
      </c>
      <c r="C484" s="84"/>
      <c r="D484" s="83" t="str">
        <f t="shared" si="69"/>
        <v/>
      </c>
      <c r="E484" s="84"/>
      <c r="F484" s="83" t="str">
        <f t="shared" si="70"/>
        <v/>
      </c>
      <c r="G484" s="85"/>
      <c r="H484" s="83" t="str">
        <f t="shared" si="71"/>
        <v/>
      </c>
      <c r="I484" s="83" t="str">
        <f t="shared" si="72"/>
        <v/>
      </c>
      <c r="J484" s="69"/>
      <c r="K484" s="69"/>
      <c r="L484" s="78">
        <f t="shared" si="73"/>
        <v>0</v>
      </c>
      <c r="M484" s="67"/>
      <c r="O484" t="str">
        <f t="shared" si="74"/>
        <v/>
      </c>
      <c r="P484" t="str">
        <f t="shared" si="75"/>
        <v/>
      </c>
      <c r="Q484" t="str">
        <f t="shared" si="76"/>
        <v/>
      </c>
      <c r="R484" t="str">
        <f t="shared" si="77"/>
        <v/>
      </c>
    </row>
    <row r="485" spans="1:18">
      <c r="A485" s="83" t="str">
        <f>IF(C485="","",VLOOKUP('OPĆI DIO'!$C$3,'OPĆI DIO'!$L$6:$U$138,10,FALSE))</f>
        <v/>
      </c>
      <c r="B485" s="83" t="str">
        <f>IF(C485="","",VLOOKUP('OPĆI DIO'!$C$3,'OPĆI DIO'!$L$6:$U$138,9,FALSE))</f>
        <v/>
      </c>
      <c r="C485" s="84"/>
      <c r="D485" s="83" t="str">
        <f t="shared" si="69"/>
        <v/>
      </c>
      <c r="E485" s="84"/>
      <c r="F485" s="83" t="str">
        <f t="shared" si="70"/>
        <v/>
      </c>
      <c r="G485" s="85"/>
      <c r="H485" s="83" t="str">
        <f t="shared" si="71"/>
        <v/>
      </c>
      <c r="I485" s="83" t="str">
        <f t="shared" si="72"/>
        <v/>
      </c>
      <c r="J485" s="69"/>
      <c r="K485" s="69"/>
      <c r="L485" s="78">
        <f t="shared" si="73"/>
        <v>0</v>
      </c>
      <c r="M485" s="67"/>
      <c r="O485" t="str">
        <f t="shared" si="74"/>
        <v/>
      </c>
      <c r="P485" t="str">
        <f t="shared" si="75"/>
        <v/>
      </c>
      <c r="Q485" t="str">
        <f t="shared" si="76"/>
        <v/>
      </c>
      <c r="R485" t="str">
        <f t="shared" si="77"/>
        <v/>
      </c>
    </row>
    <row r="486" spans="1:18">
      <c r="A486" s="83" t="str">
        <f>IF(C486="","",VLOOKUP('OPĆI DIO'!$C$3,'OPĆI DIO'!$L$6:$U$138,10,FALSE))</f>
        <v/>
      </c>
      <c r="B486" s="83" t="str">
        <f>IF(C486="","",VLOOKUP('OPĆI DIO'!$C$3,'OPĆI DIO'!$L$6:$U$138,9,FALSE))</f>
        <v/>
      </c>
      <c r="C486" s="84"/>
      <c r="D486" s="83" t="str">
        <f t="shared" si="69"/>
        <v/>
      </c>
      <c r="E486" s="84"/>
      <c r="F486" s="83" t="str">
        <f t="shared" si="70"/>
        <v/>
      </c>
      <c r="G486" s="85"/>
      <c r="H486" s="83" t="str">
        <f t="shared" si="71"/>
        <v/>
      </c>
      <c r="I486" s="83" t="str">
        <f t="shared" si="72"/>
        <v/>
      </c>
      <c r="J486" s="69"/>
      <c r="K486" s="69"/>
      <c r="L486" s="78">
        <f t="shared" si="73"/>
        <v>0</v>
      </c>
      <c r="M486" s="67"/>
      <c r="O486" t="str">
        <f t="shared" si="74"/>
        <v/>
      </c>
      <c r="P486" t="str">
        <f t="shared" si="75"/>
        <v/>
      </c>
      <c r="Q486" t="str">
        <f t="shared" si="76"/>
        <v/>
      </c>
      <c r="R486" t="str">
        <f t="shared" si="77"/>
        <v/>
      </c>
    </row>
    <row r="487" spans="1:18">
      <c r="A487" s="83" t="str">
        <f>IF(C487="","",VLOOKUP('OPĆI DIO'!$C$3,'OPĆI DIO'!$L$6:$U$138,10,FALSE))</f>
        <v/>
      </c>
      <c r="B487" s="83" t="str">
        <f>IF(C487="","",VLOOKUP('OPĆI DIO'!$C$3,'OPĆI DIO'!$L$6:$U$138,9,FALSE))</f>
        <v/>
      </c>
      <c r="C487" s="84"/>
      <c r="D487" s="83" t="str">
        <f t="shared" si="69"/>
        <v/>
      </c>
      <c r="E487" s="84"/>
      <c r="F487" s="83" t="str">
        <f t="shared" si="70"/>
        <v/>
      </c>
      <c r="G487" s="85"/>
      <c r="H487" s="83" t="str">
        <f t="shared" si="71"/>
        <v/>
      </c>
      <c r="I487" s="83" t="str">
        <f t="shared" si="72"/>
        <v/>
      </c>
      <c r="J487" s="69"/>
      <c r="K487" s="69"/>
      <c r="L487" s="78">
        <f t="shared" si="73"/>
        <v>0</v>
      </c>
      <c r="M487" s="67"/>
      <c r="O487" t="str">
        <f t="shared" si="74"/>
        <v/>
      </c>
      <c r="P487" t="str">
        <f t="shared" si="75"/>
        <v/>
      </c>
      <c r="Q487" t="str">
        <f t="shared" si="76"/>
        <v/>
      </c>
      <c r="R487" t="str">
        <f t="shared" si="77"/>
        <v/>
      </c>
    </row>
    <row r="488" spans="1:18">
      <c r="A488" s="83" t="str">
        <f>IF(C488="","",VLOOKUP('OPĆI DIO'!$C$3,'OPĆI DIO'!$L$6:$U$138,10,FALSE))</f>
        <v/>
      </c>
      <c r="B488" s="83" t="str">
        <f>IF(C488="","",VLOOKUP('OPĆI DIO'!$C$3,'OPĆI DIO'!$L$6:$U$138,9,FALSE))</f>
        <v/>
      </c>
      <c r="C488" s="84"/>
      <c r="D488" s="83" t="str">
        <f t="shared" si="69"/>
        <v/>
      </c>
      <c r="E488" s="84"/>
      <c r="F488" s="83" t="str">
        <f t="shared" si="70"/>
        <v/>
      </c>
      <c r="G488" s="85"/>
      <c r="H488" s="83" t="str">
        <f t="shared" si="71"/>
        <v/>
      </c>
      <c r="I488" s="83" t="str">
        <f t="shared" si="72"/>
        <v/>
      </c>
      <c r="J488" s="69"/>
      <c r="K488" s="69"/>
      <c r="L488" s="78">
        <f t="shared" si="73"/>
        <v>0</v>
      </c>
      <c r="M488" s="67"/>
      <c r="O488" t="str">
        <f t="shared" si="74"/>
        <v/>
      </c>
      <c r="P488" t="str">
        <f t="shared" si="75"/>
        <v/>
      </c>
      <c r="Q488" t="str">
        <f t="shared" si="76"/>
        <v/>
      </c>
      <c r="R488" t="str">
        <f t="shared" si="77"/>
        <v/>
      </c>
    </row>
    <row r="489" spans="1:18">
      <c r="A489" s="83" t="str">
        <f>IF(C489="","",VLOOKUP('OPĆI DIO'!$C$3,'OPĆI DIO'!$L$6:$U$138,10,FALSE))</f>
        <v/>
      </c>
      <c r="B489" s="83" t="str">
        <f>IF(C489="","",VLOOKUP('OPĆI DIO'!$C$3,'OPĆI DIO'!$L$6:$U$138,9,FALSE))</f>
        <v/>
      </c>
      <c r="C489" s="84"/>
      <c r="D489" s="83" t="str">
        <f t="shared" si="69"/>
        <v/>
      </c>
      <c r="E489" s="84"/>
      <c r="F489" s="83" t="str">
        <f t="shared" si="70"/>
        <v/>
      </c>
      <c r="G489" s="85"/>
      <c r="H489" s="83" t="str">
        <f t="shared" si="71"/>
        <v/>
      </c>
      <c r="I489" s="83" t="str">
        <f t="shared" si="72"/>
        <v/>
      </c>
      <c r="J489" s="69"/>
      <c r="K489" s="69"/>
      <c r="L489" s="78">
        <f t="shared" si="73"/>
        <v>0</v>
      </c>
      <c r="M489" s="67"/>
      <c r="O489" t="str">
        <f t="shared" si="74"/>
        <v/>
      </c>
      <c r="P489" t="str">
        <f t="shared" si="75"/>
        <v/>
      </c>
      <c r="Q489" t="str">
        <f t="shared" si="76"/>
        <v/>
      </c>
      <c r="R489" t="str">
        <f t="shared" si="77"/>
        <v/>
      </c>
    </row>
    <row r="490" spans="1:18">
      <c r="A490" s="83" t="str">
        <f>IF(C490="","",VLOOKUP('OPĆI DIO'!$C$3,'OPĆI DIO'!$L$6:$U$138,10,FALSE))</f>
        <v/>
      </c>
      <c r="B490" s="83" t="str">
        <f>IF(C490="","",VLOOKUP('OPĆI DIO'!$C$3,'OPĆI DIO'!$L$6:$U$138,9,FALSE))</f>
        <v/>
      </c>
      <c r="C490" s="84"/>
      <c r="D490" s="83" t="str">
        <f t="shared" si="69"/>
        <v/>
      </c>
      <c r="E490" s="84"/>
      <c r="F490" s="83" t="str">
        <f t="shared" si="70"/>
        <v/>
      </c>
      <c r="G490" s="85"/>
      <c r="H490" s="83" t="str">
        <f t="shared" si="71"/>
        <v/>
      </c>
      <c r="I490" s="83" t="str">
        <f t="shared" si="72"/>
        <v/>
      </c>
      <c r="J490" s="69"/>
      <c r="K490" s="69"/>
      <c r="L490" s="78">
        <f t="shared" si="73"/>
        <v>0</v>
      </c>
      <c r="M490" s="67"/>
      <c r="O490" t="str">
        <f t="shared" si="74"/>
        <v/>
      </c>
      <c r="P490" t="str">
        <f t="shared" si="75"/>
        <v/>
      </c>
      <c r="Q490" t="str">
        <f t="shared" si="76"/>
        <v/>
      </c>
      <c r="R490" t="str">
        <f t="shared" si="77"/>
        <v/>
      </c>
    </row>
    <row r="491" spans="1:18">
      <c r="A491" s="83" t="str">
        <f>IF(C491="","",VLOOKUP('OPĆI DIO'!$C$3,'OPĆI DIO'!$L$6:$U$138,10,FALSE))</f>
        <v/>
      </c>
      <c r="B491" s="83" t="str">
        <f>IF(C491="","",VLOOKUP('OPĆI DIO'!$C$3,'OPĆI DIO'!$L$6:$U$138,9,FALSE))</f>
        <v/>
      </c>
      <c r="C491" s="84"/>
      <c r="D491" s="83" t="str">
        <f t="shared" si="69"/>
        <v/>
      </c>
      <c r="E491" s="84"/>
      <c r="F491" s="83" t="str">
        <f t="shared" si="70"/>
        <v/>
      </c>
      <c r="G491" s="85"/>
      <c r="H491" s="83" t="str">
        <f t="shared" si="71"/>
        <v/>
      </c>
      <c r="I491" s="83" t="str">
        <f t="shared" si="72"/>
        <v/>
      </c>
      <c r="J491" s="69"/>
      <c r="K491" s="69"/>
      <c r="L491" s="78">
        <f t="shared" si="73"/>
        <v>0</v>
      </c>
      <c r="M491" s="67"/>
      <c r="O491" t="str">
        <f t="shared" si="74"/>
        <v/>
      </c>
      <c r="P491" t="str">
        <f t="shared" si="75"/>
        <v/>
      </c>
      <c r="Q491" t="str">
        <f t="shared" si="76"/>
        <v/>
      </c>
      <c r="R491" t="str">
        <f t="shared" si="77"/>
        <v/>
      </c>
    </row>
    <row r="492" spans="1:18">
      <c r="A492" s="83" t="str">
        <f>IF(C492="","",VLOOKUP('OPĆI DIO'!$C$3,'OPĆI DIO'!$L$6:$U$138,10,FALSE))</f>
        <v/>
      </c>
      <c r="B492" s="83" t="str">
        <f>IF(C492="","",VLOOKUP('OPĆI DIO'!$C$3,'OPĆI DIO'!$L$6:$U$138,9,FALSE))</f>
        <v/>
      </c>
      <c r="C492" s="84"/>
      <c r="D492" s="83" t="str">
        <f t="shared" si="69"/>
        <v/>
      </c>
      <c r="E492" s="84"/>
      <c r="F492" s="83" t="str">
        <f t="shared" si="70"/>
        <v/>
      </c>
      <c r="G492" s="85"/>
      <c r="H492" s="83" t="str">
        <f t="shared" si="71"/>
        <v/>
      </c>
      <c r="I492" s="83" t="str">
        <f t="shared" si="72"/>
        <v/>
      </c>
      <c r="J492" s="69"/>
      <c r="K492" s="69"/>
      <c r="L492" s="78">
        <f t="shared" si="73"/>
        <v>0</v>
      </c>
      <c r="M492" s="67"/>
      <c r="O492" t="str">
        <f t="shared" si="74"/>
        <v/>
      </c>
      <c r="P492" t="str">
        <f t="shared" si="75"/>
        <v/>
      </c>
      <c r="Q492" t="str">
        <f t="shared" si="76"/>
        <v/>
      </c>
      <c r="R492" t="str">
        <f t="shared" si="77"/>
        <v/>
      </c>
    </row>
    <row r="493" spans="1:18">
      <c r="A493" s="83" t="str">
        <f>IF(C493="","",VLOOKUP('OPĆI DIO'!$C$3,'OPĆI DIO'!$L$6:$U$138,10,FALSE))</f>
        <v/>
      </c>
      <c r="B493" s="83" t="str">
        <f>IF(C493="","",VLOOKUP('OPĆI DIO'!$C$3,'OPĆI DIO'!$L$6:$U$138,9,FALSE))</f>
        <v/>
      </c>
      <c r="C493" s="84"/>
      <c r="D493" s="83" t="str">
        <f t="shared" si="69"/>
        <v/>
      </c>
      <c r="E493" s="84"/>
      <c r="F493" s="83" t="str">
        <f t="shared" si="70"/>
        <v/>
      </c>
      <c r="G493" s="85"/>
      <c r="H493" s="83" t="str">
        <f t="shared" si="71"/>
        <v/>
      </c>
      <c r="I493" s="83" t="str">
        <f t="shared" si="72"/>
        <v/>
      </c>
      <c r="J493" s="69"/>
      <c r="K493" s="69"/>
      <c r="L493" s="78">
        <f t="shared" si="73"/>
        <v>0</v>
      </c>
      <c r="M493" s="67"/>
      <c r="O493" t="str">
        <f t="shared" si="74"/>
        <v/>
      </c>
      <c r="P493" t="str">
        <f t="shared" si="75"/>
        <v/>
      </c>
      <c r="Q493" t="str">
        <f t="shared" si="76"/>
        <v/>
      </c>
      <c r="R493" t="str">
        <f t="shared" si="77"/>
        <v/>
      </c>
    </row>
    <row r="494" spans="1:18">
      <c r="A494" s="83" t="str">
        <f>IF(C494="","",VLOOKUP('OPĆI DIO'!$C$3,'OPĆI DIO'!$L$6:$U$138,10,FALSE))</f>
        <v/>
      </c>
      <c r="B494" s="83" t="str">
        <f>IF(C494="","",VLOOKUP('OPĆI DIO'!$C$3,'OPĆI DIO'!$L$6:$U$138,9,FALSE))</f>
        <v/>
      </c>
      <c r="C494" s="84"/>
      <c r="D494" s="83" t="str">
        <f t="shared" si="69"/>
        <v/>
      </c>
      <c r="E494" s="84"/>
      <c r="F494" s="83" t="str">
        <f t="shared" si="70"/>
        <v/>
      </c>
      <c r="G494" s="85"/>
      <c r="H494" s="83" t="str">
        <f t="shared" si="71"/>
        <v/>
      </c>
      <c r="I494" s="83" t="str">
        <f t="shared" si="72"/>
        <v/>
      </c>
      <c r="J494" s="69"/>
      <c r="K494" s="69"/>
      <c r="L494" s="78">
        <f t="shared" si="73"/>
        <v>0</v>
      </c>
      <c r="M494" s="67"/>
      <c r="O494" t="str">
        <f t="shared" si="74"/>
        <v/>
      </c>
      <c r="P494" t="str">
        <f t="shared" si="75"/>
        <v/>
      </c>
      <c r="Q494" t="str">
        <f t="shared" si="76"/>
        <v/>
      </c>
      <c r="R494" t="str">
        <f t="shared" si="77"/>
        <v/>
      </c>
    </row>
    <row r="495" spans="1:18">
      <c r="A495" s="83" t="str">
        <f>IF(C495="","",VLOOKUP('OPĆI DIO'!$C$3,'OPĆI DIO'!$L$6:$U$138,10,FALSE))</f>
        <v/>
      </c>
      <c r="B495" s="83" t="str">
        <f>IF(C495="","",VLOOKUP('OPĆI DIO'!$C$3,'OPĆI DIO'!$L$6:$U$138,9,FALSE))</f>
        <v/>
      </c>
      <c r="C495" s="84"/>
      <c r="D495" s="83" t="str">
        <f t="shared" si="69"/>
        <v/>
      </c>
      <c r="E495" s="84"/>
      <c r="F495" s="83" t="str">
        <f t="shared" si="70"/>
        <v/>
      </c>
      <c r="G495" s="85"/>
      <c r="H495" s="83" t="str">
        <f t="shared" si="71"/>
        <v/>
      </c>
      <c r="I495" s="83" t="str">
        <f t="shared" si="72"/>
        <v/>
      </c>
      <c r="J495" s="69"/>
      <c r="K495" s="69"/>
      <c r="L495" s="78">
        <f t="shared" si="73"/>
        <v>0</v>
      </c>
      <c r="M495" s="67"/>
      <c r="O495" t="str">
        <f t="shared" si="74"/>
        <v/>
      </c>
      <c r="P495" t="str">
        <f t="shared" si="75"/>
        <v/>
      </c>
      <c r="Q495" t="str">
        <f t="shared" si="76"/>
        <v/>
      </c>
      <c r="R495" t="str">
        <f t="shared" si="77"/>
        <v/>
      </c>
    </row>
    <row r="496" spans="1:18">
      <c r="A496" s="83" t="str">
        <f>IF(C496="","",VLOOKUP('OPĆI DIO'!$C$3,'OPĆI DIO'!$L$6:$U$138,10,FALSE))</f>
        <v/>
      </c>
      <c r="B496" s="83" t="str">
        <f>IF(C496="","",VLOOKUP('OPĆI DIO'!$C$3,'OPĆI DIO'!$L$6:$U$138,9,FALSE))</f>
        <v/>
      </c>
      <c r="C496" s="84"/>
      <c r="D496" s="83" t="str">
        <f t="shared" si="69"/>
        <v/>
      </c>
      <c r="E496" s="84"/>
      <c r="F496" s="83" t="str">
        <f t="shared" si="70"/>
        <v/>
      </c>
      <c r="G496" s="85"/>
      <c r="H496" s="83" t="str">
        <f t="shared" si="71"/>
        <v/>
      </c>
      <c r="I496" s="83" t="str">
        <f t="shared" si="72"/>
        <v/>
      </c>
      <c r="J496" s="69"/>
      <c r="K496" s="69"/>
      <c r="L496" s="78">
        <f t="shared" si="73"/>
        <v>0</v>
      </c>
      <c r="M496" s="67"/>
      <c r="O496" t="str">
        <f t="shared" si="74"/>
        <v/>
      </c>
      <c r="P496" t="str">
        <f t="shared" si="75"/>
        <v/>
      </c>
      <c r="Q496" t="str">
        <f t="shared" si="76"/>
        <v/>
      </c>
      <c r="R496" t="str">
        <f t="shared" si="77"/>
        <v/>
      </c>
    </row>
    <row r="497" spans="1:18">
      <c r="A497" s="83" t="str">
        <f>IF(C497="","",VLOOKUP('OPĆI DIO'!$C$3,'OPĆI DIO'!$L$6:$U$138,10,FALSE))</f>
        <v/>
      </c>
      <c r="B497" s="83" t="str">
        <f>IF(C497="","",VLOOKUP('OPĆI DIO'!$C$3,'OPĆI DIO'!$L$6:$U$138,9,FALSE))</f>
        <v/>
      </c>
      <c r="C497" s="84"/>
      <c r="D497" s="83" t="str">
        <f t="shared" si="69"/>
        <v/>
      </c>
      <c r="E497" s="84"/>
      <c r="F497" s="83" t="str">
        <f t="shared" si="70"/>
        <v/>
      </c>
      <c r="G497" s="85"/>
      <c r="H497" s="83" t="str">
        <f t="shared" si="71"/>
        <v/>
      </c>
      <c r="I497" s="83" t="str">
        <f t="shared" si="72"/>
        <v/>
      </c>
      <c r="J497" s="69"/>
      <c r="K497" s="69"/>
      <c r="L497" s="78">
        <f t="shared" si="73"/>
        <v>0</v>
      </c>
      <c r="M497" s="67"/>
      <c r="O497" t="str">
        <f t="shared" si="74"/>
        <v/>
      </c>
      <c r="P497" t="str">
        <f t="shared" si="75"/>
        <v/>
      </c>
      <c r="Q497" t="str">
        <f t="shared" si="76"/>
        <v/>
      </c>
      <c r="R497" t="str">
        <f t="shared" si="77"/>
        <v/>
      </c>
    </row>
    <row r="498" spans="1:18">
      <c r="A498" s="83" t="str">
        <f>IF(C498="","",VLOOKUP('OPĆI DIO'!$C$3,'OPĆI DIO'!$L$6:$U$138,10,FALSE))</f>
        <v/>
      </c>
      <c r="B498" s="83" t="str">
        <f>IF(C498="","",VLOOKUP('OPĆI DIO'!$C$3,'OPĆI DIO'!$L$6:$U$138,9,FALSE))</f>
        <v/>
      </c>
      <c r="C498" s="84"/>
      <c r="D498" s="83" t="str">
        <f t="shared" si="69"/>
        <v/>
      </c>
      <c r="E498" s="84"/>
      <c r="F498" s="83" t="str">
        <f t="shared" si="70"/>
        <v/>
      </c>
      <c r="G498" s="85"/>
      <c r="H498" s="83" t="str">
        <f t="shared" si="71"/>
        <v/>
      </c>
      <c r="I498" s="83" t="str">
        <f t="shared" si="72"/>
        <v/>
      </c>
      <c r="J498" s="69"/>
      <c r="K498" s="69"/>
      <c r="L498" s="78">
        <f t="shared" si="73"/>
        <v>0</v>
      </c>
      <c r="M498" s="67"/>
      <c r="O498" t="str">
        <f t="shared" si="74"/>
        <v/>
      </c>
      <c r="P498" t="str">
        <f t="shared" si="75"/>
        <v/>
      </c>
      <c r="Q498" t="str">
        <f t="shared" si="76"/>
        <v/>
      </c>
      <c r="R498" t="str">
        <f t="shared" si="77"/>
        <v/>
      </c>
    </row>
    <row r="499" spans="1:18">
      <c r="A499" s="83" t="str">
        <f>IF(C499="","",VLOOKUP('OPĆI DIO'!$C$3,'OPĆI DIO'!$L$6:$U$138,10,FALSE))</f>
        <v/>
      </c>
      <c r="B499" s="83" t="str">
        <f>IF(C499="","",VLOOKUP('OPĆI DIO'!$C$3,'OPĆI DIO'!$L$6:$U$138,9,FALSE))</f>
        <v/>
      </c>
      <c r="C499" s="84"/>
      <c r="D499" s="83" t="str">
        <f t="shared" si="69"/>
        <v/>
      </c>
      <c r="E499" s="84"/>
      <c r="F499" s="83" t="str">
        <f t="shared" si="70"/>
        <v/>
      </c>
      <c r="G499" s="85"/>
      <c r="H499" s="83" t="str">
        <f t="shared" si="71"/>
        <v/>
      </c>
      <c r="I499" s="83" t="str">
        <f t="shared" si="72"/>
        <v/>
      </c>
      <c r="J499" s="69"/>
      <c r="K499" s="69"/>
      <c r="L499" s="78">
        <f t="shared" si="73"/>
        <v>0</v>
      </c>
      <c r="M499" s="67"/>
      <c r="O499" t="str">
        <f t="shared" si="74"/>
        <v/>
      </c>
      <c r="P499" t="str">
        <f t="shared" si="75"/>
        <v/>
      </c>
      <c r="Q499" t="str">
        <f t="shared" si="76"/>
        <v/>
      </c>
      <c r="R499" t="str">
        <f t="shared" si="77"/>
        <v/>
      </c>
    </row>
    <row r="500" spans="1:18">
      <c r="A500" s="83" t="str">
        <f>IF(C500="","",VLOOKUP('OPĆI DIO'!$C$3,'OPĆI DIO'!$L$6:$U$138,10,FALSE))</f>
        <v/>
      </c>
      <c r="B500" s="83" t="str">
        <f>IF(C500="","",VLOOKUP('OPĆI DIO'!$C$3,'OPĆI DIO'!$L$6:$U$138,9,FALSE))</f>
        <v/>
      </c>
      <c r="C500" s="84"/>
      <c r="D500" s="83" t="str">
        <f t="shared" si="69"/>
        <v/>
      </c>
      <c r="E500" s="84"/>
      <c r="F500" s="83" t="str">
        <f t="shared" si="70"/>
        <v/>
      </c>
      <c r="G500" s="85"/>
      <c r="H500" s="83" t="str">
        <f t="shared" si="71"/>
        <v/>
      </c>
      <c r="I500" s="83" t="str">
        <f t="shared" si="72"/>
        <v/>
      </c>
      <c r="J500" s="69"/>
      <c r="K500" s="69"/>
      <c r="L500" s="78">
        <f t="shared" si="73"/>
        <v>0</v>
      </c>
      <c r="M500" s="67"/>
      <c r="O500" t="str">
        <f t="shared" si="74"/>
        <v/>
      </c>
      <c r="P500" t="str">
        <f t="shared" si="75"/>
        <v/>
      </c>
      <c r="Q500" t="str">
        <f t="shared" si="76"/>
        <v/>
      </c>
      <c r="R500" t="str">
        <f t="shared" si="77"/>
        <v/>
      </c>
    </row>
    <row r="501" spans="1:18">
      <c r="A501" s="83" t="str">
        <f>IF(C501="","",VLOOKUP('OPĆI DIO'!$C$3,'OPĆI DIO'!$L$6:$U$138,10,FALSE))</f>
        <v/>
      </c>
      <c r="B501" s="83" t="str">
        <f>IF(C501="","",VLOOKUP('OPĆI DIO'!$C$3,'OPĆI DIO'!$L$6:$U$138,9,FALSE))</f>
        <v/>
      </c>
      <c r="C501" s="84"/>
      <c r="D501" s="83" t="str">
        <f t="shared" si="69"/>
        <v/>
      </c>
      <c r="E501" s="84"/>
      <c r="F501" s="83" t="str">
        <f t="shared" si="70"/>
        <v/>
      </c>
      <c r="G501" s="85"/>
      <c r="H501" s="83" t="str">
        <f t="shared" si="71"/>
        <v/>
      </c>
      <c r="I501" s="83" t="str">
        <f t="shared" si="72"/>
        <v/>
      </c>
      <c r="J501" s="69"/>
      <c r="K501" s="69"/>
      <c r="L501" s="78">
        <f t="shared" si="73"/>
        <v>0</v>
      </c>
      <c r="M501" s="67"/>
      <c r="O501" t="str">
        <f t="shared" si="74"/>
        <v/>
      </c>
      <c r="P501" t="str">
        <f t="shared" si="75"/>
        <v/>
      </c>
      <c r="Q501" t="str">
        <f t="shared" si="76"/>
        <v/>
      </c>
      <c r="R501" t="str">
        <f t="shared" si="77"/>
        <v/>
      </c>
    </row>
    <row r="502" spans="1:18">
      <c r="C502" s="289"/>
      <c r="E502" s="289"/>
      <c r="G502" s="289"/>
      <c r="J502" s="287"/>
      <c r="K502" s="287"/>
    </row>
  </sheetData>
  <sheetProtection insertColumns="0" insertRows="0" deleteColumns="0" deleteRows="0"/>
  <mergeCells count="1">
    <mergeCell ref="A1:D1"/>
  </mergeCells>
  <conditionalFormatting sqref="M3:M501">
    <cfRule type="expression" dxfId="1" priority="1">
      <formula>IF(OR(E3=3691,E3=3692,E3=3693,E3=3694),1,0)</formula>
    </cfRule>
  </conditionalFormatting>
  <dataValidations count="5">
    <dataValidation type="list" allowBlank="1" showInputMessage="1" showErrorMessage="1" errorTitle="GREŠKA" error="U ovo polje je dozvoljen unos samo brojčanih vrijednosti (bez decimala!)" prompt="Molimo odaberite vrijednost iz padajućeg izbornika!" sqref="G3:G501" xr:uid="{A8641603-C622-411E-A99B-200E608319F0}">
      <formula1>$AB$6:$AB$327</formula1>
    </dataValidation>
    <dataValidation type="list" allowBlank="1" showInputMessage="1" showErrorMessage="1" errorTitle="GREŠKA" error="Za unos odaberite vrijednost iz padajućeg izbornika!" prompt="Molimo odaberite vrijednost iz padajućeg izbornika!" sqref="C3:C501" xr:uid="{E10BAFD4-F9EC-400C-B76B-7A5EC9BBF1A9}">
      <formula1>$S$6:$S$24</formula1>
    </dataValidation>
    <dataValidation type="list" allowBlank="1" showInputMessage="1" showErrorMessage="1" errorTitle="GREŠKA" error="Za unos odaberite vrijednost iz padajućeg izbornika!" prompt="Molimo odaberite vrijednost iz padajućeg izbornika!" sqref="E3:E501" xr:uid="{B9264ED3-2DFE-493B-9BEF-4E9C838E616F}">
      <formula1>$V$5:$V$129</formula1>
    </dataValidation>
    <dataValidation type="whole" allowBlank="1" showInputMessage="1" showErrorMessage="1" errorTitle="GREŠKA" error="U ovo polje je dozvoljen unos samo brojčanih vrijednosti (bez decimala!)" sqref="K3:K502 J3:J501" xr:uid="{1D2BBE01-46EF-4BC2-A8AF-E715D1AD395F}">
      <formula1>0</formula1>
      <formula2>10000000000</formula2>
    </dataValidation>
    <dataValidation allowBlank="1" showInputMessage="1" showErrorMessage="1" errorTitle="GREŠKA" error="U ovo polje je dozvoljen unos samo brojčanih vrijednosti (bez decimala!)" sqref="L3:L502" xr:uid="{CB1949FB-6F4C-487E-B5EA-A9AB3FE6C830}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E122854-FE7D-4C8F-9650-D7DE4D6D5BA1}">
          <x14:formula1>
            <xm:f>'KORISNICI DP'!$D$4:$D$614</xm:f>
          </x14:formula1>
          <xm:sqref>M3:M502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1D328-9F7A-494A-A8CC-188F7934169C}">
  <sheetPr codeName="Sheet4"/>
  <dimension ref="A1:AG1090"/>
  <sheetViews>
    <sheetView showGridLines="0" topLeftCell="A103" workbookViewId="0">
      <selection activeCell="K52" sqref="K52"/>
    </sheetView>
  </sheetViews>
  <sheetFormatPr defaultColWidth="0" defaultRowHeight="14.4" zeroHeight="1"/>
  <cols>
    <col min="1" max="1" width="12.88671875" customWidth="1"/>
    <col min="2" max="2" width="32.109375" customWidth="1"/>
    <col min="3" max="3" width="11.6640625" customWidth="1"/>
    <col min="4" max="4" width="25.44140625" customWidth="1"/>
    <col min="5" max="5" width="16.44140625" customWidth="1"/>
    <col min="6" max="6" width="30.33203125" customWidth="1"/>
    <col min="7" max="7" width="6.109375" bestFit="1" customWidth="1"/>
    <col min="8" max="8" width="16.44140625" style="58" customWidth="1"/>
    <col min="9" max="9" width="15.6640625" style="58" customWidth="1"/>
    <col min="10" max="10" width="15.109375" style="58" customWidth="1"/>
    <col min="11" max="11" width="33.6640625" style="58" customWidth="1"/>
    <col min="12" max="13" width="9.5546875" style="58" customWidth="1"/>
    <col min="14" max="14" width="15.109375" style="58" customWidth="1"/>
    <col min="15" max="15" width="18.33203125" style="58" customWidth="1"/>
    <col min="16" max="16" width="51.6640625" style="58" customWidth="1"/>
    <col min="17" max="17" width="9.109375" customWidth="1"/>
    <col min="18" max="16384" width="9.109375" hidden="1"/>
  </cols>
  <sheetData>
    <row r="1" spans="1:33" ht="35.25" customHeight="1">
      <c r="A1" s="306" t="s">
        <v>1022</v>
      </c>
      <c r="B1" s="306"/>
      <c r="C1" s="57" t="str">
        <f>IF(OR('OPĆI DIO'!C3="odaberite -",'OPĆI DIO'!C3=""),"Molimo odaberite proračunskog korisnika na radnom listu Opći podaci!","")</f>
        <v/>
      </c>
      <c r="J1" s="23" t="s">
        <v>38</v>
      </c>
    </row>
    <row r="2" spans="1:33" ht="57.6">
      <c r="A2" s="60" t="s">
        <v>252</v>
      </c>
      <c r="B2" s="81" t="s">
        <v>109</v>
      </c>
      <c r="C2" s="60" t="s">
        <v>110</v>
      </c>
      <c r="D2" s="81" t="s">
        <v>111</v>
      </c>
      <c r="E2" s="60" t="s">
        <v>1023</v>
      </c>
      <c r="F2" s="81" t="s">
        <v>254</v>
      </c>
      <c r="G2" s="89" t="s">
        <v>255</v>
      </c>
      <c r="H2" s="90" t="s">
        <v>43</v>
      </c>
      <c r="I2" s="90" t="s">
        <v>44</v>
      </c>
      <c r="J2" s="90" t="s">
        <v>45</v>
      </c>
      <c r="K2" s="90" t="s">
        <v>1024</v>
      </c>
      <c r="L2" s="90" t="s">
        <v>1025</v>
      </c>
      <c r="M2" s="90" t="s">
        <v>1026</v>
      </c>
      <c r="N2" s="90" t="s">
        <v>1027</v>
      </c>
      <c r="O2" s="90" t="s">
        <v>1028</v>
      </c>
      <c r="P2" s="61" t="s">
        <v>256</v>
      </c>
      <c r="R2" s="62" t="s">
        <v>113</v>
      </c>
      <c r="S2" s="62" t="s">
        <v>114</v>
      </c>
      <c r="T2" s="82"/>
    </row>
    <row r="3" spans="1:33">
      <c r="A3" s="288">
        <v>51</v>
      </c>
      <c r="B3" s="83" t="str">
        <f t="shared" ref="B3:B66" si="0">IFERROR(VLOOKUP(A3,$U$6:$V$23,2,FALSE),"")</f>
        <v>Pomoći EU</v>
      </c>
      <c r="C3" s="288">
        <v>3111</v>
      </c>
      <c r="D3" s="83" t="str">
        <f>IFERROR(VLOOKUP(C3,$X$5:$Z$129,2,FALSE),"")</f>
        <v>Plaće za redovan rad</v>
      </c>
      <c r="E3" s="290" t="s">
        <v>1029</v>
      </c>
      <c r="F3" s="83" t="str">
        <f>IFERROR(VLOOKUP(E3,$AD$6:$AE$1090,2,FALSE),"")</f>
        <v>NOVI PODPROJEKT</v>
      </c>
      <c r="G3" s="83" t="str">
        <f>IFERROR(VLOOKUP(E3,$AD$6:$AG$1090,4,FALSE),"")</f>
        <v>NOVI PODPROJEKT</v>
      </c>
      <c r="H3" s="78">
        <v>5180</v>
      </c>
      <c r="I3" s="69">
        <v>29000</v>
      </c>
      <c r="J3" s="78">
        <f>I3-H3</f>
        <v>23820</v>
      </c>
      <c r="K3" s="291" t="s">
        <v>1030</v>
      </c>
      <c r="L3" s="292" t="s">
        <v>1031</v>
      </c>
      <c r="M3" s="292"/>
      <c r="N3" s="291"/>
      <c r="O3" s="293"/>
      <c r="P3" s="286"/>
      <c r="R3" t="str">
        <f>LEFT(C3,3)</f>
        <v>311</v>
      </c>
      <c r="S3" t="str">
        <f>LEFT(C3,2)</f>
        <v>31</v>
      </c>
      <c r="T3" t="str">
        <f>MID(G3,2,2)</f>
        <v>OV</v>
      </c>
    </row>
    <row r="4" spans="1:33">
      <c r="A4" s="288">
        <v>51</v>
      </c>
      <c r="B4" s="83" t="str">
        <f t="shared" si="0"/>
        <v>Pomoći EU</v>
      </c>
      <c r="C4" s="288">
        <v>3132</v>
      </c>
      <c r="D4" s="83" t="str">
        <f t="shared" ref="D4:D67" si="1">IFERROR(VLOOKUP(C4,$X$5:$Z$129,2,FALSE),"")</f>
        <v>Doprinosi za obvezno zdravstveno osiguranje</v>
      </c>
      <c r="E4" s="290" t="s">
        <v>1029</v>
      </c>
      <c r="F4" s="83" t="str">
        <f t="shared" ref="F4:F67" si="2">IFERROR(VLOOKUP(E4,$AD$6:$AE$1090,2,FALSE),"")</f>
        <v>NOVI PODPROJEKT</v>
      </c>
      <c r="G4" s="83" t="str">
        <f t="shared" ref="G4:G67" si="3">IFERROR(VLOOKUP(E4,$AD$6:$AG$1090,4,FALSE),"")</f>
        <v>NOVI PODPROJEKT</v>
      </c>
      <c r="H4" s="78">
        <v>855</v>
      </c>
      <c r="I4" s="69">
        <v>4785</v>
      </c>
      <c r="J4" s="78">
        <f t="shared" ref="J4:J67" si="4">I4-H4</f>
        <v>3930</v>
      </c>
      <c r="K4" s="291" t="s">
        <v>1030</v>
      </c>
      <c r="L4" s="292" t="s">
        <v>1031</v>
      </c>
      <c r="M4" s="292"/>
      <c r="N4" s="291"/>
      <c r="O4" s="293"/>
      <c r="P4" s="286"/>
      <c r="R4" t="str">
        <f t="shared" ref="R4:R67" si="5">LEFT(C4,3)</f>
        <v>313</v>
      </c>
      <c r="S4" t="str">
        <f t="shared" ref="S4:S67" si="6">LEFT(C4,2)</f>
        <v>31</v>
      </c>
      <c r="T4" t="str">
        <f t="shared" ref="T4:T67" si="7">MID(G4,2,2)</f>
        <v>OV</v>
      </c>
      <c r="X4" s="86"/>
      <c r="Y4" s="86"/>
    </row>
    <row r="5" spans="1:33">
      <c r="A5" s="288"/>
      <c r="B5" s="83" t="str">
        <f t="shared" si="0"/>
        <v/>
      </c>
      <c r="C5" s="288"/>
      <c r="D5" s="83" t="str">
        <f t="shared" si="1"/>
        <v/>
      </c>
      <c r="E5" s="290"/>
      <c r="F5" s="83" t="str">
        <f t="shared" si="2"/>
        <v/>
      </c>
      <c r="G5" s="83" t="str">
        <f t="shared" si="3"/>
        <v/>
      </c>
      <c r="H5" s="78"/>
      <c r="I5" s="69"/>
      <c r="J5" s="78">
        <f t="shared" si="4"/>
        <v>0</v>
      </c>
      <c r="K5" s="291"/>
      <c r="L5" s="292"/>
      <c r="M5" s="292"/>
      <c r="N5" s="291"/>
      <c r="O5" s="293"/>
      <c r="P5" s="286"/>
      <c r="R5" t="str">
        <f t="shared" si="5"/>
        <v/>
      </c>
      <c r="S5" t="str">
        <f t="shared" si="6"/>
        <v/>
      </c>
      <c r="T5" t="str">
        <f t="shared" si="7"/>
        <v/>
      </c>
      <c r="U5" t="s">
        <v>108</v>
      </c>
      <c r="V5" t="s">
        <v>109</v>
      </c>
      <c r="X5">
        <v>3111</v>
      </c>
      <c r="Y5" t="s">
        <v>259</v>
      </c>
      <c r="AA5" t="str">
        <f t="shared" ref="AA5:AA68" si="8">LEFT(X5,2)</f>
        <v>31</v>
      </c>
      <c r="AB5" t="str">
        <f>LEFT(X5,3)</f>
        <v>311</v>
      </c>
      <c r="AD5" t="s">
        <v>260</v>
      </c>
      <c r="AE5" t="s">
        <v>254</v>
      </c>
    </row>
    <row r="6" spans="1:33">
      <c r="A6" s="288">
        <v>51</v>
      </c>
      <c r="B6" s="83" t="str">
        <f t="shared" si="0"/>
        <v>Pomoći EU</v>
      </c>
      <c r="C6" s="288">
        <v>3111</v>
      </c>
      <c r="D6" s="83" t="str">
        <f t="shared" si="1"/>
        <v>Plaće za redovan rad</v>
      </c>
      <c r="E6" s="290" t="s">
        <v>1032</v>
      </c>
      <c r="F6" s="83" t="str">
        <f t="shared" si="2"/>
        <v>ERASMUS+ SKILLSEA</v>
      </c>
      <c r="G6" s="83" t="str">
        <f t="shared" si="3"/>
        <v>0942</v>
      </c>
      <c r="H6" s="78">
        <v>6645</v>
      </c>
      <c r="I6" s="69">
        <v>12900</v>
      </c>
      <c r="J6" s="78">
        <f t="shared" si="4"/>
        <v>6255</v>
      </c>
      <c r="K6" s="291"/>
      <c r="L6" s="292" t="s">
        <v>1031</v>
      </c>
      <c r="M6" s="292" t="s">
        <v>1033</v>
      </c>
      <c r="N6" s="291" t="s">
        <v>1034</v>
      </c>
      <c r="O6" s="293"/>
      <c r="P6" s="286"/>
      <c r="R6" t="str">
        <f t="shared" si="5"/>
        <v>311</v>
      </c>
      <c r="S6" t="str">
        <f t="shared" si="6"/>
        <v>31</v>
      </c>
      <c r="T6" t="str">
        <f t="shared" si="7"/>
        <v>94</v>
      </c>
      <c r="U6">
        <v>11</v>
      </c>
      <c r="V6" t="s">
        <v>123</v>
      </c>
      <c r="X6">
        <v>3112</v>
      </c>
      <c r="Y6" t="s">
        <v>261</v>
      </c>
      <c r="AA6" t="str">
        <f t="shared" si="8"/>
        <v>31</v>
      </c>
      <c r="AB6" t="str">
        <f t="shared" ref="AB6:AB69" si="9">LEFT(X6,3)</f>
        <v>311</v>
      </c>
      <c r="AD6" t="s">
        <v>1029</v>
      </c>
      <c r="AE6" t="s">
        <v>1029</v>
      </c>
      <c r="AF6" t="s">
        <v>1029</v>
      </c>
      <c r="AG6" t="s">
        <v>1029</v>
      </c>
    </row>
    <row r="7" spans="1:33">
      <c r="A7" s="288">
        <v>51</v>
      </c>
      <c r="B7" s="83" t="str">
        <f t="shared" si="0"/>
        <v>Pomoći EU</v>
      </c>
      <c r="C7" s="288">
        <v>3132</v>
      </c>
      <c r="D7" s="83" t="str">
        <f t="shared" si="1"/>
        <v>Doprinosi za obvezno zdravstveno osiguranje</v>
      </c>
      <c r="E7" s="290" t="s">
        <v>1032</v>
      </c>
      <c r="F7" s="83" t="str">
        <f t="shared" si="2"/>
        <v>ERASMUS+ SKILLSEA</v>
      </c>
      <c r="G7" s="83" t="str">
        <f t="shared" si="3"/>
        <v>0942</v>
      </c>
      <c r="H7" s="78">
        <v>1313</v>
      </c>
      <c r="I7" s="69">
        <v>2120</v>
      </c>
      <c r="J7" s="78">
        <f t="shared" si="4"/>
        <v>807</v>
      </c>
      <c r="K7" s="291"/>
      <c r="L7" s="292" t="s">
        <v>1031</v>
      </c>
      <c r="M7" s="292" t="s">
        <v>1033</v>
      </c>
      <c r="N7" s="291" t="s">
        <v>1034</v>
      </c>
      <c r="O7" s="293"/>
      <c r="P7" s="286"/>
      <c r="R7" t="str">
        <f t="shared" si="5"/>
        <v>313</v>
      </c>
      <c r="S7" t="str">
        <f t="shared" si="6"/>
        <v>31</v>
      </c>
      <c r="T7" t="str">
        <f t="shared" si="7"/>
        <v>94</v>
      </c>
      <c r="U7">
        <v>12</v>
      </c>
      <c r="V7" t="s">
        <v>125</v>
      </c>
      <c r="X7">
        <v>3113</v>
      </c>
      <c r="Y7" t="s">
        <v>263</v>
      </c>
      <c r="AA7" t="str">
        <f t="shared" si="8"/>
        <v>31</v>
      </c>
      <c r="AB7" t="str">
        <f t="shared" si="9"/>
        <v>311</v>
      </c>
      <c r="AD7" t="s">
        <v>1035</v>
      </c>
      <c r="AE7" t="s">
        <v>1036</v>
      </c>
      <c r="AF7" t="str">
        <f>LEFT(AD7,7)</f>
        <v>K578051</v>
      </c>
      <c r="AG7" t="str">
        <f>VLOOKUP(AF7,AKT!$C$4:$E$324,3,FALSE)</f>
        <v>0150</v>
      </c>
    </row>
    <row r="8" spans="1:33">
      <c r="A8" s="288">
        <v>51</v>
      </c>
      <c r="B8" s="83" t="str">
        <f t="shared" si="0"/>
        <v>Pomoći EU</v>
      </c>
      <c r="C8" s="288">
        <v>3211</v>
      </c>
      <c r="D8" s="83" t="str">
        <f t="shared" si="1"/>
        <v>Službena putovanja</v>
      </c>
      <c r="E8" s="290" t="s">
        <v>1032</v>
      </c>
      <c r="F8" s="83" t="str">
        <f t="shared" si="2"/>
        <v>ERASMUS+ SKILLSEA</v>
      </c>
      <c r="G8" s="83" t="str">
        <f t="shared" si="3"/>
        <v>0942</v>
      </c>
      <c r="H8" s="78">
        <v>930</v>
      </c>
      <c r="I8" s="69">
        <v>3918</v>
      </c>
      <c r="J8" s="78">
        <f t="shared" si="4"/>
        <v>2988</v>
      </c>
      <c r="K8" s="291"/>
      <c r="L8" s="292" t="s">
        <v>1031</v>
      </c>
      <c r="M8" s="292" t="s">
        <v>1033</v>
      </c>
      <c r="N8" s="291" t="s">
        <v>1034</v>
      </c>
      <c r="O8" s="293"/>
      <c r="P8" s="286"/>
      <c r="R8" t="str">
        <f t="shared" si="5"/>
        <v>321</v>
      </c>
      <c r="S8" t="str">
        <f t="shared" si="6"/>
        <v>32</v>
      </c>
      <c r="T8" t="str">
        <f t="shared" si="7"/>
        <v>94</v>
      </c>
      <c r="U8">
        <v>31</v>
      </c>
      <c r="V8" t="s">
        <v>126</v>
      </c>
      <c r="X8">
        <v>3114</v>
      </c>
      <c r="Y8" t="s">
        <v>270</v>
      </c>
      <c r="AA8" t="str">
        <f t="shared" si="8"/>
        <v>31</v>
      </c>
      <c r="AB8" t="str">
        <f t="shared" si="9"/>
        <v>311</v>
      </c>
      <c r="AD8" t="s">
        <v>1037</v>
      </c>
      <c r="AE8" t="s">
        <v>1038</v>
      </c>
      <c r="AF8" t="str">
        <f t="shared" ref="AF8:AF71" si="10">LEFT(AD8,7)</f>
        <v>K578051</v>
      </c>
      <c r="AG8" t="str">
        <f>VLOOKUP(AF8,AKT!$C$4:$E$324,3,FALSE)</f>
        <v>0150</v>
      </c>
    </row>
    <row r="9" spans="1:33">
      <c r="A9" s="288"/>
      <c r="B9" s="83" t="str">
        <f t="shared" si="0"/>
        <v/>
      </c>
      <c r="C9" s="288"/>
      <c r="D9" s="83" t="str">
        <f t="shared" si="1"/>
        <v/>
      </c>
      <c r="E9" s="290"/>
      <c r="F9" s="83" t="str">
        <f t="shared" si="2"/>
        <v/>
      </c>
      <c r="G9" s="83" t="str">
        <f t="shared" si="3"/>
        <v/>
      </c>
      <c r="H9" s="78"/>
      <c r="I9" s="69"/>
      <c r="J9" s="78">
        <f t="shared" si="4"/>
        <v>0</v>
      </c>
      <c r="K9" s="291"/>
      <c r="L9" s="292"/>
      <c r="M9" s="292"/>
      <c r="N9" s="291"/>
      <c r="O9" s="293"/>
      <c r="P9" s="286"/>
      <c r="R9" t="str">
        <f t="shared" si="5"/>
        <v/>
      </c>
      <c r="S9" t="str">
        <f t="shared" si="6"/>
        <v/>
      </c>
      <c r="T9" t="str">
        <f t="shared" si="7"/>
        <v/>
      </c>
      <c r="U9">
        <v>41</v>
      </c>
      <c r="V9" t="s">
        <v>128</v>
      </c>
      <c r="X9">
        <v>3121</v>
      </c>
      <c r="Y9" t="s">
        <v>277</v>
      </c>
      <c r="AA9" t="str">
        <f t="shared" si="8"/>
        <v>31</v>
      </c>
      <c r="AB9" t="str">
        <f t="shared" si="9"/>
        <v>312</v>
      </c>
      <c r="AD9" t="s">
        <v>1039</v>
      </c>
      <c r="AE9" t="s">
        <v>1040</v>
      </c>
      <c r="AF9" t="str">
        <f t="shared" si="10"/>
        <v>K578051</v>
      </c>
      <c r="AG9" t="str">
        <f>VLOOKUP(AF9,AKT!$C$4:$E$324,3,FALSE)</f>
        <v>0150</v>
      </c>
    </row>
    <row r="10" spans="1:33">
      <c r="A10" s="288">
        <v>51</v>
      </c>
      <c r="B10" s="83" t="str">
        <f t="shared" si="0"/>
        <v>Pomoći EU</v>
      </c>
      <c r="C10" s="288">
        <v>3111</v>
      </c>
      <c r="D10" s="83" t="str">
        <f t="shared" si="1"/>
        <v>Plaće za redovan rad</v>
      </c>
      <c r="E10" s="290" t="s">
        <v>1041</v>
      </c>
      <c r="F10" s="83" t="str">
        <f t="shared" si="2"/>
        <v>INTERREG FRAMEWORK</v>
      </c>
      <c r="G10" s="83" t="str">
        <f t="shared" si="3"/>
        <v>0942</v>
      </c>
      <c r="H10" s="78">
        <v>8810</v>
      </c>
      <c r="I10" s="69">
        <v>8850</v>
      </c>
      <c r="J10" s="78">
        <f t="shared" si="4"/>
        <v>40</v>
      </c>
      <c r="K10" s="291"/>
      <c r="L10" s="292" t="s">
        <v>1031</v>
      </c>
      <c r="M10" s="292" t="s">
        <v>1033</v>
      </c>
      <c r="N10" s="291" t="s">
        <v>1042</v>
      </c>
      <c r="O10" s="293"/>
      <c r="P10" s="286"/>
      <c r="R10" t="str">
        <f t="shared" si="5"/>
        <v>311</v>
      </c>
      <c r="S10" t="str">
        <f t="shared" si="6"/>
        <v>31</v>
      </c>
      <c r="T10" t="str">
        <f t="shared" si="7"/>
        <v>94</v>
      </c>
      <c r="U10">
        <v>43</v>
      </c>
      <c r="V10" t="s">
        <v>130</v>
      </c>
      <c r="X10" s="87">
        <v>3132</v>
      </c>
      <c r="Y10" s="87" t="s">
        <v>283</v>
      </c>
      <c r="Z10" s="87"/>
      <c r="AA10" s="87" t="str">
        <f t="shared" si="8"/>
        <v>31</v>
      </c>
      <c r="AB10" s="87" t="str">
        <f t="shared" si="9"/>
        <v>313</v>
      </c>
      <c r="AD10" t="s">
        <v>1043</v>
      </c>
      <c r="AE10" t="s">
        <v>1044</v>
      </c>
      <c r="AF10" t="str">
        <f t="shared" si="10"/>
        <v>K578051</v>
      </c>
      <c r="AG10" t="str">
        <f>VLOOKUP(AF10,AKT!$C$4:$E$324,3,FALSE)</f>
        <v>0150</v>
      </c>
    </row>
    <row r="11" spans="1:33">
      <c r="A11" s="288">
        <v>51</v>
      </c>
      <c r="B11" s="83" t="str">
        <f t="shared" si="0"/>
        <v>Pomoći EU</v>
      </c>
      <c r="C11" s="288">
        <v>3132</v>
      </c>
      <c r="D11" s="83" t="str">
        <f t="shared" si="1"/>
        <v>Doprinosi za obvezno zdravstveno osiguranje</v>
      </c>
      <c r="E11" s="290" t="s">
        <v>1041</v>
      </c>
      <c r="F11" s="83" t="str">
        <f t="shared" si="2"/>
        <v>INTERREG FRAMEWORK</v>
      </c>
      <c r="G11" s="83" t="str">
        <f t="shared" si="3"/>
        <v>0942</v>
      </c>
      <c r="H11" s="78">
        <v>1740</v>
      </c>
      <c r="I11" s="69">
        <v>1457</v>
      </c>
      <c r="J11" s="78">
        <f t="shared" si="4"/>
        <v>-283</v>
      </c>
      <c r="K11" s="291"/>
      <c r="L11" s="292" t="s">
        <v>1031</v>
      </c>
      <c r="M11" s="292" t="s">
        <v>1033</v>
      </c>
      <c r="N11" s="291" t="s">
        <v>1042</v>
      </c>
      <c r="O11" s="293"/>
      <c r="P11" s="286"/>
      <c r="R11" t="str">
        <f t="shared" si="5"/>
        <v>313</v>
      </c>
      <c r="S11" t="str">
        <f t="shared" si="6"/>
        <v>31</v>
      </c>
      <c r="T11" t="str">
        <f t="shared" si="7"/>
        <v>94</v>
      </c>
      <c r="U11">
        <v>51</v>
      </c>
      <c r="V11" t="s">
        <v>132</v>
      </c>
      <c r="X11">
        <v>3211</v>
      </c>
      <c r="Y11" t="s">
        <v>287</v>
      </c>
      <c r="AA11" t="str">
        <f t="shared" si="8"/>
        <v>32</v>
      </c>
      <c r="AB11" t="str">
        <f t="shared" si="9"/>
        <v>321</v>
      </c>
      <c r="AD11" t="s">
        <v>1045</v>
      </c>
      <c r="AE11" t="s">
        <v>1046</v>
      </c>
      <c r="AF11" t="str">
        <f t="shared" si="10"/>
        <v>K578051</v>
      </c>
      <c r="AG11" t="str">
        <f>VLOOKUP(AF11,AKT!$C$4:$E$324,3,FALSE)</f>
        <v>0150</v>
      </c>
    </row>
    <row r="12" spans="1:33">
      <c r="A12" s="288"/>
      <c r="B12" s="83" t="str">
        <f t="shared" si="0"/>
        <v/>
      </c>
      <c r="C12" s="288"/>
      <c r="D12" s="83" t="str">
        <f t="shared" si="1"/>
        <v/>
      </c>
      <c r="E12" s="290"/>
      <c r="F12" s="83" t="str">
        <f t="shared" si="2"/>
        <v/>
      </c>
      <c r="G12" s="83" t="str">
        <f t="shared" si="3"/>
        <v/>
      </c>
      <c r="H12" s="78"/>
      <c r="I12" s="69"/>
      <c r="J12" s="78">
        <f t="shared" si="4"/>
        <v>0</v>
      </c>
      <c r="K12" s="291"/>
      <c r="L12" s="292"/>
      <c r="M12" s="292"/>
      <c r="N12" s="291"/>
      <c r="O12" s="293"/>
      <c r="P12" s="286"/>
      <c r="R12" t="str">
        <f t="shared" si="5"/>
        <v/>
      </c>
      <c r="S12" t="str">
        <f t="shared" si="6"/>
        <v/>
      </c>
      <c r="T12" t="str">
        <f t="shared" si="7"/>
        <v/>
      </c>
      <c r="U12">
        <v>52</v>
      </c>
      <c r="V12" t="s">
        <v>134</v>
      </c>
      <c r="X12">
        <v>3212</v>
      </c>
      <c r="Y12" t="s">
        <v>291</v>
      </c>
      <c r="AA12" t="str">
        <f t="shared" si="8"/>
        <v>32</v>
      </c>
      <c r="AB12" t="str">
        <f t="shared" si="9"/>
        <v>321</v>
      </c>
      <c r="AD12" t="s">
        <v>1047</v>
      </c>
      <c r="AE12" t="s">
        <v>1048</v>
      </c>
      <c r="AF12" t="str">
        <f t="shared" si="10"/>
        <v>K578051</v>
      </c>
      <c r="AG12" t="str">
        <f>VLOOKUP(AF12,AKT!$C$4:$E$324,3,FALSE)</f>
        <v>0150</v>
      </c>
    </row>
    <row r="13" spans="1:33">
      <c r="A13" s="288"/>
      <c r="B13" s="83" t="str">
        <f t="shared" si="0"/>
        <v/>
      </c>
      <c r="C13" s="288"/>
      <c r="D13" s="83" t="str">
        <f t="shared" si="1"/>
        <v/>
      </c>
      <c r="E13" s="290"/>
      <c r="F13" s="83" t="str">
        <f t="shared" si="2"/>
        <v/>
      </c>
      <c r="G13" s="83" t="str">
        <f t="shared" si="3"/>
        <v/>
      </c>
      <c r="H13" s="78"/>
      <c r="I13" s="69"/>
      <c r="J13" s="78">
        <f t="shared" si="4"/>
        <v>0</v>
      </c>
      <c r="K13" s="291"/>
      <c r="L13" s="292"/>
      <c r="M13" s="292"/>
      <c r="N13" s="291"/>
      <c r="O13" s="293"/>
      <c r="P13" s="286"/>
      <c r="R13" t="str">
        <f t="shared" si="5"/>
        <v/>
      </c>
      <c r="S13" t="str">
        <f t="shared" si="6"/>
        <v/>
      </c>
      <c r="T13" t="str">
        <f t="shared" si="7"/>
        <v/>
      </c>
      <c r="U13">
        <v>552</v>
      </c>
      <c r="V13" t="s">
        <v>137</v>
      </c>
      <c r="X13">
        <v>3213</v>
      </c>
      <c r="Y13" t="s">
        <v>294</v>
      </c>
      <c r="AA13" t="str">
        <f t="shared" si="8"/>
        <v>32</v>
      </c>
      <c r="AB13" t="str">
        <f t="shared" si="9"/>
        <v>321</v>
      </c>
      <c r="AD13" t="s">
        <v>1049</v>
      </c>
      <c r="AE13" t="s">
        <v>1050</v>
      </c>
      <c r="AF13" t="str">
        <f t="shared" si="10"/>
        <v>K578051</v>
      </c>
      <c r="AG13" t="str">
        <f>VLOOKUP(AF13,AKT!$C$4:$E$324,3,FALSE)</f>
        <v>0150</v>
      </c>
    </row>
    <row r="14" spans="1:33">
      <c r="A14" s="288">
        <v>51</v>
      </c>
      <c r="B14" s="83" t="str">
        <f t="shared" si="0"/>
        <v>Pomoći EU</v>
      </c>
      <c r="C14" s="288">
        <v>3237</v>
      </c>
      <c r="D14" s="83" t="str">
        <f t="shared" si="1"/>
        <v>Intelektualne i osobne usluge</v>
      </c>
      <c r="E14" s="290" t="s">
        <v>1051</v>
      </c>
      <c r="F14" s="83" t="str">
        <f t="shared" si="2"/>
        <v>INTERREG MIMOSA</v>
      </c>
      <c r="G14" s="83" t="str">
        <f t="shared" si="3"/>
        <v>0942</v>
      </c>
      <c r="H14" s="78">
        <v>1990</v>
      </c>
      <c r="I14" s="69">
        <v>7000</v>
      </c>
      <c r="J14" s="78">
        <f t="shared" si="4"/>
        <v>5010</v>
      </c>
      <c r="K14" s="291"/>
      <c r="L14" s="292" t="s">
        <v>1031</v>
      </c>
      <c r="M14" s="292" t="s">
        <v>1033</v>
      </c>
      <c r="N14" s="291" t="s">
        <v>1052</v>
      </c>
      <c r="O14" s="293"/>
      <c r="P14" s="286"/>
      <c r="R14" t="str">
        <f t="shared" si="5"/>
        <v>323</v>
      </c>
      <c r="S14" t="str">
        <f t="shared" si="6"/>
        <v>32</v>
      </c>
      <c r="T14" t="str">
        <f t="shared" si="7"/>
        <v>94</v>
      </c>
      <c r="U14">
        <v>559</v>
      </c>
      <c r="V14" t="s">
        <v>139</v>
      </c>
      <c r="X14">
        <v>3214</v>
      </c>
      <c r="Y14" t="s">
        <v>297</v>
      </c>
      <c r="AA14" t="str">
        <f t="shared" si="8"/>
        <v>32</v>
      </c>
      <c r="AB14" t="str">
        <f t="shared" si="9"/>
        <v>321</v>
      </c>
      <c r="AD14" t="s">
        <v>1053</v>
      </c>
      <c r="AE14" t="s">
        <v>1054</v>
      </c>
      <c r="AF14" t="str">
        <f t="shared" si="10"/>
        <v>K578051</v>
      </c>
      <c r="AG14" t="str">
        <f>VLOOKUP(AF14,AKT!$C$4:$E$324,3,FALSE)</f>
        <v>0150</v>
      </c>
    </row>
    <row r="15" spans="1:33">
      <c r="A15" s="288">
        <v>51</v>
      </c>
      <c r="B15" s="83" t="str">
        <f t="shared" si="0"/>
        <v>Pomoći EU</v>
      </c>
      <c r="C15" s="288">
        <v>3293</v>
      </c>
      <c r="D15" s="83" t="str">
        <f t="shared" si="1"/>
        <v>Reprezentacija</v>
      </c>
      <c r="E15" s="290" t="s">
        <v>1051</v>
      </c>
      <c r="F15" s="83" t="str">
        <f t="shared" si="2"/>
        <v>INTERREG MIMOSA</v>
      </c>
      <c r="G15" s="83" t="str">
        <f t="shared" si="3"/>
        <v>0942</v>
      </c>
      <c r="H15" s="78">
        <v>5000</v>
      </c>
      <c r="I15" s="69">
        <v>1140</v>
      </c>
      <c r="J15" s="78">
        <f t="shared" si="4"/>
        <v>-3860</v>
      </c>
      <c r="K15" s="291"/>
      <c r="L15" s="292" t="s">
        <v>1031</v>
      </c>
      <c r="M15" s="292" t="s">
        <v>1033</v>
      </c>
      <c r="N15" s="291" t="s">
        <v>1052</v>
      </c>
      <c r="O15" s="293"/>
      <c r="P15" s="286"/>
      <c r="R15" t="str">
        <f t="shared" si="5"/>
        <v>329</v>
      </c>
      <c r="S15" t="str">
        <f t="shared" si="6"/>
        <v>32</v>
      </c>
      <c r="T15" t="str">
        <f t="shared" si="7"/>
        <v>94</v>
      </c>
      <c r="U15">
        <v>561</v>
      </c>
      <c r="V15" t="s">
        <v>141</v>
      </c>
      <c r="X15">
        <v>3221</v>
      </c>
      <c r="Y15" t="s">
        <v>303</v>
      </c>
      <c r="AA15" t="str">
        <f t="shared" si="8"/>
        <v>32</v>
      </c>
      <c r="AB15" t="str">
        <f t="shared" si="9"/>
        <v>322</v>
      </c>
      <c r="AD15" t="s">
        <v>1055</v>
      </c>
      <c r="AE15" t="s">
        <v>1056</v>
      </c>
      <c r="AF15" t="str">
        <f t="shared" si="10"/>
        <v>K818050</v>
      </c>
      <c r="AG15" t="str">
        <f>VLOOKUP(AF15,AKT!$C$4:$E$324,3,FALSE)</f>
        <v>0950</v>
      </c>
    </row>
    <row r="16" spans="1:33">
      <c r="A16" s="288"/>
      <c r="B16" s="83" t="str">
        <f t="shared" si="0"/>
        <v/>
      </c>
      <c r="C16" s="288"/>
      <c r="D16" s="83" t="str">
        <f t="shared" si="1"/>
        <v/>
      </c>
      <c r="E16" s="290"/>
      <c r="F16" s="83" t="str">
        <f t="shared" si="2"/>
        <v/>
      </c>
      <c r="G16" s="83" t="str">
        <f t="shared" si="3"/>
        <v/>
      </c>
      <c r="H16" s="78"/>
      <c r="I16" s="69"/>
      <c r="J16" s="78">
        <f t="shared" si="4"/>
        <v>0</v>
      </c>
      <c r="K16" s="291"/>
      <c r="L16" s="292"/>
      <c r="M16" s="292"/>
      <c r="N16" s="291"/>
      <c r="O16" s="293"/>
      <c r="P16" s="286"/>
      <c r="R16" t="str">
        <f t="shared" si="5"/>
        <v/>
      </c>
      <c r="S16" t="str">
        <f t="shared" si="6"/>
        <v/>
      </c>
      <c r="T16" t="str">
        <f t="shared" si="7"/>
        <v/>
      </c>
      <c r="U16">
        <v>563</v>
      </c>
      <c r="V16" t="s">
        <v>143</v>
      </c>
      <c r="X16">
        <v>3222</v>
      </c>
      <c r="Y16" t="s">
        <v>306</v>
      </c>
      <c r="AA16" t="str">
        <f t="shared" si="8"/>
        <v>32</v>
      </c>
      <c r="AB16" t="str">
        <f t="shared" si="9"/>
        <v>322</v>
      </c>
      <c r="AD16" t="s">
        <v>1057</v>
      </c>
      <c r="AE16" t="s">
        <v>1058</v>
      </c>
      <c r="AF16" t="str">
        <f t="shared" si="10"/>
        <v>K818050</v>
      </c>
      <c r="AG16" t="str">
        <f>VLOOKUP(AF16,AKT!$C$4:$E$324,3,FALSE)</f>
        <v>0950</v>
      </c>
    </row>
    <row r="17" spans="1:33">
      <c r="A17" s="288">
        <v>52</v>
      </c>
      <c r="B17" s="83" t="str">
        <f t="shared" si="0"/>
        <v>Ostale pomoći</v>
      </c>
      <c r="C17" s="288">
        <v>3111</v>
      </c>
      <c r="D17" s="83" t="str">
        <f t="shared" si="1"/>
        <v>Plaće za redovan rad</v>
      </c>
      <c r="E17" s="290" t="s">
        <v>1059</v>
      </c>
      <c r="F17" s="83" t="str">
        <f t="shared" si="2"/>
        <v>INTERREG ADRION EUREKA</v>
      </c>
      <c r="G17" s="83" t="str">
        <f t="shared" si="3"/>
        <v>0942</v>
      </c>
      <c r="H17" s="78">
        <v>18200</v>
      </c>
      <c r="I17" s="69">
        <v>68910</v>
      </c>
      <c r="J17" s="78">
        <f t="shared" si="4"/>
        <v>50710</v>
      </c>
      <c r="K17" s="291"/>
      <c r="L17" s="292" t="s">
        <v>1031</v>
      </c>
      <c r="M17" s="292" t="s">
        <v>1060</v>
      </c>
      <c r="N17" s="291" t="s">
        <v>1061</v>
      </c>
      <c r="O17" s="293"/>
      <c r="P17" s="286"/>
      <c r="R17" t="str">
        <f t="shared" si="5"/>
        <v>311</v>
      </c>
      <c r="S17" t="str">
        <f t="shared" si="6"/>
        <v>31</v>
      </c>
      <c r="T17" t="str">
        <f t="shared" si="7"/>
        <v>94</v>
      </c>
      <c r="U17">
        <v>573</v>
      </c>
      <c r="V17" t="s">
        <v>146</v>
      </c>
      <c r="X17">
        <v>3223</v>
      </c>
      <c r="Y17" t="s">
        <v>313</v>
      </c>
      <c r="AA17" t="str">
        <f t="shared" si="8"/>
        <v>32</v>
      </c>
      <c r="AB17" t="str">
        <f t="shared" si="9"/>
        <v>322</v>
      </c>
      <c r="AD17" t="s">
        <v>1062</v>
      </c>
      <c r="AE17" t="s">
        <v>1063</v>
      </c>
      <c r="AF17" t="str">
        <f t="shared" si="10"/>
        <v>K818050</v>
      </c>
      <c r="AG17" t="str">
        <f>VLOOKUP(AF17,AKT!$C$4:$E$324,3,FALSE)</f>
        <v>0950</v>
      </c>
    </row>
    <row r="18" spans="1:33">
      <c r="A18" s="288">
        <v>52</v>
      </c>
      <c r="B18" s="83" t="str">
        <f t="shared" si="0"/>
        <v>Ostale pomoći</v>
      </c>
      <c r="C18" s="288">
        <v>3121</v>
      </c>
      <c r="D18" s="83" t="str">
        <f t="shared" si="1"/>
        <v>Ostali rashodi za zaposlene</v>
      </c>
      <c r="E18" s="290" t="s">
        <v>1059</v>
      </c>
      <c r="F18" s="83" t="str">
        <f t="shared" si="2"/>
        <v>INTERREG ADRION EUREKA</v>
      </c>
      <c r="G18" s="83" t="str">
        <f t="shared" si="3"/>
        <v>0942</v>
      </c>
      <c r="H18" s="78">
        <v>750</v>
      </c>
      <c r="I18" s="69">
        <v>300</v>
      </c>
      <c r="J18" s="78">
        <f t="shared" si="4"/>
        <v>-450</v>
      </c>
      <c r="K18" s="291"/>
      <c r="L18" s="292" t="s">
        <v>1031</v>
      </c>
      <c r="M18" s="292" t="s">
        <v>1060</v>
      </c>
      <c r="N18" s="291" t="s">
        <v>1061</v>
      </c>
      <c r="O18" s="293"/>
      <c r="P18" s="286"/>
      <c r="R18" t="str">
        <f t="shared" si="5"/>
        <v>312</v>
      </c>
      <c r="S18" t="str">
        <f t="shared" si="6"/>
        <v>31</v>
      </c>
      <c r="T18" t="str">
        <f t="shared" si="7"/>
        <v>94</v>
      </c>
      <c r="U18">
        <v>575</v>
      </c>
      <c r="V18" t="s">
        <v>149</v>
      </c>
      <c r="X18">
        <v>3224</v>
      </c>
      <c r="Y18" t="s">
        <v>316</v>
      </c>
      <c r="AA18" t="str">
        <f t="shared" si="8"/>
        <v>32</v>
      </c>
      <c r="AB18" t="str">
        <f t="shared" si="9"/>
        <v>322</v>
      </c>
      <c r="AD18" t="s">
        <v>1064</v>
      </c>
      <c r="AE18" t="s">
        <v>1065</v>
      </c>
      <c r="AF18" t="str">
        <f t="shared" si="10"/>
        <v>K818050</v>
      </c>
      <c r="AG18" t="str">
        <f>VLOOKUP(AF18,AKT!$C$4:$E$324,3,FALSE)</f>
        <v>0950</v>
      </c>
    </row>
    <row r="19" spans="1:33">
      <c r="A19" s="288">
        <v>52</v>
      </c>
      <c r="B19" s="83" t="str">
        <f t="shared" si="0"/>
        <v>Ostale pomoći</v>
      </c>
      <c r="C19" s="288">
        <v>3132</v>
      </c>
      <c r="D19" s="83" t="str">
        <f t="shared" si="1"/>
        <v>Doprinosi za obvezno zdravstveno osiguranje</v>
      </c>
      <c r="E19" s="290" t="s">
        <v>1059</v>
      </c>
      <c r="F19" s="83" t="str">
        <f t="shared" si="2"/>
        <v>INTERREG ADRION EUREKA</v>
      </c>
      <c r="G19" s="83" t="str">
        <f t="shared" si="3"/>
        <v>0942</v>
      </c>
      <c r="H19" s="78">
        <v>3600</v>
      </c>
      <c r="I19" s="69">
        <v>11370</v>
      </c>
      <c r="J19" s="78">
        <f t="shared" si="4"/>
        <v>7770</v>
      </c>
      <c r="K19" s="291"/>
      <c r="L19" s="292" t="s">
        <v>1031</v>
      </c>
      <c r="M19" s="292" t="s">
        <v>1060</v>
      </c>
      <c r="N19" s="291" t="s">
        <v>1061</v>
      </c>
      <c r="O19" s="293"/>
      <c r="P19" s="286"/>
      <c r="R19" t="str">
        <f t="shared" si="5"/>
        <v>313</v>
      </c>
      <c r="S19" t="str">
        <f t="shared" si="6"/>
        <v>31</v>
      </c>
      <c r="T19" t="str">
        <f t="shared" si="7"/>
        <v>94</v>
      </c>
      <c r="U19">
        <v>576</v>
      </c>
      <c r="V19" s="75" t="s">
        <v>1066</v>
      </c>
      <c r="X19">
        <v>3225</v>
      </c>
      <c r="Y19" t="s">
        <v>319</v>
      </c>
      <c r="AA19" t="str">
        <f t="shared" si="8"/>
        <v>32</v>
      </c>
      <c r="AB19" t="str">
        <f t="shared" si="9"/>
        <v>322</v>
      </c>
      <c r="AD19" t="s">
        <v>1067</v>
      </c>
      <c r="AE19" t="s">
        <v>1068</v>
      </c>
      <c r="AF19" t="str">
        <f t="shared" si="10"/>
        <v>K818050</v>
      </c>
      <c r="AG19" t="str">
        <f>VLOOKUP(AF19,AKT!$C$4:$E$324,3,FALSE)</f>
        <v>0950</v>
      </c>
    </row>
    <row r="20" spans="1:33">
      <c r="A20" s="288">
        <v>52</v>
      </c>
      <c r="B20" s="83" t="str">
        <f t="shared" si="0"/>
        <v>Ostale pomoći</v>
      </c>
      <c r="C20" s="288">
        <v>3211</v>
      </c>
      <c r="D20" s="83" t="str">
        <f t="shared" si="1"/>
        <v>Službena putovanja</v>
      </c>
      <c r="E20" s="290" t="s">
        <v>1059</v>
      </c>
      <c r="F20" s="83" t="str">
        <f t="shared" si="2"/>
        <v>INTERREG ADRION EUREKA</v>
      </c>
      <c r="G20" s="83" t="str">
        <f t="shared" si="3"/>
        <v>0942</v>
      </c>
      <c r="H20" s="78">
        <v>2655</v>
      </c>
      <c r="I20" s="69">
        <v>8028</v>
      </c>
      <c r="J20" s="78">
        <f t="shared" si="4"/>
        <v>5373</v>
      </c>
      <c r="K20" s="291"/>
      <c r="L20" s="292" t="s">
        <v>1031</v>
      </c>
      <c r="M20" s="292" t="s">
        <v>1060</v>
      </c>
      <c r="N20" s="291" t="s">
        <v>1061</v>
      </c>
      <c r="O20" s="293"/>
      <c r="P20" s="286"/>
      <c r="R20" t="str">
        <f t="shared" si="5"/>
        <v>321</v>
      </c>
      <c r="S20" t="str">
        <f t="shared" si="6"/>
        <v>32</v>
      </c>
      <c r="T20" t="str">
        <f t="shared" si="7"/>
        <v>94</v>
      </c>
      <c r="U20" s="74">
        <v>581</v>
      </c>
      <c r="V20" s="88" t="s">
        <v>155</v>
      </c>
      <c r="X20">
        <v>3226</v>
      </c>
      <c r="Y20" t="s">
        <v>322</v>
      </c>
      <c r="AA20" t="str">
        <f t="shared" si="8"/>
        <v>32</v>
      </c>
      <c r="AB20" t="str">
        <f t="shared" si="9"/>
        <v>322</v>
      </c>
      <c r="AD20" t="s">
        <v>1069</v>
      </c>
      <c r="AE20" t="s">
        <v>1070</v>
      </c>
      <c r="AF20" t="str">
        <f t="shared" si="10"/>
        <v>K818050</v>
      </c>
      <c r="AG20" t="str">
        <f>VLOOKUP(AF20,AKT!$C$4:$E$324,3,FALSE)</f>
        <v>0950</v>
      </c>
    </row>
    <row r="21" spans="1:33">
      <c r="A21" s="288"/>
      <c r="B21" s="83" t="str">
        <f t="shared" si="0"/>
        <v/>
      </c>
      <c r="C21" s="288"/>
      <c r="D21" s="83" t="str">
        <f t="shared" si="1"/>
        <v/>
      </c>
      <c r="E21" s="290"/>
      <c r="F21" s="83" t="str">
        <f t="shared" si="2"/>
        <v/>
      </c>
      <c r="G21" s="83" t="str">
        <f t="shared" si="3"/>
        <v/>
      </c>
      <c r="H21" s="78"/>
      <c r="I21" s="69"/>
      <c r="J21" s="78">
        <f t="shared" si="4"/>
        <v>0</v>
      </c>
      <c r="K21" s="291"/>
      <c r="L21" s="292"/>
      <c r="M21" s="292"/>
      <c r="N21" s="291"/>
      <c r="O21" s="293"/>
      <c r="P21" s="286"/>
      <c r="R21" t="str">
        <f t="shared" si="5"/>
        <v/>
      </c>
      <c r="S21" t="str">
        <f t="shared" si="6"/>
        <v/>
      </c>
      <c r="T21" t="str">
        <f t="shared" si="7"/>
        <v/>
      </c>
      <c r="U21">
        <v>61</v>
      </c>
      <c r="V21" t="s">
        <v>157</v>
      </c>
      <c r="X21">
        <v>3227</v>
      </c>
      <c r="Y21" t="s">
        <v>325</v>
      </c>
      <c r="AA21" t="str">
        <f t="shared" si="8"/>
        <v>32</v>
      </c>
      <c r="AB21" t="str">
        <f t="shared" si="9"/>
        <v>322</v>
      </c>
      <c r="AD21" t="s">
        <v>1071</v>
      </c>
      <c r="AE21" t="s">
        <v>1072</v>
      </c>
      <c r="AF21" t="str">
        <f t="shared" si="10"/>
        <v>K818050</v>
      </c>
      <c r="AG21" t="str">
        <f>VLOOKUP(AF21,AKT!$C$4:$E$324,3,FALSE)</f>
        <v>0950</v>
      </c>
    </row>
    <row r="22" spans="1:33">
      <c r="A22" s="288">
        <v>61</v>
      </c>
      <c r="B22" s="83" t="str">
        <f t="shared" si="0"/>
        <v>Donacije</v>
      </c>
      <c r="C22" s="288">
        <v>3111</v>
      </c>
      <c r="D22" s="83" t="str">
        <f t="shared" si="1"/>
        <v>Plaće za redovan rad</v>
      </c>
      <c r="E22" s="290" t="s">
        <v>1073</v>
      </c>
      <c r="F22" s="83" t="str">
        <f t="shared" si="2"/>
        <v>CEKOM Smart City.4DII</v>
      </c>
      <c r="G22" s="83" t="str">
        <f t="shared" si="3"/>
        <v>0942</v>
      </c>
      <c r="H22" s="78">
        <v>5150</v>
      </c>
      <c r="I22" s="69">
        <v>10654</v>
      </c>
      <c r="J22" s="78">
        <f t="shared" si="4"/>
        <v>5504</v>
      </c>
      <c r="K22" s="291"/>
      <c r="L22" s="292" t="s">
        <v>1031</v>
      </c>
      <c r="M22" s="292" t="s">
        <v>1074</v>
      </c>
      <c r="N22" s="291" t="s">
        <v>1075</v>
      </c>
      <c r="O22" s="293"/>
      <c r="P22" s="286"/>
      <c r="R22" t="str">
        <f t="shared" si="5"/>
        <v>311</v>
      </c>
      <c r="S22" t="str">
        <f t="shared" si="6"/>
        <v>31</v>
      </c>
      <c r="T22" t="str">
        <f t="shared" si="7"/>
        <v>94</v>
      </c>
      <c r="U22">
        <v>71</v>
      </c>
      <c r="V22" t="s">
        <v>161</v>
      </c>
      <c r="X22">
        <v>3231</v>
      </c>
      <c r="Y22" t="s">
        <v>328</v>
      </c>
      <c r="AA22" t="str">
        <f t="shared" si="8"/>
        <v>32</v>
      </c>
      <c r="AB22" t="str">
        <f t="shared" si="9"/>
        <v>323</v>
      </c>
      <c r="AD22" t="s">
        <v>1076</v>
      </c>
      <c r="AE22" t="s">
        <v>1077</v>
      </c>
      <c r="AF22" t="str">
        <f t="shared" si="10"/>
        <v>K818050</v>
      </c>
      <c r="AG22" t="str">
        <f>VLOOKUP(AF22,AKT!$C$4:$E$324,3,FALSE)</f>
        <v>0950</v>
      </c>
    </row>
    <row r="23" spans="1:33">
      <c r="A23" s="288">
        <v>61</v>
      </c>
      <c r="B23" s="83" t="str">
        <f t="shared" si="0"/>
        <v>Donacije</v>
      </c>
      <c r="C23" s="288">
        <v>3132</v>
      </c>
      <c r="D23" s="83" t="str">
        <f t="shared" si="1"/>
        <v>Doprinosi za obvezno zdravstveno osiguranje</v>
      </c>
      <c r="E23" s="290" t="s">
        <v>1073</v>
      </c>
      <c r="F23" s="83" t="str">
        <f t="shared" si="2"/>
        <v>CEKOM Smart City.4DII</v>
      </c>
      <c r="G23" s="83" t="str">
        <f t="shared" si="3"/>
        <v>0942</v>
      </c>
      <c r="H23" s="78">
        <v>221</v>
      </c>
      <c r="I23" s="69">
        <v>1758</v>
      </c>
      <c r="J23" s="78">
        <f t="shared" si="4"/>
        <v>1537</v>
      </c>
      <c r="K23" s="291"/>
      <c r="L23" s="292" t="s">
        <v>1031</v>
      </c>
      <c r="M23" s="292" t="s">
        <v>1074</v>
      </c>
      <c r="N23" s="291" t="s">
        <v>1075</v>
      </c>
      <c r="O23" s="293"/>
      <c r="P23" s="286"/>
      <c r="R23" t="str">
        <f t="shared" si="5"/>
        <v>313</v>
      </c>
      <c r="S23" t="str">
        <f t="shared" si="6"/>
        <v>31</v>
      </c>
      <c r="T23" t="str">
        <f t="shared" si="7"/>
        <v>94</v>
      </c>
      <c r="U23">
        <v>81</v>
      </c>
      <c r="V23" t="s">
        <v>164</v>
      </c>
      <c r="X23">
        <v>3232</v>
      </c>
      <c r="Y23" t="s">
        <v>331</v>
      </c>
      <c r="AA23" t="str">
        <f t="shared" si="8"/>
        <v>32</v>
      </c>
      <c r="AB23" t="str">
        <f t="shared" si="9"/>
        <v>323</v>
      </c>
      <c r="AD23" t="s">
        <v>1078</v>
      </c>
      <c r="AE23" t="s">
        <v>1079</v>
      </c>
      <c r="AF23" t="str">
        <f t="shared" si="10"/>
        <v>K818050</v>
      </c>
      <c r="AG23" t="str">
        <f>VLOOKUP(AF23,AKT!$C$4:$E$324,3,FALSE)</f>
        <v>0950</v>
      </c>
    </row>
    <row r="24" spans="1:33">
      <c r="A24" s="288">
        <v>61</v>
      </c>
      <c r="B24" s="83" t="str">
        <f t="shared" si="0"/>
        <v>Donacije</v>
      </c>
      <c r="C24" s="288">
        <v>3211</v>
      </c>
      <c r="D24" s="83" t="str">
        <f t="shared" si="1"/>
        <v>Službena putovanja</v>
      </c>
      <c r="E24" s="290" t="s">
        <v>1073</v>
      </c>
      <c r="F24" s="83" t="str">
        <f t="shared" si="2"/>
        <v>CEKOM Smart City.4DII</v>
      </c>
      <c r="G24" s="83" t="str">
        <f t="shared" si="3"/>
        <v>0942</v>
      </c>
      <c r="H24" s="78">
        <v>850</v>
      </c>
      <c r="I24" s="69"/>
      <c r="J24" s="78">
        <f t="shared" si="4"/>
        <v>-850</v>
      </c>
      <c r="K24" s="291"/>
      <c r="L24" s="292" t="s">
        <v>1031</v>
      </c>
      <c r="M24" s="292" t="s">
        <v>1074</v>
      </c>
      <c r="N24" s="291" t="s">
        <v>1075</v>
      </c>
      <c r="O24" s="293"/>
      <c r="P24" s="286"/>
      <c r="R24" t="str">
        <f t="shared" si="5"/>
        <v>321</v>
      </c>
      <c r="S24" t="str">
        <f t="shared" si="6"/>
        <v>32</v>
      </c>
      <c r="T24" t="str">
        <f t="shared" si="7"/>
        <v>94</v>
      </c>
      <c r="U24" s="94">
        <v>83</v>
      </c>
      <c r="V24" s="94" t="s">
        <v>1080</v>
      </c>
      <c r="X24">
        <v>3233</v>
      </c>
      <c r="Y24" t="s">
        <v>334</v>
      </c>
      <c r="AA24" t="str">
        <f t="shared" si="8"/>
        <v>32</v>
      </c>
      <c r="AB24" t="str">
        <f t="shared" si="9"/>
        <v>323</v>
      </c>
      <c r="AD24" t="s">
        <v>1081</v>
      </c>
      <c r="AE24" t="s">
        <v>1082</v>
      </c>
      <c r="AF24" t="str">
        <f t="shared" si="10"/>
        <v>K818050</v>
      </c>
      <c r="AG24" t="str">
        <f>VLOOKUP(AF24,AKT!$C$4:$E$324,3,FALSE)</f>
        <v>0950</v>
      </c>
    </row>
    <row r="25" spans="1:33">
      <c r="A25" s="288"/>
      <c r="B25" s="83" t="str">
        <f t="shared" si="0"/>
        <v/>
      </c>
      <c r="C25" s="288"/>
      <c r="D25" s="83" t="str">
        <f t="shared" si="1"/>
        <v/>
      </c>
      <c r="E25" s="290"/>
      <c r="F25" s="83" t="str">
        <f t="shared" si="2"/>
        <v/>
      </c>
      <c r="G25" s="83" t="str">
        <f t="shared" si="3"/>
        <v/>
      </c>
      <c r="H25" s="78"/>
      <c r="I25" s="69"/>
      <c r="J25" s="78">
        <f t="shared" si="4"/>
        <v>0</v>
      </c>
      <c r="K25" s="291"/>
      <c r="L25" s="292"/>
      <c r="M25" s="292"/>
      <c r="N25" s="291"/>
      <c r="O25" s="293"/>
      <c r="P25" s="286"/>
      <c r="R25" t="str">
        <f t="shared" si="5"/>
        <v/>
      </c>
      <c r="S25" t="str">
        <f t="shared" si="6"/>
        <v/>
      </c>
      <c r="T25" t="str">
        <f t="shared" si="7"/>
        <v/>
      </c>
      <c r="X25">
        <v>3234</v>
      </c>
      <c r="Y25" t="s">
        <v>339</v>
      </c>
      <c r="AA25" t="str">
        <f t="shared" si="8"/>
        <v>32</v>
      </c>
      <c r="AB25" t="str">
        <f t="shared" si="9"/>
        <v>323</v>
      </c>
      <c r="AD25" t="s">
        <v>1083</v>
      </c>
      <c r="AE25" t="s">
        <v>1084</v>
      </c>
      <c r="AF25" t="str">
        <f t="shared" si="10"/>
        <v>K818050</v>
      </c>
      <c r="AG25" t="str">
        <f>VLOOKUP(AF25,AKT!$C$4:$E$324,3,FALSE)</f>
        <v>0950</v>
      </c>
    </row>
    <row r="26" spans="1:33">
      <c r="A26" s="288">
        <v>52</v>
      </c>
      <c r="B26" s="83" t="str">
        <f t="shared" si="0"/>
        <v>Ostale pomoći</v>
      </c>
      <c r="C26" s="288">
        <v>3111</v>
      </c>
      <c r="D26" s="83" t="str">
        <f t="shared" si="1"/>
        <v>Plaće za redovan rad</v>
      </c>
      <c r="E26" s="290" t="s">
        <v>1085</v>
      </c>
      <c r="F26" s="83" t="str">
        <f t="shared" si="2"/>
        <v>OPK Konkurentnost i kohezija ProtectAS</v>
      </c>
      <c r="G26" s="83" t="str">
        <f t="shared" si="3"/>
        <v>0942</v>
      </c>
      <c r="H26" s="78">
        <v>5085</v>
      </c>
      <c r="I26" s="69">
        <v>5900</v>
      </c>
      <c r="J26" s="78">
        <f t="shared" si="4"/>
        <v>815</v>
      </c>
      <c r="K26" s="291"/>
      <c r="L26" s="292" t="s">
        <v>1031</v>
      </c>
      <c r="M26" s="292" t="s">
        <v>1086</v>
      </c>
      <c r="N26" s="291" t="s">
        <v>1087</v>
      </c>
      <c r="O26" s="293"/>
      <c r="P26" s="286"/>
      <c r="R26" t="str">
        <f t="shared" si="5"/>
        <v>311</v>
      </c>
      <c r="S26" t="str">
        <f t="shared" si="6"/>
        <v>31</v>
      </c>
      <c r="T26" t="str">
        <f t="shared" si="7"/>
        <v>94</v>
      </c>
      <c r="X26">
        <v>3235</v>
      </c>
      <c r="Y26" t="s">
        <v>342</v>
      </c>
      <c r="AA26" t="str">
        <f t="shared" si="8"/>
        <v>32</v>
      </c>
      <c r="AB26" t="str">
        <f t="shared" si="9"/>
        <v>323</v>
      </c>
      <c r="AD26" t="s">
        <v>1088</v>
      </c>
      <c r="AE26" t="s">
        <v>1089</v>
      </c>
      <c r="AF26" t="str">
        <f t="shared" si="10"/>
        <v>K818050</v>
      </c>
      <c r="AG26" t="str">
        <f>VLOOKUP(AF26,AKT!$C$4:$E$324,3,FALSE)</f>
        <v>0950</v>
      </c>
    </row>
    <row r="27" spans="1:33">
      <c r="A27" s="288">
        <v>52</v>
      </c>
      <c r="B27" s="83" t="str">
        <f t="shared" si="0"/>
        <v>Ostale pomoći</v>
      </c>
      <c r="C27" s="288">
        <v>3132</v>
      </c>
      <c r="D27" s="83" t="str">
        <f t="shared" si="1"/>
        <v>Doprinosi za obvezno zdravstveno osiguranje</v>
      </c>
      <c r="E27" s="290" t="s">
        <v>1085</v>
      </c>
      <c r="F27" s="83" t="str">
        <f t="shared" si="2"/>
        <v>OPK Konkurentnost i kohezija ProtectAS</v>
      </c>
      <c r="G27" s="83" t="str">
        <f t="shared" si="3"/>
        <v>0942</v>
      </c>
      <c r="H27" s="78">
        <v>1005</v>
      </c>
      <c r="I27" s="69">
        <v>973</v>
      </c>
      <c r="J27" s="78">
        <f t="shared" si="4"/>
        <v>-32</v>
      </c>
      <c r="K27" s="291"/>
      <c r="L27" s="292" t="s">
        <v>1031</v>
      </c>
      <c r="M27" s="292" t="s">
        <v>1086</v>
      </c>
      <c r="N27" s="291" t="s">
        <v>1087</v>
      </c>
      <c r="O27" s="293"/>
      <c r="P27" s="286"/>
      <c r="R27" t="str">
        <f t="shared" si="5"/>
        <v>313</v>
      </c>
      <c r="S27" t="str">
        <f t="shared" si="6"/>
        <v>31</v>
      </c>
      <c r="T27" t="str">
        <f t="shared" si="7"/>
        <v>94</v>
      </c>
      <c r="X27">
        <v>3236</v>
      </c>
      <c r="Y27" t="s">
        <v>345</v>
      </c>
      <c r="AA27" t="str">
        <f t="shared" si="8"/>
        <v>32</v>
      </c>
      <c r="AB27" t="str">
        <f t="shared" si="9"/>
        <v>323</v>
      </c>
      <c r="AD27" t="s">
        <v>1090</v>
      </c>
      <c r="AE27" t="s">
        <v>1091</v>
      </c>
      <c r="AF27" t="str">
        <f t="shared" si="10"/>
        <v>K818050</v>
      </c>
      <c r="AG27" t="str">
        <f>VLOOKUP(AF27,AKT!$C$4:$E$324,3,FALSE)</f>
        <v>0950</v>
      </c>
    </row>
    <row r="28" spans="1:33">
      <c r="A28" s="288"/>
      <c r="B28" s="83" t="str">
        <f t="shared" si="0"/>
        <v/>
      </c>
      <c r="C28" s="288"/>
      <c r="D28" s="83" t="str">
        <f t="shared" si="1"/>
        <v/>
      </c>
      <c r="E28" s="290"/>
      <c r="F28" s="83" t="str">
        <f t="shared" si="2"/>
        <v/>
      </c>
      <c r="G28" s="83" t="str">
        <f t="shared" si="3"/>
        <v/>
      </c>
      <c r="H28" s="78"/>
      <c r="I28" s="69"/>
      <c r="J28" s="78">
        <f t="shared" si="4"/>
        <v>0</v>
      </c>
      <c r="K28" s="291"/>
      <c r="L28" s="292"/>
      <c r="M28" s="292"/>
      <c r="N28" s="291"/>
      <c r="O28" s="293"/>
      <c r="P28" s="286"/>
      <c r="R28" t="str">
        <f t="shared" si="5"/>
        <v/>
      </c>
      <c r="S28" t="str">
        <f t="shared" si="6"/>
        <v/>
      </c>
      <c r="T28" t="str">
        <f t="shared" si="7"/>
        <v/>
      </c>
      <c r="X28">
        <v>3237</v>
      </c>
      <c r="Y28" t="s">
        <v>348</v>
      </c>
      <c r="AA28" t="str">
        <f t="shared" si="8"/>
        <v>32</v>
      </c>
      <c r="AB28" t="str">
        <f t="shared" si="9"/>
        <v>323</v>
      </c>
      <c r="AD28" t="s">
        <v>1092</v>
      </c>
      <c r="AE28" t="s">
        <v>1093</v>
      </c>
      <c r="AF28" t="str">
        <f t="shared" si="10"/>
        <v>K818050</v>
      </c>
      <c r="AG28" t="str">
        <f>VLOOKUP(AF28,AKT!$C$4:$E$324,3,FALSE)</f>
        <v>0950</v>
      </c>
    </row>
    <row r="29" spans="1:33">
      <c r="A29" s="288">
        <v>561</v>
      </c>
      <c r="B29" s="83" t="str">
        <f t="shared" si="0"/>
        <v>Europski socijalni fond (ESF)</v>
      </c>
      <c r="C29" s="288">
        <v>3111</v>
      </c>
      <c r="D29" s="83" t="str">
        <f t="shared" si="1"/>
        <v>Plaće za redovan rad</v>
      </c>
      <c r="E29" s="290" t="s">
        <v>1094</v>
      </c>
      <c r="F29" s="83" t="str">
        <f t="shared" si="2"/>
        <v>Razvoj, unapređenje i provedba stručne prakse u visokom obrazovanju</v>
      </c>
      <c r="G29" s="83" t="str">
        <f t="shared" si="3"/>
        <v>0942</v>
      </c>
      <c r="H29" s="78">
        <v>92038</v>
      </c>
      <c r="I29" s="69">
        <v>28116</v>
      </c>
      <c r="J29" s="78">
        <f t="shared" si="4"/>
        <v>-63922</v>
      </c>
      <c r="K29" s="291" t="s">
        <v>1095</v>
      </c>
      <c r="L29" s="292" t="s">
        <v>1031</v>
      </c>
      <c r="M29" s="292" t="s">
        <v>1096</v>
      </c>
      <c r="N29" s="291" t="s">
        <v>1097</v>
      </c>
      <c r="O29" s="293"/>
      <c r="P29" s="286"/>
      <c r="R29" t="str">
        <f t="shared" si="5"/>
        <v>311</v>
      </c>
      <c r="S29" t="str">
        <f t="shared" si="6"/>
        <v>31</v>
      </c>
      <c r="T29" t="str">
        <f t="shared" si="7"/>
        <v>94</v>
      </c>
      <c r="X29">
        <v>3238</v>
      </c>
      <c r="Y29" t="s">
        <v>351</v>
      </c>
      <c r="AA29" t="str">
        <f t="shared" si="8"/>
        <v>32</v>
      </c>
      <c r="AB29" t="str">
        <f t="shared" si="9"/>
        <v>323</v>
      </c>
      <c r="AD29" t="s">
        <v>1098</v>
      </c>
      <c r="AE29" t="s">
        <v>1099</v>
      </c>
      <c r="AF29" t="str">
        <f t="shared" si="10"/>
        <v>K818050</v>
      </c>
      <c r="AG29" t="str">
        <f>VLOOKUP(AF29,AKT!$C$4:$E$324,3,FALSE)</f>
        <v>0950</v>
      </c>
    </row>
    <row r="30" spans="1:33">
      <c r="A30" s="288">
        <v>561</v>
      </c>
      <c r="B30" s="83" t="str">
        <f t="shared" si="0"/>
        <v>Europski socijalni fond (ESF)</v>
      </c>
      <c r="C30" s="288">
        <v>3132</v>
      </c>
      <c r="D30" s="83" t="str">
        <f t="shared" si="1"/>
        <v>Doprinosi za obvezno zdravstveno osiguranje</v>
      </c>
      <c r="E30" s="290" t="s">
        <v>1094</v>
      </c>
      <c r="F30" s="83" t="str">
        <f t="shared" si="2"/>
        <v>Razvoj, unapređenje i provedba stručne prakse u visokom obrazovanju</v>
      </c>
      <c r="G30" s="83" t="str">
        <f t="shared" si="3"/>
        <v>0942</v>
      </c>
      <c r="H30" s="78">
        <v>15186</v>
      </c>
      <c r="I30" s="69">
        <v>4639</v>
      </c>
      <c r="J30" s="78">
        <f t="shared" si="4"/>
        <v>-10547</v>
      </c>
      <c r="K30" s="291" t="s">
        <v>1095</v>
      </c>
      <c r="L30" s="292" t="s">
        <v>1031</v>
      </c>
      <c r="M30" s="292" t="s">
        <v>1096</v>
      </c>
      <c r="N30" s="291" t="s">
        <v>1097</v>
      </c>
      <c r="O30" s="293"/>
      <c r="P30" s="286"/>
      <c r="R30" t="str">
        <f t="shared" si="5"/>
        <v>313</v>
      </c>
      <c r="S30" t="str">
        <f t="shared" si="6"/>
        <v>31</v>
      </c>
      <c r="T30" t="str">
        <f t="shared" si="7"/>
        <v>94</v>
      </c>
      <c r="X30">
        <v>3239</v>
      </c>
      <c r="Y30" t="s">
        <v>354</v>
      </c>
      <c r="AA30" t="str">
        <f t="shared" si="8"/>
        <v>32</v>
      </c>
      <c r="AB30" t="str">
        <f t="shared" si="9"/>
        <v>323</v>
      </c>
      <c r="AD30" t="s">
        <v>1100</v>
      </c>
      <c r="AE30" t="s">
        <v>1101</v>
      </c>
      <c r="AF30" t="str">
        <f t="shared" si="10"/>
        <v>K818050</v>
      </c>
      <c r="AG30" t="str">
        <f>VLOOKUP(AF30,AKT!$C$4:$E$324,3,FALSE)</f>
        <v>0950</v>
      </c>
    </row>
    <row r="31" spans="1:33">
      <c r="A31" s="288"/>
      <c r="B31" s="83" t="str">
        <f t="shared" si="0"/>
        <v/>
      </c>
      <c r="C31" s="288"/>
      <c r="D31" s="83" t="str">
        <f t="shared" si="1"/>
        <v/>
      </c>
      <c r="E31" s="290"/>
      <c r="F31" s="83" t="str">
        <f t="shared" si="2"/>
        <v/>
      </c>
      <c r="G31" s="83" t="str">
        <f t="shared" si="3"/>
        <v/>
      </c>
      <c r="H31" s="78"/>
      <c r="I31" s="69"/>
      <c r="J31" s="78">
        <f t="shared" si="4"/>
        <v>0</v>
      </c>
      <c r="K31" s="291"/>
      <c r="L31" s="292"/>
      <c r="M31" s="292"/>
      <c r="N31" s="291"/>
      <c r="O31" s="293"/>
      <c r="P31" s="286"/>
      <c r="R31" t="str">
        <f t="shared" si="5"/>
        <v/>
      </c>
      <c r="S31" t="str">
        <f t="shared" si="6"/>
        <v/>
      </c>
      <c r="T31" t="str">
        <f t="shared" si="7"/>
        <v/>
      </c>
      <c r="X31">
        <v>3241</v>
      </c>
      <c r="Y31" t="s">
        <v>357</v>
      </c>
      <c r="AA31" t="str">
        <f t="shared" si="8"/>
        <v>32</v>
      </c>
      <c r="AB31" t="str">
        <f t="shared" si="9"/>
        <v>324</v>
      </c>
      <c r="AD31" t="s">
        <v>1102</v>
      </c>
      <c r="AE31" t="s">
        <v>1103</v>
      </c>
      <c r="AF31" t="str">
        <f t="shared" si="10"/>
        <v>K818050</v>
      </c>
      <c r="AG31" t="str">
        <f>VLOOKUP(AF31,AKT!$C$4:$E$324,3,FALSE)</f>
        <v>0950</v>
      </c>
    </row>
    <row r="32" spans="1:33">
      <c r="A32" s="288">
        <v>12</v>
      </c>
      <c r="B32" s="83" t="str">
        <f t="shared" si="0"/>
        <v>Sredstva učešća za pomoći</v>
      </c>
      <c r="C32" s="288">
        <v>3111</v>
      </c>
      <c r="D32" s="83" t="str">
        <f t="shared" si="1"/>
        <v>Plaće za redovan rad</v>
      </c>
      <c r="E32" s="290" t="s">
        <v>1094</v>
      </c>
      <c r="F32" s="83" t="str">
        <f t="shared" si="2"/>
        <v>Razvoj, unapređenje i provedba stručne prakse u visokom obrazovanju</v>
      </c>
      <c r="G32" s="83" t="str">
        <f t="shared" si="3"/>
        <v>0942</v>
      </c>
      <c r="H32" s="78">
        <v>16242</v>
      </c>
      <c r="I32" s="69">
        <v>4961</v>
      </c>
      <c r="J32" s="78">
        <f t="shared" si="4"/>
        <v>-11281</v>
      </c>
      <c r="K32" s="291" t="s">
        <v>1095</v>
      </c>
      <c r="L32" s="292" t="s">
        <v>1031</v>
      </c>
      <c r="M32" s="292" t="s">
        <v>1096</v>
      </c>
      <c r="N32" s="291" t="s">
        <v>1097</v>
      </c>
      <c r="O32" s="293"/>
      <c r="P32" s="286"/>
      <c r="R32" t="str">
        <f t="shared" si="5"/>
        <v>311</v>
      </c>
      <c r="S32" t="str">
        <f t="shared" si="6"/>
        <v>31</v>
      </c>
      <c r="T32" t="str">
        <f t="shared" si="7"/>
        <v>94</v>
      </c>
      <c r="X32">
        <v>3291</v>
      </c>
      <c r="Y32" t="s">
        <v>360</v>
      </c>
      <c r="AA32" t="str">
        <f t="shared" si="8"/>
        <v>32</v>
      </c>
      <c r="AB32" t="str">
        <f t="shared" si="9"/>
        <v>329</v>
      </c>
      <c r="AD32" t="s">
        <v>1104</v>
      </c>
      <c r="AE32" t="s">
        <v>1105</v>
      </c>
      <c r="AF32" t="str">
        <f t="shared" si="10"/>
        <v>K818050</v>
      </c>
      <c r="AG32" t="str">
        <f>VLOOKUP(AF32,AKT!$C$4:$E$324,3,FALSE)</f>
        <v>0950</v>
      </c>
    </row>
    <row r="33" spans="1:33">
      <c r="A33" s="288">
        <v>12</v>
      </c>
      <c r="B33" s="83" t="str">
        <f t="shared" si="0"/>
        <v>Sredstva učešća za pomoći</v>
      </c>
      <c r="C33" s="288">
        <v>3132</v>
      </c>
      <c r="D33" s="83" t="str">
        <f t="shared" si="1"/>
        <v>Doprinosi za obvezno zdravstveno osiguranje</v>
      </c>
      <c r="E33" s="290" t="s">
        <v>1094</v>
      </c>
      <c r="F33" s="83" t="str">
        <f t="shared" si="2"/>
        <v>Razvoj, unapređenje i provedba stručne prakse u visokom obrazovanju</v>
      </c>
      <c r="G33" s="83" t="str">
        <f t="shared" si="3"/>
        <v>0942</v>
      </c>
      <c r="H33" s="78">
        <v>2680</v>
      </c>
      <c r="I33" s="69">
        <v>819</v>
      </c>
      <c r="J33" s="78">
        <f t="shared" si="4"/>
        <v>-1861</v>
      </c>
      <c r="K33" s="291" t="s">
        <v>1095</v>
      </c>
      <c r="L33" s="292" t="s">
        <v>1031</v>
      </c>
      <c r="M33" s="292" t="s">
        <v>1096</v>
      </c>
      <c r="N33" s="291" t="s">
        <v>1097</v>
      </c>
      <c r="O33" s="293"/>
      <c r="P33" s="286"/>
      <c r="R33" t="str">
        <f t="shared" si="5"/>
        <v>313</v>
      </c>
      <c r="S33" t="str">
        <f t="shared" si="6"/>
        <v>31</v>
      </c>
      <c r="T33" t="str">
        <f t="shared" si="7"/>
        <v>94</v>
      </c>
      <c r="X33">
        <v>3292</v>
      </c>
      <c r="Y33" t="s">
        <v>363</v>
      </c>
      <c r="AA33" t="str">
        <f t="shared" si="8"/>
        <v>32</v>
      </c>
      <c r="AB33" t="str">
        <f t="shared" si="9"/>
        <v>329</v>
      </c>
      <c r="AD33" t="s">
        <v>1106</v>
      </c>
      <c r="AE33" t="s">
        <v>1107</v>
      </c>
      <c r="AF33" t="str">
        <f t="shared" si="10"/>
        <v>K818050</v>
      </c>
      <c r="AG33" t="str">
        <f>VLOOKUP(AF33,AKT!$C$4:$E$324,3,FALSE)</f>
        <v>0950</v>
      </c>
    </row>
    <row r="34" spans="1:33">
      <c r="A34" s="288"/>
      <c r="B34" s="83" t="str">
        <f t="shared" si="0"/>
        <v/>
      </c>
      <c r="C34" s="288"/>
      <c r="D34" s="83" t="str">
        <f t="shared" si="1"/>
        <v/>
      </c>
      <c r="E34" s="290"/>
      <c r="F34" s="83" t="str">
        <f t="shared" si="2"/>
        <v/>
      </c>
      <c r="G34" s="83" t="str">
        <f t="shared" si="3"/>
        <v/>
      </c>
      <c r="H34" s="78"/>
      <c r="I34" s="69"/>
      <c r="J34" s="78">
        <f t="shared" si="4"/>
        <v>0</v>
      </c>
      <c r="K34" s="291"/>
      <c r="L34" s="292"/>
      <c r="M34" s="292"/>
      <c r="N34" s="291"/>
      <c r="O34" s="293"/>
      <c r="P34" s="286"/>
      <c r="R34" t="str">
        <f t="shared" si="5"/>
        <v/>
      </c>
      <c r="S34" t="str">
        <f t="shared" si="6"/>
        <v/>
      </c>
      <c r="T34" t="str">
        <f t="shared" si="7"/>
        <v/>
      </c>
      <c r="X34">
        <v>3293</v>
      </c>
      <c r="Y34" t="s">
        <v>366</v>
      </c>
      <c r="AA34" t="str">
        <f t="shared" si="8"/>
        <v>32</v>
      </c>
      <c r="AB34" t="str">
        <f t="shared" si="9"/>
        <v>329</v>
      </c>
      <c r="AD34" t="s">
        <v>1108</v>
      </c>
      <c r="AE34" t="s">
        <v>1109</v>
      </c>
      <c r="AF34" t="str">
        <f t="shared" si="10"/>
        <v>K818050</v>
      </c>
      <c r="AG34" t="str">
        <f>VLOOKUP(AF34,AKT!$C$4:$E$324,3,FALSE)</f>
        <v>0950</v>
      </c>
    </row>
    <row r="35" spans="1:33">
      <c r="A35" s="288">
        <v>52</v>
      </c>
      <c r="B35" s="83" t="str">
        <f t="shared" si="0"/>
        <v>Ostale pomoći</v>
      </c>
      <c r="C35" s="288">
        <v>3111</v>
      </c>
      <c r="D35" s="83" t="str">
        <f t="shared" si="1"/>
        <v>Plaće za redovan rad</v>
      </c>
      <c r="E35" s="290" t="s">
        <v>1029</v>
      </c>
      <c r="F35" s="83" t="str">
        <f t="shared" si="2"/>
        <v>NOVI PODPROJEKT</v>
      </c>
      <c r="G35" s="83" t="str">
        <f t="shared" si="3"/>
        <v>NOVI PODPROJEKT</v>
      </c>
      <c r="H35" s="78">
        <v>11536</v>
      </c>
      <c r="I35" s="69"/>
      <c r="J35" s="78">
        <f t="shared" si="4"/>
        <v>-11536</v>
      </c>
      <c r="K35" s="291" t="s">
        <v>1110</v>
      </c>
      <c r="L35" s="292" t="s">
        <v>1031</v>
      </c>
      <c r="M35" s="292" t="s">
        <v>1086</v>
      </c>
      <c r="N35" s="291" t="s">
        <v>1111</v>
      </c>
      <c r="O35" s="293"/>
      <c r="P35" s="286"/>
      <c r="R35" t="str">
        <f t="shared" si="5"/>
        <v>311</v>
      </c>
      <c r="S35" t="str">
        <f t="shared" si="6"/>
        <v>31</v>
      </c>
      <c r="T35" t="str">
        <f t="shared" si="7"/>
        <v>OV</v>
      </c>
      <c r="X35">
        <v>3293</v>
      </c>
      <c r="Y35" t="s">
        <v>369</v>
      </c>
      <c r="AA35" t="str">
        <f t="shared" si="8"/>
        <v>32</v>
      </c>
      <c r="AB35" t="str">
        <f t="shared" si="9"/>
        <v>329</v>
      </c>
      <c r="AD35" t="s">
        <v>1112</v>
      </c>
      <c r="AE35" t="s">
        <v>1113</v>
      </c>
      <c r="AF35" t="str">
        <f t="shared" si="10"/>
        <v>K818050</v>
      </c>
      <c r="AG35" t="str">
        <f>VLOOKUP(AF35,AKT!$C$4:$E$324,3,FALSE)</f>
        <v>0950</v>
      </c>
    </row>
    <row r="36" spans="1:33">
      <c r="A36" s="288">
        <v>52</v>
      </c>
      <c r="B36" s="83" t="str">
        <f t="shared" si="0"/>
        <v>Ostale pomoći</v>
      </c>
      <c r="C36" s="288">
        <v>3132</v>
      </c>
      <c r="D36" s="83" t="str">
        <f t="shared" si="1"/>
        <v>Doprinosi za obvezno zdravstveno osiguranje</v>
      </c>
      <c r="E36" s="290" t="s">
        <v>1029</v>
      </c>
      <c r="F36" s="83" t="str">
        <f t="shared" si="2"/>
        <v>NOVI PODPROJEKT</v>
      </c>
      <c r="G36" s="83" t="str">
        <f t="shared" si="3"/>
        <v>NOVI PODPROJEKT</v>
      </c>
      <c r="H36" s="78">
        <v>1904</v>
      </c>
      <c r="I36" s="69"/>
      <c r="J36" s="78">
        <f t="shared" si="4"/>
        <v>-1904</v>
      </c>
      <c r="K36" s="291"/>
      <c r="L36" s="292" t="s">
        <v>1031</v>
      </c>
      <c r="M36" s="292" t="s">
        <v>1086</v>
      </c>
      <c r="N36" s="291"/>
      <c r="O36" s="293"/>
      <c r="P36" s="286"/>
      <c r="R36" t="str">
        <f t="shared" si="5"/>
        <v>313</v>
      </c>
      <c r="S36" t="str">
        <f t="shared" si="6"/>
        <v>31</v>
      </c>
      <c r="T36" t="str">
        <f t="shared" si="7"/>
        <v>OV</v>
      </c>
      <c r="X36">
        <v>3294</v>
      </c>
      <c r="Y36" t="s">
        <v>372</v>
      </c>
      <c r="AA36" t="str">
        <f t="shared" si="8"/>
        <v>32</v>
      </c>
      <c r="AB36" t="str">
        <f t="shared" si="9"/>
        <v>329</v>
      </c>
      <c r="AD36" t="s">
        <v>1114</v>
      </c>
      <c r="AE36" t="s">
        <v>1115</v>
      </c>
      <c r="AF36" t="str">
        <f t="shared" si="10"/>
        <v>K818050</v>
      </c>
      <c r="AG36" t="str">
        <f>VLOOKUP(AF36,AKT!$C$4:$E$324,3,FALSE)</f>
        <v>0950</v>
      </c>
    </row>
    <row r="37" spans="1:33">
      <c r="A37" s="288"/>
      <c r="B37" s="83" t="str">
        <f t="shared" si="0"/>
        <v/>
      </c>
      <c r="C37" s="288"/>
      <c r="D37" s="83" t="str">
        <f t="shared" si="1"/>
        <v/>
      </c>
      <c r="E37" s="290"/>
      <c r="F37" s="83" t="str">
        <f t="shared" si="2"/>
        <v/>
      </c>
      <c r="G37" s="83" t="str">
        <f t="shared" si="3"/>
        <v/>
      </c>
      <c r="H37" s="78"/>
      <c r="I37" s="69"/>
      <c r="J37" s="78">
        <f t="shared" si="4"/>
        <v>0</v>
      </c>
      <c r="K37" s="291"/>
      <c r="L37" s="292"/>
      <c r="M37" s="292"/>
      <c r="N37" s="291"/>
      <c r="O37" s="293"/>
      <c r="P37" s="286"/>
      <c r="R37" t="str">
        <f t="shared" si="5"/>
        <v/>
      </c>
      <c r="S37" t="str">
        <f t="shared" si="6"/>
        <v/>
      </c>
      <c r="T37" t="str">
        <f t="shared" si="7"/>
        <v/>
      </c>
      <c r="X37">
        <v>3295</v>
      </c>
      <c r="Y37" t="s">
        <v>375</v>
      </c>
      <c r="AA37" t="str">
        <f t="shared" si="8"/>
        <v>32</v>
      </c>
      <c r="AB37" t="str">
        <f t="shared" si="9"/>
        <v>329</v>
      </c>
      <c r="AD37" t="s">
        <v>1116</v>
      </c>
      <c r="AE37" t="s">
        <v>1117</v>
      </c>
      <c r="AF37" t="str">
        <f t="shared" si="10"/>
        <v>A679071</v>
      </c>
      <c r="AG37" t="str">
        <f>VLOOKUP(AF37,AKT!$C$4:$E$324,3,FALSE)</f>
        <v>0942</v>
      </c>
    </row>
    <row r="38" spans="1:33">
      <c r="A38" s="288">
        <v>51</v>
      </c>
      <c r="B38" s="83" t="str">
        <f t="shared" si="0"/>
        <v>Pomoći EU</v>
      </c>
      <c r="C38" s="288">
        <v>3111</v>
      </c>
      <c r="D38" s="83" t="str">
        <f t="shared" si="1"/>
        <v>Plaće za redovan rad</v>
      </c>
      <c r="E38" s="290" t="s">
        <v>1029</v>
      </c>
      <c r="F38" s="83" t="str">
        <f t="shared" si="2"/>
        <v>NOVI PODPROJEKT</v>
      </c>
      <c r="G38" s="83" t="str">
        <f t="shared" si="3"/>
        <v>NOVI PODPROJEKT</v>
      </c>
      <c r="H38" s="78">
        <v>23300</v>
      </c>
      <c r="I38" s="69">
        <v>11517</v>
      </c>
      <c r="J38" s="78">
        <f t="shared" si="4"/>
        <v>-11783</v>
      </c>
      <c r="K38" s="291" t="s">
        <v>1118</v>
      </c>
      <c r="L38" s="292" t="s">
        <v>1031</v>
      </c>
      <c r="M38" s="292" t="s">
        <v>1086</v>
      </c>
      <c r="N38" s="291" t="s">
        <v>1119</v>
      </c>
      <c r="O38" s="293"/>
      <c r="P38" s="286"/>
      <c r="R38" t="str">
        <f t="shared" si="5"/>
        <v>311</v>
      </c>
      <c r="S38" t="str">
        <f t="shared" si="6"/>
        <v>31</v>
      </c>
      <c r="T38" t="str">
        <f t="shared" si="7"/>
        <v>OV</v>
      </c>
      <c r="X38">
        <v>3296</v>
      </c>
      <c r="Y38" t="s">
        <v>379</v>
      </c>
      <c r="AA38" t="str">
        <f t="shared" si="8"/>
        <v>32</v>
      </c>
      <c r="AB38" t="str">
        <f t="shared" si="9"/>
        <v>329</v>
      </c>
      <c r="AD38" t="s">
        <v>1120</v>
      </c>
      <c r="AE38" t="s">
        <v>1121</v>
      </c>
      <c r="AF38" t="str">
        <f t="shared" si="10"/>
        <v>A679071</v>
      </c>
      <c r="AG38" t="str">
        <f>VLOOKUP(AF38,AKT!$C$4:$E$324,3,FALSE)</f>
        <v>0942</v>
      </c>
    </row>
    <row r="39" spans="1:33">
      <c r="A39" s="288">
        <v>51</v>
      </c>
      <c r="B39" s="83" t="str">
        <f t="shared" si="0"/>
        <v>Pomoći EU</v>
      </c>
      <c r="C39" s="288">
        <v>3132</v>
      </c>
      <c r="D39" s="83" t="str">
        <f t="shared" si="1"/>
        <v>Doprinosi za obvezno zdravstveno osiguranje</v>
      </c>
      <c r="E39" s="290" t="s">
        <v>1029</v>
      </c>
      <c r="F39" s="83" t="str">
        <f t="shared" si="2"/>
        <v>NOVI PODPROJEKT</v>
      </c>
      <c r="G39" s="83" t="str">
        <f t="shared" si="3"/>
        <v>NOVI PODPROJEKT</v>
      </c>
      <c r="H39" s="78">
        <v>3845</v>
      </c>
      <c r="I39" s="69">
        <v>1897</v>
      </c>
      <c r="J39" s="78">
        <f t="shared" si="4"/>
        <v>-1948</v>
      </c>
      <c r="K39" s="291"/>
      <c r="L39" s="292" t="s">
        <v>1031</v>
      </c>
      <c r="M39" s="292" t="s">
        <v>1086</v>
      </c>
      <c r="N39" s="291" t="s">
        <v>1119</v>
      </c>
      <c r="O39" s="293"/>
      <c r="P39" s="286"/>
      <c r="R39" t="str">
        <f t="shared" si="5"/>
        <v>313</v>
      </c>
      <c r="S39" t="str">
        <f t="shared" si="6"/>
        <v>31</v>
      </c>
      <c r="T39" t="str">
        <f t="shared" si="7"/>
        <v>OV</v>
      </c>
      <c r="X39">
        <v>3299</v>
      </c>
      <c r="Y39" t="s">
        <v>385</v>
      </c>
      <c r="AA39" t="str">
        <f t="shared" si="8"/>
        <v>32</v>
      </c>
      <c r="AB39" t="str">
        <f t="shared" si="9"/>
        <v>329</v>
      </c>
      <c r="AD39" t="s">
        <v>1122</v>
      </c>
      <c r="AE39" t="s">
        <v>1123</v>
      </c>
      <c r="AF39" t="str">
        <f t="shared" si="10"/>
        <v>A679071</v>
      </c>
      <c r="AG39" t="str">
        <f>VLOOKUP(AF39,AKT!$C$4:$E$324,3,FALSE)</f>
        <v>0942</v>
      </c>
    </row>
    <row r="40" spans="1:33">
      <c r="A40" s="288">
        <v>51</v>
      </c>
      <c r="B40" s="83" t="str">
        <f t="shared" si="0"/>
        <v>Pomoći EU</v>
      </c>
      <c r="C40" s="288">
        <v>3211</v>
      </c>
      <c r="D40" s="83" t="str">
        <f t="shared" si="1"/>
        <v>Službena putovanja</v>
      </c>
      <c r="E40" s="290" t="s">
        <v>1029</v>
      </c>
      <c r="F40" s="83" t="str">
        <f t="shared" si="2"/>
        <v>NOVI PODPROJEKT</v>
      </c>
      <c r="G40" s="83" t="str">
        <f t="shared" si="3"/>
        <v>NOVI PODPROJEKT</v>
      </c>
      <c r="H40" s="78">
        <v>1000</v>
      </c>
      <c r="I40" s="69">
        <v>1300</v>
      </c>
      <c r="J40" s="78">
        <f t="shared" si="4"/>
        <v>300</v>
      </c>
      <c r="K40" s="291"/>
      <c r="L40" s="292" t="s">
        <v>1031</v>
      </c>
      <c r="M40" s="292" t="s">
        <v>1086</v>
      </c>
      <c r="N40" s="291" t="s">
        <v>1119</v>
      </c>
      <c r="O40" s="293"/>
      <c r="P40" s="286"/>
      <c r="R40" t="str">
        <f t="shared" si="5"/>
        <v>321</v>
      </c>
      <c r="S40" t="str">
        <f t="shared" si="6"/>
        <v>32</v>
      </c>
      <c r="T40" t="str">
        <f t="shared" si="7"/>
        <v>OV</v>
      </c>
      <c r="X40">
        <v>3411</v>
      </c>
      <c r="Y40" t="s">
        <v>386</v>
      </c>
      <c r="AA40" t="str">
        <f t="shared" si="8"/>
        <v>34</v>
      </c>
      <c r="AB40" t="str">
        <f t="shared" si="9"/>
        <v>341</v>
      </c>
      <c r="AD40" t="s">
        <v>1124</v>
      </c>
      <c r="AE40" t="s">
        <v>1125</v>
      </c>
      <c r="AF40" t="str">
        <f t="shared" si="10"/>
        <v>A679071</v>
      </c>
      <c r="AG40" t="str">
        <f>VLOOKUP(AF40,AKT!$C$4:$E$324,3,FALSE)</f>
        <v>0942</v>
      </c>
    </row>
    <row r="41" spans="1:33">
      <c r="A41" s="288">
        <v>51</v>
      </c>
      <c r="B41" s="83" t="str">
        <f t="shared" si="0"/>
        <v>Pomoći EU</v>
      </c>
      <c r="C41" s="288">
        <v>4227</v>
      </c>
      <c r="D41" s="83" t="str">
        <f t="shared" si="1"/>
        <v>Uređaji, strojevi i oprema za ostale namjene</v>
      </c>
      <c r="E41" s="290" t="s">
        <v>1029</v>
      </c>
      <c r="F41" s="83" t="str">
        <f t="shared" si="2"/>
        <v>NOVI PODPROJEKT</v>
      </c>
      <c r="G41" s="83" t="str">
        <f t="shared" si="3"/>
        <v>NOVI PODPROJEKT</v>
      </c>
      <c r="H41" s="78">
        <v>8000</v>
      </c>
      <c r="I41" s="69">
        <v>4000</v>
      </c>
      <c r="J41" s="78">
        <f t="shared" si="4"/>
        <v>-4000</v>
      </c>
      <c r="K41" s="291"/>
      <c r="L41" s="292" t="s">
        <v>1031</v>
      </c>
      <c r="M41" s="292" t="s">
        <v>1086</v>
      </c>
      <c r="N41" s="291" t="s">
        <v>1119</v>
      </c>
      <c r="O41" s="293"/>
      <c r="P41" s="286"/>
      <c r="R41" t="str">
        <f t="shared" si="5"/>
        <v>422</v>
      </c>
      <c r="S41" t="str">
        <f t="shared" si="6"/>
        <v>42</v>
      </c>
      <c r="T41" t="str">
        <f t="shared" si="7"/>
        <v>OV</v>
      </c>
      <c r="X41">
        <v>3422</v>
      </c>
      <c r="Y41" t="s">
        <v>389</v>
      </c>
      <c r="AA41" t="str">
        <f t="shared" si="8"/>
        <v>34</v>
      </c>
      <c r="AB41" t="str">
        <f t="shared" si="9"/>
        <v>342</v>
      </c>
      <c r="AD41" t="s">
        <v>1126</v>
      </c>
      <c r="AE41" t="s">
        <v>1127</v>
      </c>
      <c r="AF41" t="str">
        <f t="shared" si="10"/>
        <v>A679071</v>
      </c>
      <c r="AG41" t="str">
        <f>VLOOKUP(AF41,AKT!$C$4:$E$324,3,FALSE)</f>
        <v>0942</v>
      </c>
    </row>
    <row r="42" spans="1:33">
      <c r="A42" s="288"/>
      <c r="B42" s="83" t="str">
        <f t="shared" si="0"/>
        <v/>
      </c>
      <c r="C42" s="288"/>
      <c r="D42" s="83" t="str">
        <f t="shared" si="1"/>
        <v/>
      </c>
      <c r="E42" s="290"/>
      <c r="F42" s="83" t="str">
        <f t="shared" si="2"/>
        <v/>
      </c>
      <c r="G42" s="83" t="str">
        <f t="shared" si="3"/>
        <v/>
      </c>
      <c r="H42" s="78"/>
      <c r="I42" s="69"/>
      <c r="J42" s="78">
        <f t="shared" si="4"/>
        <v>0</v>
      </c>
      <c r="K42" s="291"/>
      <c r="L42" s="292"/>
      <c r="M42" s="292"/>
      <c r="N42" s="291"/>
      <c r="O42" s="293"/>
      <c r="P42" s="286"/>
      <c r="R42" t="str">
        <f t="shared" si="5"/>
        <v/>
      </c>
      <c r="S42" t="str">
        <f t="shared" si="6"/>
        <v/>
      </c>
      <c r="T42" t="str">
        <f t="shared" si="7"/>
        <v/>
      </c>
      <c r="X42">
        <v>3423</v>
      </c>
      <c r="Y42" t="s">
        <v>389</v>
      </c>
      <c r="AA42" t="str">
        <f t="shared" si="8"/>
        <v>34</v>
      </c>
      <c r="AB42" t="str">
        <f t="shared" si="9"/>
        <v>342</v>
      </c>
      <c r="AD42" t="s">
        <v>1128</v>
      </c>
      <c r="AE42" t="s">
        <v>1129</v>
      </c>
      <c r="AF42" t="str">
        <f t="shared" si="10"/>
        <v>A679071</v>
      </c>
      <c r="AG42" t="str">
        <f>VLOOKUP(AF42,AKT!$C$4:$E$324,3,FALSE)</f>
        <v>0942</v>
      </c>
    </row>
    <row r="43" spans="1:33">
      <c r="A43" s="288">
        <v>51</v>
      </c>
      <c r="B43" s="83" t="str">
        <f t="shared" si="0"/>
        <v>Pomoći EU</v>
      </c>
      <c r="C43" s="288">
        <v>3111</v>
      </c>
      <c r="D43" s="83" t="str">
        <f t="shared" si="1"/>
        <v>Plaće za redovan rad</v>
      </c>
      <c r="E43" s="290" t="s">
        <v>1029</v>
      </c>
      <c r="F43" s="83" t="str">
        <f t="shared" si="2"/>
        <v>NOVI PODPROJEKT</v>
      </c>
      <c r="G43" s="83" t="str">
        <f t="shared" si="3"/>
        <v>NOVI PODPROJEKT</v>
      </c>
      <c r="H43" s="78">
        <v>66500</v>
      </c>
      <c r="I43" s="69">
        <v>60000</v>
      </c>
      <c r="J43" s="78">
        <f t="shared" si="4"/>
        <v>-6500</v>
      </c>
      <c r="K43" s="291" t="s">
        <v>1130</v>
      </c>
      <c r="L43" s="292" t="s">
        <v>1031</v>
      </c>
      <c r="M43" s="292" t="s">
        <v>1086</v>
      </c>
      <c r="N43" s="291" t="s">
        <v>1131</v>
      </c>
      <c r="O43" s="293"/>
      <c r="P43" s="286"/>
      <c r="R43" t="str">
        <f t="shared" si="5"/>
        <v>311</v>
      </c>
      <c r="S43" t="str">
        <f t="shared" si="6"/>
        <v>31</v>
      </c>
      <c r="T43" t="str">
        <f t="shared" si="7"/>
        <v>OV</v>
      </c>
      <c r="X43">
        <v>3427</v>
      </c>
      <c r="Y43" t="s">
        <v>394</v>
      </c>
      <c r="AA43" t="str">
        <f t="shared" si="8"/>
        <v>34</v>
      </c>
      <c r="AB43" t="str">
        <f t="shared" si="9"/>
        <v>342</v>
      </c>
      <c r="AD43" t="s">
        <v>1132</v>
      </c>
      <c r="AE43" t="s">
        <v>1133</v>
      </c>
      <c r="AF43" t="str">
        <f t="shared" si="10"/>
        <v>A679071</v>
      </c>
      <c r="AG43" t="str">
        <f>VLOOKUP(AF43,AKT!$C$4:$E$324,3,FALSE)</f>
        <v>0942</v>
      </c>
    </row>
    <row r="44" spans="1:33">
      <c r="A44" s="288">
        <v>51</v>
      </c>
      <c r="B44" s="83" t="str">
        <f t="shared" si="0"/>
        <v>Pomoći EU</v>
      </c>
      <c r="C44" s="288">
        <v>3132</v>
      </c>
      <c r="D44" s="83" t="str">
        <f t="shared" si="1"/>
        <v>Doprinosi za obvezno zdravstveno osiguranje</v>
      </c>
      <c r="E44" s="290" t="s">
        <v>1029</v>
      </c>
      <c r="F44" s="83" t="str">
        <f t="shared" si="2"/>
        <v>NOVI PODPROJEKT</v>
      </c>
      <c r="G44" s="83" t="str">
        <f t="shared" si="3"/>
        <v>NOVI PODPROJEKT</v>
      </c>
      <c r="H44" s="78">
        <v>10970</v>
      </c>
      <c r="I44" s="69">
        <v>9900</v>
      </c>
      <c r="J44" s="78">
        <f t="shared" si="4"/>
        <v>-1070</v>
      </c>
      <c r="K44" s="291"/>
      <c r="L44" s="292" t="s">
        <v>1031</v>
      </c>
      <c r="M44" s="292" t="s">
        <v>1086</v>
      </c>
      <c r="N44" s="291" t="s">
        <v>1131</v>
      </c>
      <c r="O44" s="293"/>
      <c r="P44" s="286"/>
      <c r="R44" t="str">
        <f t="shared" si="5"/>
        <v>313</v>
      </c>
      <c r="S44" t="str">
        <f t="shared" si="6"/>
        <v>31</v>
      </c>
      <c r="T44" t="str">
        <f t="shared" si="7"/>
        <v>OV</v>
      </c>
      <c r="X44">
        <v>3431</v>
      </c>
      <c r="Y44" t="s">
        <v>396</v>
      </c>
      <c r="AA44" t="str">
        <f t="shared" si="8"/>
        <v>34</v>
      </c>
      <c r="AB44" t="str">
        <f t="shared" si="9"/>
        <v>343</v>
      </c>
      <c r="AD44" t="s">
        <v>1134</v>
      </c>
      <c r="AE44" t="s">
        <v>1135</v>
      </c>
      <c r="AF44" t="str">
        <f t="shared" si="10"/>
        <v>A679071</v>
      </c>
      <c r="AG44" t="str">
        <f>VLOOKUP(AF44,AKT!$C$4:$E$324,3,FALSE)</f>
        <v>0942</v>
      </c>
    </row>
    <row r="45" spans="1:33">
      <c r="A45" s="288">
        <v>51</v>
      </c>
      <c r="B45" s="83" t="str">
        <f t="shared" si="0"/>
        <v>Pomoći EU</v>
      </c>
      <c r="C45" s="288">
        <v>3211</v>
      </c>
      <c r="D45" s="83" t="str">
        <f t="shared" si="1"/>
        <v>Službena putovanja</v>
      </c>
      <c r="E45" s="290" t="s">
        <v>1029</v>
      </c>
      <c r="F45" s="83" t="str">
        <f t="shared" si="2"/>
        <v>NOVI PODPROJEKT</v>
      </c>
      <c r="G45" s="83" t="str">
        <f t="shared" si="3"/>
        <v>NOVI PODPROJEKT</v>
      </c>
      <c r="H45" s="78">
        <v>1350</v>
      </c>
      <c r="I45" s="69">
        <v>4500</v>
      </c>
      <c r="J45" s="78">
        <f t="shared" si="4"/>
        <v>3150</v>
      </c>
      <c r="K45" s="291"/>
      <c r="L45" s="292" t="s">
        <v>1031</v>
      </c>
      <c r="M45" s="292" t="s">
        <v>1086</v>
      </c>
      <c r="N45" s="291" t="s">
        <v>1131</v>
      </c>
      <c r="O45" s="293"/>
      <c r="P45" s="286"/>
      <c r="R45" t="str">
        <f t="shared" si="5"/>
        <v>321</v>
      </c>
      <c r="S45" t="str">
        <f t="shared" si="6"/>
        <v>32</v>
      </c>
      <c r="T45" t="str">
        <f t="shared" si="7"/>
        <v>OV</v>
      </c>
      <c r="X45">
        <v>3432</v>
      </c>
      <c r="Y45" t="s">
        <v>399</v>
      </c>
      <c r="AA45" t="str">
        <f t="shared" si="8"/>
        <v>34</v>
      </c>
      <c r="AB45" t="str">
        <f t="shared" si="9"/>
        <v>343</v>
      </c>
      <c r="AD45" t="s">
        <v>1136</v>
      </c>
      <c r="AE45" t="s">
        <v>1137</v>
      </c>
      <c r="AF45" t="str">
        <f t="shared" si="10"/>
        <v>A679071</v>
      </c>
      <c r="AG45" t="str">
        <f>VLOOKUP(AF45,AKT!$C$4:$E$324,3,FALSE)</f>
        <v>0942</v>
      </c>
    </row>
    <row r="46" spans="1:33">
      <c r="A46" s="288">
        <v>51</v>
      </c>
      <c r="B46" s="83" t="str">
        <f t="shared" si="0"/>
        <v>Pomoći EU</v>
      </c>
      <c r="C46" s="288">
        <v>4227</v>
      </c>
      <c r="D46" s="83" t="str">
        <f t="shared" si="1"/>
        <v>Uređaji, strojevi i oprema za ostale namjene</v>
      </c>
      <c r="E46" s="290" t="s">
        <v>1029</v>
      </c>
      <c r="F46" s="83" t="str">
        <f t="shared" si="2"/>
        <v>NOVI PODPROJEKT</v>
      </c>
      <c r="G46" s="83" t="str">
        <f t="shared" si="3"/>
        <v>NOVI PODPROJEKT</v>
      </c>
      <c r="H46" s="78">
        <v>6000</v>
      </c>
      <c r="I46" s="69"/>
      <c r="J46" s="78">
        <f t="shared" si="4"/>
        <v>-6000</v>
      </c>
      <c r="K46" s="291"/>
      <c r="L46" s="292" t="s">
        <v>1031</v>
      </c>
      <c r="M46" s="292" t="s">
        <v>1086</v>
      </c>
      <c r="N46" s="291" t="s">
        <v>1131</v>
      </c>
      <c r="O46" s="293"/>
      <c r="P46" s="286"/>
      <c r="R46" t="str">
        <f t="shared" si="5"/>
        <v>422</v>
      </c>
      <c r="S46" t="str">
        <f t="shared" si="6"/>
        <v>42</v>
      </c>
      <c r="T46" t="str">
        <f t="shared" si="7"/>
        <v>OV</v>
      </c>
      <c r="X46">
        <v>3433</v>
      </c>
      <c r="Y46" t="s">
        <v>402</v>
      </c>
      <c r="AA46" t="str">
        <f t="shared" si="8"/>
        <v>34</v>
      </c>
      <c r="AB46" t="str">
        <f t="shared" si="9"/>
        <v>343</v>
      </c>
      <c r="AD46" t="s">
        <v>1138</v>
      </c>
      <c r="AE46" t="s">
        <v>1139</v>
      </c>
      <c r="AF46" t="str">
        <f t="shared" si="10"/>
        <v>A679071</v>
      </c>
      <c r="AG46" t="str">
        <f>VLOOKUP(AF46,AKT!$C$4:$E$324,3,FALSE)</f>
        <v>0942</v>
      </c>
    </row>
    <row r="47" spans="1:33">
      <c r="A47" s="84"/>
      <c r="B47" s="83" t="str">
        <f t="shared" si="0"/>
        <v/>
      </c>
      <c r="C47" s="84"/>
      <c r="D47" s="83" t="str">
        <f t="shared" si="1"/>
        <v/>
      </c>
      <c r="E47" s="85"/>
      <c r="F47" s="83" t="str">
        <f t="shared" si="2"/>
        <v/>
      </c>
      <c r="G47" s="83" t="str">
        <f t="shared" si="3"/>
        <v/>
      </c>
      <c r="H47" s="69"/>
      <c r="I47" s="69"/>
      <c r="J47" s="78">
        <f t="shared" si="4"/>
        <v>0</v>
      </c>
      <c r="K47" s="91"/>
      <c r="L47" s="92"/>
      <c r="M47" s="92"/>
      <c r="N47" s="91"/>
      <c r="O47" s="93"/>
      <c r="P47" s="67"/>
      <c r="R47" t="str">
        <f t="shared" si="5"/>
        <v/>
      </c>
      <c r="S47" t="str">
        <f t="shared" si="6"/>
        <v/>
      </c>
      <c r="T47" t="str">
        <f t="shared" si="7"/>
        <v/>
      </c>
      <c r="X47">
        <v>3434</v>
      </c>
      <c r="Y47" t="s">
        <v>406</v>
      </c>
      <c r="AA47" t="str">
        <f t="shared" si="8"/>
        <v>34</v>
      </c>
      <c r="AB47" t="str">
        <f t="shared" si="9"/>
        <v>343</v>
      </c>
      <c r="AD47" t="s">
        <v>1140</v>
      </c>
      <c r="AE47" t="s">
        <v>1141</v>
      </c>
      <c r="AF47" t="str">
        <f t="shared" si="10"/>
        <v>A679071</v>
      </c>
      <c r="AG47" t="str">
        <f>VLOOKUP(AF47,AKT!$C$4:$E$324,3,FALSE)</f>
        <v>0942</v>
      </c>
    </row>
    <row r="48" spans="1:33">
      <c r="A48" s="84">
        <v>51</v>
      </c>
      <c r="B48" s="83" t="str">
        <f t="shared" si="0"/>
        <v>Pomoći EU</v>
      </c>
      <c r="C48" s="84">
        <v>3211</v>
      </c>
      <c r="D48" s="83" t="str">
        <f t="shared" si="1"/>
        <v>Službena putovanja</v>
      </c>
      <c r="E48" s="85" t="s">
        <v>1029</v>
      </c>
      <c r="F48" s="83" t="str">
        <f t="shared" si="2"/>
        <v>NOVI PODPROJEKT</v>
      </c>
      <c r="G48" s="83" t="str">
        <f t="shared" si="3"/>
        <v>NOVI PODPROJEKT</v>
      </c>
      <c r="H48" s="69"/>
      <c r="I48" s="69">
        <v>100</v>
      </c>
      <c r="J48" s="78">
        <f t="shared" si="4"/>
        <v>100</v>
      </c>
      <c r="K48" s="91" t="s">
        <v>1030</v>
      </c>
      <c r="L48" s="92" t="s">
        <v>1031</v>
      </c>
      <c r="M48" s="92" t="s">
        <v>1033</v>
      </c>
      <c r="N48" s="91" t="s">
        <v>5913</v>
      </c>
      <c r="O48" s="93"/>
      <c r="P48" s="67"/>
      <c r="R48" t="str">
        <f t="shared" si="5"/>
        <v>321</v>
      </c>
      <c r="S48" t="str">
        <f t="shared" si="6"/>
        <v>32</v>
      </c>
      <c r="T48" t="str">
        <f t="shared" si="7"/>
        <v>OV</v>
      </c>
      <c r="X48">
        <v>3511</v>
      </c>
      <c r="Y48" t="s">
        <v>409</v>
      </c>
      <c r="AA48" t="str">
        <f t="shared" si="8"/>
        <v>35</v>
      </c>
      <c r="AB48" t="str">
        <f t="shared" si="9"/>
        <v>351</v>
      </c>
      <c r="AD48" t="s">
        <v>1142</v>
      </c>
      <c r="AE48" t="s">
        <v>1143</v>
      </c>
      <c r="AF48" t="str">
        <f t="shared" si="10"/>
        <v>A679071</v>
      </c>
      <c r="AG48" t="str">
        <f>VLOOKUP(AF48,AKT!$C$4:$E$324,3,FALSE)</f>
        <v>0942</v>
      </c>
    </row>
    <row r="49" spans="1:33">
      <c r="A49" s="84"/>
      <c r="B49" s="83" t="str">
        <f t="shared" si="0"/>
        <v/>
      </c>
      <c r="C49" s="84"/>
      <c r="D49" s="83" t="str">
        <f t="shared" si="1"/>
        <v/>
      </c>
      <c r="E49" s="85"/>
      <c r="F49" s="83" t="str">
        <f t="shared" si="2"/>
        <v/>
      </c>
      <c r="G49" s="83" t="str">
        <f t="shared" si="3"/>
        <v/>
      </c>
      <c r="H49" s="69"/>
      <c r="I49" s="69"/>
      <c r="J49" s="78">
        <f t="shared" si="4"/>
        <v>0</v>
      </c>
      <c r="K49" s="91"/>
      <c r="L49" s="92"/>
      <c r="M49" s="92"/>
      <c r="N49" s="91"/>
      <c r="O49" s="93"/>
      <c r="P49" s="67"/>
      <c r="R49" t="str">
        <f t="shared" si="5"/>
        <v/>
      </c>
      <c r="S49" t="str">
        <f t="shared" si="6"/>
        <v/>
      </c>
      <c r="T49" t="str">
        <f t="shared" si="7"/>
        <v/>
      </c>
      <c r="X49">
        <v>3512</v>
      </c>
      <c r="Y49" t="s">
        <v>412</v>
      </c>
      <c r="AA49" t="str">
        <f t="shared" si="8"/>
        <v>35</v>
      </c>
      <c r="AB49" t="str">
        <f t="shared" si="9"/>
        <v>351</v>
      </c>
      <c r="AD49" t="s">
        <v>1144</v>
      </c>
      <c r="AE49" t="s">
        <v>1145</v>
      </c>
      <c r="AF49" t="str">
        <f t="shared" si="10"/>
        <v>A679071</v>
      </c>
      <c r="AG49" t="str">
        <f>VLOOKUP(AF49,AKT!$C$4:$E$324,3,FALSE)</f>
        <v>0942</v>
      </c>
    </row>
    <row r="50" spans="1:33">
      <c r="A50" s="84">
        <v>51</v>
      </c>
      <c r="B50" s="83" t="str">
        <f t="shared" si="0"/>
        <v>Pomoći EU</v>
      </c>
      <c r="C50" s="84">
        <v>3293</v>
      </c>
      <c r="D50" s="83" t="str">
        <f t="shared" si="1"/>
        <v>Reprezentacija</v>
      </c>
      <c r="E50" s="85" t="s">
        <v>1032</v>
      </c>
      <c r="F50" s="83" t="str">
        <f t="shared" si="2"/>
        <v>ERASMUS+ SKILLSEA</v>
      </c>
      <c r="G50" s="83" t="str">
        <f t="shared" si="3"/>
        <v>0942</v>
      </c>
      <c r="H50" s="69"/>
      <c r="I50" s="69">
        <v>71</v>
      </c>
      <c r="J50" s="78">
        <f t="shared" si="4"/>
        <v>71</v>
      </c>
      <c r="K50" s="91"/>
      <c r="L50" s="92"/>
      <c r="M50" s="92"/>
      <c r="N50" s="91"/>
      <c r="O50" s="93"/>
      <c r="P50" s="67"/>
      <c r="R50" t="str">
        <f t="shared" si="5"/>
        <v>329</v>
      </c>
      <c r="S50" t="str">
        <f t="shared" si="6"/>
        <v>32</v>
      </c>
      <c r="T50" t="str">
        <f t="shared" si="7"/>
        <v>94</v>
      </c>
      <c r="X50">
        <v>3522</v>
      </c>
      <c r="Y50" t="s">
        <v>414</v>
      </c>
      <c r="AA50" t="str">
        <f t="shared" si="8"/>
        <v>35</v>
      </c>
      <c r="AB50" t="str">
        <f t="shared" si="9"/>
        <v>352</v>
      </c>
      <c r="AD50" t="s">
        <v>1146</v>
      </c>
      <c r="AE50" t="s">
        <v>1147</v>
      </c>
      <c r="AF50" t="str">
        <f t="shared" si="10"/>
        <v>A679071</v>
      </c>
      <c r="AG50" t="str">
        <f>VLOOKUP(AF50,AKT!$C$4:$E$324,3,FALSE)</f>
        <v>0942</v>
      </c>
    </row>
    <row r="51" spans="1:33">
      <c r="A51" s="84"/>
      <c r="B51" s="83" t="str">
        <f t="shared" si="0"/>
        <v/>
      </c>
      <c r="C51" s="84"/>
      <c r="D51" s="83" t="str">
        <f t="shared" si="1"/>
        <v/>
      </c>
      <c r="E51" s="85"/>
      <c r="F51" s="83" t="str">
        <f t="shared" si="2"/>
        <v/>
      </c>
      <c r="G51" s="83" t="str">
        <f t="shared" si="3"/>
        <v/>
      </c>
      <c r="H51" s="69"/>
      <c r="I51" s="69"/>
      <c r="J51" s="78">
        <f t="shared" si="4"/>
        <v>0</v>
      </c>
      <c r="K51" s="91"/>
      <c r="L51" s="92" t="s">
        <v>1031</v>
      </c>
      <c r="M51" s="92" t="s">
        <v>1033</v>
      </c>
      <c r="N51" s="91" t="s">
        <v>1034</v>
      </c>
      <c r="O51" s="93"/>
      <c r="P51" s="67"/>
      <c r="R51" t="str">
        <f t="shared" si="5"/>
        <v/>
      </c>
      <c r="S51" t="str">
        <f t="shared" si="6"/>
        <v/>
      </c>
      <c r="T51" t="str">
        <f t="shared" si="7"/>
        <v/>
      </c>
      <c r="X51">
        <v>3531</v>
      </c>
      <c r="Y51" t="s">
        <v>417</v>
      </c>
      <c r="AA51" t="str">
        <f t="shared" si="8"/>
        <v>35</v>
      </c>
      <c r="AB51" t="str">
        <f t="shared" si="9"/>
        <v>353</v>
      </c>
      <c r="AD51" t="s">
        <v>1148</v>
      </c>
      <c r="AE51" t="s">
        <v>1149</v>
      </c>
      <c r="AF51" t="str">
        <f t="shared" si="10"/>
        <v>A679071</v>
      </c>
      <c r="AG51" t="str">
        <f>VLOOKUP(AF51,AKT!$C$4:$E$324,3,FALSE)</f>
        <v>0942</v>
      </c>
    </row>
    <row r="52" spans="1:33">
      <c r="A52" s="84">
        <v>51</v>
      </c>
      <c r="B52" s="83" t="str">
        <f t="shared" si="0"/>
        <v>Pomoći EU</v>
      </c>
      <c r="C52" s="84">
        <v>3211</v>
      </c>
      <c r="D52" s="83" t="str">
        <f t="shared" si="1"/>
        <v>Službena putovanja</v>
      </c>
      <c r="E52" s="85" t="s">
        <v>1041</v>
      </c>
      <c r="F52" s="83" t="str">
        <f t="shared" si="2"/>
        <v>INTERREG FRAMEWORK</v>
      </c>
      <c r="G52" s="83" t="str">
        <f t="shared" si="3"/>
        <v>0942</v>
      </c>
      <c r="H52" s="69"/>
      <c r="I52" s="69">
        <v>1395</v>
      </c>
      <c r="J52" s="78">
        <f t="shared" si="4"/>
        <v>1395</v>
      </c>
      <c r="K52" s="91"/>
      <c r="L52" s="92"/>
      <c r="M52" s="92"/>
      <c r="N52" s="91"/>
      <c r="O52" s="93"/>
      <c r="P52" s="67"/>
      <c r="R52" t="str">
        <f t="shared" si="5"/>
        <v>321</v>
      </c>
      <c r="S52" t="str">
        <f t="shared" si="6"/>
        <v>32</v>
      </c>
      <c r="T52" t="str">
        <f t="shared" si="7"/>
        <v>94</v>
      </c>
      <c r="X52">
        <v>3611</v>
      </c>
      <c r="Y52" t="s">
        <v>420</v>
      </c>
      <c r="AA52" t="str">
        <f t="shared" si="8"/>
        <v>36</v>
      </c>
      <c r="AB52" t="str">
        <f t="shared" si="9"/>
        <v>361</v>
      </c>
      <c r="AD52" t="s">
        <v>1150</v>
      </c>
      <c r="AE52" t="s">
        <v>1151</v>
      </c>
      <c r="AF52" t="str">
        <f t="shared" si="10"/>
        <v>A679071</v>
      </c>
      <c r="AG52" t="str">
        <f>VLOOKUP(AF52,AKT!$C$4:$E$324,3,FALSE)</f>
        <v>0942</v>
      </c>
    </row>
    <row r="53" spans="1:33">
      <c r="A53" s="84">
        <v>51</v>
      </c>
      <c r="B53" s="83" t="str">
        <f t="shared" si="0"/>
        <v>Pomoći EU</v>
      </c>
      <c r="C53" s="84">
        <v>3221</v>
      </c>
      <c r="D53" s="83" t="str">
        <f t="shared" si="1"/>
        <v>Uredski materijal i ostali materijalni rashodi</v>
      </c>
      <c r="E53" s="85" t="s">
        <v>1041</v>
      </c>
      <c r="F53" s="83" t="str">
        <f t="shared" si="2"/>
        <v>INTERREG FRAMEWORK</v>
      </c>
      <c r="G53" s="83" t="str">
        <f t="shared" si="3"/>
        <v>0942</v>
      </c>
      <c r="H53" s="69"/>
      <c r="I53" s="69">
        <v>140</v>
      </c>
      <c r="J53" s="78">
        <f t="shared" si="4"/>
        <v>140</v>
      </c>
      <c r="K53" s="91"/>
      <c r="L53" s="92"/>
      <c r="M53" s="92"/>
      <c r="N53" s="91"/>
      <c r="O53" s="93"/>
      <c r="P53" s="67"/>
      <c r="R53" t="str">
        <f t="shared" si="5"/>
        <v>322</v>
      </c>
      <c r="S53" t="str">
        <f t="shared" si="6"/>
        <v>32</v>
      </c>
      <c r="T53" t="str">
        <f t="shared" si="7"/>
        <v>94</v>
      </c>
      <c r="X53">
        <v>3621</v>
      </c>
      <c r="Y53" t="s">
        <v>423</v>
      </c>
      <c r="AA53" t="str">
        <f t="shared" si="8"/>
        <v>36</v>
      </c>
      <c r="AB53" t="str">
        <f t="shared" si="9"/>
        <v>362</v>
      </c>
      <c r="AD53" t="s">
        <v>1152</v>
      </c>
      <c r="AE53" t="s">
        <v>1153</v>
      </c>
      <c r="AF53" t="str">
        <f t="shared" si="10"/>
        <v>A679071</v>
      </c>
      <c r="AG53" t="str">
        <f>VLOOKUP(AF53,AKT!$C$4:$E$324,3,FALSE)</f>
        <v>0942</v>
      </c>
    </row>
    <row r="54" spans="1:33">
      <c r="A54" s="84">
        <v>51</v>
      </c>
      <c r="B54" s="83" t="str">
        <f t="shared" si="0"/>
        <v>Pomoći EU</v>
      </c>
      <c r="C54" s="84">
        <v>3237</v>
      </c>
      <c r="D54" s="83" t="str">
        <f t="shared" si="1"/>
        <v>Intelektualne i osobne usluge</v>
      </c>
      <c r="E54" s="85" t="s">
        <v>1041</v>
      </c>
      <c r="F54" s="83" t="str">
        <f t="shared" si="2"/>
        <v>INTERREG FRAMEWORK</v>
      </c>
      <c r="G54" s="83" t="str">
        <f t="shared" si="3"/>
        <v>0942</v>
      </c>
      <c r="H54" s="69"/>
      <c r="I54" s="69">
        <v>260</v>
      </c>
      <c r="J54" s="78">
        <f t="shared" si="4"/>
        <v>260</v>
      </c>
      <c r="K54" s="91"/>
      <c r="L54" s="92"/>
      <c r="M54" s="92"/>
      <c r="N54" s="91"/>
      <c r="O54" s="93"/>
      <c r="P54" s="67"/>
      <c r="R54" t="str">
        <f t="shared" si="5"/>
        <v>323</v>
      </c>
      <c r="S54" t="str">
        <f t="shared" si="6"/>
        <v>32</v>
      </c>
      <c r="T54" t="str">
        <f t="shared" si="7"/>
        <v>94</v>
      </c>
      <c r="X54">
        <v>3631</v>
      </c>
      <c r="Y54" t="s">
        <v>429</v>
      </c>
      <c r="AA54" t="str">
        <f t="shared" si="8"/>
        <v>36</v>
      </c>
      <c r="AB54" t="str">
        <f t="shared" si="9"/>
        <v>363</v>
      </c>
      <c r="AD54" t="s">
        <v>1154</v>
      </c>
      <c r="AE54" t="s">
        <v>1155</v>
      </c>
      <c r="AF54" t="str">
        <f t="shared" si="10"/>
        <v>A679071</v>
      </c>
      <c r="AG54" t="str">
        <f>VLOOKUP(AF54,AKT!$C$4:$E$324,3,FALSE)</f>
        <v>0942</v>
      </c>
    </row>
    <row r="55" spans="1:33">
      <c r="A55" s="84"/>
      <c r="B55" s="83" t="str">
        <f t="shared" si="0"/>
        <v/>
      </c>
      <c r="C55" s="84"/>
      <c r="D55" s="83" t="str">
        <f t="shared" si="1"/>
        <v/>
      </c>
      <c r="E55" s="85"/>
      <c r="F55" s="83" t="str">
        <f t="shared" si="2"/>
        <v/>
      </c>
      <c r="G55" s="83" t="str">
        <f t="shared" si="3"/>
        <v/>
      </c>
      <c r="H55" s="69"/>
      <c r="I55" s="69"/>
      <c r="J55" s="78">
        <f t="shared" si="4"/>
        <v>0</v>
      </c>
      <c r="K55" s="91"/>
      <c r="L55" s="92"/>
      <c r="M55" s="92"/>
      <c r="N55" s="91"/>
      <c r="O55" s="93"/>
      <c r="P55" s="67"/>
      <c r="R55" t="str">
        <f t="shared" si="5"/>
        <v/>
      </c>
      <c r="S55" t="str">
        <f t="shared" si="6"/>
        <v/>
      </c>
      <c r="T55" t="str">
        <f t="shared" si="7"/>
        <v/>
      </c>
      <c r="X55">
        <v>3632</v>
      </c>
      <c r="Y55" t="s">
        <v>432</v>
      </c>
      <c r="AA55" t="str">
        <f t="shared" si="8"/>
        <v>36</v>
      </c>
      <c r="AB55" t="str">
        <f t="shared" si="9"/>
        <v>363</v>
      </c>
      <c r="AD55" t="s">
        <v>1156</v>
      </c>
      <c r="AE55" t="s">
        <v>1157</v>
      </c>
      <c r="AF55" t="str">
        <f t="shared" si="10"/>
        <v>A679071</v>
      </c>
      <c r="AG55" t="str">
        <f>VLOOKUP(AF55,AKT!$C$4:$E$324,3,FALSE)</f>
        <v>0942</v>
      </c>
    </row>
    <row r="56" spans="1:33">
      <c r="A56" s="84">
        <v>51</v>
      </c>
      <c r="B56" s="83" t="str">
        <f t="shared" si="0"/>
        <v>Pomoći EU</v>
      </c>
      <c r="C56" s="84">
        <v>3211</v>
      </c>
      <c r="D56" s="83" t="str">
        <f t="shared" si="1"/>
        <v>Službena putovanja</v>
      </c>
      <c r="E56" s="85" t="s">
        <v>1051</v>
      </c>
      <c r="F56" s="83" t="str">
        <f t="shared" si="2"/>
        <v>INTERREG MIMOSA</v>
      </c>
      <c r="G56" s="83" t="str">
        <f t="shared" si="3"/>
        <v>0942</v>
      </c>
      <c r="H56" s="69"/>
      <c r="I56" s="69">
        <v>730</v>
      </c>
      <c r="J56" s="78">
        <f t="shared" si="4"/>
        <v>730</v>
      </c>
      <c r="K56" s="91"/>
      <c r="L56" s="92"/>
      <c r="M56" s="92"/>
      <c r="N56" s="91"/>
      <c r="O56" s="93"/>
      <c r="P56" s="67"/>
      <c r="R56" t="str">
        <f t="shared" si="5"/>
        <v>321</v>
      </c>
      <c r="S56" t="str">
        <f t="shared" si="6"/>
        <v>32</v>
      </c>
      <c r="T56" t="str">
        <f t="shared" si="7"/>
        <v>94</v>
      </c>
      <c r="X56">
        <v>3661</v>
      </c>
      <c r="Y56" t="s">
        <v>435</v>
      </c>
      <c r="AA56" t="str">
        <f t="shared" si="8"/>
        <v>36</v>
      </c>
      <c r="AB56" t="str">
        <f t="shared" si="9"/>
        <v>366</v>
      </c>
      <c r="AD56" t="s">
        <v>1158</v>
      </c>
      <c r="AE56" t="s">
        <v>1159</v>
      </c>
      <c r="AF56" t="str">
        <f t="shared" si="10"/>
        <v>A679071</v>
      </c>
      <c r="AG56" t="str">
        <f>VLOOKUP(AF56,AKT!$C$4:$E$324,3,FALSE)</f>
        <v>0942</v>
      </c>
    </row>
    <row r="57" spans="1:33">
      <c r="A57" s="84">
        <v>51</v>
      </c>
      <c r="B57" s="83" t="str">
        <f t="shared" si="0"/>
        <v>Pomoći EU</v>
      </c>
      <c r="C57" s="84">
        <v>3212</v>
      </c>
      <c r="D57" s="83" t="str">
        <f t="shared" si="1"/>
        <v>Naknade za prijevoz, za rad na terenu i odvojeni život</v>
      </c>
      <c r="E57" s="85" t="s">
        <v>1051</v>
      </c>
      <c r="F57" s="83" t="str">
        <f t="shared" si="2"/>
        <v>INTERREG MIMOSA</v>
      </c>
      <c r="G57" s="83" t="str">
        <f t="shared" si="3"/>
        <v>0942</v>
      </c>
      <c r="H57" s="69"/>
      <c r="I57" s="69">
        <v>40</v>
      </c>
      <c r="J57" s="78">
        <f t="shared" si="4"/>
        <v>40</v>
      </c>
      <c r="K57" s="91"/>
      <c r="L57" s="92"/>
      <c r="M57" s="92"/>
      <c r="N57" s="91"/>
      <c r="O57" s="93"/>
      <c r="P57" s="67"/>
      <c r="R57" t="str">
        <f t="shared" si="5"/>
        <v>321</v>
      </c>
      <c r="S57" t="str">
        <f t="shared" si="6"/>
        <v>32</v>
      </c>
      <c r="T57" t="str">
        <f t="shared" si="7"/>
        <v>94</v>
      </c>
      <c r="X57">
        <v>3662</v>
      </c>
      <c r="Y57" t="s">
        <v>438</v>
      </c>
      <c r="AA57" t="str">
        <f t="shared" si="8"/>
        <v>36</v>
      </c>
      <c r="AB57" t="str">
        <f t="shared" si="9"/>
        <v>366</v>
      </c>
      <c r="AD57" t="s">
        <v>1160</v>
      </c>
      <c r="AE57" t="s">
        <v>1161</v>
      </c>
      <c r="AF57" t="str">
        <f t="shared" si="10"/>
        <v>A679071</v>
      </c>
      <c r="AG57" t="str">
        <f>VLOOKUP(AF57,AKT!$C$4:$E$324,3,FALSE)</f>
        <v>0942</v>
      </c>
    </row>
    <row r="58" spans="1:33">
      <c r="A58" s="84">
        <v>51</v>
      </c>
      <c r="B58" s="83" t="str">
        <f t="shared" si="0"/>
        <v>Pomoći EU</v>
      </c>
      <c r="C58" s="84">
        <v>3293</v>
      </c>
      <c r="D58" s="83" t="str">
        <f t="shared" si="1"/>
        <v>Reprezentacija</v>
      </c>
      <c r="E58" s="85" t="s">
        <v>1051</v>
      </c>
      <c r="F58" s="83" t="str">
        <f t="shared" si="2"/>
        <v>INTERREG MIMOSA</v>
      </c>
      <c r="G58" s="83" t="str">
        <f t="shared" si="3"/>
        <v>0942</v>
      </c>
      <c r="H58" s="69"/>
      <c r="I58" s="69">
        <v>4530</v>
      </c>
      <c r="J58" s="78">
        <f t="shared" si="4"/>
        <v>4530</v>
      </c>
      <c r="K58" s="91"/>
      <c r="L58" s="92"/>
      <c r="M58" s="92"/>
      <c r="N58" s="91"/>
      <c r="O58" s="93"/>
      <c r="P58" s="67"/>
      <c r="R58" t="str">
        <f t="shared" si="5"/>
        <v>329</v>
      </c>
      <c r="S58" t="str">
        <f t="shared" si="6"/>
        <v>32</v>
      </c>
      <c r="T58" t="str">
        <f t="shared" si="7"/>
        <v>94</v>
      </c>
      <c r="X58">
        <v>3681</v>
      </c>
      <c r="Y58" t="s">
        <v>441</v>
      </c>
      <c r="AA58" t="str">
        <f t="shared" si="8"/>
        <v>36</v>
      </c>
      <c r="AB58" t="str">
        <f t="shared" si="9"/>
        <v>368</v>
      </c>
      <c r="AD58" t="s">
        <v>1162</v>
      </c>
      <c r="AE58" t="s">
        <v>1163</v>
      </c>
      <c r="AF58" t="str">
        <f t="shared" si="10"/>
        <v>A679071</v>
      </c>
      <c r="AG58" t="str">
        <f>VLOOKUP(AF58,AKT!$C$4:$E$324,3,FALSE)</f>
        <v>0942</v>
      </c>
    </row>
    <row r="59" spans="1:33">
      <c r="A59" s="84">
        <v>51</v>
      </c>
      <c r="B59" s="83" t="str">
        <f t="shared" si="0"/>
        <v>Pomoći EU</v>
      </c>
      <c r="C59" s="84">
        <v>4221</v>
      </c>
      <c r="D59" s="83" t="str">
        <f t="shared" si="1"/>
        <v>Uredska oprema i namještaj</v>
      </c>
      <c r="E59" s="85" t="s">
        <v>1051</v>
      </c>
      <c r="F59" s="83" t="str">
        <f t="shared" si="2"/>
        <v>INTERREG MIMOSA</v>
      </c>
      <c r="G59" s="83" t="str">
        <f t="shared" si="3"/>
        <v>0942</v>
      </c>
      <c r="H59" s="69"/>
      <c r="I59" s="69">
        <v>620</v>
      </c>
      <c r="J59" s="78">
        <f t="shared" si="4"/>
        <v>620</v>
      </c>
      <c r="K59" s="91"/>
      <c r="L59" s="92"/>
      <c r="M59" s="92"/>
      <c r="N59" s="91"/>
      <c r="O59" s="93"/>
      <c r="P59" s="67"/>
      <c r="R59" t="str">
        <f t="shared" si="5"/>
        <v>422</v>
      </c>
      <c r="S59" t="str">
        <f t="shared" si="6"/>
        <v>42</v>
      </c>
      <c r="T59" t="str">
        <f t="shared" si="7"/>
        <v>94</v>
      </c>
      <c r="X59">
        <v>3682</v>
      </c>
      <c r="Y59" t="s">
        <v>444</v>
      </c>
      <c r="AA59" t="str">
        <f t="shared" si="8"/>
        <v>36</v>
      </c>
      <c r="AB59" t="str">
        <f t="shared" si="9"/>
        <v>368</v>
      </c>
      <c r="AD59" t="s">
        <v>1164</v>
      </c>
      <c r="AE59" t="s">
        <v>1165</v>
      </c>
      <c r="AF59" t="str">
        <f t="shared" si="10"/>
        <v>A679071</v>
      </c>
      <c r="AG59" t="str">
        <f>VLOOKUP(AF59,AKT!$C$4:$E$324,3,FALSE)</f>
        <v>0942</v>
      </c>
    </row>
    <row r="60" spans="1:33">
      <c r="A60" s="84"/>
      <c r="B60" s="83" t="str">
        <f t="shared" si="0"/>
        <v/>
      </c>
      <c r="C60" s="84"/>
      <c r="D60" s="83" t="str">
        <f t="shared" si="1"/>
        <v/>
      </c>
      <c r="E60" s="85"/>
      <c r="F60" s="83" t="str">
        <f t="shared" si="2"/>
        <v/>
      </c>
      <c r="G60" s="83" t="str">
        <f t="shared" si="3"/>
        <v/>
      </c>
      <c r="H60" s="69"/>
      <c r="I60" s="69"/>
      <c r="J60" s="78">
        <f t="shared" si="4"/>
        <v>0</v>
      </c>
      <c r="K60" s="91"/>
      <c r="L60" s="92"/>
      <c r="M60" s="92"/>
      <c r="N60" s="91"/>
      <c r="O60" s="93"/>
      <c r="P60" s="67"/>
      <c r="R60" t="str">
        <f t="shared" si="5"/>
        <v/>
      </c>
      <c r="S60" t="str">
        <f t="shared" si="6"/>
        <v/>
      </c>
      <c r="T60" t="str">
        <f t="shared" si="7"/>
        <v/>
      </c>
      <c r="X60">
        <v>3691</v>
      </c>
      <c r="Y60" t="s">
        <v>447</v>
      </c>
      <c r="AA60" t="str">
        <f t="shared" si="8"/>
        <v>36</v>
      </c>
      <c r="AB60" t="str">
        <f t="shared" si="9"/>
        <v>369</v>
      </c>
      <c r="AD60" t="s">
        <v>1166</v>
      </c>
      <c r="AE60" t="s">
        <v>1167</v>
      </c>
      <c r="AF60" t="str">
        <f t="shared" si="10"/>
        <v>A679071</v>
      </c>
      <c r="AG60" t="str">
        <f>VLOOKUP(AF60,AKT!$C$4:$E$324,3,FALSE)</f>
        <v>0942</v>
      </c>
    </row>
    <row r="61" spans="1:33">
      <c r="A61" s="84">
        <v>52</v>
      </c>
      <c r="B61" s="83" t="str">
        <f t="shared" si="0"/>
        <v>Ostale pomoći</v>
      </c>
      <c r="C61" s="84">
        <v>3213</v>
      </c>
      <c r="D61" s="83" t="str">
        <f t="shared" si="1"/>
        <v>Stručno usavršavanje zaposlenika</v>
      </c>
      <c r="E61" s="85" t="s">
        <v>1059</v>
      </c>
      <c r="F61" s="83" t="str">
        <f t="shared" si="2"/>
        <v>INTERREG ADRION EUREKA</v>
      </c>
      <c r="G61" s="83" t="str">
        <f t="shared" si="3"/>
        <v>0942</v>
      </c>
      <c r="H61" s="69"/>
      <c r="I61" s="69">
        <v>320</v>
      </c>
      <c r="J61" s="78">
        <f t="shared" si="4"/>
        <v>320</v>
      </c>
      <c r="K61" s="91"/>
      <c r="L61" s="92"/>
      <c r="M61" s="92"/>
      <c r="N61" s="91"/>
      <c r="O61" s="93"/>
      <c r="P61" s="67"/>
      <c r="R61" t="str">
        <f t="shared" si="5"/>
        <v>321</v>
      </c>
      <c r="S61" t="str">
        <f t="shared" si="6"/>
        <v>32</v>
      </c>
      <c r="T61" t="str">
        <f t="shared" si="7"/>
        <v>94</v>
      </c>
      <c r="X61">
        <v>3692</v>
      </c>
      <c r="Y61" t="s">
        <v>450</v>
      </c>
      <c r="AA61" t="str">
        <f t="shared" si="8"/>
        <v>36</v>
      </c>
      <c r="AB61" t="str">
        <f t="shared" si="9"/>
        <v>369</v>
      </c>
      <c r="AD61" t="s">
        <v>1168</v>
      </c>
      <c r="AE61" t="s">
        <v>1169</v>
      </c>
      <c r="AF61" t="str">
        <f t="shared" si="10"/>
        <v>A679071</v>
      </c>
      <c r="AG61" t="str">
        <f>VLOOKUP(AF61,AKT!$C$4:$E$324,3,FALSE)</f>
        <v>0942</v>
      </c>
    </row>
    <row r="62" spans="1:33">
      <c r="A62" s="84"/>
      <c r="B62" s="83" t="str">
        <f t="shared" si="0"/>
        <v/>
      </c>
      <c r="C62" s="84"/>
      <c r="D62" s="83" t="str">
        <f t="shared" si="1"/>
        <v/>
      </c>
      <c r="E62" s="85"/>
      <c r="F62" s="83" t="str">
        <f t="shared" si="2"/>
        <v/>
      </c>
      <c r="G62" s="83" t="str">
        <f t="shared" si="3"/>
        <v/>
      </c>
      <c r="H62" s="69"/>
      <c r="I62" s="69"/>
      <c r="J62" s="78">
        <f t="shared" si="4"/>
        <v>0</v>
      </c>
      <c r="K62" s="91"/>
      <c r="L62" s="92"/>
      <c r="M62" s="92"/>
      <c r="N62" s="91"/>
      <c r="O62" s="93"/>
      <c r="P62" s="67"/>
      <c r="R62" t="str">
        <f t="shared" si="5"/>
        <v/>
      </c>
      <c r="S62" t="str">
        <f t="shared" si="6"/>
        <v/>
      </c>
      <c r="T62" t="str">
        <f t="shared" si="7"/>
        <v/>
      </c>
      <c r="X62">
        <v>3693</v>
      </c>
      <c r="Y62" t="s">
        <v>447</v>
      </c>
      <c r="AA62" t="str">
        <f t="shared" si="8"/>
        <v>36</v>
      </c>
      <c r="AB62" t="str">
        <f t="shared" si="9"/>
        <v>369</v>
      </c>
      <c r="AD62" t="s">
        <v>1170</v>
      </c>
      <c r="AE62" t="s">
        <v>1171</v>
      </c>
      <c r="AF62" t="str">
        <f t="shared" si="10"/>
        <v>A679071</v>
      </c>
      <c r="AG62" t="str">
        <f>VLOOKUP(AF62,AKT!$C$4:$E$324,3,FALSE)</f>
        <v>0942</v>
      </c>
    </row>
    <row r="63" spans="1:33">
      <c r="A63" s="84">
        <v>61</v>
      </c>
      <c r="B63" s="83" t="str">
        <f t="shared" si="0"/>
        <v>Donacije</v>
      </c>
      <c r="C63" s="84">
        <v>3212</v>
      </c>
      <c r="D63" s="83" t="str">
        <f t="shared" si="1"/>
        <v>Naknade za prijevoz, za rad na terenu i odvojeni život</v>
      </c>
      <c r="E63" s="85" t="s">
        <v>1073</v>
      </c>
      <c r="F63" s="83" t="str">
        <f t="shared" si="2"/>
        <v>CEKOM Smart City.4DII</v>
      </c>
      <c r="G63" s="83" t="str">
        <f t="shared" si="3"/>
        <v>0942</v>
      </c>
      <c r="H63" s="69"/>
      <c r="I63" s="69">
        <v>180</v>
      </c>
      <c r="J63" s="78">
        <f t="shared" si="4"/>
        <v>180</v>
      </c>
      <c r="K63" s="91"/>
      <c r="L63" s="92"/>
      <c r="M63" s="92"/>
      <c r="N63" s="91"/>
      <c r="O63" s="93"/>
      <c r="P63" s="67"/>
      <c r="R63" t="str">
        <f t="shared" si="5"/>
        <v>321</v>
      </c>
      <c r="S63" t="str">
        <f t="shared" si="6"/>
        <v>32</v>
      </c>
      <c r="T63" t="str">
        <f t="shared" si="7"/>
        <v>94</v>
      </c>
      <c r="X63">
        <v>3694</v>
      </c>
      <c r="Y63" t="s">
        <v>450</v>
      </c>
      <c r="AA63" t="str">
        <f t="shared" si="8"/>
        <v>36</v>
      </c>
      <c r="AB63" t="str">
        <f t="shared" si="9"/>
        <v>369</v>
      </c>
      <c r="AD63" t="s">
        <v>1172</v>
      </c>
      <c r="AE63" t="s">
        <v>1173</v>
      </c>
      <c r="AF63" t="str">
        <f t="shared" si="10"/>
        <v>A679071</v>
      </c>
      <c r="AG63" t="str">
        <f>VLOOKUP(AF63,AKT!$C$4:$E$324,3,FALSE)</f>
        <v>0942</v>
      </c>
    </row>
    <row r="64" spans="1:33">
      <c r="A64" s="84"/>
      <c r="B64" s="83" t="str">
        <f t="shared" si="0"/>
        <v/>
      </c>
      <c r="C64" s="84"/>
      <c r="D64" s="83" t="str">
        <f t="shared" si="1"/>
        <v/>
      </c>
      <c r="E64" s="85"/>
      <c r="F64" s="83" t="str">
        <f t="shared" si="2"/>
        <v/>
      </c>
      <c r="G64" s="83" t="str">
        <f t="shared" si="3"/>
        <v/>
      </c>
      <c r="H64" s="69"/>
      <c r="I64" s="69"/>
      <c r="J64" s="78">
        <f t="shared" si="4"/>
        <v>0</v>
      </c>
      <c r="K64" s="91"/>
      <c r="L64" s="92"/>
      <c r="M64" s="92"/>
      <c r="N64" s="91"/>
      <c r="O64" s="93"/>
      <c r="P64" s="67"/>
      <c r="R64" t="str">
        <f t="shared" si="5"/>
        <v/>
      </c>
      <c r="S64" t="str">
        <f t="shared" si="6"/>
        <v/>
      </c>
      <c r="T64" t="str">
        <f t="shared" si="7"/>
        <v/>
      </c>
      <c r="X64">
        <v>3711</v>
      </c>
      <c r="Y64" t="s">
        <v>457</v>
      </c>
      <c r="AA64" t="str">
        <f t="shared" si="8"/>
        <v>37</v>
      </c>
      <c r="AB64" t="str">
        <f t="shared" si="9"/>
        <v>371</v>
      </c>
      <c r="AD64" t="s">
        <v>1174</v>
      </c>
      <c r="AE64" t="s">
        <v>1175</v>
      </c>
      <c r="AF64" t="str">
        <f t="shared" si="10"/>
        <v>A679071</v>
      </c>
      <c r="AG64" t="str">
        <f>VLOOKUP(AF64,AKT!$C$4:$E$324,3,FALSE)</f>
        <v>0942</v>
      </c>
    </row>
    <row r="65" spans="1:33">
      <c r="A65" s="84">
        <v>52</v>
      </c>
      <c r="B65" s="83" t="str">
        <f t="shared" si="0"/>
        <v>Ostale pomoći</v>
      </c>
      <c r="C65" s="84">
        <v>3211</v>
      </c>
      <c r="D65" s="83" t="str">
        <f t="shared" si="1"/>
        <v>Službena putovanja</v>
      </c>
      <c r="E65" s="85" t="s">
        <v>1085</v>
      </c>
      <c r="F65" s="83" t="str">
        <f t="shared" si="2"/>
        <v>OPK Konkurentnost i kohezija ProtectAS</v>
      </c>
      <c r="G65" s="83" t="str">
        <f t="shared" si="3"/>
        <v>0942</v>
      </c>
      <c r="H65" s="69"/>
      <c r="I65" s="69">
        <v>380</v>
      </c>
      <c r="J65" s="78">
        <f t="shared" si="4"/>
        <v>380</v>
      </c>
      <c r="K65" s="91"/>
      <c r="L65" s="92"/>
      <c r="M65" s="92"/>
      <c r="N65" s="91"/>
      <c r="O65" s="93"/>
      <c r="P65" s="67"/>
      <c r="R65" t="str">
        <f t="shared" si="5"/>
        <v>321</v>
      </c>
      <c r="S65" t="str">
        <f t="shared" si="6"/>
        <v>32</v>
      </c>
      <c r="T65" t="str">
        <f t="shared" si="7"/>
        <v>94</v>
      </c>
      <c r="X65">
        <v>3712</v>
      </c>
      <c r="Y65" t="s">
        <v>460</v>
      </c>
      <c r="AA65" t="str">
        <f t="shared" si="8"/>
        <v>37</v>
      </c>
      <c r="AB65" t="str">
        <f t="shared" si="9"/>
        <v>371</v>
      </c>
      <c r="AD65" t="s">
        <v>1176</v>
      </c>
      <c r="AE65" t="s">
        <v>1177</v>
      </c>
      <c r="AF65" t="str">
        <f t="shared" si="10"/>
        <v>A679071</v>
      </c>
      <c r="AG65" t="str">
        <f>VLOOKUP(AF65,AKT!$C$4:$E$324,3,FALSE)</f>
        <v>0942</v>
      </c>
    </row>
    <row r="66" spans="1:33">
      <c r="A66" s="84">
        <v>52</v>
      </c>
      <c r="B66" s="83" t="str">
        <f t="shared" si="0"/>
        <v>Ostale pomoći</v>
      </c>
      <c r="C66" s="84">
        <v>3293</v>
      </c>
      <c r="D66" s="83" t="str">
        <f t="shared" si="1"/>
        <v>Reprezentacija</v>
      </c>
      <c r="E66" s="85" t="s">
        <v>1085</v>
      </c>
      <c r="F66" s="83" t="str">
        <f t="shared" si="2"/>
        <v>OPK Konkurentnost i kohezija ProtectAS</v>
      </c>
      <c r="G66" s="83" t="str">
        <f t="shared" si="3"/>
        <v>0942</v>
      </c>
      <c r="H66" s="69"/>
      <c r="I66" s="69">
        <v>440</v>
      </c>
      <c r="J66" s="78">
        <f t="shared" si="4"/>
        <v>440</v>
      </c>
      <c r="K66" s="91"/>
      <c r="L66" s="92"/>
      <c r="M66" s="92"/>
      <c r="N66" s="91"/>
      <c r="O66" s="93"/>
      <c r="P66" s="67"/>
      <c r="R66" t="str">
        <f t="shared" si="5"/>
        <v>329</v>
      </c>
      <c r="S66" t="str">
        <f t="shared" si="6"/>
        <v>32</v>
      </c>
      <c r="T66" t="str">
        <f t="shared" si="7"/>
        <v>94</v>
      </c>
      <c r="X66">
        <v>3713</v>
      </c>
      <c r="Y66" t="s">
        <v>463</v>
      </c>
      <c r="AA66" t="str">
        <f t="shared" si="8"/>
        <v>37</v>
      </c>
      <c r="AB66" t="str">
        <f t="shared" si="9"/>
        <v>371</v>
      </c>
      <c r="AD66" t="s">
        <v>1178</v>
      </c>
      <c r="AE66" t="s">
        <v>1179</v>
      </c>
      <c r="AF66" t="str">
        <f t="shared" si="10"/>
        <v>A679071</v>
      </c>
      <c r="AG66" t="str">
        <f>VLOOKUP(AF66,AKT!$C$4:$E$324,3,FALSE)</f>
        <v>0942</v>
      </c>
    </row>
    <row r="67" spans="1:33">
      <c r="A67" s="84"/>
      <c r="B67" s="83" t="str">
        <f t="shared" ref="B67:B130" si="11">IFERROR(VLOOKUP(A67,$U$6:$V$23,2,FALSE),"")</f>
        <v/>
      </c>
      <c r="C67" s="84"/>
      <c r="D67" s="83" t="str">
        <f t="shared" si="1"/>
        <v/>
      </c>
      <c r="E67" s="85"/>
      <c r="F67" s="83" t="str">
        <f t="shared" si="2"/>
        <v/>
      </c>
      <c r="G67" s="83" t="str">
        <f t="shared" si="3"/>
        <v/>
      </c>
      <c r="H67" s="69"/>
      <c r="I67" s="69"/>
      <c r="J67" s="78">
        <f t="shared" si="4"/>
        <v>0</v>
      </c>
      <c r="K67" s="91"/>
      <c r="L67" s="92"/>
      <c r="M67" s="92"/>
      <c r="N67" s="91"/>
      <c r="O67" s="93"/>
      <c r="P67" s="67"/>
      <c r="R67" t="str">
        <f t="shared" si="5"/>
        <v/>
      </c>
      <c r="S67" t="str">
        <f t="shared" si="6"/>
        <v/>
      </c>
      <c r="T67" t="str">
        <f t="shared" si="7"/>
        <v/>
      </c>
      <c r="X67">
        <v>3714</v>
      </c>
      <c r="Y67" t="s">
        <v>466</v>
      </c>
      <c r="AA67" t="str">
        <f t="shared" si="8"/>
        <v>37</v>
      </c>
      <c r="AB67" t="str">
        <f t="shared" si="9"/>
        <v>371</v>
      </c>
      <c r="AD67" t="s">
        <v>1180</v>
      </c>
      <c r="AE67" t="s">
        <v>1181</v>
      </c>
      <c r="AF67" t="str">
        <f t="shared" si="10"/>
        <v>A679071</v>
      </c>
      <c r="AG67" t="str">
        <f>VLOOKUP(AF67,AKT!$C$4:$E$324,3,FALSE)</f>
        <v>0942</v>
      </c>
    </row>
    <row r="68" spans="1:33">
      <c r="A68" s="84">
        <v>561</v>
      </c>
      <c r="B68" s="83" t="str">
        <f t="shared" si="11"/>
        <v>Europski socijalni fond (ESF)</v>
      </c>
      <c r="C68" s="84">
        <v>3212</v>
      </c>
      <c r="D68" s="83" t="str">
        <f t="shared" ref="D68:D131" si="12">IFERROR(VLOOKUP(C68,$X$5:$Z$129,2,FALSE),"")</f>
        <v>Naknade za prijevoz, za rad na terenu i odvojeni život</v>
      </c>
      <c r="E68" s="85" t="s">
        <v>1094</v>
      </c>
      <c r="F68" s="83" t="str">
        <f t="shared" ref="F68:F131" si="13">IFERROR(VLOOKUP(E68,$AD$6:$AE$1090,2,FALSE),"")</f>
        <v>Razvoj, unapređenje i provedba stručne prakse u visokom obrazovanju</v>
      </c>
      <c r="G68" s="83" t="str">
        <f t="shared" ref="G68:G131" si="14">IFERROR(VLOOKUP(E68,$AD$6:$AG$1090,4,FALSE),"")</f>
        <v>0942</v>
      </c>
      <c r="H68" s="69"/>
      <c r="I68" s="69">
        <v>129</v>
      </c>
      <c r="J68" s="78">
        <f t="shared" ref="J68:J131" si="15">I68-H68</f>
        <v>129</v>
      </c>
      <c r="K68" s="91"/>
      <c r="L68" s="92"/>
      <c r="M68" s="92"/>
      <c r="N68" s="91"/>
      <c r="O68" s="93"/>
      <c r="P68" s="67"/>
      <c r="R68" t="str">
        <f t="shared" ref="R68:R131" si="16">LEFT(C68,3)</f>
        <v>321</v>
      </c>
      <c r="S68" t="str">
        <f t="shared" ref="S68:S131" si="17">LEFT(C68,2)</f>
        <v>32</v>
      </c>
      <c r="T68" t="str">
        <f t="shared" ref="T68:T131" si="18">MID(G68,2,2)</f>
        <v>94</v>
      </c>
      <c r="X68">
        <v>3715</v>
      </c>
      <c r="Y68" t="s">
        <v>469</v>
      </c>
      <c r="AA68" t="str">
        <f t="shared" si="8"/>
        <v>37</v>
      </c>
      <c r="AB68" t="str">
        <f t="shared" si="9"/>
        <v>371</v>
      </c>
      <c r="AD68" t="s">
        <v>1182</v>
      </c>
      <c r="AE68" t="s">
        <v>1183</v>
      </c>
      <c r="AF68" t="str">
        <f t="shared" si="10"/>
        <v>A679071</v>
      </c>
      <c r="AG68" t="str">
        <f>VLOOKUP(AF68,AKT!$C$4:$E$324,3,FALSE)</f>
        <v>0942</v>
      </c>
    </row>
    <row r="69" spans="1:33">
      <c r="A69" s="84">
        <v>561</v>
      </c>
      <c r="B69" s="83" t="str">
        <f t="shared" si="11"/>
        <v>Europski socijalni fond (ESF)</v>
      </c>
      <c r="C69" s="84">
        <v>3233</v>
      </c>
      <c r="D69" s="83" t="str">
        <f t="shared" si="12"/>
        <v>Usluge promidžbe i informiranja</v>
      </c>
      <c r="E69" s="85" t="s">
        <v>1094</v>
      </c>
      <c r="F69" s="83" t="str">
        <f t="shared" si="13"/>
        <v>Razvoj, unapređenje i provedba stručne prakse u visokom obrazovanju</v>
      </c>
      <c r="G69" s="83" t="str">
        <f t="shared" si="14"/>
        <v>0942</v>
      </c>
      <c r="H69" s="69"/>
      <c r="I69" s="69">
        <v>1658</v>
      </c>
      <c r="J69" s="78">
        <f t="shared" si="15"/>
        <v>1658</v>
      </c>
      <c r="K69" s="91"/>
      <c r="L69" s="92"/>
      <c r="M69" s="92"/>
      <c r="N69" s="91"/>
      <c r="O69" s="93"/>
      <c r="P69" s="67"/>
      <c r="R69" t="str">
        <f t="shared" si="16"/>
        <v>323</v>
      </c>
      <c r="S69" t="str">
        <f t="shared" si="17"/>
        <v>32</v>
      </c>
      <c r="T69" t="str">
        <f t="shared" si="18"/>
        <v>94</v>
      </c>
      <c r="X69">
        <v>3721</v>
      </c>
      <c r="Y69" t="s">
        <v>472</v>
      </c>
      <c r="AA69" t="str">
        <f t="shared" ref="AA69:AA129" si="19">LEFT(X69,2)</f>
        <v>37</v>
      </c>
      <c r="AB69" t="str">
        <f t="shared" si="9"/>
        <v>372</v>
      </c>
      <c r="AD69" t="s">
        <v>1184</v>
      </c>
      <c r="AE69" t="s">
        <v>1185</v>
      </c>
      <c r="AF69" t="str">
        <f t="shared" si="10"/>
        <v>A679071</v>
      </c>
      <c r="AG69" t="str">
        <f>VLOOKUP(AF69,AKT!$C$4:$E$324,3,FALSE)</f>
        <v>0942</v>
      </c>
    </row>
    <row r="70" spans="1:33">
      <c r="A70" s="84">
        <v>561</v>
      </c>
      <c r="B70" s="83" t="str">
        <f t="shared" si="11"/>
        <v>Europski socijalni fond (ESF)</v>
      </c>
      <c r="C70" s="84">
        <v>3531</v>
      </c>
      <c r="D70" s="83" t="str">
        <f t="shared" si="12"/>
        <v>Subvencije trgovačkim društvima, zadrugama, poljoprivrednici</v>
      </c>
      <c r="E70" s="85" t="s">
        <v>1094</v>
      </c>
      <c r="F70" s="83" t="str">
        <f t="shared" si="13"/>
        <v>Razvoj, unapređenje i provedba stručne prakse u visokom obrazovanju</v>
      </c>
      <c r="G70" s="83" t="str">
        <f t="shared" si="14"/>
        <v>0942</v>
      </c>
      <c r="H70" s="69"/>
      <c r="I70" s="69">
        <v>10133</v>
      </c>
      <c r="J70" s="78">
        <f t="shared" si="15"/>
        <v>10133</v>
      </c>
      <c r="K70" s="91"/>
      <c r="L70" s="92"/>
      <c r="M70" s="92"/>
      <c r="N70" s="91"/>
      <c r="O70" s="93"/>
      <c r="P70" s="67"/>
      <c r="R70" t="str">
        <f t="shared" si="16"/>
        <v>353</v>
      </c>
      <c r="S70" t="str">
        <f t="shared" si="17"/>
        <v>35</v>
      </c>
      <c r="T70" t="str">
        <f t="shared" si="18"/>
        <v>94</v>
      </c>
      <c r="X70">
        <v>3722</v>
      </c>
      <c r="Y70" t="s">
        <v>475</v>
      </c>
      <c r="AA70" t="str">
        <f t="shared" si="19"/>
        <v>37</v>
      </c>
      <c r="AB70" t="str">
        <f t="shared" ref="AB70:AB129" si="20">LEFT(X70,3)</f>
        <v>372</v>
      </c>
      <c r="AD70" t="s">
        <v>1186</v>
      </c>
      <c r="AE70" t="s">
        <v>1187</v>
      </c>
      <c r="AF70" t="str">
        <f t="shared" si="10"/>
        <v>A679071</v>
      </c>
      <c r="AG70" t="str">
        <f>VLOOKUP(AF70,AKT!$C$4:$E$324,3,FALSE)</f>
        <v>0942</v>
      </c>
    </row>
    <row r="71" spans="1:33">
      <c r="A71" s="84">
        <v>561</v>
      </c>
      <c r="B71" s="83" t="str">
        <f t="shared" si="11"/>
        <v>Europski socijalni fond (ESF)</v>
      </c>
      <c r="C71" s="84">
        <v>4224</v>
      </c>
      <c r="D71" s="83" t="str">
        <f t="shared" si="12"/>
        <v>Medicinska i laboratorijska oprema</v>
      </c>
      <c r="E71" s="85" t="s">
        <v>1094</v>
      </c>
      <c r="F71" s="83" t="str">
        <f t="shared" si="13"/>
        <v>Razvoj, unapređenje i provedba stručne prakse u visokom obrazovanju</v>
      </c>
      <c r="G71" s="83" t="str">
        <f t="shared" si="14"/>
        <v>0942</v>
      </c>
      <c r="H71" s="69"/>
      <c r="I71" s="69">
        <v>20250</v>
      </c>
      <c r="J71" s="78">
        <f t="shared" si="15"/>
        <v>20250</v>
      </c>
      <c r="K71" s="91"/>
      <c r="L71" s="92"/>
      <c r="M71" s="92"/>
      <c r="N71" s="91"/>
      <c r="O71" s="93"/>
      <c r="P71" s="67"/>
      <c r="R71" t="str">
        <f t="shared" si="16"/>
        <v>422</v>
      </c>
      <c r="S71" t="str">
        <f t="shared" si="17"/>
        <v>42</v>
      </c>
      <c r="T71" t="str">
        <f t="shared" si="18"/>
        <v>94</v>
      </c>
      <c r="X71">
        <v>3723</v>
      </c>
      <c r="Y71" t="s">
        <v>478</v>
      </c>
      <c r="AA71" t="str">
        <f t="shared" si="19"/>
        <v>37</v>
      </c>
      <c r="AB71" t="str">
        <f t="shared" si="20"/>
        <v>372</v>
      </c>
      <c r="AD71" t="s">
        <v>1188</v>
      </c>
      <c r="AE71" t="s">
        <v>1189</v>
      </c>
      <c r="AF71" t="str">
        <f t="shared" si="10"/>
        <v>A679071</v>
      </c>
      <c r="AG71" t="str">
        <f>VLOOKUP(AF71,AKT!$C$4:$E$324,3,FALSE)</f>
        <v>0942</v>
      </c>
    </row>
    <row r="72" spans="1:33">
      <c r="A72" s="84">
        <v>561</v>
      </c>
      <c r="B72" s="83" t="str">
        <f t="shared" si="11"/>
        <v>Europski socijalni fond (ESF)</v>
      </c>
      <c r="C72" s="84">
        <v>4262</v>
      </c>
      <c r="D72" s="83" t="str">
        <f t="shared" si="12"/>
        <v>Ulaganja u računalne programe</v>
      </c>
      <c r="E72" s="85" t="s">
        <v>1094</v>
      </c>
      <c r="F72" s="83" t="str">
        <f t="shared" si="13"/>
        <v>Razvoj, unapređenje i provedba stručne prakse u visokom obrazovanju</v>
      </c>
      <c r="G72" s="83" t="str">
        <f t="shared" si="14"/>
        <v>0942</v>
      </c>
      <c r="H72" s="69"/>
      <c r="I72" s="69">
        <v>15792</v>
      </c>
      <c r="J72" s="78">
        <f t="shared" si="15"/>
        <v>15792</v>
      </c>
      <c r="K72" s="91"/>
      <c r="L72" s="92"/>
      <c r="M72" s="92"/>
      <c r="N72" s="91"/>
      <c r="O72" s="93"/>
      <c r="P72" s="67"/>
      <c r="R72" t="str">
        <f t="shared" si="16"/>
        <v>426</v>
      </c>
      <c r="S72" t="str">
        <f t="shared" si="17"/>
        <v>42</v>
      </c>
      <c r="T72" t="str">
        <f t="shared" si="18"/>
        <v>94</v>
      </c>
      <c r="X72">
        <v>3811</v>
      </c>
      <c r="Y72" t="s">
        <v>481</v>
      </c>
      <c r="AA72" t="str">
        <f t="shared" si="19"/>
        <v>38</v>
      </c>
      <c r="AB72" t="str">
        <f t="shared" si="20"/>
        <v>381</v>
      </c>
      <c r="AD72" t="s">
        <v>1190</v>
      </c>
      <c r="AE72" t="s">
        <v>1191</v>
      </c>
      <c r="AF72" t="str">
        <f t="shared" ref="AF72:AF135" si="21">LEFT(AD72,7)</f>
        <v>A679071</v>
      </c>
      <c r="AG72" t="str">
        <f>VLOOKUP(AF72,AKT!$C$4:$E$324,3,FALSE)</f>
        <v>0942</v>
      </c>
    </row>
    <row r="73" spans="1:33">
      <c r="A73" s="84"/>
      <c r="B73" s="83" t="str">
        <f t="shared" si="11"/>
        <v/>
      </c>
      <c r="C73" s="84"/>
      <c r="D73" s="83" t="str">
        <f t="shared" si="12"/>
        <v/>
      </c>
      <c r="E73" s="85"/>
      <c r="F73" s="83" t="str">
        <f t="shared" si="13"/>
        <v/>
      </c>
      <c r="G73" s="83" t="str">
        <f t="shared" si="14"/>
        <v/>
      </c>
      <c r="H73" s="69"/>
      <c r="I73" s="69"/>
      <c r="J73" s="78">
        <f t="shared" si="15"/>
        <v>0</v>
      </c>
      <c r="K73" s="91"/>
      <c r="L73" s="92"/>
      <c r="M73" s="92"/>
      <c r="N73" s="91"/>
      <c r="O73" s="93"/>
      <c r="P73" s="67"/>
      <c r="R73" t="str">
        <f t="shared" si="16"/>
        <v/>
      </c>
      <c r="S73" t="str">
        <f t="shared" si="17"/>
        <v/>
      </c>
      <c r="T73" t="str">
        <f t="shared" si="18"/>
        <v/>
      </c>
      <c r="X73">
        <v>3812</v>
      </c>
      <c r="Y73" t="s">
        <v>484</v>
      </c>
      <c r="AA73" t="str">
        <f t="shared" si="19"/>
        <v>38</v>
      </c>
      <c r="AB73" t="str">
        <f t="shared" si="20"/>
        <v>381</v>
      </c>
      <c r="AD73" t="s">
        <v>1192</v>
      </c>
      <c r="AE73" t="s">
        <v>1193</v>
      </c>
      <c r="AF73" t="str">
        <f t="shared" si="21"/>
        <v>A679071</v>
      </c>
      <c r="AG73" t="str">
        <f>VLOOKUP(AF73,AKT!$C$4:$E$324,3,FALSE)</f>
        <v>0942</v>
      </c>
    </row>
    <row r="74" spans="1:33">
      <c r="A74" s="84">
        <v>12</v>
      </c>
      <c r="B74" s="83" t="str">
        <f t="shared" si="11"/>
        <v>Sredstva učešća za pomoći</v>
      </c>
      <c r="C74" s="84">
        <v>3212</v>
      </c>
      <c r="D74" s="83" t="str">
        <f t="shared" si="12"/>
        <v>Naknade za prijevoz, za rad na terenu i odvojeni život</v>
      </c>
      <c r="E74" s="85" t="s">
        <v>1094</v>
      </c>
      <c r="F74" s="83" t="str">
        <f t="shared" si="13"/>
        <v>Razvoj, unapređenje i provedba stručne prakse u visokom obrazovanju</v>
      </c>
      <c r="G74" s="83" t="str">
        <f t="shared" si="14"/>
        <v>0942</v>
      </c>
      <c r="H74" s="69"/>
      <c r="I74" s="69">
        <v>23</v>
      </c>
      <c r="J74" s="78">
        <f t="shared" si="15"/>
        <v>23</v>
      </c>
      <c r="K74" s="91"/>
      <c r="L74" s="92"/>
      <c r="M74" s="92"/>
      <c r="N74" s="91"/>
      <c r="O74" s="93"/>
      <c r="P74" s="67"/>
      <c r="R74" t="str">
        <f t="shared" si="16"/>
        <v>321</v>
      </c>
      <c r="S74" t="str">
        <f t="shared" si="17"/>
        <v>32</v>
      </c>
      <c r="T74" t="str">
        <f t="shared" si="18"/>
        <v>94</v>
      </c>
      <c r="X74">
        <v>3813</v>
      </c>
      <c r="Y74" t="s">
        <v>487</v>
      </c>
      <c r="AA74" t="str">
        <f t="shared" si="19"/>
        <v>38</v>
      </c>
      <c r="AB74" t="str">
        <f t="shared" si="20"/>
        <v>381</v>
      </c>
      <c r="AD74" t="s">
        <v>1194</v>
      </c>
      <c r="AE74" t="s">
        <v>1195</v>
      </c>
      <c r="AF74" t="str">
        <f t="shared" si="21"/>
        <v>A679071</v>
      </c>
      <c r="AG74" t="str">
        <f>VLOOKUP(AF74,AKT!$C$4:$E$324,3,FALSE)</f>
        <v>0942</v>
      </c>
    </row>
    <row r="75" spans="1:33">
      <c r="A75" s="84">
        <v>12</v>
      </c>
      <c r="B75" s="83" t="str">
        <f t="shared" si="11"/>
        <v>Sredstva učešća za pomoći</v>
      </c>
      <c r="C75" s="84">
        <v>3233</v>
      </c>
      <c r="D75" s="83" t="str">
        <f t="shared" si="12"/>
        <v>Usluge promidžbe i informiranja</v>
      </c>
      <c r="E75" s="85" t="s">
        <v>1094</v>
      </c>
      <c r="F75" s="83" t="str">
        <f t="shared" si="13"/>
        <v>Razvoj, unapređenje i provedba stručne prakse u visokom obrazovanju</v>
      </c>
      <c r="G75" s="83" t="str">
        <f t="shared" si="14"/>
        <v>0942</v>
      </c>
      <c r="H75" s="69"/>
      <c r="I75" s="69">
        <v>293</v>
      </c>
      <c r="J75" s="78">
        <f t="shared" si="15"/>
        <v>293</v>
      </c>
      <c r="K75" s="91"/>
      <c r="L75" s="92"/>
      <c r="M75" s="92"/>
      <c r="N75" s="91"/>
      <c r="O75" s="93"/>
      <c r="P75" s="67"/>
      <c r="R75" t="str">
        <f t="shared" si="16"/>
        <v>323</v>
      </c>
      <c r="S75" t="str">
        <f t="shared" si="17"/>
        <v>32</v>
      </c>
      <c r="T75" t="str">
        <f t="shared" si="18"/>
        <v>94</v>
      </c>
      <c r="X75">
        <v>3821</v>
      </c>
      <c r="Y75" t="s">
        <v>490</v>
      </c>
      <c r="AA75" t="str">
        <f t="shared" si="19"/>
        <v>38</v>
      </c>
      <c r="AB75" t="str">
        <f t="shared" si="20"/>
        <v>382</v>
      </c>
      <c r="AD75" t="s">
        <v>1196</v>
      </c>
      <c r="AE75" t="s">
        <v>1197</v>
      </c>
      <c r="AF75" t="str">
        <f t="shared" si="21"/>
        <v>A679071</v>
      </c>
      <c r="AG75" t="str">
        <f>VLOOKUP(AF75,AKT!$C$4:$E$324,3,FALSE)</f>
        <v>0942</v>
      </c>
    </row>
    <row r="76" spans="1:33">
      <c r="A76" s="84">
        <v>12</v>
      </c>
      <c r="B76" s="83" t="str">
        <f t="shared" si="11"/>
        <v>Sredstva učešća za pomoći</v>
      </c>
      <c r="C76" s="84">
        <v>3531</v>
      </c>
      <c r="D76" s="83" t="str">
        <f t="shared" si="12"/>
        <v>Subvencije trgovačkim društvima, zadrugama, poljoprivrednici</v>
      </c>
      <c r="E76" s="85" t="s">
        <v>1094</v>
      </c>
      <c r="F76" s="83" t="str">
        <f t="shared" si="13"/>
        <v>Razvoj, unapređenje i provedba stručne prakse u visokom obrazovanju</v>
      </c>
      <c r="G76" s="83" t="str">
        <f t="shared" si="14"/>
        <v>0942</v>
      </c>
      <c r="H76" s="69"/>
      <c r="I76" s="69">
        <v>1788</v>
      </c>
      <c r="J76" s="78">
        <f t="shared" si="15"/>
        <v>1788</v>
      </c>
      <c r="K76" s="91"/>
      <c r="L76" s="92"/>
      <c r="M76" s="92"/>
      <c r="N76" s="91"/>
      <c r="O76" s="93"/>
      <c r="P76" s="67"/>
      <c r="R76" t="str">
        <f t="shared" si="16"/>
        <v>353</v>
      </c>
      <c r="S76" t="str">
        <f t="shared" si="17"/>
        <v>35</v>
      </c>
      <c r="T76" t="str">
        <f t="shared" si="18"/>
        <v>94</v>
      </c>
      <c r="X76">
        <v>3831</v>
      </c>
      <c r="Y76" t="s">
        <v>493</v>
      </c>
      <c r="AA76" t="str">
        <f t="shared" si="19"/>
        <v>38</v>
      </c>
      <c r="AB76" t="str">
        <f t="shared" si="20"/>
        <v>383</v>
      </c>
      <c r="AD76" t="s">
        <v>1198</v>
      </c>
      <c r="AE76" t="s">
        <v>1199</v>
      </c>
      <c r="AF76" t="str">
        <f t="shared" si="21"/>
        <v>A679071</v>
      </c>
      <c r="AG76" t="str">
        <f>VLOOKUP(AF76,AKT!$C$4:$E$324,3,FALSE)</f>
        <v>0942</v>
      </c>
    </row>
    <row r="77" spans="1:33">
      <c r="A77" s="84">
        <v>12</v>
      </c>
      <c r="B77" s="83" t="str">
        <f t="shared" si="11"/>
        <v>Sredstva učešća za pomoći</v>
      </c>
      <c r="C77" s="84">
        <v>4224</v>
      </c>
      <c r="D77" s="83" t="str">
        <f t="shared" si="12"/>
        <v>Medicinska i laboratorijska oprema</v>
      </c>
      <c r="E77" s="85" t="s">
        <v>1094</v>
      </c>
      <c r="F77" s="83" t="str">
        <f t="shared" si="13"/>
        <v>Razvoj, unapređenje i provedba stručne prakse u visokom obrazovanju</v>
      </c>
      <c r="G77" s="83" t="str">
        <f t="shared" si="14"/>
        <v>0942</v>
      </c>
      <c r="H77" s="69"/>
      <c r="I77" s="69">
        <v>3574</v>
      </c>
      <c r="J77" s="78">
        <f t="shared" si="15"/>
        <v>3574</v>
      </c>
      <c r="K77" s="91"/>
      <c r="L77" s="92"/>
      <c r="M77" s="92"/>
      <c r="N77" s="91"/>
      <c r="O77" s="93"/>
      <c r="P77" s="67"/>
      <c r="R77" t="str">
        <f t="shared" si="16"/>
        <v>422</v>
      </c>
      <c r="S77" t="str">
        <f t="shared" si="17"/>
        <v>42</v>
      </c>
      <c r="T77" t="str">
        <f t="shared" si="18"/>
        <v>94</v>
      </c>
      <c r="X77">
        <v>3832</v>
      </c>
      <c r="Y77" t="s">
        <v>496</v>
      </c>
      <c r="AA77" t="str">
        <f t="shared" si="19"/>
        <v>38</v>
      </c>
      <c r="AB77" t="str">
        <f t="shared" si="20"/>
        <v>383</v>
      </c>
      <c r="AD77" t="s">
        <v>1200</v>
      </c>
      <c r="AE77" t="s">
        <v>1201</v>
      </c>
      <c r="AF77" t="str">
        <f t="shared" si="21"/>
        <v>A679071</v>
      </c>
      <c r="AG77" t="str">
        <f>VLOOKUP(AF77,AKT!$C$4:$E$324,3,FALSE)</f>
        <v>0942</v>
      </c>
    </row>
    <row r="78" spans="1:33">
      <c r="A78" s="84">
        <v>12</v>
      </c>
      <c r="B78" s="83" t="str">
        <f t="shared" si="11"/>
        <v>Sredstva učešća za pomoći</v>
      </c>
      <c r="C78" s="84">
        <v>4262</v>
      </c>
      <c r="D78" s="83" t="str">
        <f t="shared" si="12"/>
        <v>Ulaganja u računalne programe</v>
      </c>
      <c r="E78" s="85" t="s">
        <v>1094</v>
      </c>
      <c r="F78" s="83" t="str">
        <f t="shared" si="13"/>
        <v>Razvoj, unapređenje i provedba stručne prakse u visokom obrazovanju</v>
      </c>
      <c r="G78" s="83" t="str">
        <f t="shared" si="14"/>
        <v>0942</v>
      </c>
      <c r="H78" s="69"/>
      <c r="I78" s="69">
        <v>2787</v>
      </c>
      <c r="J78" s="78">
        <f t="shared" si="15"/>
        <v>2787</v>
      </c>
      <c r="K78" s="91"/>
      <c r="L78" s="92"/>
      <c r="M78" s="92"/>
      <c r="N78" s="91"/>
      <c r="O78" s="93"/>
      <c r="P78" s="67"/>
      <c r="R78" t="str">
        <f t="shared" si="16"/>
        <v>426</v>
      </c>
      <c r="S78" t="str">
        <f t="shared" si="17"/>
        <v>42</v>
      </c>
      <c r="T78" t="str">
        <f t="shared" si="18"/>
        <v>94</v>
      </c>
      <c r="X78">
        <v>3833</v>
      </c>
      <c r="Y78" t="s">
        <v>499</v>
      </c>
      <c r="AA78" t="str">
        <f t="shared" si="19"/>
        <v>38</v>
      </c>
      <c r="AB78" t="str">
        <f t="shared" si="20"/>
        <v>383</v>
      </c>
      <c r="AD78" t="s">
        <v>1202</v>
      </c>
      <c r="AE78" t="s">
        <v>1203</v>
      </c>
      <c r="AF78" t="str">
        <f t="shared" si="21"/>
        <v>A679071</v>
      </c>
      <c r="AG78" t="str">
        <f>VLOOKUP(AF78,AKT!$C$4:$E$324,3,FALSE)</f>
        <v>0942</v>
      </c>
    </row>
    <row r="79" spans="1:33">
      <c r="A79" s="84"/>
      <c r="B79" s="83" t="str">
        <f t="shared" si="11"/>
        <v/>
      </c>
      <c r="C79" s="84"/>
      <c r="D79" s="83" t="str">
        <f t="shared" si="12"/>
        <v/>
      </c>
      <c r="E79" s="85"/>
      <c r="F79" s="83" t="str">
        <f t="shared" si="13"/>
        <v/>
      </c>
      <c r="G79" s="83" t="str">
        <f t="shared" si="14"/>
        <v/>
      </c>
      <c r="H79" s="69"/>
      <c r="I79" s="69"/>
      <c r="J79" s="78">
        <f t="shared" si="15"/>
        <v>0</v>
      </c>
      <c r="K79" s="91"/>
      <c r="L79" s="92"/>
      <c r="M79" s="92"/>
      <c r="N79" s="91"/>
      <c r="O79" s="93"/>
      <c r="P79" s="67"/>
      <c r="R79" t="str">
        <f t="shared" si="16"/>
        <v/>
      </c>
      <c r="S79" t="str">
        <f t="shared" si="17"/>
        <v/>
      </c>
      <c r="T79" t="str">
        <f t="shared" si="18"/>
        <v/>
      </c>
      <c r="X79">
        <v>3834</v>
      </c>
      <c r="Y79" t="s">
        <v>502</v>
      </c>
      <c r="AA79" t="str">
        <f t="shared" si="19"/>
        <v>38</v>
      </c>
      <c r="AB79" t="str">
        <f t="shared" si="20"/>
        <v>383</v>
      </c>
      <c r="AD79" t="s">
        <v>1204</v>
      </c>
      <c r="AE79" t="s">
        <v>1205</v>
      </c>
      <c r="AF79" t="str">
        <f t="shared" si="21"/>
        <v>A679071</v>
      </c>
      <c r="AG79" t="str">
        <f>VLOOKUP(AF79,AKT!$C$4:$E$324,3,FALSE)</f>
        <v>0942</v>
      </c>
    </row>
    <row r="80" spans="1:33">
      <c r="A80" s="84">
        <v>51</v>
      </c>
      <c r="B80" s="83" t="str">
        <f t="shared" si="11"/>
        <v>Pomoći EU</v>
      </c>
      <c r="C80" s="84">
        <v>3121</v>
      </c>
      <c r="D80" s="83" t="str">
        <f t="shared" si="12"/>
        <v>Ostali rashodi za zaposlene</v>
      </c>
      <c r="E80" s="85" t="s">
        <v>1029</v>
      </c>
      <c r="F80" s="83" t="str">
        <f t="shared" si="13"/>
        <v>NOVI PODPROJEKT</v>
      </c>
      <c r="G80" s="83" t="str">
        <f t="shared" si="14"/>
        <v>NOVI PODPROJEKT</v>
      </c>
      <c r="H80" s="69"/>
      <c r="I80" s="69">
        <v>150</v>
      </c>
      <c r="J80" s="78">
        <f t="shared" si="15"/>
        <v>150</v>
      </c>
      <c r="K80" s="91" t="s">
        <v>1110</v>
      </c>
      <c r="L80" s="92" t="s">
        <v>1031</v>
      </c>
      <c r="M80" s="92" t="s">
        <v>5915</v>
      </c>
      <c r="N80" s="91" t="s">
        <v>5914</v>
      </c>
      <c r="O80" s="93"/>
      <c r="P80" s="67"/>
      <c r="R80" t="str">
        <f t="shared" si="16"/>
        <v>312</v>
      </c>
      <c r="S80" t="str">
        <f t="shared" si="17"/>
        <v>31</v>
      </c>
      <c r="T80" t="str">
        <f t="shared" si="18"/>
        <v>OV</v>
      </c>
      <c r="X80">
        <v>3835</v>
      </c>
      <c r="Y80" t="s">
        <v>505</v>
      </c>
      <c r="AA80" t="str">
        <f t="shared" si="19"/>
        <v>38</v>
      </c>
      <c r="AB80" t="str">
        <f t="shared" si="20"/>
        <v>383</v>
      </c>
      <c r="AD80" t="s">
        <v>1206</v>
      </c>
      <c r="AE80" t="s">
        <v>1207</v>
      </c>
      <c r="AF80" t="str">
        <f t="shared" si="21"/>
        <v>A679071</v>
      </c>
      <c r="AG80" t="str">
        <f>VLOOKUP(AF80,AKT!$C$4:$E$324,3,FALSE)</f>
        <v>0942</v>
      </c>
    </row>
    <row r="81" spans="1:33">
      <c r="A81" s="84">
        <v>51</v>
      </c>
      <c r="B81" s="83" t="str">
        <f t="shared" si="11"/>
        <v>Pomoći EU</v>
      </c>
      <c r="C81" s="84">
        <v>3211</v>
      </c>
      <c r="D81" s="83" t="str">
        <f t="shared" si="12"/>
        <v>Službena putovanja</v>
      </c>
      <c r="E81" s="85" t="s">
        <v>1029</v>
      </c>
      <c r="F81" s="83" t="str">
        <f t="shared" si="13"/>
        <v>NOVI PODPROJEKT</v>
      </c>
      <c r="G81" s="83" t="str">
        <f t="shared" si="14"/>
        <v>NOVI PODPROJEKT</v>
      </c>
      <c r="H81" s="69"/>
      <c r="I81" s="69">
        <v>3000</v>
      </c>
      <c r="J81" s="78">
        <f t="shared" si="15"/>
        <v>3000</v>
      </c>
      <c r="K81" s="91"/>
      <c r="L81" s="92"/>
      <c r="M81" s="92"/>
      <c r="N81" s="91"/>
      <c r="O81" s="93"/>
      <c r="P81" s="67"/>
      <c r="R81" t="str">
        <f t="shared" si="16"/>
        <v>321</v>
      </c>
      <c r="S81" t="str">
        <f t="shared" si="17"/>
        <v>32</v>
      </c>
      <c r="T81" t="str">
        <f t="shared" si="18"/>
        <v>OV</v>
      </c>
      <c r="X81">
        <v>3861</v>
      </c>
      <c r="Y81" s="95" t="s">
        <v>508</v>
      </c>
      <c r="AA81" t="str">
        <f t="shared" si="19"/>
        <v>38</v>
      </c>
      <c r="AB81" t="str">
        <f t="shared" si="20"/>
        <v>386</v>
      </c>
      <c r="AD81" t="s">
        <v>1208</v>
      </c>
      <c r="AE81" t="s">
        <v>1209</v>
      </c>
      <c r="AF81" t="str">
        <f t="shared" si="21"/>
        <v>A679071</v>
      </c>
      <c r="AG81" t="str">
        <f>VLOOKUP(AF81,AKT!$C$4:$E$324,3,FALSE)</f>
        <v>0942</v>
      </c>
    </row>
    <row r="82" spans="1:33">
      <c r="A82" s="84">
        <v>51</v>
      </c>
      <c r="B82" s="83" t="str">
        <f t="shared" si="11"/>
        <v>Pomoći EU</v>
      </c>
      <c r="C82" s="84">
        <v>3212</v>
      </c>
      <c r="D82" s="83" t="str">
        <f t="shared" si="12"/>
        <v>Naknade za prijevoz, za rad na terenu i odvojeni život</v>
      </c>
      <c r="E82" s="85" t="s">
        <v>1029</v>
      </c>
      <c r="F82" s="83" t="str">
        <f t="shared" si="13"/>
        <v>NOVI PODPROJEKT</v>
      </c>
      <c r="G82" s="83" t="str">
        <f t="shared" si="14"/>
        <v>NOVI PODPROJEKT</v>
      </c>
      <c r="H82" s="69"/>
      <c r="I82" s="69">
        <v>100</v>
      </c>
      <c r="J82" s="78">
        <f t="shared" si="15"/>
        <v>100</v>
      </c>
      <c r="K82" s="91"/>
      <c r="L82" s="92"/>
      <c r="M82" s="92"/>
      <c r="N82" s="91"/>
      <c r="O82" s="93"/>
      <c r="P82" s="67"/>
      <c r="R82" t="str">
        <f t="shared" si="16"/>
        <v>321</v>
      </c>
      <c r="S82" t="str">
        <f t="shared" si="17"/>
        <v>32</v>
      </c>
      <c r="T82" t="str">
        <f t="shared" si="18"/>
        <v>OV</v>
      </c>
      <c r="X82">
        <v>3862</v>
      </c>
      <c r="Y82" t="s">
        <v>511</v>
      </c>
      <c r="AA82" t="str">
        <f t="shared" si="19"/>
        <v>38</v>
      </c>
      <c r="AB82" t="str">
        <f t="shared" si="20"/>
        <v>386</v>
      </c>
      <c r="AD82" t="s">
        <v>1210</v>
      </c>
      <c r="AE82" t="s">
        <v>1211</v>
      </c>
      <c r="AF82" t="str">
        <f t="shared" si="21"/>
        <v>A679071</v>
      </c>
      <c r="AG82" t="str">
        <f>VLOOKUP(AF82,AKT!$C$4:$E$324,3,FALSE)</f>
        <v>0942</v>
      </c>
    </row>
    <row r="83" spans="1:33">
      <c r="A83" s="84">
        <v>51</v>
      </c>
      <c r="B83" s="83" t="str">
        <f t="shared" si="11"/>
        <v>Pomoći EU</v>
      </c>
      <c r="C83" s="84">
        <v>3213</v>
      </c>
      <c r="D83" s="83" t="str">
        <f t="shared" si="12"/>
        <v>Stručno usavršavanje zaposlenika</v>
      </c>
      <c r="E83" s="85" t="s">
        <v>1029</v>
      </c>
      <c r="F83" s="83" t="str">
        <f t="shared" si="13"/>
        <v>NOVI PODPROJEKT</v>
      </c>
      <c r="G83" s="83" t="str">
        <f t="shared" si="14"/>
        <v>NOVI PODPROJEKT</v>
      </c>
      <c r="H83" s="69"/>
      <c r="I83" s="69">
        <v>1500</v>
      </c>
      <c r="J83" s="78">
        <f t="shared" si="15"/>
        <v>1500</v>
      </c>
      <c r="K83" s="91"/>
      <c r="L83" s="92"/>
      <c r="M83" s="92"/>
      <c r="N83" s="91"/>
      <c r="O83" s="93"/>
      <c r="P83" s="67"/>
      <c r="R83" t="str">
        <f t="shared" si="16"/>
        <v>321</v>
      </c>
      <c r="S83" t="str">
        <f t="shared" si="17"/>
        <v>32</v>
      </c>
      <c r="T83" t="str">
        <f t="shared" si="18"/>
        <v>OV</v>
      </c>
      <c r="X83">
        <v>3863</v>
      </c>
      <c r="Y83" t="s">
        <v>514</v>
      </c>
      <c r="AA83" t="str">
        <f t="shared" si="19"/>
        <v>38</v>
      </c>
      <c r="AB83" t="str">
        <f t="shared" si="20"/>
        <v>386</v>
      </c>
      <c r="AD83" t="s">
        <v>1212</v>
      </c>
      <c r="AE83" t="s">
        <v>1213</v>
      </c>
      <c r="AF83" t="str">
        <f t="shared" si="21"/>
        <v>A679071</v>
      </c>
      <c r="AG83" t="str">
        <f>VLOOKUP(AF83,AKT!$C$4:$E$324,3,FALSE)</f>
        <v>0942</v>
      </c>
    </row>
    <row r="84" spans="1:33">
      <c r="A84" s="84">
        <v>51</v>
      </c>
      <c r="B84" s="83" t="str">
        <f t="shared" si="11"/>
        <v>Pomoći EU</v>
      </c>
      <c r="C84" s="84">
        <v>3224</v>
      </c>
      <c r="D84" s="83" t="str">
        <f t="shared" si="12"/>
        <v>Materijal i dijelovi za tekuće i investicijsko održavanje</v>
      </c>
      <c r="E84" s="85" t="s">
        <v>1029</v>
      </c>
      <c r="F84" s="83" t="str">
        <f t="shared" si="13"/>
        <v>NOVI PODPROJEKT</v>
      </c>
      <c r="G84" s="83" t="str">
        <f t="shared" si="14"/>
        <v>NOVI PODPROJEKT</v>
      </c>
      <c r="H84" s="69"/>
      <c r="I84" s="69">
        <v>770</v>
      </c>
      <c r="J84" s="78">
        <f t="shared" si="15"/>
        <v>770</v>
      </c>
      <c r="K84" s="91"/>
      <c r="L84" s="92"/>
      <c r="M84" s="92"/>
      <c r="N84" s="91"/>
      <c r="O84" s="93"/>
      <c r="P84" s="67"/>
      <c r="R84" t="str">
        <f t="shared" si="16"/>
        <v>322</v>
      </c>
      <c r="S84" t="str">
        <f t="shared" si="17"/>
        <v>32</v>
      </c>
      <c r="T84" t="str">
        <f t="shared" si="18"/>
        <v>OV</v>
      </c>
      <c r="X84">
        <v>4111</v>
      </c>
      <c r="Y84" t="s">
        <v>517</v>
      </c>
      <c r="AA84" t="str">
        <f t="shared" si="19"/>
        <v>41</v>
      </c>
      <c r="AB84" t="str">
        <f t="shared" si="20"/>
        <v>411</v>
      </c>
      <c r="AD84" t="s">
        <v>1214</v>
      </c>
      <c r="AE84" t="s">
        <v>1215</v>
      </c>
      <c r="AF84" t="str">
        <f t="shared" si="21"/>
        <v>A679071</v>
      </c>
      <c r="AG84" t="str">
        <f>VLOOKUP(AF84,AKT!$C$4:$E$324,3,FALSE)</f>
        <v>0942</v>
      </c>
    </row>
    <row r="85" spans="1:33">
      <c r="A85" s="84">
        <v>51</v>
      </c>
      <c r="B85" s="83" t="str">
        <f t="shared" si="11"/>
        <v>Pomoći EU</v>
      </c>
      <c r="C85" s="84">
        <v>3233</v>
      </c>
      <c r="D85" s="83" t="str">
        <f t="shared" si="12"/>
        <v>Usluge promidžbe i informiranja</v>
      </c>
      <c r="E85" s="85" t="s">
        <v>1029</v>
      </c>
      <c r="F85" s="83" t="str">
        <f t="shared" si="13"/>
        <v>NOVI PODPROJEKT</v>
      </c>
      <c r="G85" s="83" t="str">
        <f t="shared" si="14"/>
        <v>NOVI PODPROJEKT</v>
      </c>
      <c r="H85" s="69"/>
      <c r="I85" s="69">
        <v>113</v>
      </c>
      <c r="J85" s="78">
        <f t="shared" si="15"/>
        <v>113</v>
      </c>
      <c r="K85" s="91"/>
      <c r="L85" s="92"/>
      <c r="M85" s="92"/>
      <c r="N85" s="91"/>
      <c r="O85" s="93"/>
      <c r="P85" s="67"/>
      <c r="R85" t="str">
        <f t="shared" si="16"/>
        <v>323</v>
      </c>
      <c r="S85" t="str">
        <f t="shared" si="17"/>
        <v>32</v>
      </c>
      <c r="T85" t="str">
        <f t="shared" si="18"/>
        <v>OV</v>
      </c>
      <c r="X85">
        <v>4113</v>
      </c>
      <c r="Y85" t="s">
        <v>520</v>
      </c>
      <c r="AA85" t="str">
        <f t="shared" si="19"/>
        <v>41</v>
      </c>
      <c r="AB85" t="str">
        <f t="shared" si="20"/>
        <v>411</v>
      </c>
      <c r="AD85" t="s">
        <v>1216</v>
      </c>
      <c r="AE85" t="s">
        <v>1217</v>
      </c>
      <c r="AF85" t="str">
        <f t="shared" si="21"/>
        <v>A679071</v>
      </c>
      <c r="AG85" t="str">
        <f>VLOOKUP(AF85,AKT!$C$4:$E$324,3,FALSE)</f>
        <v>0942</v>
      </c>
    </row>
    <row r="86" spans="1:33">
      <c r="A86" s="84">
        <v>51</v>
      </c>
      <c r="B86" s="83" t="str">
        <f t="shared" si="11"/>
        <v>Pomoći EU</v>
      </c>
      <c r="C86" s="84">
        <v>3235</v>
      </c>
      <c r="D86" s="83" t="str">
        <f t="shared" si="12"/>
        <v>Zakupnine i najamnine</v>
      </c>
      <c r="E86" s="85" t="s">
        <v>1029</v>
      </c>
      <c r="F86" s="83" t="str">
        <f t="shared" si="13"/>
        <v>NOVI PODPROJEKT</v>
      </c>
      <c r="G86" s="83" t="str">
        <f t="shared" si="14"/>
        <v>NOVI PODPROJEKT</v>
      </c>
      <c r="H86" s="69"/>
      <c r="I86" s="69">
        <v>2400</v>
      </c>
      <c r="J86" s="78">
        <f t="shared" si="15"/>
        <v>2400</v>
      </c>
      <c r="K86" s="91"/>
      <c r="L86" s="92"/>
      <c r="M86" s="92"/>
      <c r="N86" s="91"/>
      <c r="O86" s="93"/>
      <c r="P86" s="67"/>
      <c r="R86" t="str">
        <f t="shared" si="16"/>
        <v>323</v>
      </c>
      <c r="S86" t="str">
        <f t="shared" si="17"/>
        <v>32</v>
      </c>
      <c r="T86" t="str">
        <f t="shared" si="18"/>
        <v>OV</v>
      </c>
      <c r="X86">
        <v>4122</v>
      </c>
      <c r="Y86" t="s">
        <v>523</v>
      </c>
      <c r="AA86" t="str">
        <f t="shared" si="19"/>
        <v>41</v>
      </c>
      <c r="AB86" t="str">
        <f t="shared" si="20"/>
        <v>412</v>
      </c>
      <c r="AD86" t="s">
        <v>1218</v>
      </c>
      <c r="AE86" t="s">
        <v>1219</v>
      </c>
      <c r="AF86" t="str">
        <f t="shared" si="21"/>
        <v>A679071</v>
      </c>
      <c r="AG86" t="str">
        <f>VLOOKUP(AF86,AKT!$C$4:$E$324,3,FALSE)</f>
        <v>0942</v>
      </c>
    </row>
    <row r="87" spans="1:33">
      <c r="A87" s="84">
        <v>51</v>
      </c>
      <c r="B87" s="83" t="str">
        <f t="shared" si="11"/>
        <v>Pomoći EU</v>
      </c>
      <c r="C87" s="84">
        <v>4221</v>
      </c>
      <c r="D87" s="83" t="str">
        <f t="shared" si="12"/>
        <v>Uredska oprema i namještaj</v>
      </c>
      <c r="E87" s="85" t="s">
        <v>1029</v>
      </c>
      <c r="F87" s="83" t="str">
        <f t="shared" si="13"/>
        <v>NOVI PODPROJEKT</v>
      </c>
      <c r="G87" s="83" t="str">
        <f t="shared" si="14"/>
        <v>NOVI PODPROJEKT</v>
      </c>
      <c r="H87" s="69"/>
      <c r="I87" s="69">
        <v>13000</v>
      </c>
      <c r="J87" s="78">
        <f t="shared" si="15"/>
        <v>13000</v>
      </c>
      <c r="K87" s="91"/>
      <c r="L87" s="92"/>
      <c r="M87" s="92"/>
      <c r="N87" s="91"/>
      <c r="O87" s="93"/>
      <c r="P87" s="67"/>
      <c r="R87" t="str">
        <f t="shared" si="16"/>
        <v>422</v>
      </c>
      <c r="S87" t="str">
        <f t="shared" si="17"/>
        <v>42</v>
      </c>
      <c r="T87" t="str">
        <f t="shared" si="18"/>
        <v>OV</v>
      </c>
      <c r="X87">
        <v>4123</v>
      </c>
      <c r="Y87" t="s">
        <v>526</v>
      </c>
      <c r="AA87" t="str">
        <f t="shared" si="19"/>
        <v>41</v>
      </c>
      <c r="AB87" t="str">
        <f t="shared" si="20"/>
        <v>412</v>
      </c>
      <c r="AD87" t="s">
        <v>1220</v>
      </c>
      <c r="AE87" t="s">
        <v>1221</v>
      </c>
      <c r="AF87" t="str">
        <f t="shared" si="21"/>
        <v>A679071</v>
      </c>
      <c r="AG87" t="str">
        <f>VLOOKUP(AF87,AKT!$C$4:$E$324,3,FALSE)</f>
        <v>0942</v>
      </c>
    </row>
    <row r="88" spans="1:33">
      <c r="A88" s="84"/>
      <c r="B88" s="83" t="str">
        <f t="shared" si="11"/>
        <v/>
      </c>
      <c r="C88" s="84"/>
      <c r="D88" s="83" t="str">
        <f t="shared" si="12"/>
        <v/>
      </c>
      <c r="E88" s="85"/>
      <c r="F88" s="83" t="str">
        <f t="shared" si="13"/>
        <v/>
      </c>
      <c r="G88" s="83" t="str">
        <f t="shared" si="14"/>
        <v/>
      </c>
      <c r="H88" s="69"/>
      <c r="I88" s="69"/>
      <c r="J88" s="78">
        <f t="shared" si="15"/>
        <v>0</v>
      </c>
      <c r="K88" s="91"/>
      <c r="L88" s="92"/>
      <c r="M88" s="92"/>
      <c r="N88" s="91"/>
      <c r="O88" s="93"/>
      <c r="P88" s="67"/>
      <c r="R88" t="str">
        <f t="shared" si="16"/>
        <v/>
      </c>
      <c r="S88" t="str">
        <f t="shared" si="17"/>
        <v/>
      </c>
      <c r="T88" t="str">
        <f t="shared" si="18"/>
        <v/>
      </c>
      <c r="X88">
        <v>4124</v>
      </c>
      <c r="Y88" t="s">
        <v>529</v>
      </c>
      <c r="AA88" t="str">
        <f t="shared" si="19"/>
        <v>41</v>
      </c>
      <c r="AB88" t="str">
        <f t="shared" si="20"/>
        <v>412</v>
      </c>
      <c r="AD88" t="s">
        <v>1222</v>
      </c>
      <c r="AE88" t="s">
        <v>1223</v>
      </c>
      <c r="AF88" t="str">
        <f t="shared" si="21"/>
        <v>A679071</v>
      </c>
      <c r="AG88" t="str">
        <f>VLOOKUP(AF88,AKT!$C$4:$E$324,3,FALSE)</f>
        <v>0942</v>
      </c>
    </row>
    <row r="89" spans="1:33">
      <c r="A89" s="84">
        <v>51</v>
      </c>
      <c r="B89" s="83" t="str">
        <f t="shared" si="11"/>
        <v>Pomoći EU</v>
      </c>
      <c r="C89" s="84">
        <v>3212</v>
      </c>
      <c r="D89" s="83" t="str">
        <f t="shared" si="12"/>
        <v>Naknade za prijevoz, za rad na terenu i odvojeni život</v>
      </c>
      <c r="E89" s="85" t="s">
        <v>1029</v>
      </c>
      <c r="F89" s="83" t="str">
        <f t="shared" si="13"/>
        <v>NOVI PODPROJEKT</v>
      </c>
      <c r="G89" s="83" t="str">
        <f t="shared" si="14"/>
        <v>NOVI PODPROJEKT</v>
      </c>
      <c r="H89" s="69"/>
      <c r="I89" s="69">
        <v>32</v>
      </c>
      <c r="J89" s="78">
        <f t="shared" si="15"/>
        <v>32</v>
      </c>
      <c r="K89" s="91" t="s">
        <v>1118</v>
      </c>
      <c r="L89" s="92" t="s">
        <v>5917</v>
      </c>
      <c r="M89" s="92" t="s">
        <v>5918</v>
      </c>
      <c r="N89" s="91" t="s">
        <v>5916</v>
      </c>
      <c r="O89" s="93"/>
      <c r="P89" s="67"/>
      <c r="R89" t="str">
        <f t="shared" si="16"/>
        <v>321</v>
      </c>
      <c r="S89" t="str">
        <f t="shared" si="17"/>
        <v>32</v>
      </c>
      <c r="T89" t="str">
        <f t="shared" si="18"/>
        <v>OV</v>
      </c>
      <c r="X89">
        <v>4126</v>
      </c>
      <c r="Y89" t="s">
        <v>530</v>
      </c>
      <c r="AA89" t="str">
        <f t="shared" si="19"/>
        <v>41</v>
      </c>
      <c r="AB89" t="str">
        <f t="shared" si="20"/>
        <v>412</v>
      </c>
      <c r="AD89" t="s">
        <v>1224</v>
      </c>
      <c r="AE89" t="s">
        <v>1225</v>
      </c>
      <c r="AF89" t="str">
        <f t="shared" si="21"/>
        <v>A679071</v>
      </c>
      <c r="AG89" t="str">
        <f>VLOOKUP(AF89,AKT!$C$4:$E$324,3,FALSE)</f>
        <v>0942</v>
      </c>
    </row>
    <row r="90" spans="1:33">
      <c r="A90" s="84">
        <v>51</v>
      </c>
      <c r="B90" s="83" t="str">
        <f t="shared" si="11"/>
        <v>Pomoći EU</v>
      </c>
      <c r="C90" s="84">
        <v>3213</v>
      </c>
      <c r="D90" s="83" t="str">
        <f t="shared" si="12"/>
        <v>Stručno usavršavanje zaposlenika</v>
      </c>
      <c r="E90" s="85" t="s">
        <v>1029</v>
      </c>
      <c r="F90" s="83" t="str">
        <f t="shared" si="13"/>
        <v>NOVI PODPROJEKT</v>
      </c>
      <c r="G90" s="83" t="str">
        <f t="shared" si="14"/>
        <v>NOVI PODPROJEKT</v>
      </c>
      <c r="H90" s="69"/>
      <c r="I90" s="69">
        <v>500</v>
      </c>
      <c r="J90" s="78">
        <f t="shared" si="15"/>
        <v>500</v>
      </c>
      <c r="K90" s="91"/>
      <c r="L90" s="92"/>
      <c r="M90" s="92"/>
      <c r="N90" s="91"/>
      <c r="O90" s="93"/>
      <c r="P90" s="67"/>
      <c r="R90" t="str">
        <f t="shared" si="16"/>
        <v>321</v>
      </c>
      <c r="S90" t="str">
        <f t="shared" si="17"/>
        <v>32</v>
      </c>
      <c r="T90" t="str">
        <f t="shared" si="18"/>
        <v>OV</v>
      </c>
      <c r="X90">
        <v>4211</v>
      </c>
      <c r="Y90" t="s">
        <v>533</v>
      </c>
      <c r="AA90" t="str">
        <f t="shared" si="19"/>
        <v>42</v>
      </c>
      <c r="AB90" t="str">
        <f t="shared" si="20"/>
        <v>421</v>
      </c>
      <c r="AD90" t="s">
        <v>1226</v>
      </c>
      <c r="AE90" t="s">
        <v>1227</v>
      </c>
      <c r="AF90" t="str">
        <f t="shared" si="21"/>
        <v>A679071</v>
      </c>
      <c r="AG90" t="str">
        <f>VLOOKUP(AF90,AKT!$C$4:$E$324,3,FALSE)</f>
        <v>0942</v>
      </c>
    </row>
    <row r="91" spans="1:33">
      <c r="A91" s="84">
        <v>51</v>
      </c>
      <c r="B91" s="83" t="str">
        <f t="shared" si="11"/>
        <v>Pomoći EU</v>
      </c>
      <c r="C91" s="84">
        <v>4123</v>
      </c>
      <c r="D91" s="83" t="str">
        <f t="shared" si="12"/>
        <v>Licence</v>
      </c>
      <c r="E91" s="85" t="s">
        <v>1029</v>
      </c>
      <c r="F91" s="83" t="str">
        <f t="shared" si="13"/>
        <v>NOVI PODPROJEKT</v>
      </c>
      <c r="G91" s="83" t="str">
        <f t="shared" si="14"/>
        <v>NOVI PODPROJEKT</v>
      </c>
      <c r="H91" s="69"/>
      <c r="I91" s="69">
        <v>2400</v>
      </c>
      <c r="J91" s="78">
        <f t="shared" si="15"/>
        <v>2400</v>
      </c>
      <c r="K91" s="91"/>
      <c r="L91" s="92"/>
      <c r="M91" s="92"/>
      <c r="N91" s="91"/>
      <c r="O91" s="93"/>
      <c r="P91" s="67"/>
      <c r="R91" t="str">
        <f t="shared" si="16"/>
        <v>412</v>
      </c>
      <c r="S91" t="str">
        <f t="shared" si="17"/>
        <v>41</v>
      </c>
      <c r="T91" t="str">
        <f t="shared" si="18"/>
        <v>OV</v>
      </c>
      <c r="X91">
        <v>4212</v>
      </c>
      <c r="Y91" t="s">
        <v>536</v>
      </c>
      <c r="AA91" t="str">
        <f t="shared" si="19"/>
        <v>42</v>
      </c>
      <c r="AB91" t="str">
        <f t="shared" si="20"/>
        <v>421</v>
      </c>
      <c r="AD91" t="s">
        <v>1228</v>
      </c>
      <c r="AE91" t="s">
        <v>1229</v>
      </c>
      <c r="AF91" t="str">
        <f t="shared" si="21"/>
        <v>A679071</v>
      </c>
      <c r="AG91" t="str">
        <f>VLOOKUP(AF91,AKT!$C$4:$E$324,3,FALSE)</f>
        <v>0942</v>
      </c>
    </row>
    <row r="92" spans="1:33">
      <c r="A92" s="84">
        <v>51</v>
      </c>
      <c r="B92" s="83" t="str">
        <f t="shared" si="11"/>
        <v>Pomoći EU</v>
      </c>
      <c r="C92" s="84">
        <v>3233</v>
      </c>
      <c r="D92" s="83" t="str">
        <f t="shared" si="12"/>
        <v>Usluge promidžbe i informiranja</v>
      </c>
      <c r="E92" s="85" t="s">
        <v>1029</v>
      </c>
      <c r="F92" s="83" t="str">
        <f t="shared" si="13"/>
        <v>NOVI PODPROJEKT</v>
      </c>
      <c r="G92" s="83" t="str">
        <f t="shared" si="14"/>
        <v>NOVI PODPROJEKT</v>
      </c>
      <c r="H92" s="69"/>
      <c r="I92" s="69">
        <v>98</v>
      </c>
      <c r="J92" s="78">
        <f t="shared" si="15"/>
        <v>98</v>
      </c>
      <c r="K92" s="91"/>
      <c r="L92" s="92"/>
      <c r="M92" s="92"/>
      <c r="N92" s="91"/>
      <c r="O92" s="93"/>
      <c r="P92" s="67"/>
      <c r="R92" t="str">
        <f t="shared" si="16"/>
        <v>323</v>
      </c>
      <c r="S92" t="str">
        <f t="shared" si="17"/>
        <v>32</v>
      </c>
      <c r="T92" t="str">
        <f t="shared" si="18"/>
        <v>OV</v>
      </c>
      <c r="X92">
        <v>4213</v>
      </c>
      <c r="Y92" t="s">
        <v>539</v>
      </c>
      <c r="AA92" t="str">
        <f t="shared" si="19"/>
        <v>42</v>
      </c>
      <c r="AB92" t="str">
        <f t="shared" si="20"/>
        <v>421</v>
      </c>
      <c r="AD92" t="s">
        <v>1230</v>
      </c>
      <c r="AE92" t="s">
        <v>1038</v>
      </c>
      <c r="AF92" t="str">
        <f t="shared" si="21"/>
        <v>A679071</v>
      </c>
      <c r="AG92" t="str">
        <f>VLOOKUP(AF92,AKT!$C$4:$E$324,3,FALSE)</f>
        <v>0942</v>
      </c>
    </row>
    <row r="93" spans="1:33">
      <c r="A93" s="84">
        <v>51</v>
      </c>
      <c r="B93" s="83" t="str">
        <f t="shared" si="11"/>
        <v>Pomoći EU</v>
      </c>
      <c r="C93" s="84">
        <v>3121</v>
      </c>
      <c r="D93" s="83" t="str">
        <f t="shared" si="12"/>
        <v>Ostali rashodi za zaposlene</v>
      </c>
      <c r="E93" s="85" t="s">
        <v>1029</v>
      </c>
      <c r="F93" s="83" t="str">
        <f t="shared" si="13"/>
        <v>NOVI PODPROJEKT</v>
      </c>
      <c r="G93" s="83" t="str">
        <f t="shared" si="14"/>
        <v>NOVI PODPROJEKT</v>
      </c>
      <c r="H93" s="69"/>
      <c r="I93" s="69">
        <v>300</v>
      </c>
      <c r="J93" s="78">
        <f t="shared" si="15"/>
        <v>300</v>
      </c>
      <c r="K93" s="91" t="s">
        <v>1130</v>
      </c>
      <c r="L93" s="92" t="s">
        <v>5917</v>
      </c>
      <c r="M93" s="92" t="s">
        <v>5918</v>
      </c>
      <c r="N93" s="91" t="s">
        <v>5919</v>
      </c>
      <c r="O93" s="93"/>
      <c r="P93" s="67"/>
      <c r="R93" t="str">
        <f t="shared" si="16"/>
        <v>312</v>
      </c>
      <c r="S93" t="str">
        <f t="shared" si="17"/>
        <v>31</v>
      </c>
      <c r="T93" t="str">
        <f t="shared" si="18"/>
        <v>OV</v>
      </c>
      <c r="X93">
        <v>4214</v>
      </c>
      <c r="Y93" t="s">
        <v>542</v>
      </c>
      <c r="AA93" t="str">
        <f t="shared" si="19"/>
        <v>42</v>
      </c>
      <c r="AB93" t="str">
        <f t="shared" si="20"/>
        <v>421</v>
      </c>
      <c r="AD93" t="s">
        <v>1231</v>
      </c>
      <c r="AE93" t="s">
        <v>1232</v>
      </c>
      <c r="AF93" t="str">
        <f t="shared" si="21"/>
        <v>A679072</v>
      </c>
      <c r="AG93" t="str">
        <f>VLOOKUP(AF93,AKT!$C$4:$E$324,3,FALSE)</f>
        <v>0942</v>
      </c>
    </row>
    <row r="94" spans="1:33">
      <c r="A94" s="84">
        <v>51</v>
      </c>
      <c r="B94" s="83" t="str">
        <f t="shared" si="11"/>
        <v>Pomoći EU</v>
      </c>
      <c r="C94" s="84">
        <v>3213</v>
      </c>
      <c r="D94" s="83" t="str">
        <f t="shared" si="12"/>
        <v>Stručno usavršavanje zaposlenika</v>
      </c>
      <c r="E94" s="85" t="s">
        <v>1029</v>
      </c>
      <c r="F94" s="83" t="str">
        <f t="shared" si="13"/>
        <v>NOVI PODPROJEKT</v>
      </c>
      <c r="G94" s="83" t="str">
        <f t="shared" si="14"/>
        <v>NOVI PODPROJEKT</v>
      </c>
      <c r="H94" s="69"/>
      <c r="I94" s="69">
        <v>285</v>
      </c>
      <c r="J94" s="78">
        <f t="shared" si="15"/>
        <v>285</v>
      </c>
      <c r="K94" s="91"/>
      <c r="L94" s="92"/>
      <c r="M94" s="92"/>
      <c r="N94" s="91"/>
      <c r="O94" s="93"/>
      <c r="P94" s="67"/>
      <c r="R94" t="str">
        <f t="shared" si="16"/>
        <v>321</v>
      </c>
      <c r="S94" t="str">
        <f t="shared" si="17"/>
        <v>32</v>
      </c>
      <c r="T94" t="str">
        <f t="shared" si="18"/>
        <v>OV</v>
      </c>
      <c r="X94">
        <v>4221</v>
      </c>
      <c r="Y94" t="s">
        <v>545</v>
      </c>
      <c r="AA94" t="str">
        <f t="shared" si="19"/>
        <v>42</v>
      </c>
      <c r="AB94" t="str">
        <f t="shared" si="20"/>
        <v>422</v>
      </c>
      <c r="AD94" t="s">
        <v>1233</v>
      </c>
      <c r="AE94" t="s">
        <v>1234</v>
      </c>
      <c r="AF94" t="str">
        <f t="shared" si="21"/>
        <v>A679072</v>
      </c>
      <c r="AG94" t="str">
        <f>VLOOKUP(AF94,AKT!$C$4:$E$324,3,FALSE)</f>
        <v>0942</v>
      </c>
    </row>
    <row r="95" spans="1:33">
      <c r="A95" s="84">
        <v>51</v>
      </c>
      <c r="B95" s="83" t="str">
        <f t="shared" si="11"/>
        <v>Pomoći EU</v>
      </c>
      <c r="C95" s="84">
        <v>4221</v>
      </c>
      <c r="D95" s="83" t="str">
        <f t="shared" si="12"/>
        <v>Uredska oprema i namještaj</v>
      </c>
      <c r="E95" s="85" t="s">
        <v>1029</v>
      </c>
      <c r="F95" s="83" t="str">
        <f t="shared" si="13"/>
        <v>NOVI PODPROJEKT</v>
      </c>
      <c r="G95" s="83" t="str">
        <f t="shared" si="14"/>
        <v>NOVI PODPROJEKT</v>
      </c>
      <c r="H95" s="69"/>
      <c r="I95" s="69">
        <v>5050</v>
      </c>
      <c r="J95" s="78">
        <f t="shared" si="15"/>
        <v>5050</v>
      </c>
      <c r="K95" s="91"/>
      <c r="L95" s="92"/>
      <c r="M95" s="92"/>
      <c r="N95" s="91"/>
      <c r="O95" s="93"/>
      <c r="P95" s="67"/>
      <c r="R95" t="str">
        <f t="shared" si="16"/>
        <v>422</v>
      </c>
      <c r="S95" t="str">
        <f t="shared" si="17"/>
        <v>42</v>
      </c>
      <c r="T95" t="str">
        <f t="shared" si="18"/>
        <v>OV</v>
      </c>
      <c r="X95">
        <v>4222</v>
      </c>
      <c r="Y95" t="s">
        <v>548</v>
      </c>
      <c r="AA95" t="str">
        <f t="shared" si="19"/>
        <v>42</v>
      </c>
      <c r="AB95" t="str">
        <f t="shared" si="20"/>
        <v>422</v>
      </c>
      <c r="AD95" t="s">
        <v>1235</v>
      </c>
      <c r="AE95" t="s">
        <v>1236</v>
      </c>
      <c r="AF95" t="str">
        <f t="shared" si="21"/>
        <v>A679072</v>
      </c>
      <c r="AG95" t="str">
        <f>VLOOKUP(AF95,AKT!$C$4:$E$324,3,FALSE)</f>
        <v>0942</v>
      </c>
    </row>
    <row r="96" spans="1:33">
      <c r="A96" s="84"/>
      <c r="B96" s="83" t="str">
        <f t="shared" si="11"/>
        <v/>
      </c>
      <c r="C96" s="84"/>
      <c r="D96" s="83" t="str">
        <f t="shared" si="12"/>
        <v/>
      </c>
      <c r="E96" s="85"/>
      <c r="F96" s="83" t="str">
        <f t="shared" si="13"/>
        <v/>
      </c>
      <c r="G96" s="83" t="str">
        <f t="shared" si="14"/>
        <v/>
      </c>
      <c r="H96" s="69"/>
      <c r="I96" s="69"/>
      <c r="J96" s="78">
        <f t="shared" si="15"/>
        <v>0</v>
      </c>
      <c r="K96" s="91"/>
      <c r="L96" s="92"/>
      <c r="M96" s="92"/>
      <c r="N96" s="91"/>
      <c r="O96" s="93"/>
      <c r="P96" s="67"/>
      <c r="R96" t="str">
        <f t="shared" si="16"/>
        <v/>
      </c>
      <c r="S96" t="str">
        <f t="shared" si="17"/>
        <v/>
      </c>
      <c r="T96" t="str">
        <f t="shared" si="18"/>
        <v/>
      </c>
      <c r="X96">
        <v>4223</v>
      </c>
      <c r="Y96" t="s">
        <v>551</v>
      </c>
      <c r="AA96" t="str">
        <f t="shared" si="19"/>
        <v>42</v>
      </c>
      <c r="AB96" t="str">
        <f t="shared" si="20"/>
        <v>422</v>
      </c>
      <c r="AD96" t="s">
        <v>1237</v>
      </c>
      <c r="AE96" t="s">
        <v>1238</v>
      </c>
      <c r="AF96" t="str">
        <f t="shared" si="21"/>
        <v>A679072</v>
      </c>
      <c r="AG96" t="str">
        <f>VLOOKUP(AF96,AKT!$C$4:$E$324,3,FALSE)</f>
        <v>0942</v>
      </c>
    </row>
    <row r="97" spans="1:33">
      <c r="A97" s="84">
        <v>51</v>
      </c>
      <c r="B97" s="83" t="str">
        <f t="shared" si="11"/>
        <v>Pomoći EU</v>
      </c>
      <c r="C97" s="84">
        <v>3111</v>
      </c>
      <c r="D97" s="83" t="str">
        <f t="shared" si="12"/>
        <v>Plaće za redovan rad</v>
      </c>
      <c r="E97" s="85" t="s">
        <v>1029</v>
      </c>
      <c r="F97" s="83" t="str">
        <f t="shared" si="13"/>
        <v>NOVI PODPROJEKT</v>
      </c>
      <c r="G97" s="83" t="str">
        <f t="shared" si="14"/>
        <v>NOVI PODPROJEKT</v>
      </c>
      <c r="H97" s="69"/>
      <c r="I97" s="69">
        <v>5000</v>
      </c>
      <c r="J97" s="78">
        <f t="shared" si="15"/>
        <v>5000</v>
      </c>
      <c r="K97" s="91" t="s">
        <v>5904</v>
      </c>
      <c r="L97" s="92" t="s">
        <v>1031</v>
      </c>
      <c r="M97" s="92" t="s">
        <v>5921</v>
      </c>
      <c r="N97" s="91" t="s">
        <v>5920</v>
      </c>
      <c r="O97" s="93"/>
      <c r="P97" s="67"/>
      <c r="R97" t="str">
        <f t="shared" si="16"/>
        <v>311</v>
      </c>
      <c r="S97" t="str">
        <f t="shared" si="17"/>
        <v>31</v>
      </c>
      <c r="T97" t="str">
        <f t="shared" si="18"/>
        <v>OV</v>
      </c>
      <c r="X97">
        <v>4224</v>
      </c>
      <c r="Y97" t="s">
        <v>554</v>
      </c>
      <c r="AA97" t="str">
        <f t="shared" si="19"/>
        <v>42</v>
      </c>
      <c r="AB97" t="str">
        <f t="shared" si="20"/>
        <v>422</v>
      </c>
      <c r="AD97" t="s">
        <v>1239</v>
      </c>
      <c r="AE97" t="s">
        <v>1240</v>
      </c>
      <c r="AF97" t="str">
        <f t="shared" si="21"/>
        <v>A679072</v>
      </c>
      <c r="AG97" t="str">
        <f>VLOOKUP(AF97,AKT!$C$4:$E$324,3,FALSE)</f>
        <v>0942</v>
      </c>
    </row>
    <row r="98" spans="1:33">
      <c r="A98" s="84">
        <v>51</v>
      </c>
      <c r="B98" s="83" t="str">
        <f t="shared" si="11"/>
        <v>Pomoći EU</v>
      </c>
      <c r="C98" s="84">
        <v>3132</v>
      </c>
      <c r="D98" s="83" t="str">
        <f t="shared" si="12"/>
        <v>Doprinosi za obvezno zdravstveno osiguranje</v>
      </c>
      <c r="E98" s="85" t="s">
        <v>1029</v>
      </c>
      <c r="F98" s="83" t="str">
        <f t="shared" si="13"/>
        <v>NOVI PODPROJEKT</v>
      </c>
      <c r="G98" s="83" t="str">
        <f t="shared" si="14"/>
        <v>NOVI PODPROJEKT</v>
      </c>
      <c r="H98" s="69"/>
      <c r="I98" s="69">
        <v>825</v>
      </c>
      <c r="J98" s="78">
        <f t="shared" si="15"/>
        <v>825</v>
      </c>
      <c r="K98" s="91"/>
      <c r="L98" s="92"/>
      <c r="M98" s="92"/>
      <c r="N98" s="91"/>
      <c r="O98" s="93"/>
      <c r="P98" s="67"/>
      <c r="R98" t="str">
        <f t="shared" si="16"/>
        <v>313</v>
      </c>
      <c r="S98" t="str">
        <f t="shared" si="17"/>
        <v>31</v>
      </c>
      <c r="T98" t="str">
        <f t="shared" si="18"/>
        <v>OV</v>
      </c>
      <c r="X98">
        <v>4225</v>
      </c>
      <c r="Y98" t="s">
        <v>557</v>
      </c>
      <c r="AA98" t="str">
        <f t="shared" si="19"/>
        <v>42</v>
      </c>
      <c r="AB98" t="str">
        <f t="shared" si="20"/>
        <v>422</v>
      </c>
      <c r="AD98" t="s">
        <v>1241</v>
      </c>
      <c r="AE98" t="s">
        <v>1242</v>
      </c>
      <c r="AF98" t="str">
        <f t="shared" si="21"/>
        <v>A679072</v>
      </c>
      <c r="AG98" t="str">
        <f>VLOOKUP(AF98,AKT!$C$4:$E$324,3,FALSE)</f>
        <v>0942</v>
      </c>
    </row>
    <row r="99" spans="1:33">
      <c r="A99" s="84">
        <v>51</v>
      </c>
      <c r="B99" s="83" t="str">
        <f t="shared" si="11"/>
        <v>Pomoći EU</v>
      </c>
      <c r="C99" s="84">
        <v>3211</v>
      </c>
      <c r="D99" s="83" t="str">
        <f t="shared" si="12"/>
        <v>Službena putovanja</v>
      </c>
      <c r="E99" s="85" t="s">
        <v>1029</v>
      </c>
      <c r="F99" s="83" t="str">
        <f t="shared" si="13"/>
        <v>NOVI PODPROJEKT</v>
      </c>
      <c r="G99" s="83" t="str">
        <f t="shared" si="14"/>
        <v>NOVI PODPROJEKT</v>
      </c>
      <c r="H99" s="69"/>
      <c r="I99" s="69">
        <v>4500</v>
      </c>
      <c r="J99" s="78">
        <f t="shared" si="15"/>
        <v>4500</v>
      </c>
      <c r="K99" s="91"/>
      <c r="L99" s="92"/>
      <c r="M99" s="92"/>
      <c r="N99" s="91"/>
      <c r="O99" s="93"/>
      <c r="P99" s="67"/>
      <c r="R99" t="str">
        <f t="shared" si="16"/>
        <v>321</v>
      </c>
      <c r="S99" t="str">
        <f t="shared" si="17"/>
        <v>32</v>
      </c>
      <c r="T99" t="str">
        <f t="shared" si="18"/>
        <v>OV</v>
      </c>
      <c r="X99">
        <v>4226</v>
      </c>
      <c r="Y99" t="s">
        <v>560</v>
      </c>
      <c r="AA99" t="str">
        <f t="shared" si="19"/>
        <v>42</v>
      </c>
      <c r="AB99" t="str">
        <f t="shared" si="20"/>
        <v>422</v>
      </c>
      <c r="AD99" t="s">
        <v>1243</v>
      </c>
      <c r="AE99" t="s">
        <v>1244</v>
      </c>
      <c r="AF99" t="str">
        <f t="shared" si="21"/>
        <v>A679072</v>
      </c>
      <c r="AG99" t="str">
        <f>VLOOKUP(AF99,AKT!$C$4:$E$324,3,FALSE)</f>
        <v>0942</v>
      </c>
    </row>
    <row r="100" spans="1:33">
      <c r="A100" s="84">
        <v>51</v>
      </c>
      <c r="B100" s="83" t="str">
        <f t="shared" si="11"/>
        <v>Pomoći EU</v>
      </c>
      <c r="C100" s="84">
        <v>3293</v>
      </c>
      <c r="D100" s="83" t="str">
        <f t="shared" si="12"/>
        <v>Reprezentacija</v>
      </c>
      <c r="E100" s="85" t="s">
        <v>1029</v>
      </c>
      <c r="F100" s="83" t="str">
        <f t="shared" si="13"/>
        <v>NOVI PODPROJEKT</v>
      </c>
      <c r="G100" s="83" t="str">
        <f t="shared" si="14"/>
        <v>NOVI PODPROJEKT</v>
      </c>
      <c r="H100" s="69"/>
      <c r="I100" s="69">
        <v>1152</v>
      </c>
      <c r="J100" s="78">
        <f t="shared" si="15"/>
        <v>1152</v>
      </c>
      <c r="K100" s="91"/>
      <c r="L100" s="92"/>
      <c r="M100" s="92"/>
      <c r="N100" s="91"/>
      <c r="O100" s="93"/>
      <c r="P100" s="67"/>
      <c r="R100" t="str">
        <f t="shared" si="16"/>
        <v>329</v>
      </c>
      <c r="S100" t="str">
        <f t="shared" si="17"/>
        <v>32</v>
      </c>
      <c r="T100" t="str">
        <f t="shared" si="18"/>
        <v>OV</v>
      </c>
      <c r="X100">
        <v>4227</v>
      </c>
      <c r="Y100" t="s">
        <v>563</v>
      </c>
      <c r="AA100" t="str">
        <f t="shared" si="19"/>
        <v>42</v>
      </c>
      <c r="AB100" t="str">
        <f t="shared" si="20"/>
        <v>422</v>
      </c>
      <c r="AD100" t="s">
        <v>1245</v>
      </c>
      <c r="AE100" t="s">
        <v>1246</v>
      </c>
      <c r="AF100" t="str">
        <f t="shared" si="21"/>
        <v>A679072</v>
      </c>
      <c r="AG100" t="str">
        <f>VLOOKUP(AF100,AKT!$C$4:$E$324,3,FALSE)</f>
        <v>0942</v>
      </c>
    </row>
    <row r="101" spans="1:33">
      <c r="A101" s="84"/>
      <c r="B101" s="83" t="str">
        <f t="shared" si="11"/>
        <v/>
      </c>
      <c r="C101" s="84"/>
      <c r="D101" s="83" t="str">
        <f t="shared" si="12"/>
        <v/>
      </c>
      <c r="E101" s="85"/>
      <c r="F101" s="83" t="str">
        <f t="shared" si="13"/>
        <v/>
      </c>
      <c r="G101" s="83" t="str">
        <f t="shared" si="14"/>
        <v/>
      </c>
      <c r="H101" s="69"/>
      <c r="I101" s="69"/>
      <c r="J101" s="78">
        <f t="shared" si="15"/>
        <v>0</v>
      </c>
      <c r="K101" s="91"/>
      <c r="L101" s="92"/>
      <c r="M101" s="92"/>
      <c r="N101" s="91"/>
      <c r="O101" s="93"/>
      <c r="P101" s="67"/>
      <c r="R101" t="str">
        <f t="shared" si="16"/>
        <v/>
      </c>
      <c r="S101" t="str">
        <f t="shared" si="17"/>
        <v/>
      </c>
      <c r="T101" t="str">
        <f t="shared" si="18"/>
        <v/>
      </c>
      <c r="X101">
        <v>4231</v>
      </c>
      <c r="Y101" t="s">
        <v>566</v>
      </c>
      <c r="AA101" t="str">
        <f t="shared" si="19"/>
        <v>42</v>
      </c>
      <c r="AB101" t="str">
        <f t="shared" si="20"/>
        <v>423</v>
      </c>
      <c r="AD101" t="s">
        <v>1247</v>
      </c>
      <c r="AE101" t="s">
        <v>1248</v>
      </c>
      <c r="AF101" t="str">
        <f t="shared" si="21"/>
        <v>A679072</v>
      </c>
      <c r="AG101" t="str">
        <f>VLOOKUP(AF101,AKT!$C$4:$E$324,3,FALSE)</f>
        <v>0942</v>
      </c>
    </row>
    <row r="102" spans="1:33">
      <c r="A102" s="84">
        <v>51</v>
      </c>
      <c r="B102" s="83" t="str">
        <f t="shared" si="11"/>
        <v>Pomoći EU</v>
      </c>
      <c r="C102" s="84">
        <v>3111</v>
      </c>
      <c r="D102" s="83" t="str">
        <f t="shared" si="12"/>
        <v>Plaće za redovan rad</v>
      </c>
      <c r="E102" s="85" t="s">
        <v>1029</v>
      </c>
      <c r="F102" s="83" t="str">
        <f t="shared" si="13"/>
        <v>NOVI PODPROJEKT</v>
      </c>
      <c r="G102" s="83" t="str">
        <f t="shared" si="14"/>
        <v>NOVI PODPROJEKT</v>
      </c>
      <c r="H102" s="69"/>
      <c r="I102" s="69">
        <v>6800</v>
      </c>
      <c r="J102" s="78">
        <f t="shared" si="15"/>
        <v>6800</v>
      </c>
      <c r="K102" s="91" t="s">
        <v>5905</v>
      </c>
      <c r="L102" s="92" t="s">
        <v>5923</v>
      </c>
      <c r="M102" s="92" t="s">
        <v>5924</v>
      </c>
      <c r="N102" s="91" t="s">
        <v>5922</v>
      </c>
      <c r="O102" s="93"/>
      <c r="P102" s="67"/>
      <c r="R102" t="str">
        <f t="shared" si="16"/>
        <v>311</v>
      </c>
      <c r="S102" t="str">
        <f t="shared" si="17"/>
        <v>31</v>
      </c>
      <c r="T102" t="str">
        <f t="shared" si="18"/>
        <v>OV</v>
      </c>
      <c r="X102">
        <v>4233</v>
      </c>
      <c r="Y102" t="s">
        <v>569</v>
      </c>
      <c r="AA102" t="str">
        <f t="shared" si="19"/>
        <v>42</v>
      </c>
      <c r="AB102" t="str">
        <f t="shared" si="20"/>
        <v>423</v>
      </c>
      <c r="AD102" t="s">
        <v>1249</v>
      </c>
      <c r="AE102" t="s">
        <v>1250</v>
      </c>
      <c r="AF102" t="str">
        <f t="shared" si="21"/>
        <v>A679072</v>
      </c>
      <c r="AG102" t="str">
        <f>VLOOKUP(AF102,AKT!$C$4:$E$324,3,FALSE)</f>
        <v>0942</v>
      </c>
    </row>
    <row r="103" spans="1:33">
      <c r="A103" s="84">
        <v>51</v>
      </c>
      <c r="B103" s="83" t="str">
        <f t="shared" si="11"/>
        <v>Pomoći EU</v>
      </c>
      <c r="C103" s="84">
        <v>3121</v>
      </c>
      <c r="D103" s="83" t="str">
        <f t="shared" si="12"/>
        <v>Ostali rashodi za zaposlene</v>
      </c>
      <c r="E103" s="85" t="s">
        <v>1029</v>
      </c>
      <c r="F103" s="83" t="str">
        <f t="shared" si="13"/>
        <v>NOVI PODPROJEKT</v>
      </c>
      <c r="G103" s="83" t="str">
        <f t="shared" si="14"/>
        <v>NOVI PODPROJEKT</v>
      </c>
      <c r="H103" s="69"/>
      <c r="I103" s="69">
        <v>150</v>
      </c>
      <c r="J103" s="78">
        <f t="shared" si="15"/>
        <v>150</v>
      </c>
      <c r="K103" s="91"/>
      <c r="L103" s="92"/>
      <c r="M103" s="92"/>
      <c r="N103" s="91"/>
      <c r="O103" s="93"/>
      <c r="P103" s="67"/>
      <c r="R103" t="str">
        <f t="shared" si="16"/>
        <v>312</v>
      </c>
      <c r="S103" t="str">
        <f t="shared" si="17"/>
        <v>31</v>
      </c>
      <c r="T103" t="str">
        <f t="shared" si="18"/>
        <v>OV</v>
      </c>
      <c r="X103">
        <v>4241</v>
      </c>
      <c r="Y103" t="s">
        <v>572</v>
      </c>
      <c r="AA103" t="str">
        <f t="shared" si="19"/>
        <v>42</v>
      </c>
      <c r="AB103" t="str">
        <f t="shared" si="20"/>
        <v>424</v>
      </c>
      <c r="AD103" t="s">
        <v>1251</v>
      </c>
      <c r="AE103" t="s">
        <v>1252</v>
      </c>
      <c r="AF103" t="str">
        <f t="shared" si="21"/>
        <v>A679072</v>
      </c>
      <c r="AG103" t="str">
        <f>VLOOKUP(AF103,AKT!$C$4:$E$324,3,FALSE)</f>
        <v>0942</v>
      </c>
    </row>
    <row r="104" spans="1:33">
      <c r="A104" s="84">
        <v>51</v>
      </c>
      <c r="B104" s="83" t="str">
        <f t="shared" si="11"/>
        <v>Pomoći EU</v>
      </c>
      <c r="C104" s="84">
        <v>3132</v>
      </c>
      <c r="D104" s="83" t="str">
        <f t="shared" si="12"/>
        <v>Doprinosi za obvezno zdravstveno osiguranje</v>
      </c>
      <c r="E104" s="85" t="s">
        <v>1029</v>
      </c>
      <c r="F104" s="83" t="str">
        <f t="shared" si="13"/>
        <v>NOVI PODPROJEKT</v>
      </c>
      <c r="G104" s="83" t="str">
        <f t="shared" si="14"/>
        <v>NOVI PODPROJEKT</v>
      </c>
      <c r="H104" s="69"/>
      <c r="I104" s="69">
        <v>1122</v>
      </c>
      <c r="J104" s="78">
        <f t="shared" si="15"/>
        <v>1122</v>
      </c>
      <c r="K104" s="91"/>
      <c r="L104" s="92"/>
      <c r="M104" s="92"/>
      <c r="N104" s="91"/>
      <c r="O104" s="93"/>
      <c r="P104" s="67"/>
      <c r="R104" t="str">
        <f t="shared" si="16"/>
        <v>313</v>
      </c>
      <c r="S104" t="str">
        <f t="shared" si="17"/>
        <v>31</v>
      </c>
      <c r="T104" t="str">
        <f t="shared" si="18"/>
        <v>OV</v>
      </c>
      <c r="X104">
        <v>4242</v>
      </c>
      <c r="Y104" t="s">
        <v>575</v>
      </c>
      <c r="AA104" t="str">
        <f t="shared" si="19"/>
        <v>42</v>
      </c>
      <c r="AB104" t="str">
        <f t="shared" si="20"/>
        <v>424</v>
      </c>
      <c r="AD104" t="s">
        <v>1253</v>
      </c>
      <c r="AE104" t="s">
        <v>1254</v>
      </c>
      <c r="AF104" t="str">
        <f t="shared" si="21"/>
        <v>A679072</v>
      </c>
      <c r="AG104" t="str">
        <f>VLOOKUP(AF104,AKT!$C$4:$E$324,3,FALSE)</f>
        <v>0942</v>
      </c>
    </row>
    <row r="105" spans="1:33">
      <c r="A105" s="84">
        <v>51</v>
      </c>
      <c r="B105" s="83" t="str">
        <f t="shared" si="11"/>
        <v>Pomoći EU</v>
      </c>
      <c r="C105" s="84">
        <v>3211</v>
      </c>
      <c r="D105" s="83" t="str">
        <f t="shared" si="12"/>
        <v>Službena putovanja</v>
      </c>
      <c r="E105" s="85" t="s">
        <v>1029</v>
      </c>
      <c r="F105" s="83" t="str">
        <f t="shared" si="13"/>
        <v>NOVI PODPROJEKT</v>
      </c>
      <c r="G105" s="83" t="str">
        <f t="shared" si="14"/>
        <v>NOVI PODPROJEKT</v>
      </c>
      <c r="H105" s="69"/>
      <c r="I105" s="69">
        <v>1053</v>
      </c>
      <c r="J105" s="78">
        <f t="shared" si="15"/>
        <v>1053</v>
      </c>
      <c r="K105" s="91"/>
      <c r="L105" s="92"/>
      <c r="M105" s="92"/>
      <c r="N105" s="91"/>
      <c r="O105" s="93"/>
      <c r="P105" s="67"/>
      <c r="R105" t="str">
        <f t="shared" si="16"/>
        <v>321</v>
      </c>
      <c r="S105" t="str">
        <f t="shared" si="17"/>
        <v>32</v>
      </c>
      <c r="T105" t="str">
        <f t="shared" si="18"/>
        <v>OV</v>
      </c>
      <c r="X105">
        <v>4244</v>
      </c>
      <c r="Y105" t="s">
        <v>578</v>
      </c>
      <c r="AA105" t="str">
        <f t="shared" si="19"/>
        <v>42</v>
      </c>
      <c r="AB105" t="str">
        <f t="shared" si="20"/>
        <v>424</v>
      </c>
      <c r="AD105" t="s">
        <v>1255</v>
      </c>
      <c r="AE105" t="s">
        <v>1256</v>
      </c>
      <c r="AF105" t="str">
        <f t="shared" si="21"/>
        <v>A679072</v>
      </c>
      <c r="AG105" t="str">
        <f>VLOOKUP(AF105,AKT!$C$4:$E$324,3,FALSE)</f>
        <v>0942</v>
      </c>
    </row>
    <row r="106" spans="1:33">
      <c r="A106" s="84"/>
      <c r="B106" s="83" t="str">
        <f t="shared" si="11"/>
        <v/>
      </c>
      <c r="C106" s="84"/>
      <c r="D106" s="83" t="str">
        <f t="shared" si="12"/>
        <v/>
      </c>
      <c r="E106" s="85"/>
      <c r="F106" s="83" t="str">
        <f t="shared" si="13"/>
        <v/>
      </c>
      <c r="G106" s="83" t="str">
        <f t="shared" si="14"/>
        <v/>
      </c>
      <c r="H106" s="69"/>
      <c r="I106" s="69"/>
      <c r="J106" s="78">
        <f t="shared" si="15"/>
        <v>0</v>
      </c>
      <c r="K106" s="91"/>
      <c r="L106" s="92"/>
      <c r="M106" s="92"/>
      <c r="N106" s="91"/>
      <c r="O106" s="93"/>
      <c r="P106" s="67"/>
      <c r="R106" t="str">
        <f t="shared" si="16"/>
        <v/>
      </c>
      <c r="S106" t="str">
        <f t="shared" si="17"/>
        <v/>
      </c>
      <c r="T106" t="str">
        <f t="shared" si="18"/>
        <v/>
      </c>
      <c r="X106">
        <v>4251</v>
      </c>
      <c r="Y106" t="s">
        <v>581</v>
      </c>
      <c r="AA106" t="str">
        <f t="shared" si="19"/>
        <v>42</v>
      </c>
      <c r="AB106" t="str">
        <f t="shared" si="20"/>
        <v>425</v>
      </c>
      <c r="AD106" t="s">
        <v>1257</v>
      </c>
      <c r="AE106" t="s">
        <v>1258</v>
      </c>
      <c r="AF106" t="str">
        <f t="shared" si="21"/>
        <v>A679072</v>
      </c>
      <c r="AG106" t="str">
        <f>VLOOKUP(AF106,AKT!$C$4:$E$324,3,FALSE)</f>
        <v>0942</v>
      </c>
    </row>
    <row r="107" spans="1:33">
      <c r="A107" s="84">
        <v>51</v>
      </c>
      <c r="B107" s="83" t="str">
        <f t="shared" si="11"/>
        <v>Pomoći EU</v>
      </c>
      <c r="C107" s="84">
        <v>3111</v>
      </c>
      <c r="D107" s="83" t="str">
        <f t="shared" si="12"/>
        <v>Plaće za redovan rad</v>
      </c>
      <c r="E107" s="85" t="s">
        <v>1029</v>
      </c>
      <c r="F107" s="83" t="str">
        <f t="shared" si="13"/>
        <v>NOVI PODPROJEKT</v>
      </c>
      <c r="G107" s="83" t="str">
        <f t="shared" si="14"/>
        <v>NOVI PODPROJEKT</v>
      </c>
      <c r="H107" s="69"/>
      <c r="I107" s="69">
        <v>3000</v>
      </c>
      <c r="J107" s="78">
        <f t="shared" si="15"/>
        <v>3000</v>
      </c>
      <c r="K107" s="91" t="s">
        <v>5925</v>
      </c>
      <c r="L107" s="92" t="s">
        <v>5926</v>
      </c>
      <c r="M107" s="92" t="s">
        <v>5927</v>
      </c>
      <c r="N107" s="91" t="s">
        <v>5928</v>
      </c>
      <c r="O107" s="93"/>
      <c r="P107" s="67"/>
      <c r="R107" t="str">
        <f t="shared" si="16"/>
        <v>311</v>
      </c>
      <c r="S107" t="str">
        <f t="shared" si="17"/>
        <v>31</v>
      </c>
      <c r="T107" t="str">
        <f t="shared" si="18"/>
        <v>OV</v>
      </c>
      <c r="X107">
        <v>4252</v>
      </c>
      <c r="Y107" t="s">
        <v>584</v>
      </c>
      <c r="AA107" t="str">
        <f t="shared" si="19"/>
        <v>42</v>
      </c>
      <c r="AB107" t="str">
        <f t="shared" si="20"/>
        <v>425</v>
      </c>
      <c r="AD107" t="s">
        <v>1259</v>
      </c>
      <c r="AE107" t="s">
        <v>1260</v>
      </c>
      <c r="AF107" t="str">
        <f t="shared" si="21"/>
        <v>A679072</v>
      </c>
      <c r="AG107" t="str">
        <f>VLOOKUP(AF107,AKT!$C$4:$E$324,3,FALSE)</f>
        <v>0942</v>
      </c>
    </row>
    <row r="108" spans="1:33">
      <c r="A108" s="84">
        <v>51</v>
      </c>
      <c r="B108" s="83" t="str">
        <f t="shared" si="11"/>
        <v>Pomoći EU</v>
      </c>
      <c r="C108" s="84">
        <v>3132</v>
      </c>
      <c r="D108" s="83" t="str">
        <f t="shared" si="12"/>
        <v>Doprinosi za obvezno zdravstveno osiguranje</v>
      </c>
      <c r="E108" s="85" t="s">
        <v>1029</v>
      </c>
      <c r="F108" s="83" t="str">
        <f t="shared" si="13"/>
        <v>NOVI PODPROJEKT</v>
      </c>
      <c r="G108" s="83" t="str">
        <f t="shared" si="14"/>
        <v>NOVI PODPROJEKT</v>
      </c>
      <c r="H108" s="69"/>
      <c r="I108" s="69">
        <v>495</v>
      </c>
      <c r="J108" s="78">
        <f t="shared" si="15"/>
        <v>495</v>
      </c>
      <c r="K108" s="91"/>
      <c r="L108" s="92"/>
      <c r="M108" s="92"/>
      <c r="N108" s="91"/>
      <c r="O108" s="93"/>
      <c r="P108" s="67"/>
      <c r="R108" t="str">
        <f t="shared" si="16"/>
        <v>313</v>
      </c>
      <c r="S108" t="str">
        <f t="shared" si="17"/>
        <v>31</v>
      </c>
      <c r="T108" t="str">
        <f t="shared" si="18"/>
        <v>OV</v>
      </c>
      <c r="X108">
        <v>4262</v>
      </c>
      <c r="Y108" t="s">
        <v>587</v>
      </c>
      <c r="AA108" t="str">
        <f t="shared" si="19"/>
        <v>42</v>
      </c>
      <c r="AB108" t="str">
        <f t="shared" si="20"/>
        <v>426</v>
      </c>
      <c r="AD108" t="s">
        <v>1261</v>
      </c>
      <c r="AE108" t="s">
        <v>1262</v>
      </c>
      <c r="AF108" t="str">
        <f t="shared" si="21"/>
        <v>A679072</v>
      </c>
      <c r="AG108" t="str">
        <f>VLOOKUP(AF108,AKT!$C$4:$E$324,3,FALSE)</f>
        <v>0942</v>
      </c>
    </row>
    <row r="109" spans="1:33">
      <c r="A109" s="84">
        <v>51</v>
      </c>
      <c r="B109" s="83" t="str">
        <f t="shared" si="11"/>
        <v>Pomoći EU</v>
      </c>
      <c r="C109" s="84">
        <v>3211</v>
      </c>
      <c r="D109" s="83" t="str">
        <f t="shared" si="12"/>
        <v>Službena putovanja</v>
      </c>
      <c r="E109" s="85" t="s">
        <v>1029</v>
      </c>
      <c r="F109" s="83" t="str">
        <f t="shared" si="13"/>
        <v>NOVI PODPROJEKT</v>
      </c>
      <c r="G109" s="83" t="str">
        <f t="shared" si="14"/>
        <v>NOVI PODPROJEKT</v>
      </c>
      <c r="H109" s="69"/>
      <c r="I109" s="69">
        <v>2500</v>
      </c>
      <c r="J109" s="78">
        <f t="shared" si="15"/>
        <v>2500</v>
      </c>
      <c r="K109" s="91"/>
      <c r="L109" s="92"/>
      <c r="M109" s="92"/>
      <c r="N109" s="91"/>
      <c r="O109" s="93"/>
      <c r="P109" s="67"/>
      <c r="R109" t="str">
        <f t="shared" si="16"/>
        <v>321</v>
      </c>
      <c r="S109" t="str">
        <f t="shared" si="17"/>
        <v>32</v>
      </c>
      <c r="T109" t="str">
        <f t="shared" si="18"/>
        <v>OV</v>
      </c>
      <c r="X109">
        <v>4263</v>
      </c>
      <c r="Y109" t="s">
        <v>590</v>
      </c>
      <c r="AA109" t="str">
        <f t="shared" si="19"/>
        <v>42</v>
      </c>
      <c r="AB109" t="str">
        <f t="shared" si="20"/>
        <v>426</v>
      </c>
      <c r="AD109" t="s">
        <v>1263</v>
      </c>
      <c r="AE109" t="s">
        <v>1264</v>
      </c>
      <c r="AF109" t="str">
        <f t="shared" si="21"/>
        <v>A679072</v>
      </c>
      <c r="AG109" t="str">
        <f>VLOOKUP(AF109,AKT!$C$4:$E$324,3,FALSE)</f>
        <v>0942</v>
      </c>
    </row>
    <row r="110" spans="1:33">
      <c r="A110" s="84"/>
      <c r="B110" s="83" t="str">
        <f t="shared" si="11"/>
        <v/>
      </c>
      <c r="C110" s="84"/>
      <c r="D110" s="83" t="str">
        <f t="shared" si="12"/>
        <v/>
      </c>
      <c r="E110" s="85"/>
      <c r="F110" s="83" t="str">
        <f t="shared" si="13"/>
        <v/>
      </c>
      <c r="G110" s="83" t="str">
        <f t="shared" si="14"/>
        <v/>
      </c>
      <c r="H110" s="69"/>
      <c r="I110" s="69"/>
      <c r="J110" s="78">
        <f t="shared" si="15"/>
        <v>0</v>
      </c>
      <c r="K110" s="91"/>
      <c r="L110" s="92"/>
      <c r="M110" s="92"/>
      <c r="N110" s="91"/>
      <c r="O110" s="93"/>
      <c r="P110" s="67"/>
      <c r="R110" t="str">
        <f t="shared" si="16"/>
        <v/>
      </c>
      <c r="S110" t="str">
        <f t="shared" si="17"/>
        <v/>
      </c>
      <c r="T110" t="str">
        <f t="shared" si="18"/>
        <v/>
      </c>
      <c r="X110">
        <v>4264</v>
      </c>
      <c r="Y110" t="s">
        <v>593</v>
      </c>
      <c r="AA110" t="str">
        <f t="shared" si="19"/>
        <v>42</v>
      </c>
      <c r="AB110" t="str">
        <f t="shared" si="20"/>
        <v>426</v>
      </c>
      <c r="AD110" t="s">
        <v>1265</v>
      </c>
      <c r="AE110" t="s">
        <v>1266</v>
      </c>
      <c r="AF110" t="str">
        <f t="shared" si="21"/>
        <v>A679072</v>
      </c>
      <c r="AG110" t="str">
        <f>VLOOKUP(AF110,AKT!$C$4:$E$324,3,FALSE)</f>
        <v>0942</v>
      </c>
    </row>
    <row r="111" spans="1:33">
      <c r="A111" s="84">
        <v>52</v>
      </c>
      <c r="B111" s="83" t="str">
        <f t="shared" si="11"/>
        <v>Ostale pomoći</v>
      </c>
      <c r="C111" s="84">
        <v>3111</v>
      </c>
      <c r="D111" s="83" t="str">
        <f t="shared" si="12"/>
        <v>Plaće za redovan rad</v>
      </c>
      <c r="E111" s="85" t="s">
        <v>1029</v>
      </c>
      <c r="F111" s="83" t="str">
        <f t="shared" si="13"/>
        <v>NOVI PODPROJEKT</v>
      </c>
      <c r="G111" s="83" t="str">
        <f t="shared" si="14"/>
        <v>NOVI PODPROJEKT</v>
      </c>
      <c r="H111" s="69"/>
      <c r="I111" s="69">
        <v>4000</v>
      </c>
      <c r="J111" s="78">
        <f t="shared" si="15"/>
        <v>4000</v>
      </c>
      <c r="K111" s="91" t="s">
        <v>5906</v>
      </c>
      <c r="L111" s="92" t="s">
        <v>5929</v>
      </c>
      <c r="M111" s="92" t="s">
        <v>5930</v>
      </c>
      <c r="N111" s="91" t="s">
        <v>1111</v>
      </c>
      <c r="O111" s="93"/>
      <c r="P111" s="67"/>
      <c r="R111" t="str">
        <f t="shared" si="16"/>
        <v>311</v>
      </c>
      <c r="S111" t="str">
        <f t="shared" si="17"/>
        <v>31</v>
      </c>
      <c r="T111" t="str">
        <f t="shared" si="18"/>
        <v>OV</v>
      </c>
      <c r="X111">
        <v>4312</v>
      </c>
      <c r="Y111" t="s">
        <v>596</v>
      </c>
      <c r="AA111" t="str">
        <f t="shared" si="19"/>
        <v>43</v>
      </c>
      <c r="AB111" t="str">
        <f t="shared" si="20"/>
        <v>431</v>
      </c>
      <c r="AD111" t="s">
        <v>1267</v>
      </c>
      <c r="AE111" t="s">
        <v>1268</v>
      </c>
      <c r="AF111" t="str">
        <f t="shared" si="21"/>
        <v>A679072</v>
      </c>
      <c r="AG111" t="str">
        <f>VLOOKUP(AF111,AKT!$C$4:$E$324,3,FALSE)</f>
        <v>0942</v>
      </c>
    </row>
    <row r="112" spans="1:33">
      <c r="A112" s="84">
        <v>52</v>
      </c>
      <c r="B112" s="83" t="str">
        <f t="shared" si="11"/>
        <v>Ostale pomoći</v>
      </c>
      <c r="C112" s="84">
        <v>3132</v>
      </c>
      <c r="D112" s="83" t="str">
        <f t="shared" si="12"/>
        <v>Doprinosi za obvezno zdravstveno osiguranje</v>
      </c>
      <c r="E112" s="85" t="s">
        <v>1029</v>
      </c>
      <c r="F112" s="83" t="str">
        <f t="shared" si="13"/>
        <v>NOVI PODPROJEKT</v>
      </c>
      <c r="G112" s="83" t="str">
        <f t="shared" si="14"/>
        <v>NOVI PODPROJEKT</v>
      </c>
      <c r="H112" s="69"/>
      <c r="I112" s="69">
        <v>660</v>
      </c>
      <c r="J112" s="78">
        <f t="shared" si="15"/>
        <v>660</v>
      </c>
      <c r="K112" s="91"/>
      <c r="L112" s="92"/>
      <c r="M112" s="92"/>
      <c r="N112" s="91"/>
      <c r="O112" s="93"/>
      <c r="P112" s="67"/>
      <c r="R112" t="str">
        <f t="shared" si="16"/>
        <v>313</v>
      </c>
      <c r="S112" t="str">
        <f t="shared" si="17"/>
        <v>31</v>
      </c>
      <c r="T112" t="str">
        <f t="shared" si="18"/>
        <v>OV</v>
      </c>
      <c r="X112">
        <v>4411</v>
      </c>
      <c r="Y112" t="s">
        <v>599</v>
      </c>
      <c r="AA112" t="str">
        <f t="shared" si="19"/>
        <v>44</v>
      </c>
      <c r="AB112" t="str">
        <f t="shared" si="20"/>
        <v>441</v>
      </c>
      <c r="AD112" t="s">
        <v>1269</v>
      </c>
      <c r="AE112" t="s">
        <v>1270</v>
      </c>
      <c r="AF112" t="str">
        <f t="shared" si="21"/>
        <v>A679072</v>
      </c>
      <c r="AG112" t="str">
        <f>VLOOKUP(AF112,AKT!$C$4:$E$324,3,FALSE)</f>
        <v>0942</v>
      </c>
    </row>
    <row r="113" spans="1:33">
      <c r="A113" s="96">
        <v>52</v>
      </c>
      <c r="B113" s="83" t="str">
        <f t="shared" si="11"/>
        <v>Ostale pomoći</v>
      </c>
      <c r="C113" s="84">
        <v>3211</v>
      </c>
      <c r="D113" s="83" t="str">
        <f t="shared" si="12"/>
        <v>Službena putovanja</v>
      </c>
      <c r="E113" s="85" t="s">
        <v>1029</v>
      </c>
      <c r="F113" s="83" t="str">
        <f t="shared" si="13"/>
        <v>NOVI PODPROJEKT</v>
      </c>
      <c r="G113" s="83" t="str">
        <f t="shared" si="14"/>
        <v>NOVI PODPROJEKT</v>
      </c>
      <c r="H113" s="69"/>
      <c r="I113" s="69">
        <v>800</v>
      </c>
      <c r="J113" s="78">
        <f t="shared" si="15"/>
        <v>800</v>
      </c>
      <c r="K113" s="91"/>
      <c r="L113" s="92"/>
      <c r="M113" s="92"/>
      <c r="N113" s="91"/>
      <c r="O113" s="93"/>
      <c r="P113" s="67"/>
      <c r="R113" t="str">
        <f t="shared" si="16"/>
        <v>321</v>
      </c>
      <c r="S113" t="str">
        <f t="shared" si="17"/>
        <v>32</v>
      </c>
      <c r="T113" t="str">
        <f t="shared" si="18"/>
        <v>OV</v>
      </c>
      <c r="X113">
        <v>4511</v>
      </c>
      <c r="Y113" t="s">
        <v>602</v>
      </c>
      <c r="AA113" t="str">
        <f t="shared" si="19"/>
        <v>45</v>
      </c>
      <c r="AB113" t="str">
        <f t="shared" si="20"/>
        <v>451</v>
      </c>
      <c r="AD113" t="s">
        <v>1271</v>
      </c>
      <c r="AE113" t="s">
        <v>1272</v>
      </c>
      <c r="AF113" t="str">
        <f t="shared" si="21"/>
        <v>A679072</v>
      </c>
      <c r="AG113" t="str">
        <f>VLOOKUP(AF113,AKT!$C$4:$E$324,3,FALSE)</f>
        <v>0942</v>
      </c>
    </row>
    <row r="114" spans="1:33">
      <c r="A114" s="96">
        <v>52</v>
      </c>
      <c r="B114" s="83" t="str">
        <f t="shared" si="11"/>
        <v>Ostale pomoći</v>
      </c>
      <c r="C114" s="84">
        <v>3293</v>
      </c>
      <c r="D114" s="83" t="str">
        <f t="shared" si="12"/>
        <v>Reprezentacija</v>
      </c>
      <c r="E114" s="85" t="s">
        <v>1029</v>
      </c>
      <c r="F114" s="83" t="str">
        <f t="shared" si="13"/>
        <v>NOVI PODPROJEKT</v>
      </c>
      <c r="G114" s="83" t="str">
        <f t="shared" si="14"/>
        <v>NOVI PODPROJEKT</v>
      </c>
      <c r="H114" s="69"/>
      <c r="I114" s="69">
        <v>20</v>
      </c>
      <c r="J114" s="78">
        <f t="shared" si="15"/>
        <v>20</v>
      </c>
      <c r="K114" s="91"/>
      <c r="L114" s="92"/>
      <c r="M114" s="92"/>
      <c r="N114" s="91"/>
      <c r="O114" s="93"/>
      <c r="P114" s="67"/>
      <c r="R114" t="str">
        <f t="shared" si="16"/>
        <v>329</v>
      </c>
      <c r="S114" t="str">
        <f t="shared" si="17"/>
        <v>32</v>
      </c>
      <c r="T114" t="str">
        <f t="shared" si="18"/>
        <v>OV</v>
      </c>
      <c r="X114">
        <v>4521</v>
      </c>
      <c r="Y114" t="s">
        <v>605</v>
      </c>
      <c r="AA114" t="str">
        <f t="shared" si="19"/>
        <v>45</v>
      </c>
      <c r="AB114" t="str">
        <f t="shared" si="20"/>
        <v>452</v>
      </c>
      <c r="AD114" t="s">
        <v>1273</v>
      </c>
      <c r="AE114" t="s">
        <v>1274</v>
      </c>
      <c r="AF114" t="str">
        <f t="shared" si="21"/>
        <v>A679072</v>
      </c>
      <c r="AG114" t="str">
        <f>VLOOKUP(AF114,AKT!$C$4:$E$324,3,FALSE)</f>
        <v>0942</v>
      </c>
    </row>
    <row r="115" spans="1:33">
      <c r="A115" s="84"/>
      <c r="B115" s="83" t="str">
        <f t="shared" si="11"/>
        <v/>
      </c>
      <c r="C115" s="84"/>
      <c r="D115" s="83" t="str">
        <f t="shared" si="12"/>
        <v/>
      </c>
      <c r="E115" s="85"/>
      <c r="F115" s="83" t="str">
        <f t="shared" si="13"/>
        <v/>
      </c>
      <c r="G115" s="83" t="str">
        <f t="shared" si="14"/>
        <v/>
      </c>
      <c r="H115" s="69"/>
      <c r="I115" s="69"/>
      <c r="J115" s="78">
        <f t="shared" si="15"/>
        <v>0</v>
      </c>
      <c r="K115" s="91"/>
      <c r="L115" s="92"/>
      <c r="M115" s="92"/>
      <c r="N115" s="91"/>
      <c r="O115" s="93"/>
      <c r="P115" s="67"/>
      <c r="R115" t="str">
        <f t="shared" si="16"/>
        <v/>
      </c>
      <c r="S115" t="str">
        <f t="shared" si="17"/>
        <v/>
      </c>
      <c r="T115" t="str">
        <f t="shared" si="18"/>
        <v/>
      </c>
      <c r="X115">
        <v>4531</v>
      </c>
      <c r="Y115" t="s">
        <v>608</v>
      </c>
      <c r="AA115" t="str">
        <f t="shared" si="19"/>
        <v>45</v>
      </c>
      <c r="AB115" t="str">
        <f t="shared" si="20"/>
        <v>453</v>
      </c>
      <c r="AD115" t="s">
        <v>1275</v>
      </c>
      <c r="AE115" t="s">
        <v>1276</v>
      </c>
      <c r="AF115" t="str">
        <f t="shared" si="21"/>
        <v>A679072</v>
      </c>
      <c r="AG115" t="str">
        <f>VLOOKUP(AF115,AKT!$C$4:$E$324,3,FALSE)</f>
        <v>0942</v>
      </c>
    </row>
    <row r="116" spans="1:33">
      <c r="A116" s="84">
        <v>52</v>
      </c>
      <c r="B116" s="83" t="str">
        <f t="shared" si="11"/>
        <v>Ostale pomoći</v>
      </c>
      <c r="C116" s="84">
        <v>3237</v>
      </c>
      <c r="D116" s="83" t="str">
        <f t="shared" si="12"/>
        <v>Intelektualne i osobne usluge</v>
      </c>
      <c r="E116" s="85" t="s">
        <v>1029</v>
      </c>
      <c r="F116" s="83" t="str">
        <f t="shared" si="13"/>
        <v>NOVI PODPROJEKT</v>
      </c>
      <c r="G116" s="83" t="str">
        <f t="shared" si="14"/>
        <v>NOVI PODPROJEKT</v>
      </c>
      <c r="H116" s="69"/>
      <c r="I116" s="69">
        <v>2230</v>
      </c>
      <c r="J116" s="78">
        <f t="shared" si="15"/>
        <v>2230</v>
      </c>
      <c r="K116" s="91" t="s">
        <v>5908</v>
      </c>
      <c r="L116" s="92" t="s">
        <v>5931</v>
      </c>
      <c r="M116" s="92" t="s">
        <v>1033</v>
      </c>
      <c r="N116" s="91" t="s">
        <v>1111</v>
      </c>
      <c r="O116" s="93"/>
      <c r="P116" s="67"/>
      <c r="R116" t="str">
        <f t="shared" si="16"/>
        <v>323</v>
      </c>
      <c r="S116" t="str">
        <f t="shared" si="17"/>
        <v>32</v>
      </c>
      <c r="T116" t="str">
        <f t="shared" si="18"/>
        <v>OV</v>
      </c>
      <c r="X116">
        <v>4541</v>
      </c>
      <c r="Y116" t="s">
        <v>611</v>
      </c>
      <c r="AA116" t="str">
        <f t="shared" si="19"/>
        <v>45</v>
      </c>
      <c r="AB116" t="str">
        <f t="shared" si="20"/>
        <v>454</v>
      </c>
      <c r="AD116" t="s">
        <v>1277</v>
      </c>
      <c r="AE116" t="s">
        <v>1278</v>
      </c>
      <c r="AF116" t="str">
        <f t="shared" si="21"/>
        <v>A679072</v>
      </c>
      <c r="AG116" t="str">
        <f>VLOOKUP(AF116,AKT!$C$4:$E$324,3,FALSE)</f>
        <v>0942</v>
      </c>
    </row>
    <row r="117" spans="1:33">
      <c r="A117" s="84">
        <v>52</v>
      </c>
      <c r="B117" s="83" t="str">
        <f t="shared" si="11"/>
        <v>Ostale pomoći</v>
      </c>
      <c r="C117" s="84">
        <v>3238</v>
      </c>
      <c r="D117" s="83" t="str">
        <f t="shared" si="12"/>
        <v>Računalne usluge</v>
      </c>
      <c r="E117" s="85" t="s">
        <v>1029</v>
      </c>
      <c r="F117" s="83" t="str">
        <f t="shared" si="13"/>
        <v>NOVI PODPROJEKT</v>
      </c>
      <c r="G117" s="83" t="str">
        <f t="shared" si="14"/>
        <v>NOVI PODPROJEKT</v>
      </c>
      <c r="H117" s="69"/>
      <c r="I117" s="69">
        <v>1330</v>
      </c>
      <c r="J117" s="78">
        <f t="shared" si="15"/>
        <v>1330</v>
      </c>
      <c r="K117" s="91"/>
      <c r="L117" s="92"/>
      <c r="M117" s="92"/>
      <c r="N117" s="91"/>
      <c r="O117" s="93"/>
      <c r="P117" s="67"/>
      <c r="R117" t="str">
        <f t="shared" si="16"/>
        <v>323</v>
      </c>
      <c r="S117" t="str">
        <f t="shared" si="17"/>
        <v>32</v>
      </c>
      <c r="T117" t="str">
        <f t="shared" si="18"/>
        <v>OV</v>
      </c>
      <c r="X117">
        <v>5121</v>
      </c>
      <c r="Y117" t="s">
        <v>614</v>
      </c>
      <c r="AA117" t="str">
        <f t="shared" si="19"/>
        <v>51</v>
      </c>
      <c r="AB117" t="str">
        <f t="shared" si="20"/>
        <v>512</v>
      </c>
      <c r="AD117" t="s">
        <v>1279</v>
      </c>
      <c r="AE117" t="s">
        <v>1280</v>
      </c>
      <c r="AF117" t="str">
        <f t="shared" si="21"/>
        <v>A679072</v>
      </c>
      <c r="AG117" t="str">
        <f>VLOOKUP(AF117,AKT!$C$4:$E$324,3,FALSE)</f>
        <v>0942</v>
      </c>
    </row>
    <row r="118" spans="1:33">
      <c r="A118" s="84"/>
      <c r="B118" s="83" t="str">
        <f t="shared" si="11"/>
        <v/>
      </c>
      <c r="C118" s="84"/>
      <c r="D118" s="83" t="str">
        <f t="shared" si="12"/>
        <v/>
      </c>
      <c r="E118" s="85"/>
      <c r="F118" s="83" t="str">
        <f t="shared" si="13"/>
        <v/>
      </c>
      <c r="G118" s="83" t="str">
        <f t="shared" si="14"/>
        <v/>
      </c>
      <c r="H118" s="69"/>
      <c r="I118" s="69"/>
      <c r="J118" s="78">
        <f t="shared" si="15"/>
        <v>0</v>
      </c>
      <c r="K118" s="91"/>
      <c r="L118" s="92"/>
      <c r="M118" s="92"/>
      <c r="N118" s="91"/>
      <c r="O118" s="93"/>
      <c r="P118" s="67"/>
      <c r="R118" t="str">
        <f t="shared" si="16"/>
        <v/>
      </c>
      <c r="S118" t="str">
        <f t="shared" si="17"/>
        <v/>
      </c>
      <c r="T118" t="str">
        <f t="shared" si="18"/>
        <v/>
      </c>
      <c r="X118">
        <v>5443</v>
      </c>
      <c r="Y118" t="s">
        <v>617</v>
      </c>
      <c r="AA118" t="str">
        <f t="shared" si="19"/>
        <v>54</v>
      </c>
      <c r="AB118" t="str">
        <f t="shared" si="20"/>
        <v>544</v>
      </c>
      <c r="AD118" t="s">
        <v>1281</v>
      </c>
      <c r="AE118" t="s">
        <v>1282</v>
      </c>
      <c r="AF118" t="str">
        <f t="shared" si="21"/>
        <v>A679072</v>
      </c>
      <c r="AG118" t="str">
        <f>VLOOKUP(AF118,AKT!$C$4:$E$324,3,FALSE)</f>
        <v>0942</v>
      </c>
    </row>
    <row r="119" spans="1:33">
      <c r="A119" s="84">
        <v>52</v>
      </c>
      <c r="B119" s="83" t="str">
        <f t="shared" si="11"/>
        <v>Ostale pomoći</v>
      </c>
      <c r="C119" s="84">
        <v>3299</v>
      </c>
      <c r="D119" s="83" t="str">
        <f t="shared" si="12"/>
        <v>Ostali nespomenuti rashodi poslovanja</v>
      </c>
      <c r="E119" s="85" t="s">
        <v>1029</v>
      </c>
      <c r="F119" s="83" t="str">
        <f t="shared" si="13"/>
        <v>NOVI PODPROJEKT</v>
      </c>
      <c r="G119" s="83" t="str">
        <f t="shared" si="14"/>
        <v>NOVI PODPROJEKT</v>
      </c>
      <c r="H119" s="69"/>
      <c r="I119" s="69">
        <v>170</v>
      </c>
      <c r="J119" s="78">
        <f t="shared" si="15"/>
        <v>170</v>
      </c>
      <c r="K119" s="91" t="s">
        <v>5907</v>
      </c>
      <c r="L119" s="92" t="s">
        <v>5931</v>
      </c>
      <c r="M119" s="92">
        <v>45107</v>
      </c>
      <c r="N119" s="91" t="s">
        <v>1111</v>
      </c>
      <c r="O119" s="93"/>
      <c r="P119" s="67"/>
      <c r="R119" t="str">
        <f t="shared" si="16"/>
        <v>329</v>
      </c>
      <c r="S119" t="str">
        <f t="shared" si="17"/>
        <v>32</v>
      </c>
      <c r="T119" t="str">
        <f t="shared" si="18"/>
        <v>OV</v>
      </c>
      <c r="X119">
        <v>5121</v>
      </c>
      <c r="Y119" t="s">
        <v>620</v>
      </c>
      <c r="AA119" t="str">
        <f t="shared" si="19"/>
        <v>51</v>
      </c>
      <c r="AB119" t="str">
        <f t="shared" si="20"/>
        <v>512</v>
      </c>
      <c r="AD119" t="s">
        <v>1283</v>
      </c>
      <c r="AE119" t="s">
        <v>1284</v>
      </c>
      <c r="AF119" t="str">
        <f t="shared" si="21"/>
        <v>A679072</v>
      </c>
      <c r="AG119" t="str">
        <f>VLOOKUP(AF119,AKT!$C$4:$E$324,3,FALSE)</f>
        <v>0942</v>
      </c>
    </row>
    <row r="120" spans="1:33">
      <c r="A120" s="84"/>
      <c r="B120" s="83" t="str">
        <f t="shared" si="11"/>
        <v/>
      </c>
      <c r="C120" s="84"/>
      <c r="D120" s="83" t="str">
        <f t="shared" si="12"/>
        <v/>
      </c>
      <c r="E120" s="85"/>
      <c r="F120" s="83" t="str">
        <f t="shared" si="13"/>
        <v/>
      </c>
      <c r="G120" s="83" t="str">
        <f t="shared" si="14"/>
        <v/>
      </c>
      <c r="H120" s="69"/>
      <c r="I120" s="69"/>
      <c r="J120" s="78">
        <f t="shared" si="15"/>
        <v>0</v>
      </c>
      <c r="K120" s="91"/>
      <c r="L120" s="92"/>
      <c r="M120" s="92"/>
      <c r="N120" s="91"/>
      <c r="O120" s="93"/>
      <c r="P120" s="67"/>
      <c r="R120" t="str">
        <f t="shared" si="16"/>
        <v/>
      </c>
      <c r="S120" t="str">
        <f t="shared" si="17"/>
        <v/>
      </c>
      <c r="T120" t="str">
        <f t="shared" si="18"/>
        <v/>
      </c>
      <c r="X120">
        <v>5122</v>
      </c>
      <c r="Y120" t="s">
        <v>623</v>
      </c>
      <c r="AA120" t="str">
        <f t="shared" si="19"/>
        <v>51</v>
      </c>
      <c r="AB120" t="str">
        <f t="shared" si="20"/>
        <v>512</v>
      </c>
      <c r="AD120" t="s">
        <v>1285</v>
      </c>
      <c r="AE120" t="s">
        <v>1286</v>
      </c>
      <c r="AF120" t="str">
        <f t="shared" si="21"/>
        <v>A679072</v>
      </c>
      <c r="AG120" t="str">
        <f>VLOOKUP(AF120,AKT!$C$4:$E$324,3,FALSE)</f>
        <v>0942</v>
      </c>
    </row>
    <row r="121" spans="1:33">
      <c r="A121" s="84">
        <v>51</v>
      </c>
      <c r="B121" s="83" t="str">
        <f t="shared" si="11"/>
        <v>Pomoći EU</v>
      </c>
      <c r="C121" s="84">
        <v>3111</v>
      </c>
      <c r="D121" s="83" t="str">
        <f t="shared" si="12"/>
        <v>Plaće za redovan rad</v>
      </c>
      <c r="E121" s="85" t="s">
        <v>1029</v>
      </c>
      <c r="F121" s="83" t="str">
        <f t="shared" si="13"/>
        <v>NOVI PODPROJEKT</v>
      </c>
      <c r="G121" s="83" t="str">
        <f t="shared" si="14"/>
        <v>NOVI PODPROJEKT</v>
      </c>
      <c r="H121" s="69"/>
      <c r="I121" s="69">
        <v>17732</v>
      </c>
      <c r="J121" s="78">
        <f t="shared" si="15"/>
        <v>17732</v>
      </c>
      <c r="K121" s="91" t="s">
        <v>1110</v>
      </c>
      <c r="L121" s="92" t="s">
        <v>1031</v>
      </c>
      <c r="M121" s="92" t="s">
        <v>5915</v>
      </c>
      <c r="N121" s="91" t="s">
        <v>5914</v>
      </c>
      <c r="O121" s="93"/>
      <c r="P121" s="67"/>
      <c r="R121" t="str">
        <f t="shared" si="16"/>
        <v>311</v>
      </c>
      <c r="S121" t="str">
        <f t="shared" si="17"/>
        <v>31</v>
      </c>
      <c r="T121" t="str">
        <f t="shared" si="18"/>
        <v>OV</v>
      </c>
      <c r="X121">
        <v>5141</v>
      </c>
      <c r="Y121" t="s">
        <v>626</v>
      </c>
      <c r="AA121" t="str">
        <f t="shared" si="19"/>
        <v>51</v>
      </c>
      <c r="AB121" t="str">
        <f t="shared" si="20"/>
        <v>514</v>
      </c>
      <c r="AD121" t="s">
        <v>1287</v>
      </c>
      <c r="AE121" t="s">
        <v>1288</v>
      </c>
      <c r="AF121" t="str">
        <f t="shared" si="21"/>
        <v>A679072</v>
      </c>
      <c r="AG121" t="str">
        <f>VLOOKUP(AF121,AKT!$C$4:$E$324,3,FALSE)</f>
        <v>0942</v>
      </c>
    </row>
    <row r="122" spans="1:33">
      <c r="A122" s="84">
        <v>51</v>
      </c>
      <c r="B122" s="83" t="str">
        <f t="shared" si="11"/>
        <v>Pomoći EU</v>
      </c>
      <c r="C122" s="84">
        <v>3132</v>
      </c>
      <c r="D122" s="83" t="str">
        <f t="shared" si="12"/>
        <v>Doprinosi za obvezno zdravstveno osiguranje</v>
      </c>
      <c r="E122" s="85" t="s">
        <v>1029</v>
      </c>
      <c r="F122" s="83" t="str">
        <f t="shared" si="13"/>
        <v>NOVI PODPROJEKT</v>
      </c>
      <c r="G122" s="83" t="str">
        <f t="shared" si="14"/>
        <v>NOVI PODPROJEKT</v>
      </c>
      <c r="H122" s="69"/>
      <c r="I122" s="69">
        <v>2926</v>
      </c>
      <c r="J122" s="78">
        <f t="shared" si="15"/>
        <v>2926</v>
      </c>
      <c r="K122" s="91" t="s">
        <v>1110</v>
      </c>
      <c r="L122" s="92" t="s">
        <v>1031</v>
      </c>
      <c r="M122" s="92" t="s">
        <v>5915</v>
      </c>
      <c r="N122" s="91" t="s">
        <v>5914</v>
      </c>
      <c r="O122" s="93"/>
      <c r="P122" s="67"/>
      <c r="R122" t="str">
        <f t="shared" si="16"/>
        <v>313</v>
      </c>
      <c r="S122" t="str">
        <f t="shared" si="17"/>
        <v>31</v>
      </c>
      <c r="T122" t="str">
        <f t="shared" si="18"/>
        <v>OV</v>
      </c>
      <c r="X122">
        <v>5181</v>
      </c>
      <c r="Y122" t="s">
        <v>629</v>
      </c>
      <c r="AA122" t="str">
        <f t="shared" si="19"/>
        <v>51</v>
      </c>
      <c r="AB122" t="str">
        <f t="shared" si="20"/>
        <v>518</v>
      </c>
      <c r="AD122" t="s">
        <v>1032</v>
      </c>
      <c r="AE122" t="s">
        <v>1289</v>
      </c>
      <c r="AF122" t="str">
        <f t="shared" si="21"/>
        <v>A679072</v>
      </c>
      <c r="AG122" t="str">
        <f>VLOOKUP(AF122,AKT!$C$4:$E$324,3,FALSE)</f>
        <v>0942</v>
      </c>
    </row>
    <row r="123" spans="1:33">
      <c r="A123" s="84"/>
      <c r="B123" s="83" t="str">
        <f t="shared" si="11"/>
        <v/>
      </c>
      <c r="C123" s="84"/>
      <c r="D123" s="83" t="str">
        <f t="shared" si="12"/>
        <v/>
      </c>
      <c r="E123" s="85"/>
      <c r="F123" s="83" t="str">
        <f t="shared" si="13"/>
        <v/>
      </c>
      <c r="G123" s="83" t="str">
        <f t="shared" si="14"/>
        <v/>
      </c>
      <c r="H123" s="69"/>
      <c r="I123" s="69"/>
      <c r="J123" s="78">
        <f t="shared" si="15"/>
        <v>0</v>
      </c>
      <c r="K123" s="91"/>
      <c r="L123" s="92"/>
      <c r="M123" s="92"/>
      <c r="N123" s="91"/>
      <c r="O123" s="93"/>
      <c r="P123" s="67"/>
      <c r="R123" t="str">
        <f t="shared" si="16"/>
        <v/>
      </c>
      <c r="S123" t="str">
        <f t="shared" si="17"/>
        <v/>
      </c>
      <c r="T123" t="str">
        <f t="shared" si="18"/>
        <v/>
      </c>
      <c r="X123">
        <v>5183</v>
      </c>
      <c r="Y123" t="s">
        <v>632</v>
      </c>
      <c r="AA123" t="str">
        <f t="shared" si="19"/>
        <v>51</v>
      </c>
      <c r="AB123" t="str">
        <f t="shared" si="20"/>
        <v>518</v>
      </c>
      <c r="AD123" t="s">
        <v>1290</v>
      </c>
      <c r="AE123" t="s">
        <v>1291</v>
      </c>
      <c r="AF123" t="str">
        <f t="shared" si="21"/>
        <v>A679072</v>
      </c>
      <c r="AG123" t="str">
        <f>VLOOKUP(AF123,AKT!$C$4:$E$324,3,FALSE)</f>
        <v>0942</v>
      </c>
    </row>
    <row r="124" spans="1:33">
      <c r="A124" s="84">
        <v>43</v>
      </c>
      <c r="B124" s="83" t="str">
        <f t="shared" si="11"/>
        <v>Ostali prihodi za posebne namjene</v>
      </c>
      <c r="C124" s="84">
        <v>3111</v>
      </c>
      <c r="D124" s="83" t="str">
        <f t="shared" si="12"/>
        <v>Plaće za redovan rad</v>
      </c>
      <c r="E124" s="85" t="s">
        <v>1073</v>
      </c>
      <c r="F124" s="83" t="str">
        <f t="shared" si="13"/>
        <v>CEKOM Smart City.4DII</v>
      </c>
      <c r="G124" s="83" t="str">
        <f t="shared" si="14"/>
        <v>0942</v>
      </c>
      <c r="H124" s="69"/>
      <c r="I124" s="69">
        <v>700</v>
      </c>
      <c r="J124" s="78">
        <f t="shared" si="15"/>
        <v>700</v>
      </c>
      <c r="K124" s="91"/>
      <c r="L124" s="92"/>
      <c r="M124" s="92"/>
      <c r="N124" s="91"/>
      <c r="O124" s="93"/>
      <c r="P124" s="67"/>
      <c r="R124" t="str">
        <f t="shared" si="16"/>
        <v>311</v>
      </c>
      <c r="S124" t="str">
        <f t="shared" si="17"/>
        <v>31</v>
      </c>
      <c r="T124" t="str">
        <f t="shared" si="18"/>
        <v>94</v>
      </c>
      <c r="X124">
        <v>5422</v>
      </c>
      <c r="Y124" t="s">
        <v>635</v>
      </c>
      <c r="AA124" t="str">
        <f t="shared" si="19"/>
        <v>54</v>
      </c>
      <c r="AB124" t="str">
        <f t="shared" si="20"/>
        <v>542</v>
      </c>
      <c r="AD124" t="s">
        <v>1292</v>
      </c>
      <c r="AE124" t="s">
        <v>1293</v>
      </c>
      <c r="AF124" t="str">
        <f t="shared" si="21"/>
        <v>A679072</v>
      </c>
      <c r="AG124" t="str">
        <f>VLOOKUP(AF124,AKT!$C$4:$E$324,3,FALSE)</f>
        <v>0942</v>
      </c>
    </row>
    <row r="125" spans="1:33">
      <c r="A125" s="84">
        <v>43</v>
      </c>
      <c r="B125" s="83" t="str">
        <f t="shared" si="11"/>
        <v>Ostali prihodi za posebne namjene</v>
      </c>
      <c r="C125" s="84">
        <v>3132</v>
      </c>
      <c r="D125" s="83" t="str">
        <f t="shared" si="12"/>
        <v>Doprinosi za obvezno zdravstveno osiguranje</v>
      </c>
      <c r="E125" s="85" t="s">
        <v>1073</v>
      </c>
      <c r="F125" s="83" t="str">
        <f t="shared" si="13"/>
        <v>CEKOM Smart City.4DII</v>
      </c>
      <c r="G125" s="83" t="str">
        <f t="shared" si="14"/>
        <v>0942</v>
      </c>
      <c r="H125" s="69"/>
      <c r="I125" s="69">
        <v>116</v>
      </c>
      <c r="J125" s="78">
        <f t="shared" si="15"/>
        <v>116</v>
      </c>
      <c r="K125" s="91"/>
      <c r="L125" s="92"/>
      <c r="M125" s="92"/>
      <c r="N125" s="91"/>
      <c r="O125" s="93"/>
      <c r="P125" s="67"/>
      <c r="R125" t="str">
        <f t="shared" si="16"/>
        <v>313</v>
      </c>
      <c r="S125" t="str">
        <f t="shared" si="17"/>
        <v>31</v>
      </c>
      <c r="T125" t="str">
        <f t="shared" si="18"/>
        <v>94</v>
      </c>
      <c r="X125">
        <v>5431</v>
      </c>
      <c r="Y125" t="s">
        <v>638</v>
      </c>
      <c r="AA125" t="str">
        <f t="shared" si="19"/>
        <v>54</v>
      </c>
      <c r="AB125" t="str">
        <f t="shared" si="20"/>
        <v>543</v>
      </c>
      <c r="AD125" t="s">
        <v>1294</v>
      </c>
      <c r="AE125" t="s">
        <v>1295</v>
      </c>
      <c r="AF125" t="str">
        <f t="shared" si="21"/>
        <v>A679072</v>
      </c>
      <c r="AG125" t="str">
        <f>VLOOKUP(AF125,AKT!$C$4:$E$324,3,FALSE)</f>
        <v>0942</v>
      </c>
    </row>
    <row r="126" spans="1:33">
      <c r="A126" s="84">
        <v>43</v>
      </c>
      <c r="B126" s="83" t="str">
        <f t="shared" si="11"/>
        <v>Ostali prihodi za posebne namjene</v>
      </c>
      <c r="C126" s="84">
        <v>3212</v>
      </c>
      <c r="D126" s="83" t="str">
        <f t="shared" si="12"/>
        <v>Naknade za prijevoz, za rad na terenu i odvojeni život</v>
      </c>
      <c r="E126" s="85" t="s">
        <v>1073</v>
      </c>
      <c r="F126" s="83" t="str">
        <f t="shared" si="13"/>
        <v>CEKOM Smart City.4DII</v>
      </c>
      <c r="G126" s="83" t="str">
        <f t="shared" si="14"/>
        <v>0942</v>
      </c>
      <c r="H126" s="69"/>
      <c r="I126" s="69">
        <v>100</v>
      </c>
      <c r="J126" s="78">
        <f t="shared" si="15"/>
        <v>100</v>
      </c>
      <c r="K126" s="91"/>
      <c r="L126" s="92"/>
      <c r="M126" s="92"/>
      <c r="N126" s="91"/>
      <c r="O126" s="93"/>
      <c r="P126" s="67"/>
      <c r="R126" t="str">
        <f t="shared" si="16"/>
        <v>321</v>
      </c>
      <c r="S126" t="str">
        <f t="shared" si="17"/>
        <v>32</v>
      </c>
      <c r="T126" t="str">
        <f t="shared" si="18"/>
        <v>94</v>
      </c>
      <c r="X126">
        <v>5443</v>
      </c>
      <c r="Y126" t="s">
        <v>641</v>
      </c>
      <c r="AA126" t="str">
        <f t="shared" si="19"/>
        <v>54</v>
      </c>
      <c r="AB126" t="str">
        <f t="shared" si="20"/>
        <v>544</v>
      </c>
      <c r="AD126" t="s">
        <v>1296</v>
      </c>
      <c r="AE126" t="s">
        <v>1297</v>
      </c>
      <c r="AF126" t="str">
        <f t="shared" si="21"/>
        <v>A679072</v>
      </c>
      <c r="AG126" t="str">
        <f>VLOOKUP(AF126,AKT!$C$4:$E$324,3,FALSE)</f>
        <v>0942</v>
      </c>
    </row>
    <row r="127" spans="1:33">
      <c r="A127" s="84">
        <v>43</v>
      </c>
      <c r="B127" s="83" t="str">
        <f t="shared" si="11"/>
        <v>Ostali prihodi za posebne namjene</v>
      </c>
      <c r="C127" s="84">
        <v>3294</v>
      </c>
      <c r="D127" s="83" t="str">
        <f t="shared" si="12"/>
        <v>Članarine i norme</v>
      </c>
      <c r="E127" s="85" t="s">
        <v>1073</v>
      </c>
      <c r="F127" s="83" t="str">
        <f t="shared" si="13"/>
        <v>CEKOM Smart City.4DII</v>
      </c>
      <c r="G127" s="83" t="str">
        <f t="shared" si="14"/>
        <v>0942</v>
      </c>
      <c r="H127" s="69"/>
      <c r="I127" s="69">
        <v>1444</v>
      </c>
      <c r="J127" s="78">
        <f t="shared" si="15"/>
        <v>1444</v>
      </c>
      <c r="K127" s="91"/>
      <c r="L127" s="92"/>
      <c r="M127" s="92"/>
      <c r="N127" s="91"/>
      <c r="O127" s="93"/>
      <c r="P127" s="67"/>
      <c r="R127" t="str">
        <f t="shared" si="16"/>
        <v>329</v>
      </c>
      <c r="S127" t="str">
        <f t="shared" si="17"/>
        <v>32</v>
      </c>
      <c r="T127" t="str">
        <f t="shared" si="18"/>
        <v>94</v>
      </c>
      <c r="X127">
        <v>5445</v>
      </c>
      <c r="Y127" t="s">
        <v>644</v>
      </c>
      <c r="AA127" t="str">
        <f t="shared" si="19"/>
        <v>54</v>
      </c>
      <c r="AB127" t="str">
        <f t="shared" si="20"/>
        <v>544</v>
      </c>
      <c r="AD127" t="s">
        <v>1298</v>
      </c>
      <c r="AE127" t="s">
        <v>1299</v>
      </c>
      <c r="AF127" t="str">
        <f t="shared" si="21"/>
        <v>A679072</v>
      </c>
      <c r="AG127" t="str">
        <f>VLOOKUP(AF127,AKT!$C$4:$E$324,3,FALSE)</f>
        <v>0942</v>
      </c>
    </row>
    <row r="128" spans="1:33">
      <c r="A128" s="84"/>
      <c r="B128" s="83" t="str">
        <f t="shared" si="11"/>
        <v/>
      </c>
      <c r="C128" s="84"/>
      <c r="D128" s="83" t="str">
        <f t="shared" si="12"/>
        <v/>
      </c>
      <c r="E128" s="85"/>
      <c r="F128" s="83" t="str">
        <f t="shared" si="13"/>
        <v/>
      </c>
      <c r="G128" s="83" t="str">
        <f t="shared" si="14"/>
        <v/>
      </c>
      <c r="H128" s="69"/>
      <c r="I128" s="69"/>
      <c r="J128" s="78">
        <f t="shared" si="15"/>
        <v>0</v>
      </c>
      <c r="K128" s="91"/>
      <c r="L128" s="92"/>
      <c r="M128" s="92"/>
      <c r="N128" s="91"/>
      <c r="O128" s="93"/>
      <c r="P128" s="67"/>
      <c r="R128" t="str">
        <f t="shared" si="16"/>
        <v/>
      </c>
      <c r="S128" t="str">
        <f t="shared" si="17"/>
        <v/>
      </c>
      <c r="T128" t="str">
        <f t="shared" si="18"/>
        <v/>
      </c>
      <c r="X128">
        <v>5453</v>
      </c>
      <c r="Y128" t="s">
        <v>647</v>
      </c>
      <c r="AA128" t="str">
        <f t="shared" si="19"/>
        <v>54</v>
      </c>
      <c r="AB128" t="str">
        <f t="shared" si="20"/>
        <v>545</v>
      </c>
      <c r="AD128" t="s">
        <v>1300</v>
      </c>
      <c r="AE128" t="s">
        <v>1301</v>
      </c>
      <c r="AF128" t="str">
        <f t="shared" si="21"/>
        <v>A679072</v>
      </c>
      <c r="AG128" t="str">
        <f>VLOOKUP(AF128,AKT!$C$4:$E$324,3,FALSE)</f>
        <v>0942</v>
      </c>
    </row>
    <row r="129" spans="1:33">
      <c r="A129" s="84">
        <v>51</v>
      </c>
      <c r="B129" s="83" t="str">
        <f t="shared" si="11"/>
        <v>Pomoći EU</v>
      </c>
      <c r="C129" s="84">
        <v>3111</v>
      </c>
      <c r="D129" s="83" t="str">
        <f t="shared" si="12"/>
        <v>Plaće za redovan rad</v>
      </c>
      <c r="E129" s="85" t="s">
        <v>1029</v>
      </c>
      <c r="F129" s="83" t="str">
        <f t="shared" si="13"/>
        <v>NOVI PODPROJEKT</v>
      </c>
      <c r="G129" s="83" t="str">
        <f t="shared" si="14"/>
        <v>NOVI PODPROJEKT</v>
      </c>
      <c r="H129" s="69"/>
      <c r="I129" s="69">
        <v>3000</v>
      </c>
      <c r="J129" s="78">
        <f t="shared" si="15"/>
        <v>3000</v>
      </c>
      <c r="K129" s="91" t="s">
        <v>5932</v>
      </c>
      <c r="L129" s="92" t="s">
        <v>5926</v>
      </c>
      <c r="M129" s="92" t="s">
        <v>5927</v>
      </c>
      <c r="N129" s="91" t="s">
        <v>1111</v>
      </c>
      <c r="O129" s="93"/>
      <c r="P129" s="67"/>
      <c r="R129" t="str">
        <f t="shared" si="16"/>
        <v>311</v>
      </c>
      <c r="S129" t="str">
        <f t="shared" si="17"/>
        <v>31</v>
      </c>
      <c r="T129" t="str">
        <f t="shared" si="18"/>
        <v>OV</v>
      </c>
      <c r="X129">
        <v>5472</v>
      </c>
      <c r="Y129" t="s">
        <v>650</v>
      </c>
      <c r="AA129" t="str">
        <f t="shared" si="19"/>
        <v>54</v>
      </c>
      <c r="AB129" t="str">
        <f t="shared" si="20"/>
        <v>547</v>
      </c>
      <c r="AD129" t="s">
        <v>1302</v>
      </c>
      <c r="AE129" t="s">
        <v>1303</v>
      </c>
      <c r="AF129" t="str">
        <f t="shared" si="21"/>
        <v>A679072</v>
      </c>
      <c r="AG129" t="str">
        <f>VLOOKUP(AF129,AKT!$C$4:$E$324,3,FALSE)</f>
        <v>0942</v>
      </c>
    </row>
    <row r="130" spans="1:33">
      <c r="A130" s="84">
        <v>51</v>
      </c>
      <c r="B130" s="83" t="str">
        <f t="shared" si="11"/>
        <v>Pomoći EU</v>
      </c>
      <c r="C130" s="84">
        <v>3132</v>
      </c>
      <c r="D130" s="83" t="str">
        <f t="shared" si="12"/>
        <v>Doprinosi za obvezno zdravstveno osiguranje</v>
      </c>
      <c r="E130" s="85" t="s">
        <v>1029</v>
      </c>
      <c r="F130" s="83" t="str">
        <f t="shared" si="13"/>
        <v>NOVI PODPROJEKT</v>
      </c>
      <c r="G130" s="83" t="str">
        <f t="shared" si="14"/>
        <v>NOVI PODPROJEKT</v>
      </c>
      <c r="H130" s="69"/>
      <c r="I130" s="69">
        <v>495</v>
      </c>
      <c r="J130" s="78">
        <f t="shared" si="15"/>
        <v>495</v>
      </c>
      <c r="K130" s="91"/>
      <c r="L130" s="92"/>
      <c r="M130" s="92"/>
      <c r="N130" s="91"/>
      <c r="O130" s="93"/>
      <c r="P130" s="67"/>
      <c r="R130" t="str">
        <f t="shared" si="16"/>
        <v>313</v>
      </c>
      <c r="S130" t="str">
        <f t="shared" si="17"/>
        <v>31</v>
      </c>
      <c r="T130" t="str">
        <f t="shared" si="18"/>
        <v>OV</v>
      </c>
      <c r="AD130" t="s">
        <v>1304</v>
      </c>
      <c r="AE130" t="s">
        <v>1305</v>
      </c>
      <c r="AF130" t="str">
        <f t="shared" si="21"/>
        <v>A679072</v>
      </c>
      <c r="AG130" t="str">
        <f>VLOOKUP(AF130,AKT!$C$4:$E$324,3,FALSE)</f>
        <v>0942</v>
      </c>
    </row>
    <row r="131" spans="1:33">
      <c r="A131" s="84">
        <v>51</v>
      </c>
      <c r="B131" s="83" t="str">
        <f t="shared" ref="B131:B194" si="22">IFERROR(VLOOKUP(A131,$U$6:$V$23,2,FALSE),"")</f>
        <v>Pomoći EU</v>
      </c>
      <c r="C131" s="84">
        <v>3211</v>
      </c>
      <c r="D131" s="83" t="str">
        <f t="shared" si="12"/>
        <v>Službena putovanja</v>
      </c>
      <c r="E131" s="85" t="s">
        <v>1029</v>
      </c>
      <c r="F131" s="83" t="str">
        <f t="shared" si="13"/>
        <v>NOVI PODPROJEKT</v>
      </c>
      <c r="G131" s="83" t="str">
        <f t="shared" si="14"/>
        <v>NOVI PODPROJEKT</v>
      </c>
      <c r="H131" s="69"/>
      <c r="I131" s="69">
        <v>500</v>
      </c>
      <c r="J131" s="78">
        <f t="shared" si="15"/>
        <v>500</v>
      </c>
      <c r="K131" s="91"/>
      <c r="L131" s="92"/>
      <c r="M131" s="92"/>
      <c r="N131" s="91"/>
      <c r="O131" s="93"/>
      <c r="P131" s="67"/>
      <c r="R131" t="str">
        <f t="shared" si="16"/>
        <v>321</v>
      </c>
      <c r="S131" t="str">
        <f t="shared" si="17"/>
        <v>32</v>
      </c>
      <c r="T131" t="str">
        <f t="shared" si="18"/>
        <v>OV</v>
      </c>
      <c r="AD131" t="s">
        <v>1306</v>
      </c>
      <c r="AE131" t="s">
        <v>1307</v>
      </c>
      <c r="AF131" t="str">
        <f t="shared" si="21"/>
        <v>A679072</v>
      </c>
      <c r="AG131" t="str">
        <f>VLOOKUP(AF131,AKT!$C$4:$E$324,3,FALSE)</f>
        <v>0942</v>
      </c>
    </row>
    <row r="132" spans="1:33">
      <c r="A132" s="84"/>
      <c r="B132" s="83" t="str">
        <f t="shared" si="22"/>
        <v/>
      </c>
      <c r="C132" s="84"/>
      <c r="D132" s="83" t="str">
        <f t="shared" ref="D132:D195" si="23">IFERROR(VLOOKUP(C132,$X$5:$Z$129,2,FALSE),"")</f>
        <v/>
      </c>
      <c r="E132" s="85"/>
      <c r="F132" s="83" t="str">
        <f t="shared" ref="F132:F195" si="24">IFERROR(VLOOKUP(E132,$AD$6:$AE$1090,2,FALSE),"")</f>
        <v/>
      </c>
      <c r="G132" s="83" t="str">
        <f t="shared" ref="G132:G195" si="25">IFERROR(VLOOKUP(E132,$AD$6:$AG$1090,4,FALSE),"")</f>
        <v/>
      </c>
      <c r="H132" s="69"/>
      <c r="I132" s="69"/>
      <c r="J132" s="78">
        <f t="shared" ref="J132:J195" si="26">I132-H132</f>
        <v>0</v>
      </c>
      <c r="K132" s="91"/>
      <c r="L132" s="92"/>
      <c r="M132" s="92"/>
      <c r="N132" s="91"/>
      <c r="O132" s="93"/>
      <c r="P132" s="67"/>
      <c r="R132" t="str">
        <f t="shared" ref="R132:R195" si="27">LEFT(C132,3)</f>
        <v/>
      </c>
      <c r="S132" t="str">
        <f t="shared" ref="S132:S195" si="28">LEFT(C132,2)</f>
        <v/>
      </c>
      <c r="T132" t="str">
        <f t="shared" ref="T132:T195" si="29">MID(G132,2,2)</f>
        <v/>
      </c>
      <c r="AD132" t="s">
        <v>1308</v>
      </c>
      <c r="AE132" t="s">
        <v>1309</v>
      </c>
      <c r="AF132" t="str">
        <f t="shared" si="21"/>
        <v>A679072</v>
      </c>
      <c r="AG132" t="str">
        <f>VLOOKUP(AF132,AKT!$C$4:$E$324,3,FALSE)</f>
        <v>0942</v>
      </c>
    </row>
    <row r="133" spans="1:33">
      <c r="A133" s="84"/>
      <c r="B133" s="83" t="str">
        <f t="shared" si="22"/>
        <v/>
      </c>
      <c r="C133" s="84"/>
      <c r="D133" s="83" t="str">
        <f t="shared" si="23"/>
        <v/>
      </c>
      <c r="E133" s="85"/>
      <c r="F133" s="83" t="str">
        <f t="shared" si="24"/>
        <v/>
      </c>
      <c r="G133" s="83" t="str">
        <f t="shared" si="25"/>
        <v/>
      </c>
      <c r="H133" s="69"/>
      <c r="I133" s="69"/>
      <c r="J133" s="78">
        <f t="shared" si="26"/>
        <v>0</v>
      </c>
      <c r="K133" s="91"/>
      <c r="L133" s="92"/>
      <c r="M133" s="92"/>
      <c r="N133" s="91"/>
      <c r="O133" s="93"/>
      <c r="P133" s="67"/>
      <c r="R133" t="str">
        <f t="shared" si="27"/>
        <v/>
      </c>
      <c r="S133" t="str">
        <f t="shared" si="28"/>
        <v/>
      </c>
      <c r="T133" t="str">
        <f t="shared" si="29"/>
        <v/>
      </c>
      <c r="AD133" t="s">
        <v>1310</v>
      </c>
      <c r="AE133" t="s">
        <v>1311</v>
      </c>
      <c r="AF133" t="str">
        <f t="shared" si="21"/>
        <v>A679072</v>
      </c>
      <c r="AG133" t="str">
        <f>VLOOKUP(AF133,AKT!$C$4:$E$324,3,FALSE)</f>
        <v>0942</v>
      </c>
    </row>
    <row r="134" spans="1:33">
      <c r="A134" s="84"/>
      <c r="B134" s="83" t="str">
        <f t="shared" si="22"/>
        <v/>
      </c>
      <c r="C134" s="84"/>
      <c r="D134" s="83" t="str">
        <f t="shared" si="23"/>
        <v/>
      </c>
      <c r="E134" s="85"/>
      <c r="F134" s="83" t="str">
        <f t="shared" si="24"/>
        <v/>
      </c>
      <c r="G134" s="83" t="str">
        <f t="shared" si="25"/>
        <v/>
      </c>
      <c r="H134" s="69"/>
      <c r="I134" s="69"/>
      <c r="J134" s="78">
        <f t="shared" si="26"/>
        <v>0</v>
      </c>
      <c r="K134" s="91"/>
      <c r="L134" s="92"/>
      <c r="M134" s="92"/>
      <c r="N134" s="91"/>
      <c r="O134" s="93"/>
      <c r="P134" s="67"/>
      <c r="R134" t="str">
        <f t="shared" si="27"/>
        <v/>
      </c>
      <c r="S134" t="str">
        <f t="shared" si="28"/>
        <v/>
      </c>
      <c r="T134" t="str">
        <f t="shared" si="29"/>
        <v/>
      </c>
      <c r="AD134" t="s">
        <v>1312</v>
      </c>
      <c r="AE134" t="s">
        <v>1313</v>
      </c>
      <c r="AF134" t="str">
        <f t="shared" si="21"/>
        <v>A679072</v>
      </c>
      <c r="AG134" t="str">
        <f>VLOOKUP(AF134,AKT!$C$4:$E$324,3,FALSE)</f>
        <v>0942</v>
      </c>
    </row>
    <row r="135" spans="1:33">
      <c r="A135" s="84"/>
      <c r="B135" s="83" t="str">
        <f t="shared" si="22"/>
        <v/>
      </c>
      <c r="C135" s="84"/>
      <c r="D135" s="83" t="str">
        <f t="shared" si="23"/>
        <v/>
      </c>
      <c r="E135" s="85"/>
      <c r="F135" s="83" t="str">
        <f t="shared" si="24"/>
        <v/>
      </c>
      <c r="G135" s="83" t="str">
        <f t="shared" si="25"/>
        <v/>
      </c>
      <c r="H135" s="69"/>
      <c r="I135" s="69"/>
      <c r="J135" s="78">
        <f t="shared" si="26"/>
        <v>0</v>
      </c>
      <c r="K135" s="91"/>
      <c r="L135" s="92"/>
      <c r="M135" s="92"/>
      <c r="N135" s="91"/>
      <c r="O135" s="93"/>
      <c r="P135" s="67"/>
      <c r="R135" t="str">
        <f t="shared" si="27"/>
        <v/>
      </c>
      <c r="S135" t="str">
        <f t="shared" si="28"/>
        <v/>
      </c>
      <c r="T135" t="str">
        <f t="shared" si="29"/>
        <v/>
      </c>
      <c r="AD135" t="s">
        <v>1314</v>
      </c>
      <c r="AE135" t="s">
        <v>1315</v>
      </c>
      <c r="AF135" t="str">
        <f t="shared" si="21"/>
        <v>A679072</v>
      </c>
      <c r="AG135" t="str">
        <f>VLOOKUP(AF135,AKT!$C$4:$E$324,3,FALSE)</f>
        <v>0942</v>
      </c>
    </row>
    <row r="136" spans="1:33">
      <c r="A136" s="84"/>
      <c r="B136" s="83" t="str">
        <f t="shared" si="22"/>
        <v/>
      </c>
      <c r="C136" s="84"/>
      <c r="D136" s="83" t="str">
        <f t="shared" si="23"/>
        <v/>
      </c>
      <c r="E136" s="85"/>
      <c r="F136" s="83" t="str">
        <f t="shared" si="24"/>
        <v/>
      </c>
      <c r="G136" s="83" t="str">
        <f t="shared" si="25"/>
        <v/>
      </c>
      <c r="H136" s="69"/>
      <c r="I136" s="69"/>
      <c r="J136" s="78">
        <f t="shared" si="26"/>
        <v>0</v>
      </c>
      <c r="K136" s="91"/>
      <c r="L136" s="92"/>
      <c r="M136" s="92"/>
      <c r="N136" s="91"/>
      <c r="O136" s="93"/>
      <c r="P136" s="67"/>
      <c r="R136" t="str">
        <f t="shared" si="27"/>
        <v/>
      </c>
      <c r="S136" t="str">
        <f t="shared" si="28"/>
        <v/>
      </c>
      <c r="T136" t="str">
        <f t="shared" si="29"/>
        <v/>
      </c>
      <c r="AD136" t="s">
        <v>1316</v>
      </c>
      <c r="AE136" t="s">
        <v>1317</v>
      </c>
      <c r="AF136" t="str">
        <f t="shared" ref="AF136:AF199" si="30">LEFT(AD136,7)</f>
        <v>A679072</v>
      </c>
      <c r="AG136" t="str">
        <f>VLOOKUP(AF136,AKT!$C$4:$E$324,3,FALSE)</f>
        <v>0942</v>
      </c>
    </row>
    <row r="137" spans="1:33">
      <c r="A137" s="84"/>
      <c r="B137" s="83" t="str">
        <f t="shared" si="22"/>
        <v/>
      </c>
      <c r="C137" s="84"/>
      <c r="D137" s="83" t="str">
        <f t="shared" si="23"/>
        <v/>
      </c>
      <c r="E137" s="85"/>
      <c r="F137" s="83" t="str">
        <f t="shared" si="24"/>
        <v/>
      </c>
      <c r="G137" s="83" t="str">
        <f t="shared" si="25"/>
        <v/>
      </c>
      <c r="H137" s="69"/>
      <c r="I137" s="69"/>
      <c r="J137" s="78">
        <f t="shared" si="26"/>
        <v>0</v>
      </c>
      <c r="K137" s="91"/>
      <c r="L137" s="92"/>
      <c r="M137" s="92"/>
      <c r="N137" s="91"/>
      <c r="O137" s="93"/>
      <c r="P137" s="67"/>
      <c r="R137" t="str">
        <f t="shared" si="27"/>
        <v/>
      </c>
      <c r="S137" t="str">
        <f t="shared" si="28"/>
        <v/>
      </c>
      <c r="T137" t="str">
        <f t="shared" si="29"/>
        <v/>
      </c>
      <c r="AD137" t="s">
        <v>1318</v>
      </c>
      <c r="AE137" t="s">
        <v>1319</v>
      </c>
      <c r="AF137" t="str">
        <f t="shared" si="30"/>
        <v>A679072</v>
      </c>
      <c r="AG137" t="str">
        <f>VLOOKUP(AF137,AKT!$C$4:$E$324,3,FALSE)</f>
        <v>0942</v>
      </c>
    </row>
    <row r="138" spans="1:33">
      <c r="A138" s="84"/>
      <c r="B138" s="83" t="str">
        <f t="shared" si="22"/>
        <v/>
      </c>
      <c r="C138" s="84"/>
      <c r="D138" s="83" t="str">
        <f t="shared" si="23"/>
        <v/>
      </c>
      <c r="E138" s="85"/>
      <c r="F138" s="83" t="str">
        <f t="shared" si="24"/>
        <v/>
      </c>
      <c r="G138" s="83" t="str">
        <f t="shared" si="25"/>
        <v/>
      </c>
      <c r="H138" s="69"/>
      <c r="I138" s="69"/>
      <c r="J138" s="78">
        <f t="shared" si="26"/>
        <v>0</v>
      </c>
      <c r="K138" s="91"/>
      <c r="L138" s="92"/>
      <c r="M138" s="92"/>
      <c r="N138" s="91"/>
      <c r="O138" s="93"/>
      <c r="P138" s="67"/>
      <c r="R138" t="str">
        <f t="shared" si="27"/>
        <v/>
      </c>
      <c r="S138" t="str">
        <f t="shared" si="28"/>
        <v/>
      </c>
      <c r="T138" t="str">
        <f t="shared" si="29"/>
        <v/>
      </c>
      <c r="AD138" t="s">
        <v>1320</v>
      </c>
      <c r="AE138" t="s">
        <v>1321</v>
      </c>
      <c r="AF138" t="str">
        <f t="shared" si="30"/>
        <v>A679072</v>
      </c>
      <c r="AG138" t="str">
        <f>VLOOKUP(AF138,AKT!$C$4:$E$324,3,FALSE)</f>
        <v>0942</v>
      </c>
    </row>
    <row r="139" spans="1:33">
      <c r="A139" s="84"/>
      <c r="B139" s="83" t="str">
        <f t="shared" si="22"/>
        <v/>
      </c>
      <c r="C139" s="84"/>
      <c r="D139" s="83" t="str">
        <f t="shared" si="23"/>
        <v/>
      </c>
      <c r="E139" s="85"/>
      <c r="F139" s="83" t="str">
        <f t="shared" si="24"/>
        <v/>
      </c>
      <c r="G139" s="83" t="str">
        <f t="shared" si="25"/>
        <v/>
      </c>
      <c r="H139" s="69"/>
      <c r="I139" s="69"/>
      <c r="J139" s="78">
        <f t="shared" si="26"/>
        <v>0</v>
      </c>
      <c r="K139" s="91"/>
      <c r="L139" s="92"/>
      <c r="M139" s="92"/>
      <c r="N139" s="91"/>
      <c r="O139" s="93"/>
      <c r="P139" s="67"/>
      <c r="R139" t="str">
        <f t="shared" si="27"/>
        <v/>
      </c>
      <c r="S139" t="str">
        <f t="shared" si="28"/>
        <v/>
      </c>
      <c r="T139" t="str">
        <f t="shared" si="29"/>
        <v/>
      </c>
      <c r="AD139" t="s">
        <v>1322</v>
      </c>
      <c r="AE139" t="s">
        <v>1323</v>
      </c>
      <c r="AF139" t="str">
        <f t="shared" si="30"/>
        <v>A679072</v>
      </c>
      <c r="AG139" t="str">
        <f>VLOOKUP(AF139,AKT!$C$4:$E$324,3,FALSE)</f>
        <v>0942</v>
      </c>
    </row>
    <row r="140" spans="1:33">
      <c r="A140" s="84"/>
      <c r="B140" s="83" t="str">
        <f t="shared" si="22"/>
        <v/>
      </c>
      <c r="C140" s="84"/>
      <c r="D140" s="83" t="str">
        <f t="shared" si="23"/>
        <v/>
      </c>
      <c r="E140" s="85"/>
      <c r="F140" s="83" t="str">
        <f t="shared" si="24"/>
        <v/>
      </c>
      <c r="G140" s="83" t="str">
        <f t="shared" si="25"/>
        <v/>
      </c>
      <c r="H140" s="69"/>
      <c r="I140" s="69"/>
      <c r="J140" s="78">
        <f t="shared" si="26"/>
        <v>0</v>
      </c>
      <c r="K140" s="91"/>
      <c r="L140" s="92"/>
      <c r="M140" s="92"/>
      <c r="N140" s="91"/>
      <c r="O140" s="93"/>
      <c r="P140" s="67"/>
      <c r="R140" t="str">
        <f t="shared" si="27"/>
        <v/>
      </c>
      <c r="S140" t="str">
        <f t="shared" si="28"/>
        <v/>
      </c>
      <c r="T140" t="str">
        <f t="shared" si="29"/>
        <v/>
      </c>
      <c r="AD140" t="s">
        <v>1324</v>
      </c>
      <c r="AE140" t="s">
        <v>1325</v>
      </c>
      <c r="AF140" t="str">
        <f t="shared" si="30"/>
        <v>A679072</v>
      </c>
      <c r="AG140" t="str">
        <f>VLOOKUP(AF140,AKT!$C$4:$E$324,3,FALSE)</f>
        <v>0942</v>
      </c>
    </row>
    <row r="141" spans="1:33">
      <c r="A141" s="84"/>
      <c r="B141" s="83" t="str">
        <f t="shared" si="22"/>
        <v/>
      </c>
      <c r="C141" s="84"/>
      <c r="D141" s="83" t="str">
        <f t="shared" si="23"/>
        <v/>
      </c>
      <c r="E141" s="85"/>
      <c r="F141" s="83" t="str">
        <f t="shared" si="24"/>
        <v/>
      </c>
      <c r="G141" s="83" t="str">
        <f t="shared" si="25"/>
        <v/>
      </c>
      <c r="H141" s="69"/>
      <c r="I141" s="69"/>
      <c r="J141" s="78">
        <f t="shared" si="26"/>
        <v>0</v>
      </c>
      <c r="K141" s="91"/>
      <c r="L141" s="92"/>
      <c r="M141" s="92"/>
      <c r="N141" s="91"/>
      <c r="O141" s="93"/>
      <c r="P141" s="67"/>
      <c r="R141" t="str">
        <f t="shared" si="27"/>
        <v/>
      </c>
      <c r="S141" t="str">
        <f t="shared" si="28"/>
        <v/>
      </c>
      <c r="T141" t="str">
        <f t="shared" si="29"/>
        <v/>
      </c>
      <c r="AD141" t="s">
        <v>1326</v>
      </c>
      <c r="AE141" t="s">
        <v>1327</v>
      </c>
      <c r="AF141" t="str">
        <f t="shared" si="30"/>
        <v>A679072</v>
      </c>
      <c r="AG141" t="str">
        <f>VLOOKUP(AF141,AKT!$C$4:$E$324,3,FALSE)</f>
        <v>0942</v>
      </c>
    </row>
    <row r="142" spans="1:33">
      <c r="A142" s="84"/>
      <c r="B142" s="83" t="str">
        <f t="shared" si="22"/>
        <v/>
      </c>
      <c r="C142" s="84"/>
      <c r="D142" s="83" t="str">
        <f t="shared" si="23"/>
        <v/>
      </c>
      <c r="E142" s="85"/>
      <c r="F142" s="83" t="str">
        <f t="shared" si="24"/>
        <v/>
      </c>
      <c r="G142" s="83" t="str">
        <f t="shared" si="25"/>
        <v/>
      </c>
      <c r="H142" s="69"/>
      <c r="I142" s="69"/>
      <c r="J142" s="78">
        <f t="shared" si="26"/>
        <v>0</v>
      </c>
      <c r="K142" s="91"/>
      <c r="L142" s="92"/>
      <c r="M142" s="92"/>
      <c r="N142" s="91"/>
      <c r="O142" s="93"/>
      <c r="P142" s="67"/>
      <c r="R142" t="str">
        <f t="shared" si="27"/>
        <v/>
      </c>
      <c r="S142" t="str">
        <f t="shared" si="28"/>
        <v/>
      </c>
      <c r="T142" t="str">
        <f t="shared" si="29"/>
        <v/>
      </c>
      <c r="AD142" t="s">
        <v>1328</v>
      </c>
      <c r="AE142" t="s">
        <v>1329</v>
      </c>
      <c r="AF142" t="str">
        <f t="shared" si="30"/>
        <v>A679072</v>
      </c>
      <c r="AG142" t="str">
        <f>VLOOKUP(AF142,AKT!$C$4:$E$324,3,FALSE)</f>
        <v>0942</v>
      </c>
    </row>
    <row r="143" spans="1:33">
      <c r="A143" s="84"/>
      <c r="B143" s="83" t="str">
        <f t="shared" si="22"/>
        <v/>
      </c>
      <c r="C143" s="84"/>
      <c r="D143" s="83" t="str">
        <f t="shared" si="23"/>
        <v/>
      </c>
      <c r="E143" s="85"/>
      <c r="F143" s="83" t="str">
        <f t="shared" si="24"/>
        <v/>
      </c>
      <c r="G143" s="83" t="str">
        <f t="shared" si="25"/>
        <v/>
      </c>
      <c r="H143" s="69"/>
      <c r="I143" s="69"/>
      <c r="J143" s="78">
        <f t="shared" si="26"/>
        <v>0</v>
      </c>
      <c r="K143" s="91"/>
      <c r="L143" s="92"/>
      <c r="M143" s="92"/>
      <c r="N143" s="91"/>
      <c r="O143" s="93"/>
      <c r="P143" s="67"/>
      <c r="R143" t="str">
        <f t="shared" si="27"/>
        <v/>
      </c>
      <c r="S143" t="str">
        <f t="shared" si="28"/>
        <v/>
      </c>
      <c r="T143" t="str">
        <f t="shared" si="29"/>
        <v/>
      </c>
      <c r="AD143" t="s">
        <v>1330</v>
      </c>
      <c r="AE143" t="s">
        <v>1331</v>
      </c>
      <c r="AF143" t="str">
        <f t="shared" si="30"/>
        <v>A679072</v>
      </c>
      <c r="AG143" t="str">
        <f>VLOOKUP(AF143,AKT!$C$4:$E$324,3,FALSE)</f>
        <v>0942</v>
      </c>
    </row>
    <row r="144" spans="1:33">
      <c r="A144" s="84"/>
      <c r="B144" s="83" t="str">
        <f t="shared" si="22"/>
        <v/>
      </c>
      <c r="C144" s="84"/>
      <c r="D144" s="83" t="str">
        <f t="shared" si="23"/>
        <v/>
      </c>
      <c r="E144" s="85"/>
      <c r="F144" s="83" t="str">
        <f t="shared" si="24"/>
        <v/>
      </c>
      <c r="G144" s="83" t="str">
        <f t="shared" si="25"/>
        <v/>
      </c>
      <c r="H144" s="69"/>
      <c r="I144" s="69"/>
      <c r="J144" s="78">
        <f t="shared" si="26"/>
        <v>0</v>
      </c>
      <c r="K144" s="91"/>
      <c r="L144" s="92"/>
      <c r="M144" s="92"/>
      <c r="N144" s="91"/>
      <c r="O144" s="93"/>
      <c r="P144" s="67"/>
      <c r="R144" t="str">
        <f t="shared" si="27"/>
        <v/>
      </c>
      <c r="S144" t="str">
        <f t="shared" si="28"/>
        <v/>
      </c>
      <c r="T144" t="str">
        <f t="shared" si="29"/>
        <v/>
      </c>
      <c r="AD144" t="s">
        <v>1332</v>
      </c>
      <c r="AE144" t="s">
        <v>1333</v>
      </c>
      <c r="AF144" t="str">
        <f t="shared" si="30"/>
        <v>A679072</v>
      </c>
      <c r="AG144" t="str">
        <f>VLOOKUP(AF144,AKT!$C$4:$E$324,3,FALSE)</f>
        <v>0942</v>
      </c>
    </row>
    <row r="145" spans="1:33">
      <c r="A145" s="84"/>
      <c r="B145" s="83" t="str">
        <f t="shared" si="22"/>
        <v/>
      </c>
      <c r="C145" s="84"/>
      <c r="D145" s="83" t="str">
        <f t="shared" si="23"/>
        <v/>
      </c>
      <c r="E145" s="85"/>
      <c r="F145" s="83" t="str">
        <f t="shared" si="24"/>
        <v/>
      </c>
      <c r="G145" s="83" t="str">
        <f t="shared" si="25"/>
        <v/>
      </c>
      <c r="H145" s="69"/>
      <c r="I145" s="69"/>
      <c r="J145" s="78">
        <f t="shared" si="26"/>
        <v>0</v>
      </c>
      <c r="K145" s="91"/>
      <c r="L145" s="92"/>
      <c r="M145" s="92"/>
      <c r="N145" s="91"/>
      <c r="O145" s="93"/>
      <c r="P145" s="67"/>
      <c r="R145" t="str">
        <f t="shared" si="27"/>
        <v/>
      </c>
      <c r="S145" t="str">
        <f t="shared" si="28"/>
        <v/>
      </c>
      <c r="T145" t="str">
        <f t="shared" si="29"/>
        <v/>
      </c>
      <c r="AD145" t="s">
        <v>1334</v>
      </c>
      <c r="AE145" t="s">
        <v>1335</v>
      </c>
      <c r="AF145" t="str">
        <f t="shared" si="30"/>
        <v>A679072</v>
      </c>
      <c r="AG145" t="str">
        <f>VLOOKUP(AF145,AKT!$C$4:$E$324,3,FALSE)</f>
        <v>0942</v>
      </c>
    </row>
    <row r="146" spans="1:33">
      <c r="A146" s="84"/>
      <c r="B146" s="83" t="str">
        <f t="shared" si="22"/>
        <v/>
      </c>
      <c r="C146" s="84"/>
      <c r="D146" s="83" t="str">
        <f t="shared" si="23"/>
        <v/>
      </c>
      <c r="E146" s="85"/>
      <c r="F146" s="83" t="str">
        <f t="shared" si="24"/>
        <v/>
      </c>
      <c r="G146" s="83" t="str">
        <f t="shared" si="25"/>
        <v/>
      </c>
      <c r="H146" s="69"/>
      <c r="I146" s="69"/>
      <c r="J146" s="78">
        <f t="shared" si="26"/>
        <v>0</v>
      </c>
      <c r="K146" s="91"/>
      <c r="L146" s="92"/>
      <c r="M146" s="92"/>
      <c r="N146" s="91"/>
      <c r="O146" s="93"/>
      <c r="P146" s="67"/>
      <c r="R146" t="str">
        <f t="shared" si="27"/>
        <v/>
      </c>
      <c r="S146" t="str">
        <f t="shared" si="28"/>
        <v/>
      </c>
      <c r="T146" t="str">
        <f t="shared" si="29"/>
        <v/>
      </c>
      <c r="AD146" t="s">
        <v>1336</v>
      </c>
      <c r="AE146" t="s">
        <v>1337</v>
      </c>
      <c r="AF146" t="str">
        <f t="shared" si="30"/>
        <v>A679072</v>
      </c>
      <c r="AG146" t="str">
        <f>VLOOKUP(AF146,AKT!$C$4:$E$324,3,FALSE)</f>
        <v>0942</v>
      </c>
    </row>
    <row r="147" spans="1:33">
      <c r="A147" s="84"/>
      <c r="B147" s="83" t="str">
        <f t="shared" si="22"/>
        <v/>
      </c>
      <c r="C147" s="84"/>
      <c r="D147" s="83" t="str">
        <f t="shared" si="23"/>
        <v/>
      </c>
      <c r="E147" s="85"/>
      <c r="F147" s="83" t="str">
        <f t="shared" si="24"/>
        <v/>
      </c>
      <c r="G147" s="83" t="str">
        <f t="shared" si="25"/>
        <v/>
      </c>
      <c r="H147" s="69"/>
      <c r="I147" s="69"/>
      <c r="J147" s="78">
        <f t="shared" si="26"/>
        <v>0</v>
      </c>
      <c r="K147" s="91"/>
      <c r="L147" s="92"/>
      <c r="M147" s="92"/>
      <c r="N147" s="91"/>
      <c r="O147" s="93"/>
      <c r="P147" s="67"/>
      <c r="R147" t="str">
        <f t="shared" si="27"/>
        <v/>
      </c>
      <c r="S147" t="str">
        <f t="shared" si="28"/>
        <v/>
      </c>
      <c r="T147" t="str">
        <f t="shared" si="29"/>
        <v/>
      </c>
      <c r="AD147" t="s">
        <v>1338</v>
      </c>
      <c r="AE147" t="s">
        <v>1339</v>
      </c>
      <c r="AF147" t="str">
        <f t="shared" si="30"/>
        <v>A679072</v>
      </c>
      <c r="AG147" t="str">
        <f>VLOOKUP(AF147,AKT!$C$4:$E$324,3,FALSE)</f>
        <v>0942</v>
      </c>
    </row>
    <row r="148" spans="1:33">
      <c r="A148" s="84"/>
      <c r="B148" s="83" t="str">
        <f t="shared" si="22"/>
        <v/>
      </c>
      <c r="C148" s="84"/>
      <c r="D148" s="83" t="str">
        <f t="shared" si="23"/>
        <v/>
      </c>
      <c r="E148" s="85"/>
      <c r="F148" s="83" t="str">
        <f t="shared" si="24"/>
        <v/>
      </c>
      <c r="G148" s="83" t="str">
        <f t="shared" si="25"/>
        <v/>
      </c>
      <c r="H148" s="69"/>
      <c r="I148" s="69"/>
      <c r="J148" s="78">
        <f t="shared" si="26"/>
        <v>0</v>
      </c>
      <c r="K148" s="91"/>
      <c r="L148" s="92"/>
      <c r="M148" s="92"/>
      <c r="N148" s="91"/>
      <c r="O148" s="93"/>
      <c r="P148" s="67"/>
      <c r="R148" t="str">
        <f t="shared" si="27"/>
        <v/>
      </c>
      <c r="S148" t="str">
        <f t="shared" si="28"/>
        <v/>
      </c>
      <c r="T148" t="str">
        <f t="shared" si="29"/>
        <v/>
      </c>
      <c r="AD148" t="s">
        <v>1340</v>
      </c>
      <c r="AE148" t="s">
        <v>1341</v>
      </c>
      <c r="AF148" t="str">
        <f t="shared" si="30"/>
        <v>A679072</v>
      </c>
      <c r="AG148" t="str">
        <f>VLOOKUP(AF148,AKT!$C$4:$E$324,3,FALSE)</f>
        <v>0942</v>
      </c>
    </row>
    <row r="149" spans="1:33">
      <c r="A149" s="84"/>
      <c r="B149" s="83" t="str">
        <f t="shared" si="22"/>
        <v/>
      </c>
      <c r="C149" s="84"/>
      <c r="D149" s="83" t="str">
        <f t="shared" si="23"/>
        <v/>
      </c>
      <c r="E149" s="85"/>
      <c r="F149" s="83" t="str">
        <f t="shared" si="24"/>
        <v/>
      </c>
      <c r="G149" s="83" t="str">
        <f t="shared" si="25"/>
        <v/>
      </c>
      <c r="H149" s="69"/>
      <c r="I149" s="69"/>
      <c r="J149" s="78">
        <f t="shared" si="26"/>
        <v>0</v>
      </c>
      <c r="K149" s="91"/>
      <c r="L149" s="92"/>
      <c r="M149" s="92"/>
      <c r="N149" s="91"/>
      <c r="O149" s="93"/>
      <c r="P149" s="67"/>
      <c r="R149" t="str">
        <f t="shared" si="27"/>
        <v/>
      </c>
      <c r="S149" t="str">
        <f t="shared" si="28"/>
        <v/>
      </c>
      <c r="T149" t="str">
        <f t="shared" si="29"/>
        <v/>
      </c>
      <c r="AD149" t="s">
        <v>1342</v>
      </c>
      <c r="AE149" t="s">
        <v>1343</v>
      </c>
      <c r="AF149" t="str">
        <f t="shared" si="30"/>
        <v>A679072</v>
      </c>
      <c r="AG149" t="str">
        <f>VLOOKUP(AF149,AKT!$C$4:$E$324,3,FALSE)</f>
        <v>0942</v>
      </c>
    </row>
    <row r="150" spans="1:33">
      <c r="A150" s="84"/>
      <c r="B150" s="83" t="str">
        <f t="shared" si="22"/>
        <v/>
      </c>
      <c r="C150" s="84"/>
      <c r="D150" s="83" t="str">
        <f t="shared" si="23"/>
        <v/>
      </c>
      <c r="E150" s="85"/>
      <c r="F150" s="83" t="str">
        <f t="shared" si="24"/>
        <v/>
      </c>
      <c r="G150" s="83" t="str">
        <f t="shared" si="25"/>
        <v/>
      </c>
      <c r="H150" s="69"/>
      <c r="I150" s="69"/>
      <c r="J150" s="78">
        <f t="shared" si="26"/>
        <v>0</v>
      </c>
      <c r="K150" s="91"/>
      <c r="L150" s="92"/>
      <c r="M150" s="92"/>
      <c r="N150" s="91"/>
      <c r="O150" s="93"/>
      <c r="P150" s="67"/>
      <c r="R150" t="str">
        <f t="shared" si="27"/>
        <v/>
      </c>
      <c r="S150" t="str">
        <f t="shared" si="28"/>
        <v/>
      </c>
      <c r="T150" t="str">
        <f t="shared" si="29"/>
        <v/>
      </c>
      <c r="AD150" t="s">
        <v>1344</v>
      </c>
      <c r="AE150" t="s">
        <v>1345</v>
      </c>
      <c r="AF150" t="str">
        <f t="shared" si="30"/>
        <v>A679072</v>
      </c>
      <c r="AG150" t="str">
        <f>VLOOKUP(AF150,AKT!$C$4:$E$324,3,FALSE)</f>
        <v>0942</v>
      </c>
    </row>
    <row r="151" spans="1:33">
      <c r="A151" s="84"/>
      <c r="B151" s="83" t="str">
        <f t="shared" si="22"/>
        <v/>
      </c>
      <c r="C151" s="84"/>
      <c r="D151" s="83" t="str">
        <f t="shared" si="23"/>
        <v/>
      </c>
      <c r="E151" s="85"/>
      <c r="F151" s="83" t="str">
        <f t="shared" si="24"/>
        <v/>
      </c>
      <c r="G151" s="83" t="str">
        <f t="shared" si="25"/>
        <v/>
      </c>
      <c r="H151" s="69"/>
      <c r="I151" s="69"/>
      <c r="J151" s="78">
        <f t="shared" si="26"/>
        <v>0</v>
      </c>
      <c r="K151" s="91"/>
      <c r="L151" s="92"/>
      <c r="M151" s="92"/>
      <c r="N151" s="91"/>
      <c r="O151" s="93"/>
      <c r="P151" s="67"/>
      <c r="R151" t="str">
        <f t="shared" si="27"/>
        <v/>
      </c>
      <c r="S151" t="str">
        <f t="shared" si="28"/>
        <v/>
      </c>
      <c r="T151" t="str">
        <f t="shared" si="29"/>
        <v/>
      </c>
      <c r="AD151" t="s">
        <v>1346</v>
      </c>
      <c r="AE151" t="s">
        <v>1347</v>
      </c>
      <c r="AF151" t="str">
        <f t="shared" si="30"/>
        <v>A679072</v>
      </c>
      <c r="AG151" t="str">
        <f>VLOOKUP(AF151,AKT!$C$4:$E$324,3,FALSE)</f>
        <v>0942</v>
      </c>
    </row>
    <row r="152" spans="1:33">
      <c r="A152" s="84"/>
      <c r="B152" s="83" t="str">
        <f t="shared" si="22"/>
        <v/>
      </c>
      <c r="C152" s="84"/>
      <c r="D152" s="83" t="str">
        <f t="shared" si="23"/>
        <v/>
      </c>
      <c r="E152" s="85"/>
      <c r="F152" s="83" t="str">
        <f t="shared" si="24"/>
        <v/>
      </c>
      <c r="G152" s="83" t="str">
        <f t="shared" si="25"/>
        <v/>
      </c>
      <c r="H152" s="69"/>
      <c r="I152" s="69"/>
      <c r="J152" s="78">
        <f t="shared" si="26"/>
        <v>0</v>
      </c>
      <c r="K152" s="91"/>
      <c r="L152" s="92"/>
      <c r="M152" s="92"/>
      <c r="N152" s="91"/>
      <c r="O152" s="93"/>
      <c r="P152" s="67"/>
      <c r="R152" t="str">
        <f t="shared" si="27"/>
        <v/>
      </c>
      <c r="S152" t="str">
        <f t="shared" si="28"/>
        <v/>
      </c>
      <c r="T152" t="str">
        <f t="shared" si="29"/>
        <v/>
      </c>
      <c r="AD152" t="s">
        <v>1348</v>
      </c>
      <c r="AE152" t="s">
        <v>1349</v>
      </c>
      <c r="AF152" t="str">
        <f t="shared" si="30"/>
        <v>A679072</v>
      </c>
      <c r="AG152" t="str">
        <f>VLOOKUP(AF152,AKT!$C$4:$E$324,3,FALSE)</f>
        <v>0942</v>
      </c>
    </row>
    <row r="153" spans="1:33">
      <c r="A153" s="84"/>
      <c r="B153" s="83" t="str">
        <f t="shared" si="22"/>
        <v/>
      </c>
      <c r="C153" s="84"/>
      <c r="D153" s="83" t="str">
        <f t="shared" si="23"/>
        <v/>
      </c>
      <c r="E153" s="85"/>
      <c r="F153" s="83" t="str">
        <f t="shared" si="24"/>
        <v/>
      </c>
      <c r="G153" s="83" t="str">
        <f t="shared" si="25"/>
        <v/>
      </c>
      <c r="H153" s="69"/>
      <c r="I153" s="69"/>
      <c r="J153" s="78">
        <f t="shared" si="26"/>
        <v>0</v>
      </c>
      <c r="K153" s="91"/>
      <c r="L153" s="92"/>
      <c r="M153" s="92"/>
      <c r="N153" s="91"/>
      <c r="O153" s="93"/>
      <c r="P153" s="67"/>
      <c r="R153" t="str">
        <f t="shared" si="27"/>
        <v/>
      </c>
      <c r="S153" t="str">
        <f t="shared" si="28"/>
        <v/>
      </c>
      <c r="T153" t="str">
        <f t="shared" si="29"/>
        <v/>
      </c>
      <c r="AD153" t="s">
        <v>1350</v>
      </c>
      <c r="AE153" t="s">
        <v>1351</v>
      </c>
      <c r="AF153" t="str">
        <f t="shared" si="30"/>
        <v>A679072</v>
      </c>
      <c r="AG153" t="str">
        <f>VLOOKUP(AF153,AKT!$C$4:$E$324,3,FALSE)</f>
        <v>0942</v>
      </c>
    </row>
    <row r="154" spans="1:33">
      <c r="A154" s="84"/>
      <c r="B154" s="83" t="str">
        <f t="shared" si="22"/>
        <v/>
      </c>
      <c r="C154" s="84"/>
      <c r="D154" s="83" t="str">
        <f t="shared" si="23"/>
        <v/>
      </c>
      <c r="E154" s="85"/>
      <c r="F154" s="83" t="str">
        <f t="shared" si="24"/>
        <v/>
      </c>
      <c r="G154" s="83" t="str">
        <f t="shared" si="25"/>
        <v/>
      </c>
      <c r="H154" s="69"/>
      <c r="I154" s="69"/>
      <c r="J154" s="78">
        <f t="shared" si="26"/>
        <v>0</v>
      </c>
      <c r="K154" s="91"/>
      <c r="L154" s="92"/>
      <c r="M154" s="92"/>
      <c r="N154" s="91"/>
      <c r="O154" s="93"/>
      <c r="P154" s="67"/>
      <c r="R154" t="str">
        <f t="shared" si="27"/>
        <v/>
      </c>
      <c r="S154" t="str">
        <f t="shared" si="28"/>
        <v/>
      </c>
      <c r="T154" t="str">
        <f t="shared" si="29"/>
        <v/>
      </c>
      <c r="AD154" t="s">
        <v>1352</v>
      </c>
      <c r="AE154" t="s">
        <v>1177</v>
      </c>
      <c r="AF154" t="str">
        <f t="shared" si="30"/>
        <v>A679072</v>
      </c>
      <c r="AG154" t="str">
        <f>VLOOKUP(AF154,AKT!$C$4:$E$324,3,FALSE)</f>
        <v>0942</v>
      </c>
    </row>
    <row r="155" spans="1:33">
      <c r="A155" s="84"/>
      <c r="B155" s="83" t="str">
        <f t="shared" si="22"/>
        <v/>
      </c>
      <c r="C155" s="84"/>
      <c r="D155" s="83" t="str">
        <f t="shared" si="23"/>
        <v/>
      </c>
      <c r="E155" s="85"/>
      <c r="F155" s="83" t="str">
        <f t="shared" si="24"/>
        <v/>
      </c>
      <c r="G155" s="83" t="str">
        <f t="shared" si="25"/>
        <v/>
      </c>
      <c r="H155" s="69"/>
      <c r="I155" s="69"/>
      <c r="J155" s="78">
        <f t="shared" si="26"/>
        <v>0</v>
      </c>
      <c r="K155" s="91"/>
      <c r="L155" s="92"/>
      <c r="M155" s="92"/>
      <c r="N155" s="91"/>
      <c r="O155" s="93"/>
      <c r="P155" s="67"/>
      <c r="R155" t="str">
        <f t="shared" si="27"/>
        <v/>
      </c>
      <c r="S155" t="str">
        <f t="shared" si="28"/>
        <v/>
      </c>
      <c r="T155" t="str">
        <f t="shared" si="29"/>
        <v/>
      </c>
      <c r="AD155" t="s">
        <v>1353</v>
      </c>
      <c r="AE155" t="s">
        <v>1354</v>
      </c>
      <c r="AF155" t="str">
        <f t="shared" si="30"/>
        <v>A679072</v>
      </c>
      <c r="AG155" t="str">
        <f>VLOOKUP(AF155,AKT!$C$4:$E$324,3,FALSE)</f>
        <v>0942</v>
      </c>
    </row>
    <row r="156" spans="1:33">
      <c r="A156" s="84"/>
      <c r="B156" s="83" t="str">
        <f t="shared" si="22"/>
        <v/>
      </c>
      <c r="C156" s="84"/>
      <c r="D156" s="83" t="str">
        <f t="shared" si="23"/>
        <v/>
      </c>
      <c r="E156" s="85"/>
      <c r="F156" s="83" t="str">
        <f t="shared" si="24"/>
        <v/>
      </c>
      <c r="G156" s="83" t="str">
        <f t="shared" si="25"/>
        <v/>
      </c>
      <c r="H156" s="69"/>
      <c r="I156" s="69"/>
      <c r="J156" s="78">
        <f t="shared" si="26"/>
        <v>0</v>
      </c>
      <c r="K156" s="91"/>
      <c r="L156" s="92"/>
      <c r="M156" s="92"/>
      <c r="N156" s="91"/>
      <c r="O156" s="93"/>
      <c r="P156" s="67"/>
      <c r="R156" t="str">
        <f t="shared" si="27"/>
        <v/>
      </c>
      <c r="S156" t="str">
        <f t="shared" si="28"/>
        <v/>
      </c>
      <c r="T156" t="str">
        <f t="shared" si="29"/>
        <v/>
      </c>
      <c r="AD156" t="s">
        <v>1355</v>
      </c>
      <c r="AE156" t="s">
        <v>1356</v>
      </c>
      <c r="AF156" t="str">
        <f t="shared" si="30"/>
        <v>A679072</v>
      </c>
      <c r="AG156" t="str">
        <f>VLOOKUP(AF156,AKT!$C$4:$E$324,3,FALSE)</f>
        <v>0942</v>
      </c>
    </row>
    <row r="157" spans="1:33">
      <c r="A157" s="84"/>
      <c r="B157" s="83" t="str">
        <f t="shared" si="22"/>
        <v/>
      </c>
      <c r="C157" s="84"/>
      <c r="D157" s="83" t="str">
        <f t="shared" si="23"/>
        <v/>
      </c>
      <c r="E157" s="85"/>
      <c r="F157" s="83" t="str">
        <f t="shared" si="24"/>
        <v/>
      </c>
      <c r="G157" s="83" t="str">
        <f t="shared" si="25"/>
        <v/>
      </c>
      <c r="H157" s="69"/>
      <c r="I157" s="69"/>
      <c r="J157" s="78">
        <f t="shared" si="26"/>
        <v>0</v>
      </c>
      <c r="K157" s="91"/>
      <c r="L157" s="92"/>
      <c r="M157" s="92"/>
      <c r="N157" s="91"/>
      <c r="O157" s="93"/>
      <c r="P157" s="67"/>
      <c r="R157" t="str">
        <f t="shared" si="27"/>
        <v/>
      </c>
      <c r="S157" t="str">
        <f t="shared" si="28"/>
        <v/>
      </c>
      <c r="T157" t="str">
        <f t="shared" si="29"/>
        <v/>
      </c>
      <c r="AD157" t="s">
        <v>1357</v>
      </c>
      <c r="AE157" t="s">
        <v>1358</v>
      </c>
      <c r="AF157" t="str">
        <f t="shared" si="30"/>
        <v>A679072</v>
      </c>
      <c r="AG157" t="str">
        <f>VLOOKUP(AF157,AKT!$C$4:$E$324,3,FALSE)</f>
        <v>0942</v>
      </c>
    </row>
    <row r="158" spans="1:33">
      <c r="A158" s="84"/>
      <c r="B158" s="83" t="str">
        <f t="shared" si="22"/>
        <v/>
      </c>
      <c r="C158" s="84"/>
      <c r="D158" s="83" t="str">
        <f t="shared" si="23"/>
        <v/>
      </c>
      <c r="E158" s="85"/>
      <c r="F158" s="83" t="str">
        <f t="shared" si="24"/>
        <v/>
      </c>
      <c r="G158" s="83" t="str">
        <f t="shared" si="25"/>
        <v/>
      </c>
      <c r="H158" s="69"/>
      <c r="I158" s="69"/>
      <c r="J158" s="78">
        <f t="shared" si="26"/>
        <v>0</v>
      </c>
      <c r="K158" s="91"/>
      <c r="L158" s="92"/>
      <c r="M158" s="92"/>
      <c r="N158" s="91"/>
      <c r="O158" s="93"/>
      <c r="P158" s="67"/>
      <c r="R158" t="str">
        <f t="shared" si="27"/>
        <v/>
      </c>
      <c r="S158" t="str">
        <f t="shared" si="28"/>
        <v/>
      </c>
      <c r="T158" t="str">
        <f t="shared" si="29"/>
        <v/>
      </c>
      <c r="AD158" t="s">
        <v>1359</v>
      </c>
      <c r="AE158" t="s">
        <v>1360</v>
      </c>
      <c r="AF158" t="str">
        <f t="shared" si="30"/>
        <v>A679072</v>
      </c>
      <c r="AG158" t="str">
        <f>VLOOKUP(AF158,AKT!$C$4:$E$324,3,FALSE)</f>
        <v>0942</v>
      </c>
    </row>
    <row r="159" spans="1:33">
      <c r="A159" s="84"/>
      <c r="B159" s="83" t="str">
        <f t="shared" si="22"/>
        <v/>
      </c>
      <c r="C159" s="84"/>
      <c r="D159" s="83" t="str">
        <f t="shared" si="23"/>
        <v/>
      </c>
      <c r="E159" s="85"/>
      <c r="F159" s="83" t="str">
        <f t="shared" si="24"/>
        <v/>
      </c>
      <c r="G159" s="83" t="str">
        <f t="shared" si="25"/>
        <v/>
      </c>
      <c r="H159" s="69"/>
      <c r="I159" s="69"/>
      <c r="J159" s="78">
        <f t="shared" si="26"/>
        <v>0</v>
      </c>
      <c r="K159" s="91"/>
      <c r="L159" s="92"/>
      <c r="M159" s="92"/>
      <c r="N159" s="91"/>
      <c r="O159" s="93"/>
      <c r="P159" s="67"/>
      <c r="R159" t="str">
        <f t="shared" si="27"/>
        <v/>
      </c>
      <c r="S159" t="str">
        <f t="shared" si="28"/>
        <v/>
      </c>
      <c r="T159" t="str">
        <f t="shared" si="29"/>
        <v/>
      </c>
      <c r="AD159" t="s">
        <v>1361</v>
      </c>
      <c r="AE159" t="s">
        <v>1362</v>
      </c>
      <c r="AF159" t="str">
        <f t="shared" si="30"/>
        <v>A679072</v>
      </c>
      <c r="AG159" t="str">
        <f>VLOOKUP(AF159,AKT!$C$4:$E$324,3,FALSE)</f>
        <v>0942</v>
      </c>
    </row>
    <row r="160" spans="1:33">
      <c r="A160" s="84"/>
      <c r="B160" s="83" t="str">
        <f t="shared" si="22"/>
        <v/>
      </c>
      <c r="C160" s="84"/>
      <c r="D160" s="83" t="str">
        <f t="shared" si="23"/>
        <v/>
      </c>
      <c r="E160" s="85"/>
      <c r="F160" s="83" t="str">
        <f t="shared" si="24"/>
        <v/>
      </c>
      <c r="G160" s="83" t="str">
        <f t="shared" si="25"/>
        <v/>
      </c>
      <c r="H160" s="69"/>
      <c r="I160" s="69"/>
      <c r="J160" s="78">
        <f t="shared" si="26"/>
        <v>0</v>
      </c>
      <c r="K160" s="91"/>
      <c r="L160" s="92"/>
      <c r="M160" s="92"/>
      <c r="N160" s="91"/>
      <c r="O160" s="93"/>
      <c r="P160" s="67"/>
      <c r="R160" t="str">
        <f t="shared" si="27"/>
        <v/>
      </c>
      <c r="S160" t="str">
        <f t="shared" si="28"/>
        <v/>
      </c>
      <c r="T160" t="str">
        <f t="shared" si="29"/>
        <v/>
      </c>
      <c r="AD160" t="s">
        <v>1051</v>
      </c>
      <c r="AE160" t="s">
        <v>1363</v>
      </c>
      <c r="AF160" t="str">
        <f t="shared" si="30"/>
        <v>A679072</v>
      </c>
      <c r="AG160" t="str">
        <f>VLOOKUP(AF160,AKT!$C$4:$E$324,3,FALSE)</f>
        <v>0942</v>
      </c>
    </row>
    <row r="161" spans="1:33">
      <c r="A161" s="84"/>
      <c r="B161" s="83" t="str">
        <f t="shared" si="22"/>
        <v/>
      </c>
      <c r="C161" s="84"/>
      <c r="D161" s="83" t="str">
        <f t="shared" si="23"/>
        <v/>
      </c>
      <c r="E161" s="85"/>
      <c r="F161" s="83" t="str">
        <f t="shared" si="24"/>
        <v/>
      </c>
      <c r="G161" s="83" t="str">
        <f t="shared" si="25"/>
        <v/>
      </c>
      <c r="H161" s="69"/>
      <c r="I161" s="69"/>
      <c r="J161" s="78">
        <f t="shared" si="26"/>
        <v>0</v>
      </c>
      <c r="K161" s="91"/>
      <c r="L161" s="92"/>
      <c r="M161" s="92"/>
      <c r="N161" s="91"/>
      <c r="O161" s="93"/>
      <c r="P161" s="67"/>
      <c r="R161" t="str">
        <f t="shared" si="27"/>
        <v/>
      </c>
      <c r="S161" t="str">
        <f t="shared" si="28"/>
        <v/>
      </c>
      <c r="T161" t="str">
        <f t="shared" si="29"/>
        <v/>
      </c>
      <c r="AD161" t="s">
        <v>1041</v>
      </c>
      <c r="AE161" t="s">
        <v>1364</v>
      </c>
      <c r="AF161" t="str">
        <f t="shared" si="30"/>
        <v>A679072</v>
      </c>
      <c r="AG161" t="str">
        <f>VLOOKUP(AF161,AKT!$C$4:$E$324,3,FALSE)</f>
        <v>0942</v>
      </c>
    </row>
    <row r="162" spans="1:33">
      <c r="A162" s="84"/>
      <c r="B162" s="83" t="str">
        <f t="shared" si="22"/>
        <v/>
      </c>
      <c r="C162" s="84"/>
      <c r="D162" s="83" t="str">
        <f t="shared" si="23"/>
        <v/>
      </c>
      <c r="E162" s="85"/>
      <c r="F162" s="83" t="str">
        <f t="shared" si="24"/>
        <v/>
      </c>
      <c r="G162" s="83" t="str">
        <f t="shared" si="25"/>
        <v/>
      </c>
      <c r="H162" s="69"/>
      <c r="I162" s="69"/>
      <c r="J162" s="78">
        <f t="shared" si="26"/>
        <v>0</v>
      </c>
      <c r="K162" s="91"/>
      <c r="L162" s="92"/>
      <c r="M162" s="92"/>
      <c r="N162" s="91"/>
      <c r="O162" s="93"/>
      <c r="P162" s="67"/>
      <c r="R162" t="str">
        <f t="shared" si="27"/>
        <v/>
      </c>
      <c r="S162" t="str">
        <f t="shared" si="28"/>
        <v/>
      </c>
      <c r="T162" t="str">
        <f t="shared" si="29"/>
        <v/>
      </c>
      <c r="AD162" t="s">
        <v>1365</v>
      </c>
      <c r="AE162" t="s">
        <v>1366</v>
      </c>
      <c r="AF162" t="str">
        <f t="shared" si="30"/>
        <v>A679072</v>
      </c>
      <c r="AG162" t="str">
        <f>VLOOKUP(AF162,AKT!$C$4:$E$324,3,FALSE)</f>
        <v>0942</v>
      </c>
    </row>
    <row r="163" spans="1:33">
      <c r="A163" s="84"/>
      <c r="B163" s="83" t="str">
        <f t="shared" si="22"/>
        <v/>
      </c>
      <c r="C163" s="84"/>
      <c r="D163" s="83" t="str">
        <f t="shared" si="23"/>
        <v/>
      </c>
      <c r="E163" s="85"/>
      <c r="F163" s="83" t="str">
        <f t="shared" si="24"/>
        <v/>
      </c>
      <c r="G163" s="83" t="str">
        <f t="shared" si="25"/>
        <v/>
      </c>
      <c r="H163" s="69"/>
      <c r="I163" s="69"/>
      <c r="J163" s="78">
        <f t="shared" si="26"/>
        <v>0</v>
      </c>
      <c r="K163" s="91"/>
      <c r="L163" s="92"/>
      <c r="M163" s="92"/>
      <c r="N163" s="91"/>
      <c r="O163" s="93"/>
      <c r="P163" s="67"/>
      <c r="R163" t="str">
        <f t="shared" si="27"/>
        <v/>
      </c>
      <c r="S163" t="str">
        <f t="shared" si="28"/>
        <v/>
      </c>
      <c r="T163" t="str">
        <f t="shared" si="29"/>
        <v/>
      </c>
      <c r="AD163" t="s">
        <v>1367</v>
      </c>
      <c r="AE163" t="s">
        <v>1368</v>
      </c>
      <c r="AF163" t="str">
        <f t="shared" si="30"/>
        <v>A679072</v>
      </c>
      <c r="AG163" t="str">
        <f>VLOOKUP(AF163,AKT!$C$4:$E$324,3,FALSE)</f>
        <v>0942</v>
      </c>
    </row>
    <row r="164" spans="1:33">
      <c r="A164" s="84"/>
      <c r="B164" s="83" t="str">
        <f t="shared" si="22"/>
        <v/>
      </c>
      <c r="C164" s="84"/>
      <c r="D164" s="83" t="str">
        <f t="shared" si="23"/>
        <v/>
      </c>
      <c r="E164" s="85"/>
      <c r="F164" s="83" t="str">
        <f t="shared" si="24"/>
        <v/>
      </c>
      <c r="G164" s="83" t="str">
        <f t="shared" si="25"/>
        <v/>
      </c>
      <c r="H164" s="69"/>
      <c r="I164" s="69"/>
      <c r="J164" s="78">
        <f t="shared" si="26"/>
        <v>0</v>
      </c>
      <c r="K164" s="91"/>
      <c r="L164" s="92"/>
      <c r="M164" s="92"/>
      <c r="N164" s="91"/>
      <c r="O164" s="93"/>
      <c r="P164" s="67"/>
      <c r="R164" t="str">
        <f t="shared" si="27"/>
        <v/>
      </c>
      <c r="S164" t="str">
        <f t="shared" si="28"/>
        <v/>
      </c>
      <c r="T164" t="str">
        <f t="shared" si="29"/>
        <v/>
      </c>
      <c r="AD164" t="s">
        <v>1369</v>
      </c>
      <c r="AE164" t="s">
        <v>1370</v>
      </c>
      <c r="AF164" t="str">
        <f t="shared" si="30"/>
        <v>A679072</v>
      </c>
      <c r="AG164" t="str">
        <f>VLOOKUP(AF164,AKT!$C$4:$E$324,3,FALSE)</f>
        <v>0942</v>
      </c>
    </row>
    <row r="165" spans="1:33">
      <c r="A165" s="84"/>
      <c r="B165" s="83" t="str">
        <f t="shared" si="22"/>
        <v/>
      </c>
      <c r="C165" s="84"/>
      <c r="D165" s="83" t="str">
        <f t="shared" si="23"/>
        <v/>
      </c>
      <c r="E165" s="85"/>
      <c r="F165" s="83" t="str">
        <f t="shared" si="24"/>
        <v/>
      </c>
      <c r="G165" s="83" t="str">
        <f t="shared" si="25"/>
        <v/>
      </c>
      <c r="H165" s="69"/>
      <c r="I165" s="69"/>
      <c r="J165" s="78">
        <f t="shared" si="26"/>
        <v>0</v>
      </c>
      <c r="K165" s="91"/>
      <c r="L165" s="92"/>
      <c r="M165" s="92"/>
      <c r="N165" s="91"/>
      <c r="O165" s="93"/>
      <c r="P165" s="67"/>
      <c r="R165" t="str">
        <f t="shared" si="27"/>
        <v/>
      </c>
      <c r="S165" t="str">
        <f t="shared" si="28"/>
        <v/>
      </c>
      <c r="T165" t="str">
        <f t="shared" si="29"/>
        <v/>
      </c>
      <c r="AD165" t="s">
        <v>1371</v>
      </c>
      <c r="AE165" t="s">
        <v>1372</v>
      </c>
      <c r="AF165" t="str">
        <f t="shared" si="30"/>
        <v>A679072</v>
      </c>
      <c r="AG165" t="str">
        <f>VLOOKUP(AF165,AKT!$C$4:$E$324,3,FALSE)</f>
        <v>0942</v>
      </c>
    </row>
    <row r="166" spans="1:33">
      <c r="A166" s="84"/>
      <c r="B166" s="83" t="str">
        <f t="shared" si="22"/>
        <v/>
      </c>
      <c r="C166" s="84"/>
      <c r="D166" s="83" t="str">
        <f t="shared" si="23"/>
        <v/>
      </c>
      <c r="E166" s="85"/>
      <c r="F166" s="83" t="str">
        <f t="shared" si="24"/>
        <v/>
      </c>
      <c r="G166" s="83" t="str">
        <f t="shared" si="25"/>
        <v/>
      </c>
      <c r="H166" s="69"/>
      <c r="I166" s="69"/>
      <c r="J166" s="78">
        <f t="shared" si="26"/>
        <v>0</v>
      </c>
      <c r="K166" s="91"/>
      <c r="L166" s="92"/>
      <c r="M166" s="92"/>
      <c r="N166" s="91"/>
      <c r="O166" s="93"/>
      <c r="P166" s="67"/>
      <c r="R166" t="str">
        <f t="shared" si="27"/>
        <v/>
      </c>
      <c r="S166" t="str">
        <f t="shared" si="28"/>
        <v/>
      </c>
      <c r="T166" t="str">
        <f t="shared" si="29"/>
        <v/>
      </c>
      <c r="AD166" t="s">
        <v>1373</v>
      </c>
      <c r="AE166" t="s">
        <v>1374</v>
      </c>
      <c r="AF166" t="str">
        <f t="shared" si="30"/>
        <v>A679072</v>
      </c>
      <c r="AG166" t="str">
        <f>VLOOKUP(AF166,AKT!$C$4:$E$324,3,FALSE)</f>
        <v>0942</v>
      </c>
    </row>
    <row r="167" spans="1:33">
      <c r="A167" s="84"/>
      <c r="B167" s="83" t="str">
        <f t="shared" si="22"/>
        <v/>
      </c>
      <c r="C167" s="84"/>
      <c r="D167" s="83" t="str">
        <f t="shared" si="23"/>
        <v/>
      </c>
      <c r="E167" s="85"/>
      <c r="F167" s="83" t="str">
        <f t="shared" si="24"/>
        <v/>
      </c>
      <c r="G167" s="83" t="str">
        <f t="shared" si="25"/>
        <v/>
      </c>
      <c r="H167" s="69"/>
      <c r="I167" s="69"/>
      <c r="J167" s="78">
        <f t="shared" si="26"/>
        <v>0</v>
      </c>
      <c r="K167" s="91"/>
      <c r="L167" s="92"/>
      <c r="M167" s="92"/>
      <c r="N167" s="91"/>
      <c r="O167" s="93"/>
      <c r="P167" s="67"/>
      <c r="R167" t="str">
        <f t="shared" si="27"/>
        <v/>
      </c>
      <c r="S167" t="str">
        <f t="shared" si="28"/>
        <v/>
      </c>
      <c r="T167" t="str">
        <f t="shared" si="29"/>
        <v/>
      </c>
      <c r="AD167" t="s">
        <v>1375</v>
      </c>
      <c r="AE167" t="s">
        <v>1376</v>
      </c>
      <c r="AF167" t="str">
        <f t="shared" si="30"/>
        <v>A679072</v>
      </c>
      <c r="AG167" t="str">
        <f>VLOOKUP(AF167,AKT!$C$4:$E$324,3,FALSE)</f>
        <v>0942</v>
      </c>
    </row>
    <row r="168" spans="1:33">
      <c r="A168" s="84"/>
      <c r="B168" s="83" t="str">
        <f t="shared" si="22"/>
        <v/>
      </c>
      <c r="C168" s="84"/>
      <c r="D168" s="83" t="str">
        <f t="shared" si="23"/>
        <v/>
      </c>
      <c r="E168" s="85"/>
      <c r="F168" s="83" t="str">
        <f t="shared" si="24"/>
        <v/>
      </c>
      <c r="G168" s="83" t="str">
        <f t="shared" si="25"/>
        <v/>
      </c>
      <c r="H168" s="69"/>
      <c r="I168" s="69"/>
      <c r="J168" s="78">
        <f t="shared" si="26"/>
        <v>0</v>
      </c>
      <c r="K168" s="91"/>
      <c r="L168" s="92"/>
      <c r="M168" s="92"/>
      <c r="N168" s="91"/>
      <c r="O168" s="93"/>
      <c r="P168" s="67"/>
      <c r="R168" t="str">
        <f t="shared" si="27"/>
        <v/>
      </c>
      <c r="S168" t="str">
        <f t="shared" si="28"/>
        <v/>
      </c>
      <c r="T168" t="str">
        <f t="shared" si="29"/>
        <v/>
      </c>
      <c r="AD168" t="s">
        <v>1377</v>
      </c>
      <c r="AE168" t="s">
        <v>1378</v>
      </c>
      <c r="AF168" t="str">
        <f t="shared" si="30"/>
        <v>A679072</v>
      </c>
      <c r="AG168" t="str">
        <f>VLOOKUP(AF168,AKT!$C$4:$E$324,3,FALSE)</f>
        <v>0942</v>
      </c>
    </row>
    <row r="169" spans="1:33">
      <c r="A169" s="84"/>
      <c r="B169" s="83" t="str">
        <f t="shared" si="22"/>
        <v/>
      </c>
      <c r="C169" s="84"/>
      <c r="D169" s="83" t="str">
        <f t="shared" si="23"/>
        <v/>
      </c>
      <c r="E169" s="85"/>
      <c r="F169" s="83" t="str">
        <f t="shared" si="24"/>
        <v/>
      </c>
      <c r="G169" s="83" t="str">
        <f t="shared" si="25"/>
        <v/>
      </c>
      <c r="H169" s="69"/>
      <c r="I169" s="69"/>
      <c r="J169" s="78">
        <f t="shared" si="26"/>
        <v>0</v>
      </c>
      <c r="K169" s="91"/>
      <c r="L169" s="92"/>
      <c r="M169" s="92"/>
      <c r="N169" s="91"/>
      <c r="O169" s="93"/>
      <c r="P169" s="67"/>
      <c r="R169" t="str">
        <f t="shared" si="27"/>
        <v/>
      </c>
      <c r="S169" t="str">
        <f t="shared" si="28"/>
        <v/>
      </c>
      <c r="T169" t="str">
        <f t="shared" si="29"/>
        <v/>
      </c>
      <c r="AD169" t="s">
        <v>1073</v>
      </c>
      <c r="AE169" t="s">
        <v>1379</v>
      </c>
      <c r="AF169" t="str">
        <f t="shared" si="30"/>
        <v>A679072</v>
      </c>
      <c r="AG169" t="str">
        <f>VLOOKUP(AF169,AKT!$C$4:$E$324,3,FALSE)</f>
        <v>0942</v>
      </c>
    </row>
    <row r="170" spans="1:33">
      <c r="A170" s="84"/>
      <c r="B170" s="83" t="str">
        <f t="shared" si="22"/>
        <v/>
      </c>
      <c r="C170" s="84"/>
      <c r="D170" s="83" t="str">
        <f t="shared" si="23"/>
        <v/>
      </c>
      <c r="E170" s="85"/>
      <c r="F170" s="83" t="str">
        <f t="shared" si="24"/>
        <v/>
      </c>
      <c r="G170" s="83" t="str">
        <f t="shared" si="25"/>
        <v/>
      </c>
      <c r="H170" s="69"/>
      <c r="I170" s="69"/>
      <c r="J170" s="78">
        <f t="shared" si="26"/>
        <v>0</v>
      </c>
      <c r="K170" s="91"/>
      <c r="L170" s="92"/>
      <c r="M170" s="92"/>
      <c r="N170" s="91"/>
      <c r="O170" s="93"/>
      <c r="P170" s="67"/>
      <c r="R170" t="str">
        <f t="shared" si="27"/>
        <v/>
      </c>
      <c r="S170" t="str">
        <f t="shared" si="28"/>
        <v/>
      </c>
      <c r="T170" t="str">
        <f t="shared" si="29"/>
        <v/>
      </c>
      <c r="AD170" t="s">
        <v>1380</v>
      </c>
      <c r="AE170" t="s">
        <v>1381</v>
      </c>
      <c r="AF170" t="str">
        <f t="shared" si="30"/>
        <v>A679072</v>
      </c>
      <c r="AG170" t="str">
        <f>VLOOKUP(AF170,AKT!$C$4:$E$324,3,FALSE)</f>
        <v>0942</v>
      </c>
    </row>
    <row r="171" spans="1:33">
      <c r="A171" s="84"/>
      <c r="B171" s="83" t="str">
        <f t="shared" si="22"/>
        <v/>
      </c>
      <c r="C171" s="84"/>
      <c r="D171" s="83" t="str">
        <f t="shared" si="23"/>
        <v/>
      </c>
      <c r="E171" s="85"/>
      <c r="F171" s="83" t="str">
        <f t="shared" si="24"/>
        <v/>
      </c>
      <c r="G171" s="83" t="str">
        <f t="shared" si="25"/>
        <v/>
      </c>
      <c r="H171" s="69"/>
      <c r="I171" s="69"/>
      <c r="J171" s="78">
        <f t="shared" si="26"/>
        <v>0</v>
      </c>
      <c r="K171" s="91"/>
      <c r="L171" s="92"/>
      <c r="M171" s="92"/>
      <c r="N171" s="91"/>
      <c r="O171" s="93"/>
      <c r="P171" s="67"/>
      <c r="R171" t="str">
        <f t="shared" si="27"/>
        <v/>
      </c>
      <c r="S171" t="str">
        <f t="shared" si="28"/>
        <v/>
      </c>
      <c r="T171" t="str">
        <f t="shared" si="29"/>
        <v/>
      </c>
      <c r="AD171" t="s">
        <v>1382</v>
      </c>
      <c r="AE171" t="s">
        <v>1383</v>
      </c>
      <c r="AF171" t="str">
        <f t="shared" si="30"/>
        <v>A679072</v>
      </c>
      <c r="AG171" t="str">
        <f>VLOOKUP(AF171,AKT!$C$4:$E$324,3,FALSE)</f>
        <v>0942</v>
      </c>
    </row>
    <row r="172" spans="1:33">
      <c r="A172" s="84"/>
      <c r="B172" s="83" t="str">
        <f t="shared" si="22"/>
        <v/>
      </c>
      <c r="C172" s="84"/>
      <c r="D172" s="83" t="str">
        <f t="shared" si="23"/>
        <v/>
      </c>
      <c r="E172" s="85"/>
      <c r="F172" s="83" t="str">
        <f t="shared" si="24"/>
        <v/>
      </c>
      <c r="G172" s="83" t="str">
        <f t="shared" si="25"/>
        <v/>
      </c>
      <c r="H172" s="69"/>
      <c r="I172" s="69"/>
      <c r="J172" s="78">
        <f t="shared" si="26"/>
        <v>0</v>
      </c>
      <c r="K172" s="91"/>
      <c r="L172" s="92"/>
      <c r="M172" s="92"/>
      <c r="N172" s="91"/>
      <c r="O172" s="93"/>
      <c r="P172" s="67"/>
      <c r="R172" t="str">
        <f t="shared" si="27"/>
        <v/>
      </c>
      <c r="S172" t="str">
        <f t="shared" si="28"/>
        <v/>
      </c>
      <c r="T172" t="str">
        <f t="shared" si="29"/>
        <v/>
      </c>
      <c r="AD172" t="s">
        <v>1384</v>
      </c>
      <c r="AE172" t="s">
        <v>1385</v>
      </c>
      <c r="AF172" t="str">
        <f t="shared" si="30"/>
        <v>A679072</v>
      </c>
      <c r="AG172" t="str">
        <f>VLOOKUP(AF172,AKT!$C$4:$E$324,3,FALSE)</f>
        <v>0942</v>
      </c>
    </row>
    <row r="173" spans="1:33">
      <c r="A173" s="84"/>
      <c r="B173" s="83" t="str">
        <f t="shared" si="22"/>
        <v/>
      </c>
      <c r="C173" s="84"/>
      <c r="D173" s="83" t="str">
        <f t="shared" si="23"/>
        <v/>
      </c>
      <c r="E173" s="85"/>
      <c r="F173" s="83" t="str">
        <f t="shared" si="24"/>
        <v/>
      </c>
      <c r="G173" s="83" t="str">
        <f t="shared" si="25"/>
        <v/>
      </c>
      <c r="H173" s="69"/>
      <c r="I173" s="69"/>
      <c r="J173" s="78">
        <f t="shared" si="26"/>
        <v>0</v>
      </c>
      <c r="K173" s="91"/>
      <c r="L173" s="92"/>
      <c r="M173" s="92"/>
      <c r="N173" s="91"/>
      <c r="O173" s="93"/>
      <c r="P173" s="67"/>
      <c r="R173" t="str">
        <f t="shared" si="27"/>
        <v/>
      </c>
      <c r="S173" t="str">
        <f t="shared" si="28"/>
        <v/>
      </c>
      <c r="T173" t="str">
        <f t="shared" si="29"/>
        <v/>
      </c>
      <c r="AD173" t="s">
        <v>1386</v>
      </c>
      <c r="AE173" t="s">
        <v>1387</v>
      </c>
      <c r="AF173" t="str">
        <f t="shared" si="30"/>
        <v>A679072</v>
      </c>
      <c r="AG173" t="str">
        <f>VLOOKUP(AF173,AKT!$C$4:$E$324,3,FALSE)</f>
        <v>0942</v>
      </c>
    </row>
    <row r="174" spans="1:33">
      <c r="A174" s="84"/>
      <c r="B174" s="83" t="str">
        <f t="shared" si="22"/>
        <v/>
      </c>
      <c r="C174" s="84"/>
      <c r="D174" s="83" t="str">
        <f t="shared" si="23"/>
        <v/>
      </c>
      <c r="E174" s="85"/>
      <c r="F174" s="83" t="str">
        <f t="shared" si="24"/>
        <v/>
      </c>
      <c r="G174" s="83" t="str">
        <f t="shared" si="25"/>
        <v/>
      </c>
      <c r="H174" s="69"/>
      <c r="I174" s="69"/>
      <c r="J174" s="78">
        <f t="shared" si="26"/>
        <v>0</v>
      </c>
      <c r="K174" s="91"/>
      <c r="L174" s="92"/>
      <c r="M174" s="92"/>
      <c r="N174" s="91"/>
      <c r="O174" s="93"/>
      <c r="P174" s="67"/>
      <c r="R174" t="str">
        <f t="shared" si="27"/>
        <v/>
      </c>
      <c r="S174" t="str">
        <f t="shared" si="28"/>
        <v/>
      </c>
      <c r="T174" t="str">
        <f t="shared" si="29"/>
        <v/>
      </c>
      <c r="AD174" t="s">
        <v>1388</v>
      </c>
      <c r="AE174" t="s">
        <v>1389</v>
      </c>
      <c r="AF174" t="str">
        <f t="shared" si="30"/>
        <v>A679072</v>
      </c>
      <c r="AG174" t="str">
        <f>VLOOKUP(AF174,AKT!$C$4:$E$324,3,FALSE)</f>
        <v>0942</v>
      </c>
    </row>
    <row r="175" spans="1:33">
      <c r="A175" s="84"/>
      <c r="B175" s="83" t="str">
        <f t="shared" si="22"/>
        <v/>
      </c>
      <c r="C175" s="84"/>
      <c r="D175" s="83" t="str">
        <f t="shared" si="23"/>
        <v/>
      </c>
      <c r="E175" s="85"/>
      <c r="F175" s="83" t="str">
        <f t="shared" si="24"/>
        <v/>
      </c>
      <c r="G175" s="83" t="str">
        <f t="shared" si="25"/>
        <v/>
      </c>
      <c r="H175" s="69"/>
      <c r="I175" s="69"/>
      <c r="J175" s="78">
        <f t="shared" si="26"/>
        <v>0</v>
      </c>
      <c r="K175" s="91"/>
      <c r="L175" s="92"/>
      <c r="M175" s="92"/>
      <c r="N175" s="91"/>
      <c r="O175" s="93"/>
      <c r="P175" s="67"/>
      <c r="R175" t="str">
        <f t="shared" si="27"/>
        <v/>
      </c>
      <c r="S175" t="str">
        <f t="shared" si="28"/>
        <v/>
      </c>
      <c r="T175" t="str">
        <f t="shared" si="29"/>
        <v/>
      </c>
      <c r="AD175" t="s">
        <v>1390</v>
      </c>
      <c r="AE175" t="s">
        <v>1391</v>
      </c>
      <c r="AF175" t="str">
        <f t="shared" si="30"/>
        <v>A679072</v>
      </c>
      <c r="AG175" t="str">
        <f>VLOOKUP(AF175,AKT!$C$4:$E$324,3,FALSE)</f>
        <v>0942</v>
      </c>
    </row>
    <row r="176" spans="1:33">
      <c r="A176" s="84"/>
      <c r="B176" s="83" t="str">
        <f t="shared" si="22"/>
        <v/>
      </c>
      <c r="C176" s="84"/>
      <c r="D176" s="83" t="str">
        <f t="shared" si="23"/>
        <v/>
      </c>
      <c r="E176" s="85"/>
      <c r="F176" s="83" t="str">
        <f t="shared" si="24"/>
        <v/>
      </c>
      <c r="G176" s="83" t="str">
        <f t="shared" si="25"/>
        <v/>
      </c>
      <c r="H176" s="69"/>
      <c r="I176" s="69"/>
      <c r="J176" s="78">
        <f t="shared" si="26"/>
        <v>0</v>
      </c>
      <c r="K176" s="91"/>
      <c r="L176" s="92"/>
      <c r="M176" s="92"/>
      <c r="N176" s="91"/>
      <c r="O176" s="93"/>
      <c r="P176" s="67"/>
      <c r="R176" t="str">
        <f t="shared" si="27"/>
        <v/>
      </c>
      <c r="S176" t="str">
        <f t="shared" si="28"/>
        <v/>
      </c>
      <c r="T176" t="str">
        <f t="shared" si="29"/>
        <v/>
      </c>
      <c r="AD176" t="s">
        <v>1392</v>
      </c>
      <c r="AE176" t="s">
        <v>1393</v>
      </c>
      <c r="AF176" t="str">
        <f t="shared" si="30"/>
        <v>A679072</v>
      </c>
      <c r="AG176" t="str">
        <f>VLOOKUP(AF176,AKT!$C$4:$E$324,3,FALSE)</f>
        <v>0942</v>
      </c>
    </row>
    <row r="177" spans="1:33">
      <c r="A177" s="84"/>
      <c r="B177" s="83" t="str">
        <f t="shared" si="22"/>
        <v/>
      </c>
      <c r="C177" s="84"/>
      <c r="D177" s="83" t="str">
        <f t="shared" si="23"/>
        <v/>
      </c>
      <c r="E177" s="85"/>
      <c r="F177" s="83" t="str">
        <f t="shared" si="24"/>
        <v/>
      </c>
      <c r="G177" s="83" t="str">
        <f t="shared" si="25"/>
        <v/>
      </c>
      <c r="H177" s="69"/>
      <c r="I177" s="69"/>
      <c r="J177" s="78">
        <f t="shared" si="26"/>
        <v>0</v>
      </c>
      <c r="K177" s="91"/>
      <c r="L177" s="92"/>
      <c r="M177" s="92"/>
      <c r="N177" s="91"/>
      <c r="O177" s="93"/>
      <c r="P177" s="67"/>
      <c r="R177" t="str">
        <f t="shared" si="27"/>
        <v/>
      </c>
      <c r="S177" t="str">
        <f t="shared" si="28"/>
        <v/>
      </c>
      <c r="T177" t="str">
        <f t="shared" si="29"/>
        <v/>
      </c>
      <c r="AD177" t="s">
        <v>1394</v>
      </c>
      <c r="AE177" t="s">
        <v>1395</v>
      </c>
      <c r="AF177" t="str">
        <f t="shared" si="30"/>
        <v>A679072</v>
      </c>
      <c r="AG177" t="str">
        <f>VLOOKUP(AF177,AKT!$C$4:$E$324,3,FALSE)</f>
        <v>0942</v>
      </c>
    </row>
    <row r="178" spans="1:33">
      <c r="A178" s="84"/>
      <c r="B178" s="83" t="str">
        <f t="shared" si="22"/>
        <v/>
      </c>
      <c r="C178" s="84"/>
      <c r="D178" s="83" t="str">
        <f t="shared" si="23"/>
        <v/>
      </c>
      <c r="E178" s="85"/>
      <c r="F178" s="83" t="str">
        <f t="shared" si="24"/>
        <v/>
      </c>
      <c r="G178" s="83" t="str">
        <f t="shared" si="25"/>
        <v/>
      </c>
      <c r="H178" s="69"/>
      <c r="I178" s="69"/>
      <c r="J178" s="78">
        <f t="shared" si="26"/>
        <v>0</v>
      </c>
      <c r="K178" s="91"/>
      <c r="L178" s="92"/>
      <c r="M178" s="92"/>
      <c r="N178" s="91"/>
      <c r="O178" s="93"/>
      <c r="P178" s="67"/>
      <c r="R178" t="str">
        <f t="shared" si="27"/>
        <v/>
      </c>
      <c r="S178" t="str">
        <f t="shared" si="28"/>
        <v/>
      </c>
      <c r="T178" t="str">
        <f t="shared" si="29"/>
        <v/>
      </c>
      <c r="AD178" t="s">
        <v>1396</v>
      </c>
      <c r="AE178" t="s">
        <v>1397</v>
      </c>
      <c r="AF178" t="str">
        <f t="shared" si="30"/>
        <v>A679072</v>
      </c>
      <c r="AG178" t="str">
        <f>VLOOKUP(AF178,AKT!$C$4:$E$324,3,FALSE)</f>
        <v>0942</v>
      </c>
    </row>
    <row r="179" spans="1:33">
      <c r="A179" s="84"/>
      <c r="B179" s="83" t="str">
        <f t="shared" si="22"/>
        <v/>
      </c>
      <c r="C179" s="84"/>
      <c r="D179" s="83" t="str">
        <f t="shared" si="23"/>
        <v/>
      </c>
      <c r="E179" s="85"/>
      <c r="F179" s="83" t="str">
        <f t="shared" si="24"/>
        <v/>
      </c>
      <c r="G179" s="83" t="str">
        <f t="shared" si="25"/>
        <v/>
      </c>
      <c r="H179" s="69"/>
      <c r="I179" s="69"/>
      <c r="J179" s="78">
        <f t="shared" si="26"/>
        <v>0</v>
      </c>
      <c r="K179" s="91"/>
      <c r="L179" s="92"/>
      <c r="M179" s="92"/>
      <c r="N179" s="91"/>
      <c r="O179" s="93"/>
      <c r="P179" s="67"/>
      <c r="R179" t="str">
        <f t="shared" si="27"/>
        <v/>
      </c>
      <c r="S179" t="str">
        <f t="shared" si="28"/>
        <v/>
      </c>
      <c r="T179" t="str">
        <f t="shared" si="29"/>
        <v/>
      </c>
      <c r="AD179" t="s">
        <v>1398</v>
      </c>
      <c r="AE179" t="s">
        <v>1399</v>
      </c>
      <c r="AF179" t="str">
        <f t="shared" si="30"/>
        <v>A679072</v>
      </c>
      <c r="AG179" t="str">
        <f>VLOOKUP(AF179,AKT!$C$4:$E$324,3,FALSE)</f>
        <v>0942</v>
      </c>
    </row>
    <row r="180" spans="1:33">
      <c r="A180" s="84"/>
      <c r="B180" s="83" t="str">
        <f t="shared" si="22"/>
        <v/>
      </c>
      <c r="C180" s="84"/>
      <c r="D180" s="83" t="str">
        <f t="shared" si="23"/>
        <v/>
      </c>
      <c r="E180" s="85"/>
      <c r="F180" s="83" t="str">
        <f t="shared" si="24"/>
        <v/>
      </c>
      <c r="G180" s="83" t="str">
        <f t="shared" si="25"/>
        <v/>
      </c>
      <c r="H180" s="69"/>
      <c r="I180" s="69"/>
      <c r="J180" s="78">
        <f t="shared" si="26"/>
        <v>0</v>
      </c>
      <c r="K180" s="91"/>
      <c r="L180" s="92"/>
      <c r="M180" s="92"/>
      <c r="N180" s="91"/>
      <c r="O180" s="93"/>
      <c r="P180" s="67"/>
      <c r="R180" t="str">
        <f t="shared" si="27"/>
        <v/>
      </c>
      <c r="S180" t="str">
        <f t="shared" si="28"/>
        <v/>
      </c>
      <c r="T180" t="str">
        <f t="shared" si="29"/>
        <v/>
      </c>
      <c r="AD180" t="s">
        <v>1400</v>
      </c>
      <c r="AE180" t="s">
        <v>1401</v>
      </c>
      <c r="AF180" t="str">
        <f t="shared" si="30"/>
        <v>A679072</v>
      </c>
      <c r="AG180" t="str">
        <f>VLOOKUP(AF180,AKT!$C$4:$E$324,3,FALSE)</f>
        <v>0942</v>
      </c>
    </row>
    <row r="181" spans="1:33">
      <c r="A181" s="84"/>
      <c r="B181" s="83" t="str">
        <f t="shared" si="22"/>
        <v/>
      </c>
      <c r="C181" s="84"/>
      <c r="D181" s="83" t="str">
        <f t="shared" si="23"/>
        <v/>
      </c>
      <c r="E181" s="85"/>
      <c r="F181" s="83" t="str">
        <f t="shared" si="24"/>
        <v/>
      </c>
      <c r="G181" s="83" t="str">
        <f t="shared" si="25"/>
        <v/>
      </c>
      <c r="H181" s="69"/>
      <c r="I181" s="69"/>
      <c r="J181" s="78">
        <f t="shared" si="26"/>
        <v>0</v>
      </c>
      <c r="K181" s="91"/>
      <c r="L181" s="92"/>
      <c r="M181" s="92"/>
      <c r="N181" s="91"/>
      <c r="O181" s="93"/>
      <c r="P181" s="67"/>
      <c r="R181" t="str">
        <f t="shared" si="27"/>
        <v/>
      </c>
      <c r="S181" t="str">
        <f t="shared" si="28"/>
        <v/>
      </c>
      <c r="T181" t="str">
        <f t="shared" si="29"/>
        <v/>
      </c>
      <c r="AD181" t="s">
        <v>1085</v>
      </c>
      <c r="AE181" t="s">
        <v>1402</v>
      </c>
      <c r="AF181" t="str">
        <f t="shared" si="30"/>
        <v>A679072</v>
      </c>
      <c r="AG181" t="str">
        <f>VLOOKUP(AF181,AKT!$C$4:$E$324,3,FALSE)</f>
        <v>0942</v>
      </c>
    </row>
    <row r="182" spans="1:33">
      <c r="A182" s="84"/>
      <c r="B182" s="83" t="str">
        <f t="shared" si="22"/>
        <v/>
      </c>
      <c r="C182" s="84"/>
      <c r="D182" s="83" t="str">
        <f t="shared" si="23"/>
        <v/>
      </c>
      <c r="E182" s="85"/>
      <c r="F182" s="83" t="str">
        <f t="shared" si="24"/>
        <v/>
      </c>
      <c r="G182" s="83" t="str">
        <f t="shared" si="25"/>
        <v/>
      </c>
      <c r="H182" s="69"/>
      <c r="I182" s="69"/>
      <c r="J182" s="78">
        <f t="shared" si="26"/>
        <v>0</v>
      </c>
      <c r="K182" s="91"/>
      <c r="L182" s="92"/>
      <c r="M182" s="92"/>
      <c r="N182" s="91"/>
      <c r="O182" s="93"/>
      <c r="P182" s="67"/>
      <c r="R182" t="str">
        <f t="shared" si="27"/>
        <v/>
      </c>
      <c r="S182" t="str">
        <f t="shared" si="28"/>
        <v/>
      </c>
      <c r="T182" t="str">
        <f t="shared" si="29"/>
        <v/>
      </c>
      <c r="AD182" t="s">
        <v>1403</v>
      </c>
      <c r="AE182" t="s">
        <v>1404</v>
      </c>
      <c r="AF182" t="str">
        <f t="shared" si="30"/>
        <v>A679072</v>
      </c>
      <c r="AG182" t="str">
        <f>VLOOKUP(AF182,AKT!$C$4:$E$324,3,FALSE)</f>
        <v>0942</v>
      </c>
    </row>
    <row r="183" spans="1:33">
      <c r="A183" s="84"/>
      <c r="B183" s="83" t="str">
        <f t="shared" si="22"/>
        <v/>
      </c>
      <c r="C183" s="84"/>
      <c r="D183" s="83" t="str">
        <f t="shared" si="23"/>
        <v/>
      </c>
      <c r="E183" s="85"/>
      <c r="F183" s="83" t="str">
        <f t="shared" si="24"/>
        <v/>
      </c>
      <c r="G183" s="83" t="str">
        <f t="shared" si="25"/>
        <v/>
      </c>
      <c r="H183" s="69"/>
      <c r="I183" s="69"/>
      <c r="J183" s="78">
        <f t="shared" si="26"/>
        <v>0</v>
      </c>
      <c r="K183" s="91"/>
      <c r="L183" s="92"/>
      <c r="M183" s="92"/>
      <c r="N183" s="91"/>
      <c r="O183" s="93"/>
      <c r="P183" s="67"/>
      <c r="R183" t="str">
        <f t="shared" si="27"/>
        <v/>
      </c>
      <c r="S183" t="str">
        <f t="shared" si="28"/>
        <v/>
      </c>
      <c r="T183" t="str">
        <f t="shared" si="29"/>
        <v/>
      </c>
      <c r="AD183" t="s">
        <v>1405</v>
      </c>
      <c r="AE183" t="s">
        <v>1406</v>
      </c>
      <c r="AF183" t="str">
        <f t="shared" si="30"/>
        <v>A679072</v>
      </c>
      <c r="AG183" t="str">
        <f>VLOOKUP(AF183,AKT!$C$4:$E$324,3,FALSE)</f>
        <v>0942</v>
      </c>
    </row>
    <row r="184" spans="1:33">
      <c r="A184" s="84"/>
      <c r="B184" s="83" t="str">
        <f t="shared" si="22"/>
        <v/>
      </c>
      <c r="C184" s="84"/>
      <c r="D184" s="83" t="str">
        <f t="shared" si="23"/>
        <v/>
      </c>
      <c r="E184" s="85"/>
      <c r="F184" s="83" t="str">
        <f t="shared" si="24"/>
        <v/>
      </c>
      <c r="G184" s="83" t="str">
        <f t="shared" si="25"/>
        <v/>
      </c>
      <c r="H184" s="69"/>
      <c r="I184" s="69"/>
      <c r="J184" s="78">
        <f t="shared" si="26"/>
        <v>0</v>
      </c>
      <c r="K184" s="91"/>
      <c r="L184" s="92"/>
      <c r="M184" s="92"/>
      <c r="N184" s="91"/>
      <c r="O184" s="93"/>
      <c r="P184" s="67"/>
      <c r="R184" t="str">
        <f t="shared" si="27"/>
        <v/>
      </c>
      <c r="S184" t="str">
        <f t="shared" si="28"/>
        <v/>
      </c>
      <c r="T184" t="str">
        <f t="shared" si="29"/>
        <v/>
      </c>
      <c r="AD184" t="s">
        <v>1407</v>
      </c>
      <c r="AE184" t="s">
        <v>1408</v>
      </c>
      <c r="AF184" t="str">
        <f t="shared" si="30"/>
        <v>A679072</v>
      </c>
      <c r="AG184" t="str">
        <f>VLOOKUP(AF184,AKT!$C$4:$E$324,3,FALSE)</f>
        <v>0942</v>
      </c>
    </row>
    <row r="185" spans="1:33">
      <c r="A185" s="84"/>
      <c r="B185" s="83" t="str">
        <f t="shared" si="22"/>
        <v/>
      </c>
      <c r="C185" s="84"/>
      <c r="D185" s="83" t="str">
        <f t="shared" si="23"/>
        <v/>
      </c>
      <c r="E185" s="85"/>
      <c r="F185" s="83" t="str">
        <f t="shared" si="24"/>
        <v/>
      </c>
      <c r="G185" s="83" t="str">
        <f t="shared" si="25"/>
        <v/>
      </c>
      <c r="H185" s="69"/>
      <c r="I185" s="69"/>
      <c r="J185" s="78">
        <f t="shared" si="26"/>
        <v>0</v>
      </c>
      <c r="K185" s="91"/>
      <c r="L185" s="92"/>
      <c r="M185" s="92"/>
      <c r="N185" s="91"/>
      <c r="O185" s="93"/>
      <c r="P185" s="67"/>
      <c r="R185" t="str">
        <f t="shared" si="27"/>
        <v/>
      </c>
      <c r="S185" t="str">
        <f t="shared" si="28"/>
        <v/>
      </c>
      <c r="T185" t="str">
        <f t="shared" si="29"/>
        <v/>
      </c>
      <c r="AD185" t="s">
        <v>1409</v>
      </c>
      <c r="AE185" t="s">
        <v>1410</v>
      </c>
      <c r="AF185" t="str">
        <f t="shared" si="30"/>
        <v>A679072</v>
      </c>
      <c r="AG185" t="str">
        <f>VLOOKUP(AF185,AKT!$C$4:$E$324,3,FALSE)</f>
        <v>0942</v>
      </c>
    </row>
    <row r="186" spans="1:33">
      <c r="A186" s="84"/>
      <c r="B186" s="83" t="str">
        <f t="shared" si="22"/>
        <v/>
      </c>
      <c r="C186" s="84"/>
      <c r="D186" s="83" t="str">
        <f t="shared" si="23"/>
        <v/>
      </c>
      <c r="E186" s="85"/>
      <c r="F186" s="83" t="str">
        <f t="shared" si="24"/>
        <v/>
      </c>
      <c r="G186" s="83" t="str">
        <f t="shared" si="25"/>
        <v/>
      </c>
      <c r="H186" s="69"/>
      <c r="I186" s="69"/>
      <c r="J186" s="78">
        <f t="shared" si="26"/>
        <v>0</v>
      </c>
      <c r="K186" s="91"/>
      <c r="L186" s="92"/>
      <c r="M186" s="92"/>
      <c r="N186" s="91"/>
      <c r="O186" s="93"/>
      <c r="P186" s="67"/>
      <c r="R186" t="str">
        <f t="shared" si="27"/>
        <v/>
      </c>
      <c r="S186" t="str">
        <f t="shared" si="28"/>
        <v/>
      </c>
      <c r="T186" t="str">
        <f t="shared" si="29"/>
        <v/>
      </c>
      <c r="AD186" t="s">
        <v>1411</v>
      </c>
      <c r="AE186" t="s">
        <v>1412</v>
      </c>
      <c r="AF186" t="str">
        <f t="shared" si="30"/>
        <v>A679072</v>
      </c>
      <c r="AG186" t="str">
        <f>VLOOKUP(AF186,AKT!$C$4:$E$324,3,FALSE)</f>
        <v>0942</v>
      </c>
    </row>
    <row r="187" spans="1:33">
      <c r="A187" s="84"/>
      <c r="B187" s="83" t="str">
        <f t="shared" si="22"/>
        <v/>
      </c>
      <c r="C187" s="84"/>
      <c r="D187" s="83" t="str">
        <f t="shared" si="23"/>
        <v/>
      </c>
      <c r="E187" s="85"/>
      <c r="F187" s="83" t="str">
        <f t="shared" si="24"/>
        <v/>
      </c>
      <c r="G187" s="83" t="str">
        <f t="shared" si="25"/>
        <v/>
      </c>
      <c r="H187" s="69"/>
      <c r="I187" s="69"/>
      <c r="J187" s="78">
        <f t="shared" si="26"/>
        <v>0</v>
      </c>
      <c r="K187" s="91"/>
      <c r="L187" s="92"/>
      <c r="M187" s="92"/>
      <c r="N187" s="91"/>
      <c r="O187" s="93"/>
      <c r="P187" s="67"/>
      <c r="R187" t="str">
        <f t="shared" si="27"/>
        <v/>
      </c>
      <c r="S187" t="str">
        <f t="shared" si="28"/>
        <v/>
      </c>
      <c r="T187" t="str">
        <f t="shared" si="29"/>
        <v/>
      </c>
      <c r="AD187" t="s">
        <v>1413</v>
      </c>
      <c r="AE187" t="s">
        <v>1414</v>
      </c>
      <c r="AF187" t="str">
        <f t="shared" si="30"/>
        <v>A679072</v>
      </c>
      <c r="AG187" t="str">
        <f>VLOOKUP(AF187,AKT!$C$4:$E$324,3,FALSE)</f>
        <v>0942</v>
      </c>
    </row>
    <row r="188" spans="1:33">
      <c r="A188" s="84"/>
      <c r="B188" s="83" t="str">
        <f t="shared" si="22"/>
        <v/>
      </c>
      <c r="C188" s="84"/>
      <c r="D188" s="83" t="str">
        <f t="shared" si="23"/>
        <v/>
      </c>
      <c r="E188" s="85"/>
      <c r="F188" s="83" t="str">
        <f t="shared" si="24"/>
        <v/>
      </c>
      <c r="G188" s="83" t="str">
        <f t="shared" si="25"/>
        <v/>
      </c>
      <c r="H188" s="69"/>
      <c r="I188" s="69"/>
      <c r="J188" s="78">
        <f t="shared" si="26"/>
        <v>0</v>
      </c>
      <c r="K188" s="91"/>
      <c r="L188" s="92"/>
      <c r="M188" s="92"/>
      <c r="N188" s="91"/>
      <c r="O188" s="93"/>
      <c r="P188" s="67"/>
      <c r="R188" t="str">
        <f t="shared" si="27"/>
        <v/>
      </c>
      <c r="S188" t="str">
        <f t="shared" si="28"/>
        <v/>
      </c>
      <c r="T188" t="str">
        <f t="shared" si="29"/>
        <v/>
      </c>
      <c r="AD188" t="s">
        <v>1415</v>
      </c>
      <c r="AE188" t="s">
        <v>1416</v>
      </c>
      <c r="AF188" t="str">
        <f t="shared" si="30"/>
        <v>A679072</v>
      </c>
      <c r="AG188" t="str">
        <f>VLOOKUP(AF188,AKT!$C$4:$E$324,3,FALSE)</f>
        <v>0942</v>
      </c>
    </row>
    <row r="189" spans="1:33">
      <c r="A189" s="84"/>
      <c r="B189" s="83" t="str">
        <f t="shared" si="22"/>
        <v/>
      </c>
      <c r="C189" s="84"/>
      <c r="D189" s="83" t="str">
        <f t="shared" si="23"/>
        <v/>
      </c>
      <c r="E189" s="85"/>
      <c r="F189" s="83" t="str">
        <f t="shared" si="24"/>
        <v/>
      </c>
      <c r="G189" s="83" t="str">
        <f t="shared" si="25"/>
        <v/>
      </c>
      <c r="H189" s="69"/>
      <c r="I189" s="69"/>
      <c r="J189" s="78">
        <f t="shared" si="26"/>
        <v>0</v>
      </c>
      <c r="K189" s="91"/>
      <c r="L189" s="92"/>
      <c r="M189" s="92"/>
      <c r="N189" s="91"/>
      <c r="O189" s="93"/>
      <c r="P189" s="67"/>
      <c r="R189" t="str">
        <f t="shared" si="27"/>
        <v/>
      </c>
      <c r="S189" t="str">
        <f t="shared" si="28"/>
        <v/>
      </c>
      <c r="T189" t="str">
        <f t="shared" si="29"/>
        <v/>
      </c>
      <c r="AD189" t="s">
        <v>1417</v>
      </c>
      <c r="AE189" t="s">
        <v>1418</v>
      </c>
      <c r="AF189" t="str">
        <f t="shared" si="30"/>
        <v>A679072</v>
      </c>
      <c r="AG189" t="str">
        <f>VLOOKUP(AF189,AKT!$C$4:$E$324,3,FALSE)</f>
        <v>0942</v>
      </c>
    </row>
    <row r="190" spans="1:33">
      <c r="A190" s="84"/>
      <c r="B190" s="83" t="str">
        <f t="shared" si="22"/>
        <v/>
      </c>
      <c r="C190" s="84"/>
      <c r="D190" s="83" t="str">
        <f t="shared" si="23"/>
        <v/>
      </c>
      <c r="E190" s="85"/>
      <c r="F190" s="83" t="str">
        <f t="shared" si="24"/>
        <v/>
      </c>
      <c r="G190" s="83" t="str">
        <f t="shared" si="25"/>
        <v/>
      </c>
      <c r="H190" s="69"/>
      <c r="I190" s="69"/>
      <c r="J190" s="78">
        <f t="shared" si="26"/>
        <v>0</v>
      </c>
      <c r="K190" s="91"/>
      <c r="L190" s="92"/>
      <c r="M190" s="92"/>
      <c r="N190" s="91"/>
      <c r="O190" s="93"/>
      <c r="P190" s="67"/>
      <c r="R190" t="str">
        <f t="shared" si="27"/>
        <v/>
      </c>
      <c r="S190" t="str">
        <f t="shared" si="28"/>
        <v/>
      </c>
      <c r="T190" t="str">
        <f t="shared" si="29"/>
        <v/>
      </c>
      <c r="AD190" t="s">
        <v>1419</v>
      </c>
      <c r="AE190" t="s">
        <v>1420</v>
      </c>
      <c r="AF190" t="str">
        <f t="shared" si="30"/>
        <v>A679072</v>
      </c>
      <c r="AG190" t="str">
        <f>VLOOKUP(AF190,AKT!$C$4:$E$324,3,FALSE)</f>
        <v>0942</v>
      </c>
    </row>
    <row r="191" spans="1:33">
      <c r="A191" s="84"/>
      <c r="B191" s="83" t="str">
        <f t="shared" si="22"/>
        <v/>
      </c>
      <c r="C191" s="84"/>
      <c r="D191" s="83" t="str">
        <f t="shared" si="23"/>
        <v/>
      </c>
      <c r="E191" s="85"/>
      <c r="F191" s="83" t="str">
        <f t="shared" si="24"/>
        <v/>
      </c>
      <c r="G191" s="83" t="str">
        <f t="shared" si="25"/>
        <v/>
      </c>
      <c r="H191" s="69"/>
      <c r="I191" s="69"/>
      <c r="J191" s="78">
        <f t="shared" si="26"/>
        <v>0</v>
      </c>
      <c r="K191" s="91"/>
      <c r="L191" s="92"/>
      <c r="M191" s="92"/>
      <c r="N191" s="91"/>
      <c r="O191" s="93"/>
      <c r="P191" s="67"/>
      <c r="R191" t="str">
        <f t="shared" si="27"/>
        <v/>
      </c>
      <c r="S191" t="str">
        <f t="shared" si="28"/>
        <v/>
      </c>
      <c r="T191" t="str">
        <f t="shared" si="29"/>
        <v/>
      </c>
      <c r="AD191" t="s">
        <v>1421</v>
      </c>
      <c r="AE191" t="s">
        <v>1422</v>
      </c>
      <c r="AF191" t="str">
        <f t="shared" si="30"/>
        <v>A679072</v>
      </c>
      <c r="AG191" t="str">
        <f>VLOOKUP(AF191,AKT!$C$4:$E$324,3,FALSE)</f>
        <v>0942</v>
      </c>
    </row>
    <row r="192" spans="1:33">
      <c r="A192" s="84"/>
      <c r="B192" s="83" t="str">
        <f t="shared" si="22"/>
        <v/>
      </c>
      <c r="C192" s="84"/>
      <c r="D192" s="83" t="str">
        <f t="shared" si="23"/>
        <v/>
      </c>
      <c r="E192" s="85"/>
      <c r="F192" s="83" t="str">
        <f t="shared" si="24"/>
        <v/>
      </c>
      <c r="G192" s="83" t="str">
        <f t="shared" si="25"/>
        <v/>
      </c>
      <c r="H192" s="69"/>
      <c r="I192" s="69"/>
      <c r="J192" s="78">
        <f t="shared" si="26"/>
        <v>0</v>
      </c>
      <c r="K192" s="91"/>
      <c r="L192" s="92"/>
      <c r="M192" s="92"/>
      <c r="N192" s="91"/>
      <c r="O192" s="93"/>
      <c r="P192" s="67"/>
      <c r="R192" t="str">
        <f t="shared" si="27"/>
        <v/>
      </c>
      <c r="S192" t="str">
        <f t="shared" si="28"/>
        <v/>
      </c>
      <c r="T192" t="str">
        <f t="shared" si="29"/>
        <v/>
      </c>
      <c r="AD192" t="s">
        <v>1059</v>
      </c>
      <c r="AE192" t="s">
        <v>1423</v>
      </c>
      <c r="AF192" t="str">
        <f t="shared" si="30"/>
        <v>A679072</v>
      </c>
      <c r="AG192" t="str">
        <f>VLOOKUP(AF192,AKT!$C$4:$E$324,3,FALSE)</f>
        <v>0942</v>
      </c>
    </row>
    <row r="193" spans="1:33">
      <c r="A193" s="84"/>
      <c r="B193" s="83" t="str">
        <f t="shared" si="22"/>
        <v/>
      </c>
      <c r="C193" s="84"/>
      <c r="D193" s="83" t="str">
        <f t="shared" si="23"/>
        <v/>
      </c>
      <c r="E193" s="85"/>
      <c r="F193" s="83" t="str">
        <f t="shared" si="24"/>
        <v/>
      </c>
      <c r="G193" s="83" t="str">
        <f t="shared" si="25"/>
        <v/>
      </c>
      <c r="H193" s="69"/>
      <c r="I193" s="69"/>
      <c r="J193" s="78">
        <f t="shared" si="26"/>
        <v>0</v>
      </c>
      <c r="K193" s="91"/>
      <c r="L193" s="92"/>
      <c r="M193" s="92"/>
      <c r="N193" s="91"/>
      <c r="O193" s="93"/>
      <c r="P193" s="67"/>
      <c r="R193" t="str">
        <f t="shared" si="27"/>
        <v/>
      </c>
      <c r="S193" t="str">
        <f t="shared" si="28"/>
        <v/>
      </c>
      <c r="T193" t="str">
        <f t="shared" si="29"/>
        <v/>
      </c>
      <c r="AD193" t="s">
        <v>1424</v>
      </c>
      <c r="AE193" t="s">
        <v>1425</v>
      </c>
      <c r="AF193" t="str">
        <f t="shared" si="30"/>
        <v>A679072</v>
      </c>
      <c r="AG193" t="str">
        <f>VLOOKUP(AF193,AKT!$C$4:$E$324,3,FALSE)</f>
        <v>0942</v>
      </c>
    </row>
    <row r="194" spans="1:33">
      <c r="A194" s="84"/>
      <c r="B194" s="83" t="str">
        <f t="shared" si="22"/>
        <v/>
      </c>
      <c r="C194" s="84"/>
      <c r="D194" s="83" t="str">
        <f t="shared" si="23"/>
        <v/>
      </c>
      <c r="E194" s="85"/>
      <c r="F194" s="83" t="str">
        <f t="shared" si="24"/>
        <v/>
      </c>
      <c r="G194" s="83" t="str">
        <f t="shared" si="25"/>
        <v/>
      </c>
      <c r="H194" s="69"/>
      <c r="I194" s="69"/>
      <c r="J194" s="78">
        <f t="shared" si="26"/>
        <v>0</v>
      </c>
      <c r="K194" s="91"/>
      <c r="L194" s="92"/>
      <c r="M194" s="92"/>
      <c r="N194" s="91"/>
      <c r="O194" s="93"/>
      <c r="P194" s="67"/>
      <c r="R194" t="str">
        <f t="shared" si="27"/>
        <v/>
      </c>
      <c r="S194" t="str">
        <f t="shared" si="28"/>
        <v/>
      </c>
      <c r="T194" t="str">
        <f t="shared" si="29"/>
        <v/>
      </c>
      <c r="AD194" t="s">
        <v>1426</v>
      </c>
      <c r="AE194" t="s">
        <v>1427</v>
      </c>
      <c r="AF194" t="str">
        <f t="shared" si="30"/>
        <v>A679072</v>
      </c>
      <c r="AG194" t="str">
        <f>VLOOKUP(AF194,AKT!$C$4:$E$324,3,FALSE)</f>
        <v>0942</v>
      </c>
    </row>
    <row r="195" spans="1:33">
      <c r="A195" s="84"/>
      <c r="B195" s="83" t="str">
        <f t="shared" ref="B195:B258" si="31">IFERROR(VLOOKUP(A195,$U$6:$V$23,2,FALSE),"")</f>
        <v/>
      </c>
      <c r="C195" s="84"/>
      <c r="D195" s="83" t="str">
        <f t="shared" si="23"/>
        <v/>
      </c>
      <c r="E195" s="85"/>
      <c r="F195" s="83" t="str">
        <f t="shared" si="24"/>
        <v/>
      </c>
      <c r="G195" s="83" t="str">
        <f t="shared" si="25"/>
        <v/>
      </c>
      <c r="H195" s="69"/>
      <c r="I195" s="69"/>
      <c r="J195" s="78">
        <f t="shared" si="26"/>
        <v>0</v>
      </c>
      <c r="K195" s="91"/>
      <c r="L195" s="92"/>
      <c r="M195" s="92"/>
      <c r="N195" s="91"/>
      <c r="O195" s="93"/>
      <c r="P195" s="67"/>
      <c r="R195" t="str">
        <f t="shared" si="27"/>
        <v/>
      </c>
      <c r="S195" t="str">
        <f t="shared" si="28"/>
        <v/>
      </c>
      <c r="T195" t="str">
        <f t="shared" si="29"/>
        <v/>
      </c>
      <c r="AD195" t="s">
        <v>1428</v>
      </c>
      <c r="AE195" t="s">
        <v>1429</v>
      </c>
      <c r="AF195" t="str">
        <f t="shared" si="30"/>
        <v>A679072</v>
      </c>
      <c r="AG195" t="str">
        <f>VLOOKUP(AF195,AKT!$C$4:$E$324,3,FALSE)</f>
        <v>0942</v>
      </c>
    </row>
    <row r="196" spans="1:33">
      <c r="A196" s="84"/>
      <c r="B196" s="83" t="str">
        <f t="shared" si="31"/>
        <v/>
      </c>
      <c r="C196" s="84"/>
      <c r="D196" s="83" t="str">
        <f t="shared" ref="D196:D259" si="32">IFERROR(VLOOKUP(C196,$X$5:$Z$129,2,FALSE),"")</f>
        <v/>
      </c>
      <c r="E196" s="85"/>
      <c r="F196" s="83" t="str">
        <f t="shared" ref="F196:F259" si="33">IFERROR(VLOOKUP(E196,$AD$6:$AE$1090,2,FALSE),"")</f>
        <v/>
      </c>
      <c r="G196" s="83" t="str">
        <f t="shared" ref="G196:G259" si="34">IFERROR(VLOOKUP(E196,$AD$6:$AG$1090,4,FALSE),"")</f>
        <v/>
      </c>
      <c r="H196" s="69"/>
      <c r="I196" s="69"/>
      <c r="J196" s="78">
        <f t="shared" ref="J196:J259" si="35">I196-H196</f>
        <v>0</v>
      </c>
      <c r="K196" s="91"/>
      <c r="L196" s="92"/>
      <c r="M196" s="92"/>
      <c r="N196" s="91"/>
      <c r="O196" s="93"/>
      <c r="P196" s="67"/>
      <c r="R196" t="str">
        <f t="shared" ref="R196:R259" si="36">LEFT(C196,3)</f>
        <v/>
      </c>
      <c r="S196" t="str">
        <f t="shared" ref="S196:S259" si="37">LEFT(C196,2)</f>
        <v/>
      </c>
      <c r="T196" t="str">
        <f t="shared" ref="T196:T259" si="38">MID(G196,2,2)</f>
        <v/>
      </c>
      <c r="AD196" t="s">
        <v>1430</v>
      </c>
      <c r="AE196" t="s">
        <v>1431</v>
      </c>
      <c r="AF196" t="str">
        <f t="shared" si="30"/>
        <v>A679072</v>
      </c>
      <c r="AG196" t="str">
        <f>VLOOKUP(AF196,AKT!$C$4:$E$324,3,FALSE)</f>
        <v>0942</v>
      </c>
    </row>
    <row r="197" spans="1:33">
      <c r="A197" s="84"/>
      <c r="B197" s="83" t="str">
        <f t="shared" si="31"/>
        <v/>
      </c>
      <c r="C197" s="84"/>
      <c r="D197" s="83" t="str">
        <f t="shared" si="32"/>
        <v/>
      </c>
      <c r="E197" s="85"/>
      <c r="F197" s="83" t="str">
        <f t="shared" si="33"/>
        <v/>
      </c>
      <c r="G197" s="83" t="str">
        <f t="shared" si="34"/>
        <v/>
      </c>
      <c r="H197" s="69"/>
      <c r="I197" s="69"/>
      <c r="J197" s="78">
        <f t="shared" si="35"/>
        <v>0</v>
      </c>
      <c r="K197" s="91"/>
      <c r="L197" s="92"/>
      <c r="M197" s="92"/>
      <c r="N197" s="91"/>
      <c r="O197" s="93"/>
      <c r="P197" s="67"/>
      <c r="R197" t="str">
        <f t="shared" si="36"/>
        <v/>
      </c>
      <c r="S197" t="str">
        <f t="shared" si="37"/>
        <v/>
      </c>
      <c r="T197" t="str">
        <f t="shared" si="38"/>
        <v/>
      </c>
      <c r="AD197" t="s">
        <v>1432</v>
      </c>
      <c r="AE197" t="s">
        <v>1433</v>
      </c>
      <c r="AF197" t="str">
        <f t="shared" si="30"/>
        <v>A679072</v>
      </c>
      <c r="AG197" t="str">
        <f>VLOOKUP(AF197,AKT!$C$4:$E$324,3,FALSE)</f>
        <v>0942</v>
      </c>
    </row>
    <row r="198" spans="1:33">
      <c r="A198" s="84"/>
      <c r="B198" s="83" t="str">
        <f t="shared" si="31"/>
        <v/>
      </c>
      <c r="C198" s="84"/>
      <c r="D198" s="83" t="str">
        <f t="shared" si="32"/>
        <v/>
      </c>
      <c r="E198" s="85"/>
      <c r="F198" s="83" t="str">
        <f t="shared" si="33"/>
        <v/>
      </c>
      <c r="G198" s="83" t="str">
        <f t="shared" si="34"/>
        <v/>
      </c>
      <c r="H198" s="69"/>
      <c r="I198" s="69"/>
      <c r="J198" s="78">
        <f t="shared" si="35"/>
        <v>0</v>
      </c>
      <c r="K198" s="91"/>
      <c r="L198" s="92"/>
      <c r="M198" s="92"/>
      <c r="N198" s="91"/>
      <c r="O198" s="93"/>
      <c r="P198" s="67"/>
      <c r="R198" t="str">
        <f t="shared" si="36"/>
        <v/>
      </c>
      <c r="S198" t="str">
        <f t="shared" si="37"/>
        <v/>
      </c>
      <c r="T198" t="str">
        <f t="shared" si="38"/>
        <v/>
      </c>
      <c r="AD198" t="s">
        <v>1434</v>
      </c>
      <c r="AE198" t="s">
        <v>1435</v>
      </c>
      <c r="AF198" t="str">
        <f t="shared" si="30"/>
        <v>A679072</v>
      </c>
      <c r="AG198" t="str">
        <f>VLOOKUP(AF198,AKT!$C$4:$E$324,3,FALSE)</f>
        <v>0942</v>
      </c>
    </row>
    <row r="199" spans="1:33">
      <c r="A199" s="84"/>
      <c r="B199" s="83" t="str">
        <f t="shared" si="31"/>
        <v/>
      </c>
      <c r="C199" s="84"/>
      <c r="D199" s="83" t="str">
        <f t="shared" si="32"/>
        <v/>
      </c>
      <c r="E199" s="85"/>
      <c r="F199" s="83" t="str">
        <f t="shared" si="33"/>
        <v/>
      </c>
      <c r="G199" s="83" t="str">
        <f t="shared" si="34"/>
        <v/>
      </c>
      <c r="H199" s="69"/>
      <c r="I199" s="69"/>
      <c r="J199" s="78">
        <f t="shared" si="35"/>
        <v>0</v>
      </c>
      <c r="K199" s="91"/>
      <c r="L199" s="92"/>
      <c r="M199" s="92"/>
      <c r="N199" s="91"/>
      <c r="O199" s="93"/>
      <c r="P199" s="67"/>
      <c r="R199" t="str">
        <f t="shared" si="36"/>
        <v/>
      </c>
      <c r="S199" t="str">
        <f t="shared" si="37"/>
        <v/>
      </c>
      <c r="T199" t="str">
        <f t="shared" si="38"/>
        <v/>
      </c>
      <c r="AD199" t="s">
        <v>1436</v>
      </c>
      <c r="AE199" t="s">
        <v>1437</v>
      </c>
      <c r="AF199" t="str">
        <f t="shared" si="30"/>
        <v>A679072</v>
      </c>
      <c r="AG199" t="str">
        <f>VLOOKUP(AF199,AKT!$C$4:$E$324,3,FALSE)</f>
        <v>0942</v>
      </c>
    </row>
    <row r="200" spans="1:33">
      <c r="A200" s="84"/>
      <c r="B200" s="83" t="str">
        <f t="shared" si="31"/>
        <v/>
      </c>
      <c r="C200" s="84"/>
      <c r="D200" s="83" t="str">
        <f t="shared" si="32"/>
        <v/>
      </c>
      <c r="E200" s="85"/>
      <c r="F200" s="83" t="str">
        <f t="shared" si="33"/>
        <v/>
      </c>
      <c r="G200" s="83" t="str">
        <f t="shared" si="34"/>
        <v/>
      </c>
      <c r="H200" s="69"/>
      <c r="I200" s="69"/>
      <c r="J200" s="78">
        <f t="shared" si="35"/>
        <v>0</v>
      </c>
      <c r="K200" s="91"/>
      <c r="L200" s="92"/>
      <c r="M200" s="92"/>
      <c r="N200" s="91"/>
      <c r="O200" s="93"/>
      <c r="P200" s="67"/>
      <c r="R200" t="str">
        <f t="shared" si="36"/>
        <v/>
      </c>
      <c r="S200" t="str">
        <f t="shared" si="37"/>
        <v/>
      </c>
      <c r="T200" t="str">
        <f t="shared" si="38"/>
        <v/>
      </c>
      <c r="AD200" t="s">
        <v>1438</v>
      </c>
      <c r="AE200" t="s">
        <v>1439</v>
      </c>
      <c r="AF200" t="str">
        <f t="shared" ref="AF200:AF263" si="39">LEFT(AD200,7)</f>
        <v>A679072</v>
      </c>
      <c r="AG200" t="str">
        <f>VLOOKUP(AF200,AKT!$C$4:$E$324,3,FALSE)</f>
        <v>0942</v>
      </c>
    </row>
    <row r="201" spans="1:33">
      <c r="A201" s="84"/>
      <c r="B201" s="83" t="str">
        <f t="shared" si="31"/>
        <v/>
      </c>
      <c r="C201" s="84"/>
      <c r="D201" s="83" t="str">
        <f t="shared" si="32"/>
        <v/>
      </c>
      <c r="E201" s="85"/>
      <c r="F201" s="83" t="str">
        <f t="shared" si="33"/>
        <v/>
      </c>
      <c r="G201" s="83" t="str">
        <f t="shared" si="34"/>
        <v/>
      </c>
      <c r="H201" s="69"/>
      <c r="I201" s="69"/>
      <c r="J201" s="78">
        <f t="shared" si="35"/>
        <v>0</v>
      </c>
      <c r="K201" s="91"/>
      <c r="L201" s="92"/>
      <c r="M201" s="92"/>
      <c r="N201" s="91"/>
      <c r="O201" s="93"/>
      <c r="P201" s="67"/>
      <c r="R201" t="str">
        <f t="shared" si="36"/>
        <v/>
      </c>
      <c r="S201" t="str">
        <f t="shared" si="37"/>
        <v/>
      </c>
      <c r="T201" t="str">
        <f t="shared" si="38"/>
        <v/>
      </c>
      <c r="AD201" t="s">
        <v>1440</v>
      </c>
      <c r="AE201" t="s">
        <v>1441</v>
      </c>
      <c r="AF201" t="str">
        <f t="shared" si="39"/>
        <v>A679072</v>
      </c>
      <c r="AG201" t="str">
        <f>VLOOKUP(AF201,AKT!$C$4:$E$324,3,FALSE)</f>
        <v>0942</v>
      </c>
    </row>
    <row r="202" spans="1:33">
      <c r="A202" s="84"/>
      <c r="B202" s="83" t="str">
        <f t="shared" si="31"/>
        <v/>
      </c>
      <c r="C202" s="84"/>
      <c r="D202" s="83" t="str">
        <f t="shared" si="32"/>
        <v/>
      </c>
      <c r="E202" s="85"/>
      <c r="F202" s="83" t="str">
        <f t="shared" si="33"/>
        <v/>
      </c>
      <c r="G202" s="83" t="str">
        <f t="shared" si="34"/>
        <v/>
      </c>
      <c r="H202" s="69"/>
      <c r="I202" s="69"/>
      <c r="J202" s="78">
        <f t="shared" si="35"/>
        <v>0</v>
      </c>
      <c r="K202" s="91"/>
      <c r="L202" s="92"/>
      <c r="M202" s="92"/>
      <c r="N202" s="91"/>
      <c r="O202" s="93"/>
      <c r="P202" s="67"/>
      <c r="R202" t="str">
        <f t="shared" si="36"/>
        <v/>
      </c>
      <c r="S202" t="str">
        <f t="shared" si="37"/>
        <v/>
      </c>
      <c r="T202" t="str">
        <f t="shared" si="38"/>
        <v/>
      </c>
      <c r="AD202" t="s">
        <v>1442</v>
      </c>
      <c r="AE202" t="s">
        <v>1443</v>
      </c>
      <c r="AF202" t="str">
        <f t="shared" si="39"/>
        <v>A679072</v>
      </c>
      <c r="AG202" t="str">
        <f>VLOOKUP(AF202,AKT!$C$4:$E$324,3,FALSE)</f>
        <v>0942</v>
      </c>
    </row>
    <row r="203" spans="1:33">
      <c r="A203" s="84"/>
      <c r="B203" s="83" t="str">
        <f t="shared" si="31"/>
        <v/>
      </c>
      <c r="C203" s="84"/>
      <c r="D203" s="83" t="str">
        <f t="shared" si="32"/>
        <v/>
      </c>
      <c r="E203" s="85"/>
      <c r="F203" s="83" t="str">
        <f t="shared" si="33"/>
        <v/>
      </c>
      <c r="G203" s="83" t="str">
        <f t="shared" si="34"/>
        <v/>
      </c>
      <c r="H203" s="69"/>
      <c r="I203" s="69"/>
      <c r="J203" s="78">
        <f t="shared" si="35"/>
        <v>0</v>
      </c>
      <c r="K203" s="91"/>
      <c r="L203" s="92"/>
      <c r="M203" s="92"/>
      <c r="N203" s="91"/>
      <c r="O203" s="93"/>
      <c r="P203" s="67"/>
      <c r="R203" t="str">
        <f t="shared" si="36"/>
        <v/>
      </c>
      <c r="S203" t="str">
        <f t="shared" si="37"/>
        <v/>
      </c>
      <c r="T203" t="str">
        <f t="shared" si="38"/>
        <v/>
      </c>
      <c r="AD203" t="s">
        <v>1444</v>
      </c>
      <c r="AE203" t="s">
        <v>1445</v>
      </c>
      <c r="AF203" t="str">
        <f t="shared" si="39"/>
        <v>A679072</v>
      </c>
      <c r="AG203" t="str">
        <f>VLOOKUP(AF203,AKT!$C$4:$E$324,3,FALSE)</f>
        <v>0942</v>
      </c>
    </row>
    <row r="204" spans="1:33">
      <c r="A204" s="84"/>
      <c r="B204" s="83" t="str">
        <f t="shared" si="31"/>
        <v/>
      </c>
      <c r="C204" s="84"/>
      <c r="D204" s="83" t="str">
        <f t="shared" si="32"/>
        <v/>
      </c>
      <c r="E204" s="85"/>
      <c r="F204" s="83" t="str">
        <f t="shared" si="33"/>
        <v/>
      </c>
      <c r="G204" s="83" t="str">
        <f t="shared" si="34"/>
        <v/>
      </c>
      <c r="H204" s="69"/>
      <c r="I204" s="69"/>
      <c r="J204" s="78">
        <f t="shared" si="35"/>
        <v>0</v>
      </c>
      <c r="K204" s="91"/>
      <c r="L204" s="92"/>
      <c r="M204" s="92"/>
      <c r="N204" s="91"/>
      <c r="O204" s="93"/>
      <c r="P204" s="67"/>
      <c r="R204" t="str">
        <f t="shared" si="36"/>
        <v/>
      </c>
      <c r="S204" t="str">
        <f t="shared" si="37"/>
        <v/>
      </c>
      <c r="T204" t="str">
        <f t="shared" si="38"/>
        <v/>
      </c>
      <c r="AD204" t="s">
        <v>1446</v>
      </c>
      <c r="AE204" t="s">
        <v>1447</v>
      </c>
      <c r="AF204" t="str">
        <f t="shared" si="39"/>
        <v>A679072</v>
      </c>
      <c r="AG204" t="str">
        <f>VLOOKUP(AF204,AKT!$C$4:$E$324,3,FALSE)</f>
        <v>0942</v>
      </c>
    </row>
    <row r="205" spans="1:33">
      <c r="A205" s="84"/>
      <c r="B205" s="83" t="str">
        <f t="shared" si="31"/>
        <v/>
      </c>
      <c r="C205" s="84"/>
      <c r="D205" s="83" t="str">
        <f t="shared" si="32"/>
        <v/>
      </c>
      <c r="E205" s="85"/>
      <c r="F205" s="83" t="str">
        <f t="shared" si="33"/>
        <v/>
      </c>
      <c r="G205" s="83" t="str">
        <f t="shared" si="34"/>
        <v/>
      </c>
      <c r="H205" s="69"/>
      <c r="I205" s="69"/>
      <c r="J205" s="78">
        <f t="shared" si="35"/>
        <v>0</v>
      </c>
      <c r="K205" s="91"/>
      <c r="L205" s="92"/>
      <c r="M205" s="92"/>
      <c r="N205" s="91"/>
      <c r="O205" s="93"/>
      <c r="P205" s="67"/>
      <c r="R205" t="str">
        <f t="shared" si="36"/>
        <v/>
      </c>
      <c r="S205" t="str">
        <f t="shared" si="37"/>
        <v/>
      </c>
      <c r="T205" t="str">
        <f t="shared" si="38"/>
        <v/>
      </c>
      <c r="AD205" t="s">
        <v>1448</v>
      </c>
      <c r="AE205" t="s">
        <v>1449</v>
      </c>
      <c r="AF205" t="str">
        <f t="shared" si="39"/>
        <v>A679072</v>
      </c>
      <c r="AG205" t="str">
        <f>VLOOKUP(AF205,AKT!$C$4:$E$324,3,FALSE)</f>
        <v>0942</v>
      </c>
    </row>
    <row r="206" spans="1:33">
      <c r="A206" s="84"/>
      <c r="B206" s="83" t="str">
        <f t="shared" si="31"/>
        <v/>
      </c>
      <c r="C206" s="84"/>
      <c r="D206" s="83" t="str">
        <f t="shared" si="32"/>
        <v/>
      </c>
      <c r="E206" s="85"/>
      <c r="F206" s="83" t="str">
        <f t="shared" si="33"/>
        <v/>
      </c>
      <c r="G206" s="83" t="str">
        <f t="shared" si="34"/>
        <v/>
      </c>
      <c r="H206" s="69"/>
      <c r="I206" s="69"/>
      <c r="J206" s="78">
        <f t="shared" si="35"/>
        <v>0</v>
      </c>
      <c r="K206" s="91"/>
      <c r="L206" s="92"/>
      <c r="M206" s="92"/>
      <c r="N206" s="91"/>
      <c r="O206" s="93"/>
      <c r="P206" s="67"/>
      <c r="R206" t="str">
        <f t="shared" si="36"/>
        <v/>
      </c>
      <c r="S206" t="str">
        <f t="shared" si="37"/>
        <v/>
      </c>
      <c r="T206" t="str">
        <f t="shared" si="38"/>
        <v/>
      </c>
      <c r="AD206" t="s">
        <v>1450</v>
      </c>
      <c r="AE206" t="s">
        <v>1451</v>
      </c>
      <c r="AF206" t="str">
        <f t="shared" si="39"/>
        <v>A679072</v>
      </c>
      <c r="AG206" t="str">
        <f>VLOOKUP(AF206,AKT!$C$4:$E$324,3,FALSE)</f>
        <v>0942</v>
      </c>
    </row>
    <row r="207" spans="1:33">
      <c r="A207" s="84"/>
      <c r="B207" s="83" t="str">
        <f t="shared" si="31"/>
        <v/>
      </c>
      <c r="C207" s="84"/>
      <c r="D207" s="83" t="str">
        <f t="shared" si="32"/>
        <v/>
      </c>
      <c r="E207" s="85"/>
      <c r="F207" s="83" t="str">
        <f t="shared" si="33"/>
        <v/>
      </c>
      <c r="G207" s="83" t="str">
        <f t="shared" si="34"/>
        <v/>
      </c>
      <c r="H207" s="69"/>
      <c r="I207" s="69"/>
      <c r="J207" s="78">
        <f t="shared" si="35"/>
        <v>0</v>
      </c>
      <c r="K207" s="91"/>
      <c r="L207" s="92"/>
      <c r="M207" s="92"/>
      <c r="N207" s="91"/>
      <c r="O207" s="93"/>
      <c r="P207" s="67"/>
      <c r="R207" t="str">
        <f t="shared" si="36"/>
        <v/>
      </c>
      <c r="S207" t="str">
        <f t="shared" si="37"/>
        <v/>
      </c>
      <c r="T207" t="str">
        <f t="shared" si="38"/>
        <v/>
      </c>
      <c r="AD207" t="s">
        <v>1452</v>
      </c>
      <c r="AE207" t="s">
        <v>1453</v>
      </c>
      <c r="AF207" t="str">
        <f t="shared" si="39"/>
        <v>A679072</v>
      </c>
      <c r="AG207" t="str">
        <f>VLOOKUP(AF207,AKT!$C$4:$E$324,3,FALSE)</f>
        <v>0942</v>
      </c>
    </row>
    <row r="208" spans="1:33">
      <c r="A208" s="84"/>
      <c r="B208" s="83" t="str">
        <f t="shared" si="31"/>
        <v/>
      </c>
      <c r="C208" s="84"/>
      <c r="D208" s="83" t="str">
        <f t="shared" si="32"/>
        <v/>
      </c>
      <c r="E208" s="85"/>
      <c r="F208" s="83" t="str">
        <f t="shared" si="33"/>
        <v/>
      </c>
      <c r="G208" s="83" t="str">
        <f t="shared" si="34"/>
        <v/>
      </c>
      <c r="H208" s="69"/>
      <c r="I208" s="69"/>
      <c r="J208" s="78">
        <f t="shared" si="35"/>
        <v>0</v>
      </c>
      <c r="K208" s="91"/>
      <c r="L208" s="92"/>
      <c r="M208" s="92"/>
      <c r="N208" s="91"/>
      <c r="O208" s="93"/>
      <c r="P208" s="67"/>
      <c r="R208" t="str">
        <f t="shared" si="36"/>
        <v/>
      </c>
      <c r="S208" t="str">
        <f t="shared" si="37"/>
        <v/>
      </c>
      <c r="T208" t="str">
        <f t="shared" si="38"/>
        <v/>
      </c>
      <c r="AD208" t="s">
        <v>1454</v>
      </c>
      <c r="AE208" t="s">
        <v>1455</v>
      </c>
      <c r="AF208" t="str">
        <f t="shared" si="39"/>
        <v>A679072</v>
      </c>
      <c r="AG208" t="str">
        <f>VLOOKUP(AF208,AKT!$C$4:$E$324,3,FALSE)</f>
        <v>0942</v>
      </c>
    </row>
    <row r="209" spans="1:33">
      <c r="A209" s="84"/>
      <c r="B209" s="83" t="str">
        <f t="shared" si="31"/>
        <v/>
      </c>
      <c r="C209" s="84"/>
      <c r="D209" s="83" t="str">
        <f t="shared" si="32"/>
        <v/>
      </c>
      <c r="E209" s="85"/>
      <c r="F209" s="83" t="str">
        <f t="shared" si="33"/>
        <v/>
      </c>
      <c r="G209" s="83" t="str">
        <f t="shared" si="34"/>
        <v/>
      </c>
      <c r="H209" s="69"/>
      <c r="I209" s="69"/>
      <c r="J209" s="78">
        <f t="shared" si="35"/>
        <v>0</v>
      </c>
      <c r="K209" s="91"/>
      <c r="L209" s="92"/>
      <c r="M209" s="92"/>
      <c r="N209" s="91"/>
      <c r="O209" s="93"/>
      <c r="P209" s="67"/>
      <c r="R209" t="str">
        <f t="shared" si="36"/>
        <v/>
      </c>
      <c r="S209" t="str">
        <f t="shared" si="37"/>
        <v/>
      </c>
      <c r="T209" t="str">
        <f t="shared" si="38"/>
        <v/>
      </c>
      <c r="AD209" t="s">
        <v>1456</v>
      </c>
      <c r="AE209" t="s">
        <v>1457</v>
      </c>
      <c r="AF209" t="str">
        <f t="shared" si="39"/>
        <v>A679072</v>
      </c>
      <c r="AG209" t="str">
        <f>VLOOKUP(AF209,AKT!$C$4:$E$324,3,FALSE)</f>
        <v>0942</v>
      </c>
    </row>
    <row r="210" spans="1:33">
      <c r="A210" s="84"/>
      <c r="B210" s="83" t="str">
        <f t="shared" si="31"/>
        <v/>
      </c>
      <c r="C210" s="84"/>
      <c r="D210" s="83" t="str">
        <f t="shared" si="32"/>
        <v/>
      </c>
      <c r="E210" s="85"/>
      <c r="F210" s="83" t="str">
        <f t="shared" si="33"/>
        <v/>
      </c>
      <c r="G210" s="83" t="str">
        <f t="shared" si="34"/>
        <v/>
      </c>
      <c r="H210" s="69"/>
      <c r="I210" s="69"/>
      <c r="J210" s="78">
        <f t="shared" si="35"/>
        <v>0</v>
      </c>
      <c r="K210" s="91"/>
      <c r="L210" s="92"/>
      <c r="M210" s="92"/>
      <c r="N210" s="91"/>
      <c r="O210" s="93"/>
      <c r="P210" s="67"/>
      <c r="R210" t="str">
        <f t="shared" si="36"/>
        <v/>
      </c>
      <c r="S210" t="str">
        <f t="shared" si="37"/>
        <v/>
      </c>
      <c r="T210" t="str">
        <f t="shared" si="38"/>
        <v/>
      </c>
      <c r="AD210" t="s">
        <v>1458</v>
      </c>
      <c r="AE210" t="s">
        <v>1459</v>
      </c>
      <c r="AF210" t="str">
        <f t="shared" si="39"/>
        <v>A679072</v>
      </c>
      <c r="AG210" t="str">
        <f>VLOOKUP(AF210,AKT!$C$4:$E$324,3,FALSE)</f>
        <v>0942</v>
      </c>
    </row>
    <row r="211" spans="1:33">
      <c r="A211" s="84"/>
      <c r="B211" s="83" t="str">
        <f t="shared" si="31"/>
        <v/>
      </c>
      <c r="C211" s="84"/>
      <c r="D211" s="83" t="str">
        <f t="shared" si="32"/>
        <v/>
      </c>
      <c r="E211" s="85"/>
      <c r="F211" s="83" t="str">
        <f t="shared" si="33"/>
        <v/>
      </c>
      <c r="G211" s="83" t="str">
        <f t="shared" si="34"/>
        <v/>
      </c>
      <c r="H211" s="69"/>
      <c r="I211" s="69"/>
      <c r="J211" s="78">
        <f t="shared" si="35"/>
        <v>0</v>
      </c>
      <c r="K211" s="91"/>
      <c r="L211" s="92"/>
      <c r="M211" s="92"/>
      <c r="N211" s="91"/>
      <c r="O211" s="93"/>
      <c r="P211" s="67"/>
      <c r="R211" t="str">
        <f t="shared" si="36"/>
        <v/>
      </c>
      <c r="S211" t="str">
        <f t="shared" si="37"/>
        <v/>
      </c>
      <c r="T211" t="str">
        <f t="shared" si="38"/>
        <v/>
      </c>
      <c r="AD211" t="s">
        <v>1460</v>
      </c>
      <c r="AE211" t="s">
        <v>1461</v>
      </c>
      <c r="AF211" t="str">
        <f t="shared" si="39"/>
        <v>A679072</v>
      </c>
      <c r="AG211" t="str">
        <f>VLOOKUP(AF211,AKT!$C$4:$E$324,3,FALSE)</f>
        <v>0942</v>
      </c>
    </row>
    <row r="212" spans="1:33">
      <c r="A212" s="84"/>
      <c r="B212" s="83" t="str">
        <f t="shared" si="31"/>
        <v/>
      </c>
      <c r="C212" s="84"/>
      <c r="D212" s="83" t="str">
        <f t="shared" si="32"/>
        <v/>
      </c>
      <c r="E212" s="85"/>
      <c r="F212" s="83" t="str">
        <f t="shared" si="33"/>
        <v/>
      </c>
      <c r="G212" s="83" t="str">
        <f t="shared" si="34"/>
        <v/>
      </c>
      <c r="H212" s="69"/>
      <c r="I212" s="69"/>
      <c r="J212" s="78">
        <f t="shared" si="35"/>
        <v>0</v>
      </c>
      <c r="K212" s="91"/>
      <c r="L212" s="92"/>
      <c r="M212" s="92"/>
      <c r="N212" s="91"/>
      <c r="O212" s="93"/>
      <c r="P212" s="67"/>
      <c r="R212" t="str">
        <f t="shared" si="36"/>
        <v/>
      </c>
      <c r="S212" t="str">
        <f t="shared" si="37"/>
        <v/>
      </c>
      <c r="T212" t="str">
        <f t="shared" si="38"/>
        <v/>
      </c>
      <c r="AD212" t="s">
        <v>1462</v>
      </c>
      <c r="AE212" t="s">
        <v>1463</v>
      </c>
      <c r="AF212" t="str">
        <f t="shared" si="39"/>
        <v>A679072</v>
      </c>
      <c r="AG212" t="str">
        <f>VLOOKUP(AF212,AKT!$C$4:$E$324,3,FALSE)</f>
        <v>0942</v>
      </c>
    </row>
    <row r="213" spans="1:33">
      <c r="A213" s="84"/>
      <c r="B213" s="83" t="str">
        <f t="shared" si="31"/>
        <v/>
      </c>
      <c r="C213" s="84"/>
      <c r="D213" s="83" t="str">
        <f t="shared" si="32"/>
        <v/>
      </c>
      <c r="E213" s="85"/>
      <c r="F213" s="83" t="str">
        <f t="shared" si="33"/>
        <v/>
      </c>
      <c r="G213" s="83" t="str">
        <f t="shared" si="34"/>
        <v/>
      </c>
      <c r="H213" s="69"/>
      <c r="I213" s="69"/>
      <c r="J213" s="78">
        <f t="shared" si="35"/>
        <v>0</v>
      </c>
      <c r="K213" s="91"/>
      <c r="L213" s="92"/>
      <c r="M213" s="92"/>
      <c r="N213" s="91"/>
      <c r="O213" s="93"/>
      <c r="P213" s="67"/>
      <c r="R213" t="str">
        <f t="shared" si="36"/>
        <v/>
      </c>
      <c r="S213" t="str">
        <f t="shared" si="37"/>
        <v/>
      </c>
      <c r="T213" t="str">
        <f t="shared" si="38"/>
        <v/>
      </c>
      <c r="AD213" t="s">
        <v>1464</v>
      </c>
      <c r="AE213" t="s">
        <v>1465</v>
      </c>
      <c r="AF213" t="str">
        <f t="shared" si="39"/>
        <v>A679072</v>
      </c>
      <c r="AG213" t="str">
        <f>VLOOKUP(AF213,AKT!$C$4:$E$324,3,FALSE)</f>
        <v>0942</v>
      </c>
    </row>
    <row r="214" spans="1:33">
      <c r="A214" s="84"/>
      <c r="B214" s="83" t="str">
        <f t="shared" si="31"/>
        <v/>
      </c>
      <c r="C214" s="84"/>
      <c r="D214" s="83" t="str">
        <f t="shared" si="32"/>
        <v/>
      </c>
      <c r="E214" s="85"/>
      <c r="F214" s="83" t="str">
        <f t="shared" si="33"/>
        <v/>
      </c>
      <c r="G214" s="83" t="str">
        <f t="shared" si="34"/>
        <v/>
      </c>
      <c r="H214" s="69"/>
      <c r="I214" s="69"/>
      <c r="J214" s="78">
        <f t="shared" si="35"/>
        <v>0</v>
      </c>
      <c r="K214" s="91"/>
      <c r="L214" s="92"/>
      <c r="M214" s="92"/>
      <c r="N214" s="91"/>
      <c r="O214" s="93"/>
      <c r="P214" s="67"/>
      <c r="R214" t="str">
        <f t="shared" si="36"/>
        <v/>
      </c>
      <c r="S214" t="str">
        <f t="shared" si="37"/>
        <v/>
      </c>
      <c r="T214" t="str">
        <f t="shared" si="38"/>
        <v/>
      </c>
      <c r="AD214" t="s">
        <v>1466</v>
      </c>
      <c r="AE214" t="s">
        <v>1467</v>
      </c>
      <c r="AF214" t="str">
        <f t="shared" si="39"/>
        <v>A679072</v>
      </c>
      <c r="AG214" t="str">
        <f>VLOOKUP(AF214,AKT!$C$4:$E$324,3,FALSE)</f>
        <v>0942</v>
      </c>
    </row>
    <row r="215" spans="1:33">
      <c r="A215" s="84"/>
      <c r="B215" s="83" t="str">
        <f t="shared" si="31"/>
        <v/>
      </c>
      <c r="C215" s="84"/>
      <c r="D215" s="83" t="str">
        <f t="shared" si="32"/>
        <v/>
      </c>
      <c r="E215" s="85"/>
      <c r="F215" s="83" t="str">
        <f t="shared" si="33"/>
        <v/>
      </c>
      <c r="G215" s="83" t="str">
        <f t="shared" si="34"/>
        <v/>
      </c>
      <c r="H215" s="69"/>
      <c r="I215" s="69"/>
      <c r="J215" s="78">
        <f t="shared" si="35"/>
        <v>0</v>
      </c>
      <c r="K215" s="91"/>
      <c r="L215" s="92"/>
      <c r="M215" s="92"/>
      <c r="N215" s="91"/>
      <c r="O215" s="93"/>
      <c r="P215" s="67"/>
      <c r="R215" t="str">
        <f t="shared" si="36"/>
        <v/>
      </c>
      <c r="S215" t="str">
        <f t="shared" si="37"/>
        <v/>
      </c>
      <c r="T215" t="str">
        <f t="shared" si="38"/>
        <v/>
      </c>
      <c r="AD215" t="s">
        <v>1468</v>
      </c>
      <c r="AE215" t="s">
        <v>1469</v>
      </c>
      <c r="AF215" t="str">
        <f t="shared" si="39"/>
        <v>A679072</v>
      </c>
      <c r="AG215" t="str">
        <f>VLOOKUP(AF215,AKT!$C$4:$E$324,3,FALSE)</f>
        <v>0942</v>
      </c>
    </row>
    <row r="216" spans="1:33">
      <c r="A216" s="84"/>
      <c r="B216" s="83" t="str">
        <f t="shared" si="31"/>
        <v/>
      </c>
      <c r="C216" s="84"/>
      <c r="D216" s="83" t="str">
        <f t="shared" si="32"/>
        <v/>
      </c>
      <c r="E216" s="85"/>
      <c r="F216" s="83" t="str">
        <f t="shared" si="33"/>
        <v/>
      </c>
      <c r="G216" s="83" t="str">
        <f t="shared" si="34"/>
        <v/>
      </c>
      <c r="H216" s="69"/>
      <c r="I216" s="69"/>
      <c r="J216" s="78">
        <f t="shared" si="35"/>
        <v>0</v>
      </c>
      <c r="K216" s="91"/>
      <c r="L216" s="92"/>
      <c r="M216" s="92"/>
      <c r="N216" s="91"/>
      <c r="O216" s="93"/>
      <c r="P216" s="67"/>
      <c r="R216" t="str">
        <f t="shared" si="36"/>
        <v/>
      </c>
      <c r="S216" t="str">
        <f t="shared" si="37"/>
        <v/>
      </c>
      <c r="T216" t="str">
        <f t="shared" si="38"/>
        <v/>
      </c>
      <c r="AD216" t="s">
        <v>1470</v>
      </c>
      <c r="AE216" t="s">
        <v>1471</v>
      </c>
      <c r="AF216" t="str">
        <f t="shared" si="39"/>
        <v>A679072</v>
      </c>
      <c r="AG216" t="str">
        <f>VLOOKUP(AF216,AKT!$C$4:$E$324,3,FALSE)</f>
        <v>0942</v>
      </c>
    </row>
    <row r="217" spans="1:33">
      <c r="A217" s="84"/>
      <c r="B217" s="83" t="str">
        <f t="shared" si="31"/>
        <v/>
      </c>
      <c r="C217" s="84"/>
      <c r="D217" s="83" t="str">
        <f t="shared" si="32"/>
        <v/>
      </c>
      <c r="E217" s="85"/>
      <c r="F217" s="83" t="str">
        <f t="shared" si="33"/>
        <v/>
      </c>
      <c r="G217" s="83" t="str">
        <f t="shared" si="34"/>
        <v/>
      </c>
      <c r="H217" s="69"/>
      <c r="I217" s="69"/>
      <c r="J217" s="78">
        <f t="shared" si="35"/>
        <v>0</v>
      </c>
      <c r="K217" s="91"/>
      <c r="L217" s="92"/>
      <c r="M217" s="92"/>
      <c r="N217" s="91"/>
      <c r="O217" s="93"/>
      <c r="P217" s="67"/>
      <c r="R217" t="str">
        <f t="shared" si="36"/>
        <v/>
      </c>
      <c r="S217" t="str">
        <f t="shared" si="37"/>
        <v/>
      </c>
      <c r="T217" t="str">
        <f t="shared" si="38"/>
        <v/>
      </c>
      <c r="AD217" t="s">
        <v>1472</v>
      </c>
      <c r="AE217" t="s">
        <v>1473</v>
      </c>
      <c r="AF217" t="str">
        <f t="shared" si="39"/>
        <v>A679072</v>
      </c>
      <c r="AG217" t="str">
        <f>VLOOKUP(AF217,AKT!$C$4:$E$324,3,FALSE)</f>
        <v>0942</v>
      </c>
    </row>
    <row r="218" spans="1:33">
      <c r="A218" s="84"/>
      <c r="B218" s="83" t="str">
        <f t="shared" si="31"/>
        <v/>
      </c>
      <c r="C218" s="84"/>
      <c r="D218" s="83" t="str">
        <f t="shared" si="32"/>
        <v/>
      </c>
      <c r="E218" s="85"/>
      <c r="F218" s="83" t="str">
        <f t="shared" si="33"/>
        <v/>
      </c>
      <c r="G218" s="83" t="str">
        <f t="shared" si="34"/>
        <v/>
      </c>
      <c r="H218" s="69"/>
      <c r="I218" s="69"/>
      <c r="J218" s="78">
        <f t="shared" si="35"/>
        <v>0</v>
      </c>
      <c r="K218" s="91"/>
      <c r="L218" s="92"/>
      <c r="M218" s="92"/>
      <c r="N218" s="91"/>
      <c r="O218" s="93"/>
      <c r="P218" s="67"/>
      <c r="R218" t="str">
        <f t="shared" si="36"/>
        <v/>
      </c>
      <c r="S218" t="str">
        <f t="shared" si="37"/>
        <v/>
      </c>
      <c r="T218" t="str">
        <f t="shared" si="38"/>
        <v/>
      </c>
      <c r="AD218" t="s">
        <v>1474</v>
      </c>
      <c r="AE218" t="s">
        <v>1475</v>
      </c>
      <c r="AF218" t="str">
        <f t="shared" si="39"/>
        <v>A679073</v>
      </c>
      <c r="AG218" t="str">
        <f>VLOOKUP(AF218,AKT!$C$4:$E$324,3,FALSE)</f>
        <v>0942</v>
      </c>
    </row>
    <row r="219" spans="1:33">
      <c r="A219" s="84"/>
      <c r="B219" s="83" t="str">
        <f t="shared" si="31"/>
        <v/>
      </c>
      <c r="C219" s="84"/>
      <c r="D219" s="83" t="str">
        <f t="shared" si="32"/>
        <v/>
      </c>
      <c r="E219" s="85"/>
      <c r="F219" s="83" t="str">
        <f t="shared" si="33"/>
        <v/>
      </c>
      <c r="G219" s="83" t="str">
        <f t="shared" si="34"/>
        <v/>
      </c>
      <c r="H219" s="69"/>
      <c r="I219" s="69"/>
      <c r="J219" s="78">
        <f t="shared" si="35"/>
        <v>0</v>
      </c>
      <c r="K219" s="91"/>
      <c r="L219" s="92"/>
      <c r="M219" s="92"/>
      <c r="N219" s="91"/>
      <c r="O219" s="93"/>
      <c r="P219" s="67"/>
      <c r="R219" t="str">
        <f t="shared" si="36"/>
        <v/>
      </c>
      <c r="S219" t="str">
        <f t="shared" si="37"/>
        <v/>
      </c>
      <c r="T219" t="str">
        <f t="shared" si="38"/>
        <v/>
      </c>
      <c r="AD219" t="s">
        <v>1476</v>
      </c>
      <c r="AE219" t="s">
        <v>1477</v>
      </c>
      <c r="AF219" t="str">
        <f t="shared" si="39"/>
        <v>A679073</v>
      </c>
      <c r="AG219" t="str">
        <f>VLOOKUP(AF219,AKT!$C$4:$E$324,3,FALSE)</f>
        <v>0942</v>
      </c>
    </row>
    <row r="220" spans="1:33">
      <c r="A220" s="84"/>
      <c r="B220" s="83" t="str">
        <f t="shared" si="31"/>
        <v/>
      </c>
      <c r="C220" s="84"/>
      <c r="D220" s="83" t="str">
        <f t="shared" si="32"/>
        <v/>
      </c>
      <c r="E220" s="85"/>
      <c r="F220" s="83" t="str">
        <f t="shared" si="33"/>
        <v/>
      </c>
      <c r="G220" s="83" t="str">
        <f t="shared" si="34"/>
        <v/>
      </c>
      <c r="H220" s="69"/>
      <c r="I220" s="69"/>
      <c r="J220" s="78">
        <f t="shared" si="35"/>
        <v>0</v>
      </c>
      <c r="K220" s="91"/>
      <c r="L220" s="92"/>
      <c r="M220" s="92"/>
      <c r="N220" s="91"/>
      <c r="O220" s="93"/>
      <c r="P220" s="67"/>
      <c r="R220" t="str">
        <f t="shared" si="36"/>
        <v/>
      </c>
      <c r="S220" t="str">
        <f t="shared" si="37"/>
        <v/>
      </c>
      <c r="T220" t="str">
        <f t="shared" si="38"/>
        <v/>
      </c>
      <c r="AD220" t="s">
        <v>1478</v>
      </c>
      <c r="AE220" t="s">
        <v>1479</v>
      </c>
      <c r="AF220" t="str">
        <f t="shared" si="39"/>
        <v>A679073</v>
      </c>
      <c r="AG220" t="str">
        <f>VLOOKUP(AF220,AKT!$C$4:$E$324,3,FALSE)</f>
        <v>0942</v>
      </c>
    </row>
    <row r="221" spans="1:33">
      <c r="A221" s="84"/>
      <c r="B221" s="83" t="str">
        <f t="shared" si="31"/>
        <v/>
      </c>
      <c r="C221" s="84"/>
      <c r="D221" s="83" t="str">
        <f t="shared" si="32"/>
        <v/>
      </c>
      <c r="E221" s="85"/>
      <c r="F221" s="83" t="str">
        <f t="shared" si="33"/>
        <v/>
      </c>
      <c r="G221" s="83" t="str">
        <f t="shared" si="34"/>
        <v/>
      </c>
      <c r="H221" s="69"/>
      <c r="I221" s="69"/>
      <c r="J221" s="78">
        <f t="shared" si="35"/>
        <v>0</v>
      </c>
      <c r="K221" s="91"/>
      <c r="L221" s="92"/>
      <c r="M221" s="92"/>
      <c r="N221" s="91"/>
      <c r="O221" s="93"/>
      <c r="P221" s="67"/>
      <c r="R221" t="str">
        <f t="shared" si="36"/>
        <v/>
      </c>
      <c r="S221" t="str">
        <f t="shared" si="37"/>
        <v/>
      </c>
      <c r="T221" t="str">
        <f t="shared" si="38"/>
        <v/>
      </c>
      <c r="AD221" t="s">
        <v>1480</v>
      </c>
      <c r="AE221" t="s">
        <v>1481</v>
      </c>
      <c r="AF221" t="str">
        <f t="shared" si="39"/>
        <v>A679073</v>
      </c>
      <c r="AG221" t="str">
        <f>VLOOKUP(AF221,AKT!$C$4:$E$324,3,FALSE)</f>
        <v>0942</v>
      </c>
    </row>
    <row r="222" spans="1:33">
      <c r="A222" s="84"/>
      <c r="B222" s="83" t="str">
        <f t="shared" si="31"/>
        <v/>
      </c>
      <c r="C222" s="84"/>
      <c r="D222" s="83" t="str">
        <f t="shared" si="32"/>
        <v/>
      </c>
      <c r="E222" s="85"/>
      <c r="F222" s="83" t="str">
        <f t="shared" si="33"/>
        <v/>
      </c>
      <c r="G222" s="83" t="str">
        <f t="shared" si="34"/>
        <v/>
      </c>
      <c r="H222" s="69"/>
      <c r="I222" s="69"/>
      <c r="J222" s="78">
        <f t="shared" si="35"/>
        <v>0</v>
      </c>
      <c r="K222" s="91"/>
      <c r="L222" s="92"/>
      <c r="M222" s="92"/>
      <c r="N222" s="91"/>
      <c r="O222" s="93"/>
      <c r="P222" s="67"/>
      <c r="R222" t="str">
        <f t="shared" si="36"/>
        <v/>
      </c>
      <c r="S222" t="str">
        <f t="shared" si="37"/>
        <v/>
      </c>
      <c r="T222" t="str">
        <f t="shared" si="38"/>
        <v/>
      </c>
      <c r="AD222" t="s">
        <v>1482</v>
      </c>
      <c r="AE222" t="s">
        <v>1483</v>
      </c>
      <c r="AF222" t="str">
        <f t="shared" si="39"/>
        <v>A679073</v>
      </c>
      <c r="AG222" t="str">
        <f>VLOOKUP(AF222,AKT!$C$4:$E$324,3,FALSE)</f>
        <v>0942</v>
      </c>
    </row>
    <row r="223" spans="1:33">
      <c r="A223" s="84"/>
      <c r="B223" s="83" t="str">
        <f t="shared" si="31"/>
        <v/>
      </c>
      <c r="C223" s="84"/>
      <c r="D223" s="83" t="str">
        <f t="shared" si="32"/>
        <v/>
      </c>
      <c r="E223" s="85"/>
      <c r="F223" s="83" t="str">
        <f t="shared" si="33"/>
        <v/>
      </c>
      <c r="G223" s="83" t="str">
        <f t="shared" si="34"/>
        <v/>
      </c>
      <c r="H223" s="69"/>
      <c r="I223" s="69"/>
      <c r="J223" s="78">
        <f t="shared" si="35"/>
        <v>0</v>
      </c>
      <c r="K223" s="91"/>
      <c r="L223" s="92"/>
      <c r="M223" s="92"/>
      <c r="N223" s="91"/>
      <c r="O223" s="93"/>
      <c r="P223" s="67"/>
      <c r="R223" t="str">
        <f t="shared" si="36"/>
        <v/>
      </c>
      <c r="S223" t="str">
        <f t="shared" si="37"/>
        <v/>
      </c>
      <c r="T223" t="str">
        <f t="shared" si="38"/>
        <v/>
      </c>
      <c r="AD223" t="s">
        <v>1484</v>
      </c>
      <c r="AE223" t="s">
        <v>1485</v>
      </c>
      <c r="AF223" t="str">
        <f t="shared" si="39"/>
        <v>A679073</v>
      </c>
      <c r="AG223" t="str">
        <f>VLOOKUP(AF223,AKT!$C$4:$E$324,3,FALSE)</f>
        <v>0942</v>
      </c>
    </row>
    <row r="224" spans="1:33">
      <c r="A224" s="84"/>
      <c r="B224" s="83" t="str">
        <f t="shared" si="31"/>
        <v/>
      </c>
      <c r="C224" s="84"/>
      <c r="D224" s="83" t="str">
        <f t="shared" si="32"/>
        <v/>
      </c>
      <c r="E224" s="85"/>
      <c r="F224" s="83" t="str">
        <f t="shared" si="33"/>
        <v/>
      </c>
      <c r="G224" s="83" t="str">
        <f t="shared" si="34"/>
        <v/>
      </c>
      <c r="H224" s="69"/>
      <c r="I224" s="69"/>
      <c r="J224" s="78">
        <f t="shared" si="35"/>
        <v>0</v>
      </c>
      <c r="K224" s="91"/>
      <c r="L224" s="92"/>
      <c r="M224" s="92"/>
      <c r="N224" s="91"/>
      <c r="O224" s="93"/>
      <c r="P224" s="67"/>
      <c r="R224" t="str">
        <f t="shared" si="36"/>
        <v/>
      </c>
      <c r="S224" t="str">
        <f t="shared" si="37"/>
        <v/>
      </c>
      <c r="T224" t="str">
        <f t="shared" si="38"/>
        <v/>
      </c>
      <c r="AD224" t="s">
        <v>1486</v>
      </c>
      <c r="AE224" t="s">
        <v>1487</v>
      </c>
      <c r="AF224" t="str">
        <f t="shared" si="39"/>
        <v>A679073</v>
      </c>
      <c r="AG224" t="str">
        <f>VLOOKUP(AF224,AKT!$C$4:$E$324,3,FALSE)</f>
        <v>0942</v>
      </c>
    </row>
    <row r="225" spans="1:33">
      <c r="A225" s="84"/>
      <c r="B225" s="83" t="str">
        <f t="shared" si="31"/>
        <v/>
      </c>
      <c r="C225" s="84"/>
      <c r="D225" s="83" t="str">
        <f t="shared" si="32"/>
        <v/>
      </c>
      <c r="E225" s="85"/>
      <c r="F225" s="83" t="str">
        <f t="shared" si="33"/>
        <v/>
      </c>
      <c r="G225" s="83" t="str">
        <f t="shared" si="34"/>
        <v/>
      </c>
      <c r="H225" s="69"/>
      <c r="I225" s="69"/>
      <c r="J225" s="78">
        <f t="shared" si="35"/>
        <v>0</v>
      </c>
      <c r="K225" s="91"/>
      <c r="L225" s="92"/>
      <c r="M225" s="92"/>
      <c r="N225" s="91"/>
      <c r="O225" s="93"/>
      <c r="P225" s="67"/>
      <c r="R225" t="str">
        <f t="shared" si="36"/>
        <v/>
      </c>
      <c r="S225" t="str">
        <f t="shared" si="37"/>
        <v/>
      </c>
      <c r="T225" t="str">
        <f t="shared" si="38"/>
        <v/>
      </c>
      <c r="AD225" t="s">
        <v>1488</v>
      </c>
      <c r="AE225" t="s">
        <v>1489</v>
      </c>
      <c r="AF225" t="str">
        <f t="shared" si="39"/>
        <v>A679073</v>
      </c>
      <c r="AG225" t="str">
        <f>VLOOKUP(AF225,AKT!$C$4:$E$324,3,FALSE)</f>
        <v>0942</v>
      </c>
    </row>
    <row r="226" spans="1:33">
      <c r="A226" s="84"/>
      <c r="B226" s="83" t="str">
        <f t="shared" si="31"/>
        <v/>
      </c>
      <c r="C226" s="84"/>
      <c r="D226" s="83" t="str">
        <f t="shared" si="32"/>
        <v/>
      </c>
      <c r="E226" s="85"/>
      <c r="F226" s="83" t="str">
        <f t="shared" si="33"/>
        <v/>
      </c>
      <c r="G226" s="83" t="str">
        <f t="shared" si="34"/>
        <v/>
      </c>
      <c r="H226" s="69"/>
      <c r="I226" s="69"/>
      <c r="J226" s="78">
        <f t="shared" si="35"/>
        <v>0</v>
      </c>
      <c r="K226" s="91"/>
      <c r="L226" s="92"/>
      <c r="M226" s="92"/>
      <c r="N226" s="91"/>
      <c r="O226" s="93"/>
      <c r="P226" s="67"/>
      <c r="R226" t="str">
        <f t="shared" si="36"/>
        <v/>
      </c>
      <c r="S226" t="str">
        <f t="shared" si="37"/>
        <v/>
      </c>
      <c r="T226" t="str">
        <f t="shared" si="38"/>
        <v/>
      </c>
      <c r="AD226" t="s">
        <v>1490</v>
      </c>
      <c r="AE226" t="s">
        <v>1491</v>
      </c>
      <c r="AF226" t="str">
        <f t="shared" si="39"/>
        <v>A679073</v>
      </c>
      <c r="AG226" t="str">
        <f>VLOOKUP(AF226,AKT!$C$4:$E$324,3,FALSE)</f>
        <v>0942</v>
      </c>
    </row>
    <row r="227" spans="1:33">
      <c r="A227" s="84"/>
      <c r="B227" s="83" t="str">
        <f t="shared" si="31"/>
        <v/>
      </c>
      <c r="C227" s="84"/>
      <c r="D227" s="83" t="str">
        <f t="shared" si="32"/>
        <v/>
      </c>
      <c r="E227" s="85"/>
      <c r="F227" s="83" t="str">
        <f t="shared" si="33"/>
        <v/>
      </c>
      <c r="G227" s="83" t="str">
        <f t="shared" si="34"/>
        <v/>
      </c>
      <c r="H227" s="69"/>
      <c r="I227" s="69"/>
      <c r="J227" s="78">
        <f t="shared" si="35"/>
        <v>0</v>
      </c>
      <c r="K227" s="91"/>
      <c r="L227" s="92"/>
      <c r="M227" s="92"/>
      <c r="N227" s="91"/>
      <c r="O227" s="93"/>
      <c r="P227" s="67"/>
      <c r="R227" t="str">
        <f t="shared" si="36"/>
        <v/>
      </c>
      <c r="S227" t="str">
        <f t="shared" si="37"/>
        <v/>
      </c>
      <c r="T227" t="str">
        <f t="shared" si="38"/>
        <v/>
      </c>
      <c r="AD227" t="s">
        <v>1492</v>
      </c>
      <c r="AE227" t="s">
        <v>1493</v>
      </c>
      <c r="AF227" t="str">
        <f t="shared" si="39"/>
        <v>A679073</v>
      </c>
      <c r="AG227" t="str">
        <f>VLOOKUP(AF227,AKT!$C$4:$E$324,3,FALSE)</f>
        <v>0942</v>
      </c>
    </row>
    <row r="228" spans="1:33">
      <c r="A228" s="84"/>
      <c r="B228" s="83" t="str">
        <f t="shared" si="31"/>
        <v/>
      </c>
      <c r="C228" s="84"/>
      <c r="D228" s="83" t="str">
        <f t="shared" si="32"/>
        <v/>
      </c>
      <c r="E228" s="85"/>
      <c r="F228" s="83" t="str">
        <f t="shared" si="33"/>
        <v/>
      </c>
      <c r="G228" s="83" t="str">
        <f t="shared" si="34"/>
        <v/>
      </c>
      <c r="H228" s="69"/>
      <c r="I228" s="69"/>
      <c r="J228" s="78">
        <f t="shared" si="35"/>
        <v>0</v>
      </c>
      <c r="K228" s="91"/>
      <c r="L228" s="92"/>
      <c r="M228" s="92"/>
      <c r="N228" s="91"/>
      <c r="O228" s="93"/>
      <c r="P228" s="67"/>
      <c r="R228" t="str">
        <f t="shared" si="36"/>
        <v/>
      </c>
      <c r="S228" t="str">
        <f t="shared" si="37"/>
        <v/>
      </c>
      <c r="T228" t="str">
        <f t="shared" si="38"/>
        <v/>
      </c>
      <c r="AD228" t="s">
        <v>1494</v>
      </c>
      <c r="AE228" t="s">
        <v>1495</v>
      </c>
      <c r="AF228" t="str">
        <f t="shared" si="39"/>
        <v>A679073</v>
      </c>
      <c r="AG228" t="str">
        <f>VLOOKUP(AF228,AKT!$C$4:$E$324,3,FALSE)</f>
        <v>0942</v>
      </c>
    </row>
    <row r="229" spans="1:33">
      <c r="A229" s="84"/>
      <c r="B229" s="83" t="str">
        <f t="shared" si="31"/>
        <v/>
      </c>
      <c r="C229" s="84"/>
      <c r="D229" s="83" t="str">
        <f t="shared" si="32"/>
        <v/>
      </c>
      <c r="E229" s="85"/>
      <c r="F229" s="83" t="str">
        <f t="shared" si="33"/>
        <v/>
      </c>
      <c r="G229" s="83" t="str">
        <f t="shared" si="34"/>
        <v/>
      </c>
      <c r="H229" s="69"/>
      <c r="I229" s="69"/>
      <c r="J229" s="78">
        <f t="shared" si="35"/>
        <v>0</v>
      </c>
      <c r="K229" s="91"/>
      <c r="L229" s="92"/>
      <c r="M229" s="92"/>
      <c r="N229" s="91"/>
      <c r="O229" s="93"/>
      <c r="P229" s="67"/>
      <c r="R229" t="str">
        <f t="shared" si="36"/>
        <v/>
      </c>
      <c r="S229" t="str">
        <f t="shared" si="37"/>
        <v/>
      </c>
      <c r="T229" t="str">
        <f t="shared" si="38"/>
        <v/>
      </c>
      <c r="AD229" t="s">
        <v>1496</v>
      </c>
      <c r="AE229" t="s">
        <v>1497</v>
      </c>
      <c r="AF229" t="str">
        <f t="shared" si="39"/>
        <v>A679073</v>
      </c>
      <c r="AG229" t="str">
        <f>VLOOKUP(AF229,AKT!$C$4:$E$324,3,FALSE)</f>
        <v>0942</v>
      </c>
    </row>
    <row r="230" spans="1:33">
      <c r="A230" s="84"/>
      <c r="B230" s="83" t="str">
        <f t="shared" si="31"/>
        <v/>
      </c>
      <c r="C230" s="84"/>
      <c r="D230" s="83" t="str">
        <f t="shared" si="32"/>
        <v/>
      </c>
      <c r="E230" s="85"/>
      <c r="F230" s="83" t="str">
        <f t="shared" si="33"/>
        <v/>
      </c>
      <c r="G230" s="83" t="str">
        <f t="shared" si="34"/>
        <v/>
      </c>
      <c r="H230" s="69"/>
      <c r="I230" s="69"/>
      <c r="J230" s="78">
        <f t="shared" si="35"/>
        <v>0</v>
      </c>
      <c r="K230" s="91"/>
      <c r="L230" s="92"/>
      <c r="M230" s="92"/>
      <c r="N230" s="91"/>
      <c r="O230" s="93"/>
      <c r="P230" s="67"/>
      <c r="R230" t="str">
        <f t="shared" si="36"/>
        <v/>
      </c>
      <c r="S230" t="str">
        <f t="shared" si="37"/>
        <v/>
      </c>
      <c r="T230" t="str">
        <f t="shared" si="38"/>
        <v/>
      </c>
      <c r="AD230" t="s">
        <v>1498</v>
      </c>
      <c r="AE230" t="s">
        <v>1499</v>
      </c>
      <c r="AF230" t="str">
        <f t="shared" si="39"/>
        <v>A679073</v>
      </c>
      <c r="AG230" t="str">
        <f>VLOOKUP(AF230,AKT!$C$4:$E$324,3,FALSE)</f>
        <v>0942</v>
      </c>
    </row>
    <row r="231" spans="1:33">
      <c r="A231" s="84"/>
      <c r="B231" s="83" t="str">
        <f t="shared" si="31"/>
        <v/>
      </c>
      <c r="C231" s="84"/>
      <c r="D231" s="83" t="str">
        <f t="shared" si="32"/>
        <v/>
      </c>
      <c r="E231" s="85"/>
      <c r="F231" s="83" t="str">
        <f t="shared" si="33"/>
        <v/>
      </c>
      <c r="G231" s="83" t="str">
        <f t="shared" si="34"/>
        <v/>
      </c>
      <c r="H231" s="69"/>
      <c r="I231" s="69"/>
      <c r="J231" s="78">
        <f t="shared" si="35"/>
        <v>0</v>
      </c>
      <c r="K231" s="91"/>
      <c r="L231" s="92"/>
      <c r="M231" s="92"/>
      <c r="N231" s="91"/>
      <c r="O231" s="93"/>
      <c r="P231" s="67"/>
      <c r="R231" t="str">
        <f t="shared" si="36"/>
        <v/>
      </c>
      <c r="S231" t="str">
        <f t="shared" si="37"/>
        <v/>
      </c>
      <c r="T231" t="str">
        <f t="shared" si="38"/>
        <v/>
      </c>
      <c r="AD231" t="s">
        <v>1500</v>
      </c>
      <c r="AE231" t="s">
        <v>1501</v>
      </c>
      <c r="AF231" t="str">
        <f t="shared" si="39"/>
        <v>A679073</v>
      </c>
      <c r="AG231" t="str">
        <f>VLOOKUP(AF231,AKT!$C$4:$E$324,3,FALSE)</f>
        <v>0942</v>
      </c>
    </row>
    <row r="232" spans="1:33">
      <c r="A232" s="84"/>
      <c r="B232" s="83" t="str">
        <f t="shared" si="31"/>
        <v/>
      </c>
      <c r="C232" s="84"/>
      <c r="D232" s="83" t="str">
        <f t="shared" si="32"/>
        <v/>
      </c>
      <c r="E232" s="85"/>
      <c r="F232" s="83" t="str">
        <f t="shared" si="33"/>
        <v/>
      </c>
      <c r="G232" s="83" t="str">
        <f t="shared" si="34"/>
        <v/>
      </c>
      <c r="H232" s="69"/>
      <c r="I232" s="69"/>
      <c r="J232" s="78">
        <f t="shared" si="35"/>
        <v>0</v>
      </c>
      <c r="K232" s="91"/>
      <c r="L232" s="92"/>
      <c r="M232" s="92"/>
      <c r="N232" s="91"/>
      <c r="O232" s="93"/>
      <c r="P232" s="67"/>
      <c r="R232" t="str">
        <f t="shared" si="36"/>
        <v/>
      </c>
      <c r="S232" t="str">
        <f t="shared" si="37"/>
        <v/>
      </c>
      <c r="T232" t="str">
        <f t="shared" si="38"/>
        <v/>
      </c>
      <c r="AD232" t="s">
        <v>1502</v>
      </c>
      <c r="AE232" t="s">
        <v>1503</v>
      </c>
      <c r="AF232" t="str">
        <f t="shared" si="39"/>
        <v>A679073</v>
      </c>
      <c r="AG232" t="str">
        <f>VLOOKUP(AF232,AKT!$C$4:$E$324,3,FALSE)</f>
        <v>0942</v>
      </c>
    </row>
    <row r="233" spans="1:33">
      <c r="A233" s="84"/>
      <c r="B233" s="83" t="str">
        <f t="shared" si="31"/>
        <v/>
      </c>
      <c r="C233" s="84"/>
      <c r="D233" s="83" t="str">
        <f t="shared" si="32"/>
        <v/>
      </c>
      <c r="E233" s="85"/>
      <c r="F233" s="83" t="str">
        <f t="shared" si="33"/>
        <v/>
      </c>
      <c r="G233" s="83" t="str">
        <f t="shared" si="34"/>
        <v/>
      </c>
      <c r="H233" s="69"/>
      <c r="I233" s="69"/>
      <c r="J233" s="78">
        <f t="shared" si="35"/>
        <v>0</v>
      </c>
      <c r="K233" s="91"/>
      <c r="L233" s="92"/>
      <c r="M233" s="92"/>
      <c r="N233" s="91"/>
      <c r="O233" s="93"/>
      <c r="P233" s="67"/>
      <c r="R233" t="str">
        <f t="shared" si="36"/>
        <v/>
      </c>
      <c r="S233" t="str">
        <f t="shared" si="37"/>
        <v/>
      </c>
      <c r="T233" t="str">
        <f t="shared" si="38"/>
        <v/>
      </c>
      <c r="AD233" t="s">
        <v>1504</v>
      </c>
      <c r="AE233" t="s">
        <v>1505</v>
      </c>
      <c r="AF233" t="str">
        <f t="shared" si="39"/>
        <v>A679073</v>
      </c>
      <c r="AG233" t="str">
        <f>VLOOKUP(AF233,AKT!$C$4:$E$324,3,FALSE)</f>
        <v>0942</v>
      </c>
    </row>
    <row r="234" spans="1:33">
      <c r="A234" s="84"/>
      <c r="B234" s="83" t="str">
        <f t="shared" si="31"/>
        <v/>
      </c>
      <c r="C234" s="84"/>
      <c r="D234" s="83" t="str">
        <f t="shared" si="32"/>
        <v/>
      </c>
      <c r="E234" s="85"/>
      <c r="F234" s="83" t="str">
        <f t="shared" si="33"/>
        <v/>
      </c>
      <c r="G234" s="83" t="str">
        <f t="shared" si="34"/>
        <v/>
      </c>
      <c r="H234" s="69"/>
      <c r="I234" s="69"/>
      <c r="J234" s="78">
        <f t="shared" si="35"/>
        <v>0</v>
      </c>
      <c r="K234" s="91"/>
      <c r="L234" s="92"/>
      <c r="M234" s="92"/>
      <c r="N234" s="91"/>
      <c r="O234" s="93"/>
      <c r="P234" s="67"/>
      <c r="R234" t="str">
        <f t="shared" si="36"/>
        <v/>
      </c>
      <c r="S234" t="str">
        <f t="shared" si="37"/>
        <v/>
      </c>
      <c r="T234" t="str">
        <f t="shared" si="38"/>
        <v/>
      </c>
      <c r="AD234" t="s">
        <v>1506</v>
      </c>
      <c r="AE234" t="s">
        <v>1507</v>
      </c>
      <c r="AF234" t="str">
        <f t="shared" si="39"/>
        <v>A679073</v>
      </c>
      <c r="AG234" t="str">
        <f>VLOOKUP(AF234,AKT!$C$4:$E$324,3,FALSE)</f>
        <v>0942</v>
      </c>
    </row>
    <row r="235" spans="1:33">
      <c r="A235" s="84"/>
      <c r="B235" s="83" t="str">
        <f t="shared" si="31"/>
        <v/>
      </c>
      <c r="C235" s="84"/>
      <c r="D235" s="83" t="str">
        <f t="shared" si="32"/>
        <v/>
      </c>
      <c r="E235" s="85"/>
      <c r="F235" s="83" t="str">
        <f t="shared" si="33"/>
        <v/>
      </c>
      <c r="G235" s="83" t="str">
        <f t="shared" si="34"/>
        <v/>
      </c>
      <c r="H235" s="69"/>
      <c r="I235" s="69"/>
      <c r="J235" s="78">
        <f t="shared" si="35"/>
        <v>0</v>
      </c>
      <c r="K235" s="91"/>
      <c r="L235" s="92"/>
      <c r="M235" s="92"/>
      <c r="N235" s="91"/>
      <c r="O235" s="93"/>
      <c r="P235" s="67"/>
      <c r="R235" t="str">
        <f t="shared" si="36"/>
        <v/>
      </c>
      <c r="S235" t="str">
        <f t="shared" si="37"/>
        <v/>
      </c>
      <c r="T235" t="str">
        <f t="shared" si="38"/>
        <v/>
      </c>
      <c r="AD235" t="s">
        <v>1508</v>
      </c>
      <c r="AE235" t="s">
        <v>1509</v>
      </c>
      <c r="AF235" t="str">
        <f t="shared" si="39"/>
        <v>A679073</v>
      </c>
      <c r="AG235" t="str">
        <f>VLOOKUP(AF235,AKT!$C$4:$E$324,3,FALSE)</f>
        <v>0942</v>
      </c>
    </row>
    <row r="236" spans="1:33">
      <c r="A236" s="84"/>
      <c r="B236" s="83" t="str">
        <f t="shared" si="31"/>
        <v/>
      </c>
      <c r="C236" s="84"/>
      <c r="D236" s="83" t="str">
        <f t="shared" si="32"/>
        <v/>
      </c>
      <c r="E236" s="85"/>
      <c r="F236" s="83" t="str">
        <f t="shared" si="33"/>
        <v/>
      </c>
      <c r="G236" s="83" t="str">
        <f t="shared" si="34"/>
        <v/>
      </c>
      <c r="H236" s="69"/>
      <c r="I236" s="69"/>
      <c r="J236" s="78">
        <f t="shared" si="35"/>
        <v>0</v>
      </c>
      <c r="K236" s="91"/>
      <c r="L236" s="92"/>
      <c r="M236" s="92"/>
      <c r="N236" s="91"/>
      <c r="O236" s="93"/>
      <c r="P236" s="67"/>
      <c r="R236" t="str">
        <f t="shared" si="36"/>
        <v/>
      </c>
      <c r="S236" t="str">
        <f t="shared" si="37"/>
        <v/>
      </c>
      <c r="T236" t="str">
        <f t="shared" si="38"/>
        <v/>
      </c>
      <c r="AD236" t="s">
        <v>1510</v>
      </c>
      <c r="AE236" t="s">
        <v>1511</v>
      </c>
      <c r="AF236" t="str">
        <f t="shared" si="39"/>
        <v>A679074</v>
      </c>
      <c r="AG236" t="str">
        <f>VLOOKUP(AF236,AKT!$C$4:$E$324,3,FALSE)</f>
        <v>0942</v>
      </c>
    </row>
    <row r="237" spans="1:33">
      <c r="A237" s="84"/>
      <c r="B237" s="83" t="str">
        <f t="shared" si="31"/>
        <v/>
      </c>
      <c r="C237" s="84"/>
      <c r="D237" s="83" t="str">
        <f t="shared" si="32"/>
        <v/>
      </c>
      <c r="E237" s="85"/>
      <c r="F237" s="83" t="str">
        <f t="shared" si="33"/>
        <v/>
      </c>
      <c r="G237" s="83" t="str">
        <f t="shared" si="34"/>
        <v/>
      </c>
      <c r="H237" s="69"/>
      <c r="I237" s="69"/>
      <c r="J237" s="78">
        <f t="shared" si="35"/>
        <v>0</v>
      </c>
      <c r="K237" s="91"/>
      <c r="L237" s="92"/>
      <c r="M237" s="92"/>
      <c r="N237" s="91"/>
      <c r="O237" s="93"/>
      <c r="P237" s="67"/>
      <c r="R237" t="str">
        <f t="shared" si="36"/>
        <v/>
      </c>
      <c r="S237" t="str">
        <f t="shared" si="37"/>
        <v/>
      </c>
      <c r="T237" t="str">
        <f t="shared" si="38"/>
        <v/>
      </c>
      <c r="AD237" t="s">
        <v>1512</v>
      </c>
      <c r="AE237" t="s">
        <v>1513</v>
      </c>
      <c r="AF237" t="str">
        <f t="shared" si="39"/>
        <v>A679074</v>
      </c>
      <c r="AG237" t="str">
        <f>VLOOKUP(AF237,AKT!$C$4:$E$324,3,FALSE)</f>
        <v>0942</v>
      </c>
    </row>
    <row r="238" spans="1:33">
      <c r="A238" s="84"/>
      <c r="B238" s="83" t="str">
        <f t="shared" si="31"/>
        <v/>
      </c>
      <c r="C238" s="84"/>
      <c r="D238" s="83" t="str">
        <f t="shared" si="32"/>
        <v/>
      </c>
      <c r="E238" s="85"/>
      <c r="F238" s="83" t="str">
        <f t="shared" si="33"/>
        <v/>
      </c>
      <c r="G238" s="83" t="str">
        <f t="shared" si="34"/>
        <v/>
      </c>
      <c r="H238" s="69"/>
      <c r="I238" s="69"/>
      <c r="J238" s="78">
        <f t="shared" si="35"/>
        <v>0</v>
      </c>
      <c r="K238" s="91"/>
      <c r="L238" s="92"/>
      <c r="M238" s="92"/>
      <c r="N238" s="91"/>
      <c r="O238" s="93"/>
      <c r="P238" s="67"/>
      <c r="R238" t="str">
        <f t="shared" si="36"/>
        <v/>
      </c>
      <c r="S238" t="str">
        <f t="shared" si="37"/>
        <v/>
      </c>
      <c r="T238" t="str">
        <f t="shared" si="38"/>
        <v/>
      </c>
      <c r="AD238" t="s">
        <v>1514</v>
      </c>
      <c r="AE238" t="s">
        <v>1515</v>
      </c>
      <c r="AF238" t="str">
        <f t="shared" si="39"/>
        <v>A679074</v>
      </c>
      <c r="AG238" t="str">
        <f>VLOOKUP(AF238,AKT!$C$4:$E$324,3,FALSE)</f>
        <v>0942</v>
      </c>
    </row>
    <row r="239" spans="1:33">
      <c r="A239" s="84"/>
      <c r="B239" s="83" t="str">
        <f t="shared" si="31"/>
        <v/>
      </c>
      <c r="C239" s="84"/>
      <c r="D239" s="83" t="str">
        <f t="shared" si="32"/>
        <v/>
      </c>
      <c r="E239" s="85"/>
      <c r="F239" s="83" t="str">
        <f t="shared" si="33"/>
        <v/>
      </c>
      <c r="G239" s="83" t="str">
        <f t="shared" si="34"/>
        <v/>
      </c>
      <c r="H239" s="69"/>
      <c r="I239" s="69"/>
      <c r="J239" s="78">
        <f t="shared" si="35"/>
        <v>0</v>
      </c>
      <c r="K239" s="91"/>
      <c r="L239" s="92"/>
      <c r="M239" s="92"/>
      <c r="N239" s="91"/>
      <c r="O239" s="93"/>
      <c r="P239" s="67"/>
      <c r="R239" t="str">
        <f t="shared" si="36"/>
        <v/>
      </c>
      <c r="S239" t="str">
        <f t="shared" si="37"/>
        <v/>
      </c>
      <c r="T239" t="str">
        <f t="shared" si="38"/>
        <v/>
      </c>
      <c r="AD239" t="s">
        <v>1516</v>
      </c>
      <c r="AE239" t="s">
        <v>1517</v>
      </c>
      <c r="AF239" t="str">
        <f t="shared" si="39"/>
        <v>A679074</v>
      </c>
      <c r="AG239" t="str">
        <f>VLOOKUP(AF239,AKT!$C$4:$E$324,3,FALSE)</f>
        <v>0942</v>
      </c>
    </row>
    <row r="240" spans="1:33">
      <c r="A240" s="84"/>
      <c r="B240" s="83" t="str">
        <f t="shared" si="31"/>
        <v/>
      </c>
      <c r="C240" s="84"/>
      <c r="D240" s="83" t="str">
        <f t="shared" si="32"/>
        <v/>
      </c>
      <c r="E240" s="85"/>
      <c r="F240" s="83" t="str">
        <f t="shared" si="33"/>
        <v/>
      </c>
      <c r="G240" s="83" t="str">
        <f t="shared" si="34"/>
        <v/>
      </c>
      <c r="H240" s="69"/>
      <c r="I240" s="69"/>
      <c r="J240" s="78">
        <f t="shared" si="35"/>
        <v>0</v>
      </c>
      <c r="K240" s="91"/>
      <c r="L240" s="92"/>
      <c r="M240" s="92"/>
      <c r="N240" s="91"/>
      <c r="O240" s="93"/>
      <c r="P240" s="67"/>
      <c r="R240" t="str">
        <f t="shared" si="36"/>
        <v/>
      </c>
      <c r="S240" t="str">
        <f t="shared" si="37"/>
        <v/>
      </c>
      <c r="T240" t="str">
        <f t="shared" si="38"/>
        <v/>
      </c>
      <c r="AD240" t="s">
        <v>1518</v>
      </c>
      <c r="AE240" t="s">
        <v>1519</v>
      </c>
      <c r="AF240" t="str">
        <f t="shared" si="39"/>
        <v>A679074</v>
      </c>
      <c r="AG240" t="str">
        <f>VLOOKUP(AF240,AKT!$C$4:$E$324,3,FALSE)</f>
        <v>0942</v>
      </c>
    </row>
    <row r="241" spans="1:33">
      <c r="A241" s="84"/>
      <c r="B241" s="83" t="str">
        <f t="shared" si="31"/>
        <v/>
      </c>
      <c r="C241" s="84"/>
      <c r="D241" s="83" t="str">
        <f t="shared" si="32"/>
        <v/>
      </c>
      <c r="E241" s="85"/>
      <c r="F241" s="83" t="str">
        <f t="shared" si="33"/>
        <v/>
      </c>
      <c r="G241" s="83" t="str">
        <f t="shared" si="34"/>
        <v/>
      </c>
      <c r="H241" s="69"/>
      <c r="I241" s="69"/>
      <c r="J241" s="78">
        <f t="shared" si="35"/>
        <v>0</v>
      </c>
      <c r="K241" s="91"/>
      <c r="L241" s="92"/>
      <c r="M241" s="92"/>
      <c r="N241" s="91"/>
      <c r="O241" s="93"/>
      <c r="P241" s="67"/>
      <c r="R241" t="str">
        <f t="shared" si="36"/>
        <v/>
      </c>
      <c r="S241" t="str">
        <f t="shared" si="37"/>
        <v/>
      </c>
      <c r="T241" t="str">
        <f t="shared" si="38"/>
        <v/>
      </c>
      <c r="AD241" t="s">
        <v>1520</v>
      </c>
      <c r="AE241" t="s">
        <v>1521</v>
      </c>
      <c r="AF241" t="str">
        <f t="shared" si="39"/>
        <v>A679074</v>
      </c>
      <c r="AG241" t="str">
        <f>VLOOKUP(AF241,AKT!$C$4:$E$324,3,FALSE)</f>
        <v>0942</v>
      </c>
    </row>
    <row r="242" spans="1:33">
      <c r="A242" s="84"/>
      <c r="B242" s="83" t="str">
        <f t="shared" si="31"/>
        <v/>
      </c>
      <c r="C242" s="84"/>
      <c r="D242" s="83" t="str">
        <f t="shared" si="32"/>
        <v/>
      </c>
      <c r="E242" s="85"/>
      <c r="F242" s="83" t="str">
        <f t="shared" si="33"/>
        <v/>
      </c>
      <c r="G242" s="83" t="str">
        <f t="shared" si="34"/>
        <v/>
      </c>
      <c r="H242" s="69"/>
      <c r="I242" s="69"/>
      <c r="J242" s="78">
        <f t="shared" si="35"/>
        <v>0</v>
      </c>
      <c r="K242" s="91"/>
      <c r="L242" s="92"/>
      <c r="M242" s="92"/>
      <c r="N242" s="91"/>
      <c r="O242" s="93"/>
      <c r="P242" s="67"/>
      <c r="R242" t="str">
        <f t="shared" si="36"/>
        <v/>
      </c>
      <c r="S242" t="str">
        <f t="shared" si="37"/>
        <v/>
      </c>
      <c r="T242" t="str">
        <f t="shared" si="38"/>
        <v/>
      </c>
      <c r="AD242" t="s">
        <v>1522</v>
      </c>
      <c r="AE242" t="s">
        <v>1523</v>
      </c>
      <c r="AF242" t="str">
        <f t="shared" si="39"/>
        <v>A679074</v>
      </c>
      <c r="AG242" t="str">
        <f>VLOOKUP(AF242,AKT!$C$4:$E$324,3,FALSE)</f>
        <v>0942</v>
      </c>
    </row>
    <row r="243" spans="1:33">
      <c r="A243" s="84"/>
      <c r="B243" s="83" t="str">
        <f t="shared" si="31"/>
        <v/>
      </c>
      <c r="C243" s="84"/>
      <c r="D243" s="83" t="str">
        <f t="shared" si="32"/>
        <v/>
      </c>
      <c r="E243" s="85"/>
      <c r="F243" s="83" t="str">
        <f t="shared" si="33"/>
        <v/>
      </c>
      <c r="G243" s="83" t="str">
        <f t="shared" si="34"/>
        <v/>
      </c>
      <c r="H243" s="69"/>
      <c r="I243" s="69"/>
      <c r="J243" s="78">
        <f t="shared" si="35"/>
        <v>0</v>
      </c>
      <c r="K243" s="91"/>
      <c r="L243" s="92"/>
      <c r="M243" s="92"/>
      <c r="N243" s="91"/>
      <c r="O243" s="93"/>
      <c r="P243" s="67"/>
      <c r="R243" t="str">
        <f t="shared" si="36"/>
        <v/>
      </c>
      <c r="S243" t="str">
        <f t="shared" si="37"/>
        <v/>
      </c>
      <c r="T243" t="str">
        <f t="shared" si="38"/>
        <v/>
      </c>
      <c r="AD243" t="s">
        <v>1524</v>
      </c>
      <c r="AE243" t="s">
        <v>1525</v>
      </c>
      <c r="AF243" t="str">
        <f t="shared" si="39"/>
        <v>A679074</v>
      </c>
      <c r="AG243" t="str">
        <f>VLOOKUP(AF243,AKT!$C$4:$E$324,3,FALSE)</f>
        <v>0942</v>
      </c>
    </row>
    <row r="244" spans="1:33">
      <c r="A244" s="84"/>
      <c r="B244" s="83" t="str">
        <f t="shared" si="31"/>
        <v/>
      </c>
      <c r="C244" s="84"/>
      <c r="D244" s="83" t="str">
        <f t="shared" si="32"/>
        <v/>
      </c>
      <c r="E244" s="85"/>
      <c r="F244" s="83" t="str">
        <f t="shared" si="33"/>
        <v/>
      </c>
      <c r="G244" s="83" t="str">
        <f t="shared" si="34"/>
        <v/>
      </c>
      <c r="H244" s="69"/>
      <c r="I244" s="69"/>
      <c r="J244" s="78">
        <f t="shared" si="35"/>
        <v>0</v>
      </c>
      <c r="K244" s="91"/>
      <c r="L244" s="92"/>
      <c r="M244" s="92"/>
      <c r="N244" s="91"/>
      <c r="O244" s="93"/>
      <c r="P244" s="67"/>
      <c r="R244" t="str">
        <f t="shared" si="36"/>
        <v/>
      </c>
      <c r="S244" t="str">
        <f t="shared" si="37"/>
        <v/>
      </c>
      <c r="T244" t="str">
        <f t="shared" si="38"/>
        <v/>
      </c>
      <c r="AD244" t="s">
        <v>1526</v>
      </c>
      <c r="AE244" t="s">
        <v>1527</v>
      </c>
      <c r="AF244" t="str">
        <f t="shared" si="39"/>
        <v>A679074</v>
      </c>
      <c r="AG244" t="str">
        <f>VLOOKUP(AF244,AKT!$C$4:$E$324,3,FALSE)</f>
        <v>0942</v>
      </c>
    </row>
    <row r="245" spans="1:33">
      <c r="A245" s="84"/>
      <c r="B245" s="83" t="str">
        <f t="shared" si="31"/>
        <v/>
      </c>
      <c r="C245" s="84"/>
      <c r="D245" s="83" t="str">
        <f t="shared" si="32"/>
        <v/>
      </c>
      <c r="E245" s="85"/>
      <c r="F245" s="83" t="str">
        <f t="shared" si="33"/>
        <v/>
      </c>
      <c r="G245" s="83" t="str">
        <f t="shared" si="34"/>
        <v/>
      </c>
      <c r="H245" s="69"/>
      <c r="I245" s="69"/>
      <c r="J245" s="78">
        <f t="shared" si="35"/>
        <v>0</v>
      </c>
      <c r="K245" s="91"/>
      <c r="L245" s="92"/>
      <c r="M245" s="92"/>
      <c r="N245" s="91"/>
      <c r="O245" s="93"/>
      <c r="P245" s="67"/>
      <c r="R245" t="str">
        <f t="shared" si="36"/>
        <v/>
      </c>
      <c r="S245" t="str">
        <f t="shared" si="37"/>
        <v/>
      </c>
      <c r="T245" t="str">
        <f t="shared" si="38"/>
        <v/>
      </c>
      <c r="AD245" t="s">
        <v>1528</v>
      </c>
      <c r="AE245" t="s">
        <v>1529</v>
      </c>
      <c r="AF245" t="str">
        <f t="shared" si="39"/>
        <v>A679074</v>
      </c>
      <c r="AG245" t="str">
        <f>VLOOKUP(AF245,AKT!$C$4:$E$324,3,FALSE)</f>
        <v>0942</v>
      </c>
    </row>
    <row r="246" spans="1:33">
      <c r="A246" s="84"/>
      <c r="B246" s="83" t="str">
        <f t="shared" si="31"/>
        <v/>
      </c>
      <c r="C246" s="84"/>
      <c r="D246" s="83" t="str">
        <f t="shared" si="32"/>
        <v/>
      </c>
      <c r="E246" s="85"/>
      <c r="F246" s="83" t="str">
        <f t="shared" si="33"/>
        <v/>
      </c>
      <c r="G246" s="83" t="str">
        <f t="shared" si="34"/>
        <v/>
      </c>
      <c r="H246" s="69"/>
      <c r="I246" s="69"/>
      <c r="J246" s="78">
        <f t="shared" si="35"/>
        <v>0</v>
      </c>
      <c r="K246" s="91"/>
      <c r="L246" s="92"/>
      <c r="M246" s="92"/>
      <c r="N246" s="91"/>
      <c r="O246" s="93"/>
      <c r="P246" s="67"/>
      <c r="R246" t="str">
        <f t="shared" si="36"/>
        <v/>
      </c>
      <c r="S246" t="str">
        <f t="shared" si="37"/>
        <v/>
      </c>
      <c r="T246" t="str">
        <f t="shared" si="38"/>
        <v/>
      </c>
      <c r="AD246" t="s">
        <v>1530</v>
      </c>
      <c r="AE246" t="s">
        <v>1531</v>
      </c>
      <c r="AF246" t="str">
        <f t="shared" si="39"/>
        <v>A679074</v>
      </c>
      <c r="AG246" t="str">
        <f>VLOOKUP(AF246,AKT!$C$4:$E$324,3,FALSE)</f>
        <v>0942</v>
      </c>
    </row>
    <row r="247" spans="1:33">
      <c r="A247" s="84"/>
      <c r="B247" s="83" t="str">
        <f t="shared" si="31"/>
        <v/>
      </c>
      <c r="C247" s="84"/>
      <c r="D247" s="83" t="str">
        <f t="shared" si="32"/>
        <v/>
      </c>
      <c r="E247" s="85"/>
      <c r="F247" s="83" t="str">
        <f t="shared" si="33"/>
        <v/>
      </c>
      <c r="G247" s="83" t="str">
        <f t="shared" si="34"/>
        <v/>
      </c>
      <c r="H247" s="69"/>
      <c r="I247" s="69"/>
      <c r="J247" s="78">
        <f t="shared" si="35"/>
        <v>0</v>
      </c>
      <c r="K247" s="91"/>
      <c r="L247" s="92"/>
      <c r="M247" s="92"/>
      <c r="N247" s="91"/>
      <c r="O247" s="93"/>
      <c r="P247" s="67"/>
      <c r="R247" t="str">
        <f t="shared" si="36"/>
        <v/>
      </c>
      <c r="S247" t="str">
        <f t="shared" si="37"/>
        <v/>
      </c>
      <c r="T247" t="str">
        <f t="shared" si="38"/>
        <v/>
      </c>
      <c r="AD247" t="s">
        <v>1532</v>
      </c>
      <c r="AE247" t="s">
        <v>1533</v>
      </c>
      <c r="AF247" t="str">
        <f t="shared" si="39"/>
        <v>A679074</v>
      </c>
      <c r="AG247" t="str">
        <f>VLOOKUP(AF247,AKT!$C$4:$E$324,3,FALSE)</f>
        <v>0942</v>
      </c>
    </row>
    <row r="248" spans="1:33">
      <c r="A248" s="84"/>
      <c r="B248" s="83" t="str">
        <f t="shared" si="31"/>
        <v/>
      </c>
      <c r="C248" s="84"/>
      <c r="D248" s="83" t="str">
        <f t="shared" si="32"/>
        <v/>
      </c>
      <c r="E248" s="85"/>
      <c r="F248" s="83" t="str">
        <f t="shared" si="33"/>
        <v/>
      </c>
      <c r="G248" s="83" t="str">
        <f t="shared" si="34"/>
        <v/>
      </c>
      <c r="H248" s="69"/>
      <c r="I248" s="69"/>
      <c r="J248" s="78">
        <f t="shared" si="35"/>
        <v>0</v>
      </c>
      <c r="K248" s="91"/>
      <c r="L248" s="92"/>
      <c r="M248" s="92"/>
      <c r="N248" s="91"/>
      <c r="O248" s="93"/>
      <c r="P248" s="67"/>
      <c r="R248" t="str">
        <f t="shared" si="36"/>
        <v/>
      </c>
      <c r="S248" t="str">
        <f t="shared" si="37"/>
        <v/>
      </c>
      <c r="T248" t="str">
        <f t="shared" si="38"/>
        <v/>
      </c>
      <c r="AD248" t="s">
        <v>1534</v>
      </c>
      <c r="AE248" t="s">
        <v>1535</v>
      </c>
      <c r="AF248" t="str">
        <f t="shared" si="39"/>
        <v>A679074</v>
      </c>
      <c r="AG248" t="str">
        <f>VLOOKUP(AF248,AKT!$C$4:$E$324,3,FALSE)</f>
        <v>0942</v>
      </c>
    </row>
    <row r="249" spans="1:33">
      <c r="A249" s="84"/>
      <c r="B249" s="83" t="str">
        <f t="shared" si="31"/>
        <v/>
      </c>
      <c r="C249" s="84"/>
      <c r="D249" s="83" t="str">
        <f t="shared" si="32"/>
        <v/>
      </c>
      <c r="E249" s="85"/>
      <c r="F249" s="83" t="str">
        <f t="shared" si="33"/>
        <v/>
      </c>
      <c r="G249" s="83" t="str">
        <f t="shared" si="34"/>
        <v/>
      </c>
      <c r="H249" s="69"/>
      <c r="I249" s="69"/>
      <c r="J249" s="78">
        <f t="shared" si="35"/>
        <v>0</v>
      </c>
      <c r="K249" s="91"/>
      <c r="L249" s="92"/>
      <c r="M249" s="92"/>
      <c r="N249" s="91"/>
      <c r="O249" s="93"/>
      <c r="P249" s="67"/>
      <c r="R249" t="str">
        <f t="shared" si="36"/>
        <v/>
      </c>
      <c r="S249" t="str">
        <f t="shared" si="37"/>
        <v/>
      </c>
      <c r="T249" t="str">
        <f t="shared" si="38"/>
        <v/>
      </c>
      <c r="AD249" t="s">
        <v>1536</v>
      </c>
      <c r="AE249" t="s">
        <v>1537</v>
      </c>
      <c r="AF249" t="str">
        <f t="shared" si="39"/>
        <v>A679074</v>
      </c>
      <c r="AG249" t="str">
        <f>VLOOKUP(AF249,AKT!$C$4:$E$324,3,FALSE)</f>
        <v>0942</v>
      </c>
    </row>
    <row r="250" spans="1:33">
      <c r="A250" s="84"/>
      <c r="B250" s="83" t="str">
        <f t="shared" si="31"/>
        <v/>
      </c>
      <c r="C250" s="84"/>
      <c r="D250" s="83" t="str">
        <f t="shared" si="32"/>
        <v/>
      </c>
      <c r="E250" s="85"/>
      <c r="F250" s="83" t="str">
        <f t="shared" si="33"/>
        <v/>
      </c>
      <c r="G250" s="83" t="str">
        <f t="shared" si="34"/>
        <v/>
      </c>
      <c r="H250" s="69"/>
      <c r="I250" s="69"/>
      <c r="J250" s="78">
        <f t="shared" si="35"/>
        <v>0</v>
      </c>
      <c r="K250" s="91"/>
      <c r="L250" s="92"/>
      <c r="M250" s="92"/>
      <c r="N250" s="91"/>
      <c r="O250" s="93"/>
      <c r="P250" s="67"/>
      <c r="R250" t="str">
        <f t="shared" si="36"/>
        <v/>
      </c>
      <c r="S250" t="str">
        <f t="shared" si="37"/>
        <v/>
      </c>
      <c r="T250" t="str">
        <f t="shared" si="38"/>
        <v/>
      </c>
      <c r="AD250" t="s">
        <v>1538</v>
      </c>
      <c r="AE250" t="s">
        <v>1539</v>
      </c>
      <c r="AF250" t="str">
        <f t="shared" si="39"/>
        <v>A679074</v>
      </c>
      <c r="AG250" t="str">
        <f>VLOOKUP(AF250,AKT!$C$4:$E$324,3,FALSE)</f>
        <v>0942</v>
      </c>
    </row>
    <row r="251" spans="1:33">
      <c r="A251" s="84"/>
      <c r="B251" s="83" t="str">
        <f t="shared" si="31"/>
        <v/>
      </c>
      <c r="C251" s="84"/>
      <c r="D251" s="83" t="str">
        <f t="shared" si="32"/>
        <v/>
      </c>
      <c r="E251" s="85"/>
      <c r="F251" s="83" t="str">
        <f t="shared" si="33"/>
        <v/>
      </c>
      <c r="G251" s="83" t="str">
        <f t="shared" si="34"/>
        <v/>
      </c>
      <c r="H251" s="69"/>
      <c r="I251" s="69"/>
      <c r="J251" s="78">
        <f t="shared" si="35"/>
        <v>0</v>
      </c>
      <c r="K251" s="91"/>
      <c r="L251" s="92"/>
      <c r="M251" s="92"/>
      <c r="N251" s="91"/>
      <c r="O251" s="93"/>
      <c r="P251" s="67"/>
      <c r="R251" t="str">
        <f t="shared" si="36"/>
        <v/>
      </c>
      <c r="S251" t="str">
        <f t="shared" si="37"/>
        <v/>
      </c>
      <c r="T251" t="str">
        <f t="shared" si="38"/>
        <v/>
      </c>
      <c r="AD251" t="s">
        <v>1540</v>
      </c>
      <c r="AE251" t="s">
        <v>1541</v>
      </c>
      <c r="AF251" t="str">
        <f t="shared" si="39"/>
        <v>A679074</v>
      </c>
      <c r="AG251" t="str">
        <f>VLOOKUP(AF251,AKT!$C$4:$E$324,3,FALSE)</f>
        <v>0942</v>
      </c>
    </row>
    <row r="252" spans="1:33">
      <c r="A252" s="84"/>
      <c r="B252" s="83" t="str">
        <f t="shared" si="31"/>
        <v/>
      </c>
      <c r="C252" s="84"/>
      <c r="D252" s="83" t="str">
        <f t="shared" si="32"/>
        <v/>
      </c>
      <c r="E252" s="85"/>
      <c r="F252" s="83" t="str">
        <f t="shared" si="33"/>
        <v/>
      </c>
      <c r="G252" s="83" t="str">
        <f t="shared" si="34"/>
        <v/>
      </c>
      <c r="H252" s="69"/>
      <c r="I252" s="69"/>
      <c r="J252" s="78">
        <f t="shared" si="35"/>
        <v>0</v>
      </c>
      <c r="K252" s="91"/>
      <c r="L252" s="92"/>
      <c r="M252" s="92"/>
      <c r="N252" s="91"/>
      <c r="O252" s="93"/>
      <c r="P252" s="67"/>
      <c r="R252" t="str">
        <f t="shared" si="36"/>
        <v/>
      </c>
      <c r="S252" t="str">
        <f t="shared" si="37"/>
        <v/>
      </c>
      <c r="T252" t="str">
        <f t="shared" si="38"/>
        <v/>
      </c>
      <c r="AD252" t="s">
        <v>1542</v>
      </c>
      <c r="AE252" t="s">
        <v>1543</v>
      </c>
      <c r="AF252" t="str">
        <f t="shared" si="39"/>
        <v>A679074</v>
      </c>
      <c r="AG252" t="str">
        <f>VLOOKUP(AF252,AKT!$C$4:$E$324,3,FALSE)</f>
        <v>0942</v>
      </c>
    </row>
    <row r="253" spans="1:33">
      <c r="A253" s="84"/>
      <c r="B253" s="83" t="str">
        <f t="shared" si="31"/>
        <v/>
      </c>
      <c r="C253" s="84"/>
      <c r="D253" s="83" t="str">
        <f t="shared" si="32"/>
        <v/>
      </c>
      <c r="E253" s="85"/>
      <c r="F253" s="83" t="str">
        <f t="shared" si="33"/>
        <v/>
      </c>
      <c r="G253" s="83" t="str">
        <f t="shared" si="34"/>
        <v/>
      </c>
      <c r="H253" s="69"/>
      <c r="I253" s="69"/>
      <c r="J253" s="78">
        <f t="shared" si="35"/>
        <v>0</v>
      </c>
      <c r="K253" s="91"/>
      <c r="L253" s="92"/>
      <c r="M253" s="92"/>
      <c r="N253" s="91"/>
      <c r="O253" s="93"/>
      <c r="P253" s="67"/>
      <c r="R253" t="str">
        <f t="shared" si="36"/>
        <v/>
      </c>
      <c r="S253" t="str">
        <f t="shared" si="37"/>
        <v/>
      </c>
      <c r="T253" t="str">
        <f t="shared" si="38"/>
        <v/>
      </c>
      <c r="AD253" t="s">
        <v>1544</v>
      </c>
      <c r="AE253" t="s">
        <v>1545</v>
      </c>
      <c r="AF253" t="str">
        <f t="shared" si="39"/>
        <v>A679074</v>
      </c>
      <c r="AG253" t="str">
        <f>VLOOKUP(AF253,AKT!$C$4:$E$324,3,FALSE)</f>
        <v>0942</v>
      </c>
    </row>
    <row r="254" spans="1:33">
      <c r="A254" s="84"/>
      <c r="B254" s="83" t="str">
        <f t="shared" si="31"/>
        <v/>
      </c>
      <c r="C254" s="84"/>
      <c r="D254" s="83" t="str">
        <f t="shared" si="32"/>
        <v/>
      </c>
      <c r="E254" s="85"/>
      <c r="F254" s="83" t="str">
        <f t="shared" si="33"/>
        <v/>
      </c>
      <c r="G254" s="83" t="str">
        <f t="shared" si="34"/>
        <v/>
      </c>
      <c r="H254" s="69"/>
      <c r="I254" s="69"/>
      <c r="J254" s="78">
        <f t="shared" si="35"/>
        <v>0</v>
      </c>
      <c r="K254" s="91"/>
      <c r="L254" s="92"/>
      <c r="M254" s="92"/>
      <c r="N254" s="91"/>
      <c r="O254" s="93"/>
      <c r="P254" s="67"/>
      <c r="R254" t="str">
        <f t="shared" si="36"/>
        <v/>
      </c>
      <c r="S254" t="str">
        <f t="shared" si="37"/>
        <v/>
      </c>
      <c r="T254" t="str">
        <f t="shared" si="38"/>
        <v/>
      </c>
      <c r="AD254" t="s">
        <v>1546</v>
      </c>
      <c r="AE254" t="s">
        <v>1547</v>
      </c>
      <c r="AF254" t="str">
        <f t="shared" si="39"/>
        <v>A679074</v>
      </c>
      <c r="AG254" t="str">
        <f>VLOOKUP(AF254,AKT!$C$4:$E$324,3,FALSE)</f>
        <v>0942</v>
      </c>
    </row>
    <row r="255" spans="1:33">
      <c r="A255" s="84"/>
      <c r="B255" s="83" t="str">
        <f t="shared" si="31"/>
        <v/>
      </c>
      <c r="C255" s="84"/>
      <c r="D255" s="83" t="str">
        <f t="shared" si="32"/>
        <v/>
      </c>
      <c r="E255" s="85"/>
      <c r="F255" s="83" t="str">
        <f t="shared" si="33"/>
        <v/>
      </c>
      <c r="G255" s="83" t="str">
        <f t="shared" si="34"/>
        <v/>
      </c>
      <c r="H255" s="69"/>
      <c r="I255" s="69"/>
      <c r="J255" s="78">
        <f t="shared" si="35"/>
        <v>0</v>
      </c>
      <c r="K255" s="91"/>
      <c r="L255" s="92"/>
      <c r="M255" s="92"/>
      <c r="N255" s="91"/>
      <c r="O255" s="93"/>
      <c r="P255" s="67"/>
      <c r="R255" t="str">
        <f t="shared" si="36"/>
        <v/>
      </c>
      <c r="S255" t="str">
        <f t="shared" si="37"/>
        <v/>
      </c>
      <c r="T255" t="str">
        <f t="shared" si="38"/>
        <v/>
      </c>
      <c r="AD255" t="s">
        <v>1548</v>
      </c>
      <c r="AE255" t="s">
        <v>1549</v>
      </c>
      <c r="AF255" t="str">
        <f t="shared" si="39"/>
        <v>A679074</v>
      </c>
      <c r="AG255" t="str">
        <f>VLOOKUP(AF255,AKT!$C$4:$E$324,3,FALSE)</f>
        <v>0942</v>
      </c>
    </row>
    <row r="256" spans="1:33">
      <c r="A256" s="84"/>
      <c r="B256" s="83" t="str">
        <f t="shared" si="31"/>
        <v/>
      </c>
      <c r="C256" s="84"/>
      <c r="D256" s="83" t="str">
        <f t="shared" si="32"/>
        <v/>
      </c>
      <c r="E256" s="85"/>
      <c r="F256" s="83" t="str">
        <f t="shared" si="33"/>
        <v/>
      </c>
      <c r="G256" s="83" t="str">
        <f t="shared" si="34"/>
        <v/>
      </c>
      <c r="H256" s="69"/>
      <c r="I256" s="69"/>
      <c r="J256" s="78">
        <f t="shared" si="35"/>
        <v>0</v>
      </c>
      <c r="K256" s="91"/>
      <c r="L256" s="92"/>
      <c r="M256" s="92"/>
      <c r="N256" s="91"/>
      <c r="O256" s="93"/>
      <c r="P256" s="67"/>
      <c r="R256" t="str">
        <f t="shared" si="36"/>
        <v/>
      </c>
      <c r="S256" t="str">
        <f t="shared" si="37"/>
        <v/>
      </c>
      <c r="T256" t="str">
        <f t="shared" si="38"/>
        <v/>
      </c>
      <c r="AD256" t="s">
        <v>1550</v>
      </c>
      <c r="AE256" t="s">
        <v>1551</v>
      </c>
      <c r="AF256" t="str">
        <f t="shared" si="39"/>
        <v>A679074</v>
      </c>
      <c r="AG256" t="str">
        <f>VLOOKUP(AF256,AKT!$C$4:$E$324,3,FALSE)</f>
        <v>0942</v>
      </c>
    </row>
    <row r="257" spans="1:33">
      <c r="A257" s="84"/>
      <c r="B257" s="83" t="str">
        <f t="shared" si="31"/>
        <v/>
      </c>
      <c r="C257" s="84"/>
      <c r="D257" s="83" t="str">
        <f t="shared" si="32"/>
        <v/>
      </c>
      <c r="E257" s="85"/>
      <c r="F257" s="83" t="str">
        <f t="shared" si="33"/>
        <v/>
      </c>
      <c r="G257" s="83" t="str">
        <f t="shared" si="34"/>
        <v/>
      </c>
      <c r="H257" s="69"/>
      <c r="I257" s="69"/>
      <c r="J257" s="78">
        <f t="shared" si="35"/>
        <v>0</v>
      </c>
      <c r="K257" s="91"/>
      <c r="L257" s="92"/>
      <c r="M257" s="92"/>
      <c r="N257" s="91"/>
      <c r="O257" s="93"/>
      <c r="P257" s="67"/>
      <c r="R257" t="str">
        <f t="shared" si="36"/>
        <v/>
      </c>
      <c r="S257" t="str">
        <f t="shared" si="37"/>
        <v/>
      </c>
      <c r="T257" t="str">
        <f t="shared" si="38"/>
        <v/>
      </c>
      <c r="AD257" t="s">
        <v>1552</v>
      </c>
      <c r="AE257" t="s">
        <v>1553</v>
      </c>
      <c r="AF257" t="str">
        <f t="shared" si="39"/>
        <v>A679075</v>
      </c>
      <c r="AG257" t="str">
        <f>VLOOKUP(AF257,AKT!$C$4:$E$324,3,FALSE)</f>
        <v>0942</v>
      </c>
    </row>
    <row r="258" spans="1:33">
      <c r="A258" s="84"/>
      <c r="B258" s="83" t="str">
        <f t="shared" si="31"/>
        <v/>
      </c>
      <c r="C258" s="84"/>
      <c r="D258" s="83" t="str">
        <f t="shared" si="32"/>
        <v/>
      </c>
      <c r="E258" s="85"/>
      <c r="F258" s="83" t="str">
        <f t="shared" si="33"/>
        <v/>
      </c>
      <c r="G258" s="83" t="str">
        <f t="shared" si="34"/>
        <v/>
      </c>
      <c r="H258" s="69"/>
      <c r="I258" s="69"/>
      <c r="J258" s="78">
        <f t="shared" si="35"/>
        <v>0</v>
      </c>
      <c r="K258" s="91"/>
      <c r="L258" s="92"/>
      <c r="M258" s="92"/>
      <c r="N258" s="91"/>
      <c r="O258" s="93"/>
      <c r="P258" s="67"/>
      <c r="R258" t="str">
        <f t="shared" si="36"/>
        <v/>
      </c>
      <c r="S258" t="str">
        <f t="shared" si="37"/>
        <v/>
      </c>
      <c r="T258" t="str">
        <f t="shared" si="38"/>
        <v/>
      </c>
      <c r="AD258" t="s">
        <v>1554</v>
      </c>
      <c r="AE258" t="s">
        <v>1555</v>
      </c>
      <c r="AF258" t="str">
        <f t="shared" si="39"/>
        <v>A679075</v>
      </c>
      <c r="AG258" t="str">
        <f>VLOOKUP(AF258,AKT!$C$4:$E$324,3,FALSE)</f>
        <v>0942</v>
      </c>
    </row>
    <row r="259" spans="1:33">
      <c r="A259" s="84"/>
      <c r="B259" s="83" t="str">
        <f t="shared" ref="B259:B322" si="40">IFERROR(VLOOKUP(A259,$U$6:$V$23,2,FALSE),"")</f>
        <v/>
      </c>
      <c r="C259" s="84"/>
      <c r="D259" s="83" t="str">
        <f t="shared" si="32"/>
        <v/>
      </c>
      <c r="E259" s="85"/>
      <c r="F259" s="83" t="str">
        <f t="shared" si="33"/>
        <v/>
      </c>
      <c r="G259" s="83" t="str">
        <f t="shared" si="34"/>
        <v/>
      </c>
      <c r="H259" s="69"/>
      <c r="I259" s="69"/>
      <c r="J259" s="78">
        <f t="shared" si="35"/>
        <v>0</v>
      </c>
      <c r="K259" s="91"/>
      <c r="L259" s="92"/>
      <c r="M259" s="92"/>
      <c r="N259" s="91"/>
      <c r="O259" s="93"/>
      <c r="P259" s="67"/>
      <c r="R259" t="str">
        <f t="shared" si="36"/>
        <v/>
      </c>
      <c r="S259" t="str">
        <f t="shared" si="37"/>
        <v/>
      </c>
      <c r="T259" t="str">
        <f t="shared" si="38"/>
        <v/>
      </c>
      <c r="AD259" t="s">
        <v>1556</v>
      </c>
      <c r="AE259" t="s">
        <v>1557</v>
      </c>
      <c r="AF259" t="str">
        <f t="shared" si="39"/>
        <v>A679075</v>
      </c>
      <c r="AG259" t="str">
        <f>VLOOKUP(AF259,AKT!$C$4:$E$324,3,FALSE)</f>
        <v>0942</v>
      </c>
    </row>
    <row r="260" spans="1:33">
      <c r="A260" s="84"/>
      <c r="B260" s="83" t="str">
        <f t="shared" si="40"/>
        <v/>
      </c>
      <c r="C260" s="84"/>
      <c r="D260" s="83" t="str">
        <f t="shared" ref="D260:D323" si="41">IFERROR(VLOOKUP(C260,$X$5:$Z$129,2,FALSE),"")</f>
        <v/>
      </c>
      <c r="E260" s="85"/>
      <c r="F260" s="83" t="str">
        <f t="shared" ref="F260:F323" si="42">IFERROR(VLOOKUP(E260,$AD$6:$AE$1090,2,FALSE),"")</f>
        <v/>
      </c>
      <c r="G260" s="83" t="str">
        <f t="shared" ref="G260:G323" si="43">IFERROR(VLOOKUP(E260,$AD$6:$AG$1090,4,FALSE),"")</f>
        <v/>
      </c>
      <c r="H260" s="69"/>
      <c r="I260" s="69"/>
      <c r="J260" s="78">
        <f t="shared" ref="J260:J323" si="44">I260-H260</f>
        <v>0</v>
      </c>
      <c r="K260" s="91"/>
      <c r="L260" s="92"/>
      <c r="M260" s="92"/>
      <c r="N260" s="91"/>
      <c r="O260" s="93"/>
      <c r="P260" s="67"/>
      <c r="R260" t="str">
        <f t="shared" ref="R260:R323" si="45">LEFT(C260,3)</f>
        <v/>
      </c>
      <c r="S260" t="str">
        <f t="shared" ref="S260:S323" si="46">LEFT(C260,2)</f>
        <v/>
      </c>
      <c r="T260" t="str">
        <f t="shared" ref="T260:T323" si="47">MID(G260,2,2)</f>
        <v/>
      </c>
      <c r="AD260" t="s">
        <v>1558</v>
      </c>
      <c r="AE260" t="s">
        <v>1559</v>
      </c>
      <c r="AF260" t="str">
        <f t="shared" si="39"/>
        <v>A679075</v>
      </c>
      <c r="AG260" t="str">
        <f>VLOOKUP(AF260,AKT!$C$4:$E$324,3,FALSE)</f>
        <v>0942</v>
      </c>
    </row>
    <row r="261" spans="1:33">
      <c r="A261" s="84"/>
      <c r="B261" s="83" t="str">
        <f t="shared" si="40"/>
        <v/>
      </c>
      <c r="C261" s="84"/>
      <c r="D261" s="83" t="str">
        <f t="shared" si="41"/>
        <v/>
      </c>
      <c r="E261" s="85"/>
      <c r="F261" s="83" t="str">
        <f t="shared" si="42"/>
        <v/>
      </c>
      <c r="G261" s="83" t="str">
        <f t="shared" si="43"/>
        <v/>
      </c>
      <c r="H261" s="69"/>
      <c r="I261" s="69"/>
      <c r="J261" s="78">
        <f t="shared" si="44"/>
        <v>0</v>
      </c>
      <c r="K261" s="91"/>
      <c r="L261" s="92"/>
      <c r="M261" s="92"/>
      <c r="N261" s="91"/>
      <c r="O261" s="93"/>
      <c r="P261" s="67"/>
      <c r="R261" t="str">
        <f t="shared" si="45"/>
        <v/>
      </c>
      <c r="S261" t="str">
        <f t="shared" si="46"/>
        <v/>
      </c>
      <c r="T261" t="str">
        <f t="shared" si="47"/>
        <v/>
      </c>
      <c r="AD261" t="s">
        <v>1560</v>
      </c>
      <c r="AE261" t="s">
        <v>1561</v>
      </c>
      <c r="AF261" t="str">
        <f t="shared" si="39"/>
        <v>A679075</v>
      </c>
      <c r="AG261" t="str">
        <f>VLOOKUP(AF261,AKT!$C$4:$E$324,3,FALSE)</f>
        <v>0942</v>
      </c>
    </row>
    <row r="262" spans="1:33">
      <c r="A262" s="84"/>
      <c r="B262" s="83" t="str">
        <f t="shared" si="40"/>
        <v/>
      </c>
      <c r="C262" s="84"/>
      <c r="D262" s="83" t="str">
        <f t="shared" si="41"/>
        <v/>
      </c>
      <c r="E262" s="85"/>
      <c r="F262" s="83" t="str">
        <f t="shared" si="42"/>
        <v/>
      </c>
      <c r="G262" s="83" t="str">
        <f t="shared" si="43"/>
        <v/>
      </c>
      <c r="H262" s="69"/>
      <c r="I262" s="69"/>
      <c r="J262" s="78">
        <f t="shared" si="44"/>
        <v>0</v>
      </c>
      <c r="K262" s="91"/>
      <c r="L262" s="92"/>
      <c r="M262" s="92"/>
      <c r="N262" s="91"/>
      <c r="O262" s="93"/>
      <c r="P262" s="67"/>
      <c r="R262" t="str">
        <f t="shared" si="45"/>
        <v/>
      </c>
      <c r="S262" t="str">
        <f t="shared" si="46"/>
        <v/>
      </c>
      <c r="T262" t="str">
        <f t="shared" si="47"/>
        <v/>
      </c>
      <c r="AD262" t="s">
        <v>1562</v>
      </c>
      <c r="AE262" t="s">
        <v>1563</v>
      </c>
      <c r="AF262" t="str">
        <f t="shared" si="39"/>
        <v>A679075</v>
      </c>
      <c r="AG262" t="str">
        <f>VLOOKUP(AF262,AKT!$C$4:$E$324,3,FALSE)</f>
        <v>0942</v>
      </c>
    </row>
    <row r="263" spans="1:33">
      <c r="A263" s="84"/>
      <c r="B263" s="83" t="str">
        <f t="shared" si="40"/>
        <v/>
      </c>
      <c r="C263" s="84"/>
      <c r="D263" s="83" t="str">
        <f t="shared" si="41"/>
        <v/>
      </c>
      <c r="E263" s="85"/>
      <c r="F263" s="83" t="str">
        <f t="shared" si="42"/>
        <v/>
      </c>
      <c r="G263" s="83" t="str">
        <f t="shared" si="43"/>
        <v/>
      </c>
      <c r="H263" s="69"/>
      <c r="I263" s="69"/>
      <c r="J263" s="78">
        <f t="shared" si="44"/>
        <v>0</v>
      </c>
      <c r="K263" s="91"/>
      <c r="L263" s="92"/>
      <c r="M263" s="92"/>
      <c r="N263" s="91"/>
      <c r="O263" s="93"/>
      <c r="P263" s="67"/>
      <c r="R263" t="str">
        <f t="shared" si="45"/>
        <v/>
      </c>
      <c r="S263" t="str">
        <f t="shared" si="46"/>
        <v/>
      </c>
      <c r="T263" t="str">
        <f t="shared" si="47"/>
        <v/>
      </c>
      <c r="AD263" t="s">
        <v>1564</v>
      </c>
      <c r="AE263" t="s">
        <v>1565</v>
      </c>
      <c r="AF263" t="str">
        <f t="shared" si="39"/>
        <v>A679075</v>
      </c>
      <c r="AG263" t="str">
        <f>VLOOKUP(AF263,AKT!$C$4:$E$324,3,FALSE)</f>
        <v>0942</v>
      </c>
    </row>
    <row r="264" spans="1:33">
      <c r="A264" s="84"/>
      <c r="B264" s="83" t="str">
        <f t="shared" si="40"/>
        <v/>
      </c>
      <c r="C264" s="84"/>
      <c r="D264" s="83" t="str">
        <f t="shared" si="41"/>
        <v/>
      </c>
      <c r="E264" s="85"/>
      <c r="F264" s="83" t="str">
        <f t="shared" si="42"/>
        <v/>
      </c>
      <c r="G264" s="83" t="str">
        <f t="shared" si="43"/>
        <v/>
      </c>
      <c r="H264" s="69"/>
      <c r="I264" s="69"/>
      <c r="J264" s="78">
        <f t="shared" si="44"/>
        <v>0</v>
      </c>
      <c r="K264" s="91"/>
      <c r="L264" s="92"/>
      <c r="M264" s="92"/>
      <c r="N264" s="91"/>
      <c r="O264" s="93"/>
      <c r="P264" s="67"/>
      <c r="R264" t="str">
        <f t="shared" si="45"/>
        <v/>
      </c>
      <c r="S264" t="str">
        <f t="shared" si="46"/>
        <v/>
      </c>
      <c r="T264" t="str">
        <f t="shared" si="47"/>
        <v/>
      </c>
      <c r="AD264" t="s">
        <v>1566</v>
      </c>
      <c r="AE264" t="s">
        <v>1567</v>
      </c>
      <c r="AF264" t="str">
        <f t="shared" ref="AF264:AF327" si="48">LEFT(AD264,7)</f>
        <v>A679075</v>
      </c>
      <c r="AG264" t="str">
        <f>VLOOKUP(AF264,AKT!$C$4:$E$324,3,FALSE)</f>
        <v>0942</v>
      </c>
    </row>
    <row r="265" spans="1:33">
      <c r="A265" s="84"/>
      <c r="B265" s="83" t="str">
        <f t="shared" si="40"/>
        <v/>
      </c>
      <c r="C265" s="84"/>
      <c r="D265" s="83" t="str">
        <f t="shared" si="41"/>
        <v/>
      </c>
      <c r="E265" s="85"/>
      <c r="F265" s="83" t="str">
        <f t="shared" si="42"/>
        <v/>
      </c>
      <c r="G265" s="83" t="str">
        <f t="shared" si="43"/>
        <v/>
      </c>
      <c r="H265" s="69"/>
      <c r="I265" s="69"/>
      <c r="J265" s="78">
        <f t="shared" si="44"/>
        <v>0</v>
      </c>
      <c r="K265" s="91"/>
      <c r="L265" s="92"/>
      <c r="M265" s="92"/>
      <c r="N265" s="91"/>
      <c r="O265" s="93"/>
      <c r="P265" s="67"/>
      <c r="R265" t="str">
        <f t="shared" si="45"/>
        <v/>
      </c>
      <c r="S265" t="str">
        <f t="shared" si="46"/>
        <v/>
      </c>
      <c r="T265" t="str">
        <f t="shared" si="47"/>
        <v/>
      </c>
      <c r="AD265" t="s">
        <v>1568</v>
      </c>
      <c r="AE265" t="s">
        <v>1569</v>
      </c>
      <c r="AF265" t="str">
        <f t="shared" si="48"/>
        <v>A679075</v>
      </c>
      <c r="AG265" t="str">
        <f>VLOOKUP(AF265,AKT!$C$4:$E$324,3,FALSE)</f>
        <v>0942</v>
      </c>
    </row>
    <row r="266" spans="1:33">
      <c r="A266" s="84"/>
      <c r="B266" s="83" t="str">
        <f t="shared" si="40"/>
        <v/>
      </c>
      <c r="C266" s="84"/>
      <c r="D266" s="83" t="str">
        <f t="shared" si="41"/>
        <v/>
      </c>
      <c r="E266" s="85"/>
      <c r="F266" s="83" t="str">
        <f t="shared" si="42"/>
        <v/>
      </c>
      <c r="G266" s="83" t="str">
        <f t="shared" si="43"/>
        <v/>
      </c>
      <c r="H266" s="69"/>
      <c r="I266" s="69"/>
      <c r="J266" s="78">
        <f t="shared" si="44"/>
        <v>0</v>
      </c>
      <c r="K266" s="91"/>
      <c r="L266" s="92"/>
      <c r="M266" s="92"/>
      <c r="N266" s="91"/>
      <c r="O266" s="93"/>
      <c r="P266" s="67"/>
      <c r="R266" t="str">
        <f t="shared" si="45"/>
        <v/>
      </c>
      <c r="S266" t="str">
        <f t="shared" si="46"/>
        <v/>
      </c>
      <c r="T266" t="str">
        <f t="shared" si="47"/>
        <v/>
      </c>
      <c r="AD266" t="s">
        <v>1570</v>
      </c>
      <c r="AE266" t="s">
        <v>1571</v>
      </c>
      <c r="AF266" t="str">
        <f t="shared" si="48"/>
        <v>A679075</v>
      </c>
      <c r="AG266" t="str">
        <f>VLOOKUP(AF266,AKT!$C$4:$E$324,3,FALSE)</f>
        <v>0942</v>
      </c>
    </row>
    <row r="267" spans="1:33">
      <c r="A267" s="84"/>
      <c r="B267" s="83" t="str">
        <f t="shared" si="40"/>
        <v/>
      </c>
      <c r="C267" s="84"/>
      <c r="D267" s="83" t="str">
        <f t="shared" si="41"/>
        <v/>
      </c>
      <c r="E267" s="85"/>
      <c r="F267" s="83" t="str">
        <f t="shared" si="42"/>
        <v/>
      </c>
      <c r="G267" s="83" t="str">
        <f t="shared" si="43"/>
        <v/>
      </c>
      <c r="H267" s="69"/>
      <c r="I267" s="69"/>
      <c r="J267" s="78">
        <f t="shared" si="44"/>
        <v>0</v>
      </c>
      <c r="K267" s="91"/>
      <c r="L267" s="92"/>
      <c r="M267" s="92"/>
      <c r="N267" s="91"/>
      <c r="O267" s="93"/>
      <c r="P267" s="67"/>
      <c r="R267" t="str">
        <f t="shared" si="45"/>
        <v/>
      </c>
      <c r="S267" t="str">
        <f t="shared" si="46"/>
        <v/>
      </c>
      <c r="T267" t="str">
        <f t="shared" si="47"/>
        <v/>
      </c>
      <c r="AD267" t="s">
        <v>1572</v>
      </c>
      <c r="AE267" t="s">
        <v>1573</v>
      </c>
      <c r="AF267" t="str">
        <f t="shared" si="48"/>
        <v>A679075</v>
      </c>
      <c r="AG267" t="str">
        <f>VLOOKUP(AF267,AKT!$C$4:$E$324,3,FALSE)</f>
        <v>0942</v>
      </c>
    </row>
    <row r="268" spans="1:33">
      <c r="A268" s="84"/>
      <c r="B268" s="83" t="str">
        <f t="shared" si="40"/>
        <v/>
      </c>
      <c r="C268" s="84"/>
      <c r="D268" s="83" t="str">
        <f t="shared" si="41"/>
        <v/>
      </c>
      <c r="E268" s="85"/>
      <c r="F268" s="83" t="str">
        <f t="shared" si="42"/>
        <v/>
      </c>
      <c r="G268" s="83" t="str">
        <f t="shared" si="43"/>
        <v/>
      </c>
      <c r="H268" s="69"/>
      <c r="I268" s="69"/>
      <c r="J268" s="78">
        <f t="shared" si="44"/>
        <v>0</v>
      </c>
      <c r="K268" s="91"/>
      <c r="L268" s="92"/>
      <c r="M268" s="92"/>
      <c r="N268" s="91"/>
      <c r="O268" s="93"/>
      <c r="P268" s="67"/>
      <c r="R268" t="str">
        <f t="shared" si="45"/>
        <v/>
      </c>
      <c r="S268" t="str">
        <f t="shared" si="46"/>
        <v/>
      </c>
      <c r="T268" t="str">
        <f t="shared" si="47"/>
        <v/>
      </c>
      <c r="AD268" t="s">
        <v>1574</v>
      </c>
      <c r="AE268" t="s">
        <v>1575</v>
      </c>
      <c r="AF268" t="str">
        <f t="shared" si="48"/>
        <v>A679075</v>
      </c>
      <c r="AG268" t="str">
        <f>VLOOKUP(AF268,AKT!$C$4:$E$324,3,FALSE)</f>
        <v>0942</v>
      </c>
    </row>
    <row r="269" spans="1:33">
      <c r="A269" s="84"/>
      <c r="B269" s="83" t="str">
        <f t="shared" si="40"/>
        <v/>
      </c>
      <c r="C269" s="84"/>
      <c r="D269" s="83" t="str">
        <f t="shared" si="41"/>
        <v/>
      </c>
      <c r="E269" s="85"/>
      <c r="F269" s="83" t="str">
        <f t="shared" si="42"/>
        <v/>
      </c>
      <c r="G269" s="83" t="str">
        <f t="shared" si="43"/>
        <v/>
      </c>
      <c r="H269" s="69"/>
      <c r="I269" s="69"/>
      <c r="J269" s="78">
        <f t="shared" si="44"/>
        <v>0</v>
      </c>
      <c r="K269" s="91"/>
      <c r="L269" s="92"/>
      <c r="M269" s="92"/>
      <c r="N269" s="91"/>
      <c r="O269" s="93"/>
      <c r="P269" s="67"/>
      <c r="R269" t="str">
        <f t="shared" si="45"/>
        <v/>
      </c>
      <c r="S269" t="str">
        <f t="shared" si="46"/>
        <v/>
      </c>
      <c r="T269" t="str">
        <f t="shared" si="47"/>
        <v/>
      </c>
      <c r="AD269" t="s">
        <v>1576</v>
      </c>
      <c r="AE269" t="s">
        <v>1577</v>
      </c>
      <c r="AF269" t="str">
        <f t="shared" si="48"/>
        <v>A679075</v>
      </c>
      <c r="AG269" t="str">
        <f>VLOOKUP(AF269,AKT!$C$4:$E$324,3,FALSE)</f>
        <v>0942</v>
      </c>
    </row>
    <row r="270" spans="1:33">
      <c r="A270" s="84"/>
      <c r="B270" s="83" t="str">
        <f t="shared" si="40"/>
        <v/>
      </c>
      <c r="C270" s="84"/>
      <c r="D270" s="83" t="str">
        <f t="shared" si="41"/>
        <v/>
      </c>
      <c r="E270" s="85"/>
      <c r="F270" s="83" t="str">
        <f t="shared" si="42"/>
        <v/>
      </c>
      <c r="G270" s="83" t="str">
        <f t="shared" si="43"/>
        <v/>
      </c>
      <c r="H270" s="69"/>
      <c r="I270" s="69"/>
      <c r="J270" s="78">
        <f t="shared" si="44"/>
        <v>0</v>
      </c>
      <c r="K270" s="91"/>
      <c r="L270" s="92"/>
      <c r="M270" s="92"/>
      <c r="N270" s="91"/>
      <c r="O270" s="93"/>
      <c r="P270" s="67"/>
      <c r="R270" t="str">
        <f t="shared" si="45"/>
        <v/>
      </c>
      <c r="S270" t="str">
        <f t="shared" si="46"/>
        <v/>
      </c>
      <c r="T270" t="str">
        <f t="shared" si="47"/>
        <v/>
      </c>
      <c r="AD270" t="s">
        <v>1578</v>
      </c>
      <c r="AE270" t="s">
        <v>1579</v>
      </c>
      <c r="AF270" t="str">
        <f t="shared" si="48"/>
        <v>A679075</v>
      </c>
      <c r="AG270" t="str">
        <f>VLOOKUP(AF270,AKT!$C$4:$E$324,3,FALSE)</f>
        <v>0942</v>
      </c>
    </row>
    <row r="271" spans="1:33">
      <c r="A271" s="84"/>
      <c r="B271" s="83" t="str">
        <f t="shared" si="40"/>
        <v/>
      </c>
      <c r="C271" s="84"/>
      <c r="D271" s="83" t="str">
        <f t="shared" si="41"/>
        <v/>
      </c>
      <c r="E271" s="85"/>
      <c r="F271" s="83" t="str">
        <f t="shared" si="42"/>
        <v/>
      </c>
      <c r="G271" s="83" t="str">
        <f t="shared" si="43"/>
        <v/>
      </c>
      <c r="H271" s="69"/>
      <c r="I271" s="69"/>
      <c r="J271" s="78">
        <f t="shared" si="44"/>
        <v>0</v>
      </c>
      <c r="K271" s="91"/>
      <c r="L271" s="92"/>
      <c r="M271" s="92"/>
      <c r="N271" s="91"/>
      <c r="O271" s="93"/>
      <c r="P271" s="67"/>
      <c r="R271" t="str">
        <f t="shared" si="45"/>
        <v/>
      </c>
      <c r="S271" t="str">
        <f t="shared" si="46"/>
        <v/>
      </c>
      <c r="T271" t="str">
        <f t="shared" si="47"/>
        <v/>
      </c>
      <c r="AD271" t="s">
        <v>1580</v>
      </c>
      <c r="AE271" t="s">
        <v>1581</v>
      </c>
      <c r="AF271" t="str">
        <f t="shared" si="48"/>
        <v>A679075</v>
      </c>
      <c r="AG271" t="str">
        <f>VLOOKUP(AF271,AKT!$C$4:$E$324,3,FALSE)</f>
        <v>0942</v>
      </c>
    </row>
    <row r="272" spans="1:33">
      <c r="A272" s="84"/>
      <c r="B272" s="83" t="str">
        <f t="shared" si="40"/>
        <v/>
      </c>
      <c r="C272" s="84"/>
      <c r="D272" s="83" t="str">
        <f t="shared" si="41"/>
        <v/>
      </c>
      <c r="E272" s="85"/>
      <c r="F272" s="83" t="str">
        <f t="shared" si="42"/>
        <v/>
      </c>
      <c r="G272" s="83" t="str">
        <f t="shared" si="43"/>
        <v/>
      </c>
      <c r="H272" s="69"/>
      <c r="I272" s="69"/>
      <c r="J272" s="78">
        <f t="shared" si="44"/>
        <v>0</v>
      </c>
      <c r="K272" s="91"/>
      <c r="L272" s="92"/>
      <c r="M272" s="92"/>
      <c r="N272" s="91"/>
      <c r="O272" s="93"/>
      <c r="P272" s="67"/>
      <c r="R272" t="str">
        <f t="shared" si="45"/>
        <v/>
      </c>
      <c r="S272" t="str">
        <f t="shared" si="46"/>
        <v/>
      </c>
      <c r="T272" t="str">
        <f t="shared" si="47"/>
        <v/>
      </c>
      <c r="AD272" t="s">
        <v>1582</v>
      </c>
      <c r="AE272" t="s">
        <v>1583</v>
      </c>
      <c r="AF272" t="str">
        <f t="shared" si="48"/>
        <v>A679075</v>
      </c>
      <c r="AG272" t="str">
        <f>VLOOKUP(AF272,AKT!$C$4:$E$324,3,FALSE)</f>
        <v>0942</v>
      </c>
    </row>
    <row r="273" spans="1:33">
      <c r="A273" s="84"/>
      <c r="B273" s="83" t="str">
        <f t="shared" si="40"/>
        <v/>
      </c>
      <c r="C273" s="84"/>
      <c r="D273" s="83" t="str">
        <f t="shared" si="41"/>
        <v/>
      </c>
      <c r="E273" s="85"/>
      <c r="F273" s="83" t="str">
        <f t="shared" si="42"/>
        <v/>
      </c>
      <c r="G273" s="83" t="str">
        <f t="shared" si="43"/>
        <v/>
      </c>
      <c r="H273" s="69"/>
      <c r="I273" s="69"/>
      <c r="J273" s="78">
        <f t="shared" si="44"/>
        <v>0</v>
      </c>
      <c r="K273" s="91"/>
      <c r="L273" s="92"/>
      <c r="M273" s="92"/>
      <c r="N273" s="91"/>
      <c r="O273" s="93"/>
      <c r="P273" s="67"/>
      <c r="R273" t="str">
        <f t="shared" si="45"/>
        <v/>
      </c>
      <c r="S273" t="str">
        <f t="shared" si="46"/>
        <v/>
      </c>
      <c r="T273" t="str">
        <f t="shared" si="47"/>
        <v/>
      </c>
      <c r="AD273" t="s">
        <v>1584</v>
      </c>
      <c r="AE273" t="s">
        <v>1585</v>
      </c>
      <c r="AF273" t="str">
        <f t="shared" si="48"/>
        <v>A679075</v>
      </c>
      <c r="AG273" t="str">
        <f>VLOOKUP(AF273,AKT!$C$4:$E$324,3,FALSE)</f>
        <v>0942</v>
      </c>
    </row>
    <row r="274" spans="1:33">
      <c r="A274" s="84"/>
      <c r="B274" s="83" t="str">
        <f t="shared" si="40"/>
        <v/>
      </c>
      <c r="C274" s="84"/>
      <c r="D274" s="83" t="str">
        <f t="shared" si="41"/>
        <v/>
      </c>
      <c r="E274" s="85"/>
      <c r="F274" s="83" t="str">
        <f t="shared" si="42"/>
        <v/>
      </c>
      <c r="G274" s="83" t="str">
        <f t="shared" si="43"/>
        <v/>
      </c>
      <c r="H274" s="69"/>
      <c r="I274" s="69"/>
      <c r="J274" s="78">
        <f t="shared" si="44"/>
        <v>0</v>
      </c>
      <c r="K274" s="91"/>
      <c r="L274" s="92"/>
      <c r="M274" s="92"/>
      <c r="N274" s="91"/>
      <c r="O274" s="93"/>
      <c r="P274" s="67"/>
      <c r="R274" t="str">
        <f t="shared" si="45"/>
        <v/>
      </c>
      <c r="S274" t="str">
        <f t="shared" si="46"/>
        <v/>
      </c>
      <c r="T274" t="str">
        <f t="shared" si="47"/>
        <v/>
      </c>
      <c r="AD274" t="s">
        <v>1586</v>
      </c>
      <c r="AE274" t="s">
        <v>1587</v>
      </c>
      <c r="AF274" t="str">
        <f t="shared" si="48"/>
        <v>A679075</v>
      </c>
      <c r="AG274" t="str">
        <f>VLOOKUP(AF274,AKT!$C$4:$E$324,3,FALSE)</f>
        <v>0942</v>
      </c>
    </row>
    <row r="275" spans="1:33">
      <c r="A275" s="84"/>
      <c r="B275" s="83" t="str">
        <f t="shared" si="40"/>
        <v/>
      </c>
      <c r="C275" s="84"/>
      <c r="D275" s="83" t="str">
        <f t="shared" si="41"/>
        <v/>
      </c>
      <c r="E275" s="85"/>
      <c r="F275" s="83" t="str">
        <f t="shared" si="42"/>
        <v/>
      </c>
      <c r="G275" s="83" t="str">
        <f t="shared" si="43"/>
        <v/>
      </c>
      <c r="H275" s="69"/>
      <c r="I275" s="69"/>
      <c r="J275" s="78">
        <f t="shared" si="44"/>
        <v>0</v>
      </c>
      <c r="K275" s="91"/>
      <c r="L275" s="92"/>
      <c r="M275" s="92"/>
      <c r="N275" s="91"/>
      <c r="O275" s="93"/>
      <c r="P275" s="67"/>
      <c r="R275" t="str">
        <f t="shared" si="45"/>
        <v/>
      </c>
      <c r="S275" t="str">
        <f t="shared" si="46"/>
        <v/>
      </c>
      <c r="T275" t="str">
        <f t="shared" si="47"/>
        <v/>
      </c>
      <c r="AD275" t="s">
        <v>1588</v>
      </c>
      <c r="AE275" t="s">
        <v>1581</v>
      </c>
      <c r="AF275" t="str">
        <f t="shared" si="48"/>
        <v>A679075</v>
      </c>
      <c r="AG275" t="str">
        <f>VLOOKUP(AF275,AKT!$C$4:$E$324,3,FALSE)</f>
        <v>0942</v>
      </c>
    </row>
    <row r="276" spans="1:33">
      <c r="A276" s="84"/>
      <c r="B276" s="83" t="str">
        <f t="shared" si="40"/>
        <v/>
      </c>
      <c r="C276" s="84"/>
      <c r="D276" s="83" t="str">
        <f t="shared" si="41"/>
        <v/>
      </c>
      <c r="E276" s="85"/>
      <c r="F276" s="83" t="str">
        <f t="shared" si="42"/>
        <v/>
      </c>
      <c r="G276" s="83" t="str">
        <f t="shared" si="43"/>
        <v/>
      </c>
      <c r="H276" s="69"/>
      <c r="I276" s="69"/>
      <c r="J276" s="78">
        <f t="shared" si="44"/>
        <v>0</v>
      </c>
      <c r="K276" s="91"/>
      <c r="L276" s="92"/>
      <c r="M276" s="92"/>
      <c r="N276" s="91"/>
      <c r="O276" s="93"/>
      <c r="P276" s="67"/>
      <c r="R276" t="str">
        <f t="shared" si="45"/>
        <v/>
      </c>
      <c r="S276" t="str">
        <f t="shared" si="46"/>
        <v/>
      </c>
      <c r="T276" t="str">
        <f t="shared" si="47"/>
        <v/>
      </c>
      <c r="AD276" t="s">
        <v>1589</v>
      </c>
      <c r="AE276" t="s">
        <v>1590</v>
      </c>
      <c r="AF276" t="str">
        <f t="shared" si="48"/>
        <v>A679075</v>
      </c>
      <c r="AG276" t="str">
        <f>VLOOKUP(AF276,AKT!$C$4:$E$324,3,FALSE)</f>
        <v>0942</v>
      </c>
    </row>
    <row r="277" spans="1:33">
      <c r="A277" s="84"/>
      <c r="B277" s="83" t="str">
        <f t="shared" si="40"/>
        <v/>
      </c>
      <c r="C277" s="84"/>
      <c r="D277" s="83" t="str">
        <f t="shared" si="41"/>
        <v/>
      </c>
      <c r="E277" s="85"/>
      <c r="F277" s="83" t="str">
        <f t="shared" si="42"/>
        <v/>
      </c>
      <c r="G277" s="83" t="str">
        <f t="shared" si="43"/>
        <v/>
      </c>
      <c r="H277" s="69"/>
      <c r="I277" s="69"/>
      <c r="J277" s="78">
        <f t="shared" si="44"/>
        <v>0</v>
      </c>
      <c r="K277" s="91"/>
      <c r="L277" s="92"/>
      <c r="M277" s="92"/>
      <c r="N277" s="91"/>
      <c r="O277" s="93"/>
      <c r="P277" s="67"/>
      <c r="R277" t="str">
        <f t="shared" si="45"/>
        <v/>
      </c>
      <c r="S277" t="str">
        <f t="shared" si="46"/>
        <v/>
      </c>
      <c r="T277" t="str">
        <f t="shared" si="47"/>
        <v/>
      </c>
      <c r="AD277" t="s">
        <v>1591</v>
      </c>
      <c r="AE277" t="s">
        <v>1592</v>
      </c>
      <c r="AF277" t="str">
        <f t="shared" si="48"/>
        <v>A679075</v>
      </c>
      <c r="AG277" t="str">
        <f>VLOOKUP(AF277,AKT!$C$4:$E$324,3,FALSE)</f>
        <v>0942</v>
      </c>
    </row>
    <row r="278" spans="1:33">
      <c r="A278" s="84"/>
      <c r="B278" s="83" t="str">
        <f t="shared" si="40"/>
        <v/>
      </c>
      <c r="C278" s="84"/>
      <c r="D278" s="83" t="str">
        <f t="shared" si="41"/>
        <v/>
      </c>
      <c r="E278" s="85"/>
      <c r="F278" s="83" t="str">
        <f t="shared" si="42"/>
        <v/>
      </c>
      <c r="G278" s="83" t="str">
        <f t="shared" si="43"/>
        <v/>
      </c>
      <c r="H278" s="69"/>
      <c r="I278" s="69"/>
      <c r="J278" s="78">
        <f t="shared" si="44"/>
        <v>0</v>
      </c>
      <c r="K278" s="91"/>
      <c r="L278" s="92"/>
      <c r="M278" s="92"/>
      <c r="N278" s="91"/>
      <c r="O278" s="93"/>
      <c r="P278" s="67"/>
      <c r="R278" t="str">
        <f t="shared" si="45"/>
        <v/>
      </c>
      <c r="S278" t="str">
        <f t="shared" si="46"/>
        <v/>
      </c>
      <c r="T278" t="str">
        <f t="shared" si="47"/>
        <v/>
      </c>
      <c r="AD278" t="s">
        <v>1593</v>
      </c>
      <c r="AE278" t="s">
        <v>1594</v>
      </c>
      <c r="AF278" t="str">
        <f t="shared" si="48"/>
        <v>A679075</v>
      </c>
      <c r="AG278" t="str">
        <f>VLOOKUP(AF278,AKT!$C$4:$E$324,3,FALSE)</f>
        <v>0942</v>
      </c>
    </row>
    <row r="279" spans="1:33">
      <c r="A279" s="84"/>
      <c r="B279" s="83" t="str">
        <f t="shared" si="40"/>
        <v/>
      </c>
      <c r="C279" s="84"/>
      <c r="D279" s="83" t="str">
        <f t="shared" si="41"/>
        <v/>
      </c>
      <c r="E279" s="85"/>
      <c r="F279" s="83" t="str">
        <f t="shared" si="42"/>
        <v/>
      </c>
      <c r="G279" s="83" t="str">
        <f t="shared" si="43"/>
        <v/>
      </c>
      <c r="H279" s="69"/>
      <c r="I279" s="69"/>
      <c r="J279" s="78">
        <f t="shared" si="44"/>
        <v>0</v>
      </c>
      <c r="K279" s="91"/>
      <c r="L279" s="92"/>
      <c r="M279" s="92"/>
      <c r="N279" s="91"/>
      <c r="O279" s="93"/>
      <c r="P279" s="67"/>
      <c r="R279" t="str">
        <f t="shared" si="45"/>
        <v/>
      </c>
      <c r="S279" t="str">
        <f t="shared" si="46"/>
        <v/>
      </c>
      <c r="T279" t="str">
        <f t="shared" si="47"/>
        <v/>
      </c>
      <c r="AD279" t="s">
        <v>1595</v>
      </c>
      <c r="AE279" t="s">
        <v>1596</v>
      </c>
      <c r="AF279" t="str">
        <f t="shared" si="48"/>
        <v>A679075</v>
      </c>
      <c r="AG279" t="str">
        <f>VLOOKUP(AF279,AKT!$C$4:$E$324,3,FALSE)</f>
        <v>0942</v>
      </c>
    </row>
    <row r="280" spans="1:33">
      <c r="A280" s="84"/>
      <c r="B280" s="83" t="str">
        <f t="shared" si="40"/>
        <v/>
      </c>
      <c r="C280" s="84"/>
      <c r="D280" s="83" t="str">
        <f t="shared" si="41"/>
        <v/>
      </c>
      <c r="E280" s="85"/>
      <c r="F280" s="83" t="str">
        <f t="shared" si="42"/>
        <v/>
      </c>
      <c r="G280" s="83" t="str">
        <f t="shared" si="43"/>
        <v/>
      </c>
      <c r="H280" s="69"/>
      <c r="I280" s="69"/>
      <c r="J280" s="78">
        <f t="shared" si="44"/>
        <v>0</v>
      </c>
      <c r="K280" s="91"/>
      <c r="L280" s="92"/>
      <c r="M280" s="92"/>
      <c r="N280" s="91"/>
      <c r="O280" s="93"/>
      <c r="P280" s="67"/>
      <c r="R280" t="str">
        <f t="shared" si="45"/>
        <v/>
      </c>
      <c r="S280" t="str">
        <f t="shared" si="46"/>
        <v/>
      </c>
      <c r="T280" t="str">
        <f t="shared" si="47"/>
        <v/>
      </c>
      <c r="AD280" t="s">
        <v>1597</v>
      </c>
      <c r="AE280" t="s">
        <v>1598</v>
      </c>
      <c r="AF280" t="str">
        <f t="shared" si="48"/>
        <v>A679076</v>
      </c>
      <c r="AG280" t="str">
        <f>VLOOKUP(AF280,AKT!$C$4:$E$324,3,FALSE)</f>
        <v>0942</v>
      </c>
    </row>
    <row r="281" spans="1:33">
      <c r="A281" s="84"/>
      <c r="B281" s="83" t="str">
        <f t="shared" si="40"/>
        <v/>
      </c>
      <c r="C281" s="84"/>
      <c r="D281" s="83" t="str">
        <f t="shared" si="41"/>
        <v/>
      </c>
      <c r="E281" s="85"/>
      <c r="F281" s="83" t="str">
        <f t="shared" si="42"/>
        <v/>
      </c>
      <c r="G281" s="83" t="str">
        <f t="shared" si="43"/>
        <v/>
      </c>
      <c r="H281" s="69"/>
      <c r="I281" s="69"/>
      <c r="J281" s="78">
        <f t="shared" si="44"/>
        <v>0</v>
      </c>
      <c r="K281" s="91"/>
      <c r="L281" s="92"/>
      <c r="M281" s="92"/>
      <c r="N281" s="91"/>
      <c r="O281" s="93"/>
      <c r="P281" s="67"/>
      <c r="R281" t="str">
        <f t="shared" si="45"/>
        <v/>
      </c>
      <c r="S281" t="str">
        <f t="shared" si="46"/>
        <v/>
      </c>
      <c r="T281" t="str">
        <f t="shared" si="47"/>
        <v/>
      </c>
      <c r="AD281" t="s">
        <v>1599</v>
      </c>
      <c r="AE281" t="s">
        <v>1600</v>
      </c>
      <c r="AF281" t="str">
        <f t="shared" si="48"/>
        <v>A679076</v>
      </c>
      <c r="AG281" t="str">
        <f>VLOOKUP(AF281,AKT!$C$4:$E$324,3,FALSE)</f>
        <v>0942</v>
      </c>
    </row>
    <row r="282" spans="1:33">
      <c r="A282" s="84"/>
      <c r="B282" s="83" t="str">
        <f t="shared" si="40"/>
        <v/>
      </c>
      <c r="C282" s="84"/>
      <c r="D282" s="83" t="str">
        <f t="shared" si="41"/>
        <v/>
      </c>
      <c r="E282" s="85"/>
      <c r="F282" s="83" t="str">
        <f t="shared" si="42"/>
        <v/>
      </c>
      <c r="G282" s="83" t="str">
        <f t="shared" si="43"/>
        <v/>
      </c>
      <c r="H282" s="69"/>
      <c r="I282" s="69"/>
      <c r="J282" s="78">
        <f t="shared" si="44"/>
        <v>0</v>
      </c>
      <c r="K282" s="91"/>
      <c r="L282" s="92"/>
      <c r="M282" s="92"/>
      <c r="N282" s="91"/>
      <c r="O282" s="93"/>
      <c r="P282" s="67"/>
      <c r="R282" t="str">
        <f t="shared" si="45"/>
        <v/>
      </c>
      <c r="S282" t="str">
        <f t="shared" si="46"/>
        <v/>
      </c>
      <c r="T282" t="str">
        <f t="shared" si="47"/>
        <v/>
      </c>
      <c r="AD282" t="s">
        <v>1601</v>
      </c>
      <c r="AE282" t="s">
        <v>1602</v>
      </c>
      <c r="AF282" t="str">
        <f t="shared" si="48"/>
        <v>A679076</v>
      </c>
      <c r="AG282" t="str">
        <f>VLOOKUP(AF282,AKT!$C$4:$E$324,3,FALSE)</f>
        <v>0942</v>
      </c>
    </row>
    <row r="283" spans="1:33">
      <c r="A283" s="84"/>
      <c r="B283" s="83" t="str">
        <f t="shared" si="40"/>
        <v/>
      </c>
      <c r="C283" s="84"/>
      <c r="D283" s="83" t="str">
        <f t="shared" si="41"/>
        <v/>
      </c>
      <c r="E283" s="85"/>
      <c r="F283" s="83" t="str">
        <f t="shared" si="42"/>
        <v/>
      </c>
      <c r="G283" s="83" t="str">
        <f t="shared" si="43"/>
        <v/>
      </c>
      <c r="H283" s="69"/>
      <c r="I283" s="69"/>
      <c r="J283" s="78">
        <f t="shared" si="44"/>
        <v>0</v>
      </c>
      <c r="K283" s="91"/>
      <c r="L283" s="92"/>
      <c r="M283" s="92"/>
      <c r="N283" s="91"/>
      <c r="O283" s="93"/>
      <c r="P283" s="67"/>
      <c r="R283" t="str">
        <f t="shared" si="45"/>
        <v/>
      </c>
      <c r="S283" t="str">
        <f t="shared" si="46"/>
        <v/>
      </c>
      <c r="T283" t="str">
        <f t="shared" si="47"/>
        <v/>
      </c>
      <c r="AD283" t="s">
        <v>1603</v>
      </c>
      <c r="AE283" t="s">
        <v>1604</v>
      </c>
      <c r="AF283" t="str">
        <f t="shared" si="48"/>
        <v>A679076</v>
      </c>
      <c r="AG283" t="str">
        <f>VLOOKUP(AF283,AKT!$C$4:$E$324,3,FALSE)</f>
        <v>0942</v>
      </c>
    </row>
    <row r="284" spans="1:33">
      <c r="A284" s="84"/>
      <c r="B284" s="83" t="str">
        <f t="shared" si="40"/>
        <v/>
      </c>
      <c r="C284" s="84"/>
      <c r="D284" s="83" t="str">
        <f t="shared" si="41"/>
        <v/>
      </c>
      <c r="E284" s="85"/>
      <c r="F284" s="83" t="str">
        <f t="shared" si="42"/>
        <v/>
      </c>
      <c r="G284" s="83" t="str">
        <f t="shared" si="43"/>
        <v/>
      </c>
      <c r="H284" s="69"/>
      <c r="I284" s="69"/>
      <c r="J284" s="78">
        <f t="shared" si="44"/>
        <v>0</v>
      </c>
      <c r="K284" s="91"/>
      <c r="L284" s="92"/>
      <c r="M284" s="92"/>
      <c r="N284" s="91"/>
      <c r="O284" s="93"/>
      <c r="P284" s="67"/>
      <c r="R284" t="str">
        <f t="shared" si="45"/>
        <v/>
      </c>
      <c r="S284" t="str">
        <f t="shared" si="46"/>
        <v/>
      </c>
      <c r="T284" t="str">
        <f t="shared" si="47"/>
        <v/>
      </c>
      <c r="AD284" t="s">
        <v>1605</v>
      </c>
      <c r="AE284" t="s">
        <v>1606</v>
      </c>
      <c r="AF284" t="str">
        <f t="shared" si="48"/>
        <v>A679076</v>
      </c>
      <c r="AG284" t="str">
        <f>VLOOKUP(AF284,AKT!$C$4:$E$324,3,FALSE)</f>
        <v>0942</v>
      </c>
    </row>
    <row r="285" spans="1:33">
      <c r="A285" s="84"/>
      <c r="B285" s="83" t="str">
        <f t="shared" si="40"/>
        <v/>
      </c>
      <c r="C285" s="84"/>
      <c r="D285" s="83" t="str">
        <f t="shared" si="41"/>
        <v/>
      </c>
      <c r="E285" s="85"/>
      <c r="F285" s="83" t="str">
        <f t="shared" si="42"/>
        <v/>
      </c>
      <c r="G285" s="83" t="str">
        <f t="shared" si="43"/>
        <v/>
      </c>
      <c r="H285" s="69"/>
      <c r="I285" s="69"/>
      <c r="J285" s="78">
        <f t="shared" si="44"/>
        <v>0</v>
      </c>
      <c r="K285" s="91"/>
      <c r="L285" s="92"/>
      <c r="M285" s="92"/>
      <c r="N285" s="91"/>
      <c r="O285" s="93"/>
      <c r="P285" s="67"/>
      <c r="R285" t="str">
        <f t="shared" si="45"/>
        <v/>
      </c>
      <c r="S285" t="str">
        <f t="shared" si="46"/>
        <v/>
      </c>
      <c r="T285" t="str">
        <f t="shared" si="47"/>
        <v/>
      </c>
      <c r="AD285" t="s">
        <v>1607</v>
      </c>
      <c r="AE285" t="s">
        <v>1608</v>
      </c>
      <c r="AF285" t="str">
        <f t="shared" si="48"/>
        <v>A679076</v>
      </c>
      <c r="AG285" t="str">
        <f>VLOOKUP(AF285,AKT!$C$4:$E$324,3,FALSE)</f>
        <v>0942</v>
      </c>
    </row>
    <row r="286" spans="1:33">
      <c r="A286" s="84"/>
      <c r="B286" s="83" t="str">
        <f t="shared" si="40"/>
        <v/>
      </c>
      <c r="C286" s="84"/>
      <c r="D286" s="83" t="str">
        <f t="shared" si="41"/>
        <v/>
      </c>
      <c r="E286" s="85"/>
      <c r="F286" s="83" t="str">
        <f t="shared" si="42"/>
        <v/>
      </c>
      <c r="G286" s="83" t="str">
        <f t="shared" si="43"/>
        <v/>
      </c>
      <c r="H286" s="69"/>
      <c r="I286" s="69"/>
      <c r="J286" s="78">
        <f t="shared" si="44"/>
        <v>0</v>
      </c>
      <c r="K286" s="91"/>
      <c r="L286" s="92"/>
      <c r="M286" s="92"/>
      <c r="N286" s="91"/>
      <c r="O286" s="93"/>
      <c r="P286" s="67"/>
      <c r="R286" t="str">
        <f t="shared" si="45"/>
        <v/>
      </c>
      <c r="S286" t="str">
        <f t="shared" si="46"/>
        <v/>
      </c>
      <c r="T286" t="str">
        <f t="shared" si="47"/>
        <v/>
      </c>
      <c r="AD286" t="s">
        <v>1609</v>
      </c>
      <c r="AE286" t="s">
        <v>1610</v>
      </c>
      <c r="AF286" t="str">
        <f t="shared" si="48"/>
        <v>A679076</v>
      </c>
      <c r="AG286" t="str">
        <f>VLOOKUP(AF286,AKT!$C$4:$E$324,3,FALSE)</f>
        <v>0942</v>
      </c>
    </row>
    <row r="287" spans="1:33">
      <c r="A287" s="84"/>
      <c r="B287" s="83" t="str">
        <f t="shared" si="40"/>
        <v/>
      </c>
      <c r="C287" s="84"/>
      <c r="D287" s="83" t="str">
        <f t="shared" si="41"/>
        <v/>
      </c>
      <c r="E287" s="85"/>
      <c r="F287" s="83" t="str">
        <f t="shared" si="42"/>
        <v/>
      </c>
      <c r="G287" s="83" t="str">
        <f t="shared" si="43"/>
        <v/>
      </c>
      <c r="H287" s="69"/>
      <c r="I287" s="69"/>
      <c r="J287" s="78">
        <f t="shared" si="44"/>
        <v>0</v>
      </c>
      <c r="K287" s="91"/>
      <c r="L287" s="92"/>
      <c r="M287" s="92"/>
      <c r="N287" s="91"/>
      <c r="O287" s="93"/>
      <c r="P287" s="67"/>
      <c r="R287" t="str">
        <f t="shared" si="45"/>
        <v/>
      </c>
      <c r="S287" t="str">
        <f t="shared" si="46"/>
        <v/>
      </c>
      <c r="T287" t="str">
        <f t="shared" si="47"/>
        <v/>
      </c>
      <c r="AD287" t="s">
        <v>1611</v>
      </c>
      <c r="AE287" t="s">
        <v>1612</v>
      </c>
      <c r="AF287" t="str">
        <f t="shared" si="48"/>
        <v>A679076</v>
      </c>
      <c r="AG287" t="str">
        <f>VLOOKUP(AF287,AKT!$C$4:$E$324,3,FALSE)</f>
        <v>0942</v>
      </c>
    </row>
    <row r="288" spans="1:33">
      <c r="A288" s="84"/>
      <c r="B288" s="83" t="str">
        <f t="shared" si="40"/>
        <v/>
      </c>
      <c r="C288" s="84"/>
      <c r="D288" s="83" t="str">
        <f t="shared" si="41"/>
        <v/>
      </c>
      <c r="E288" s="85"/>
      <c r="F288" s="83" t="str">
        <f t="shared" si="42"/>
        <v/>
      </c>
      <c r="G288" s="83" t="str">
        <f t="shared" si="43"/>
        <v/>
      </c>
      <c r="H288" s="69"/>
      <c r="I288" s="69"/>
      <c r="J288" s="78">
        <f t="shared" si="44"/>
        <v>0</v>
      </c>
      <c r="K288" s="91"/>
      <c r="L288" s="92"/>
      <c r="M288" s="92"/>
      <c r="N288" s="91"/>
      <c r="O288" s="93"/>
      <c r="P288" s="67"/>
      <c r="R288" t="str">
        <f t="shared" si="45"/>
        <v/>
      </c>
      <c r="S288" t="str">
        <f t="shared" si="46"/>
        <v/>
      </c>
      <c r="T288" t="str">
        <f t="shared" si="47"/>
        <v/>
      </c>
      <c r="AD288" t="s">
        <v>1613</v>
      </c>
      <c r="AE288" t="s">
        <v>1614</v>
      </c>
      <c r="AF288" t="str">
        <f t="shared" si="48"/>
        <v>A679076</v>
      </c>
      <c r="AG288" t="str">
        <f>VLOOKUP(AF288,AKT!$C$4:$E$324,3,FALSE)</f>
        <v>0942</v>
      </c>
    </row>
    <row r="289" spans="1:33">
      <c r="A289" s="84"/>
      <c r="B289" s="83" t="str">
        <f t="shared" si="40"/>
        <v/>
      </c>
      <c r="C289" s="84"/>
      <c r="D289" s="83" t="str">
        <f t="shared" si="41"/>
        <v/>
      </c>
      <c r="E289" s="85"/>
      <c r="F289" s="83" t="str">
        <f t="shared" si="42"/>
        <v/>
      </c>
      <c r="G289" s="83" t="str">
        <f t="shared" si="43"/>
        <v/>
      </c>
      <c r="H289" s="69"/>
      <c r="I289" s="69"/>
      <c r="J289" s="78">
        <f t="shared" si="44"/>
        <v>0</v>
      </c>
      <c r="K289" s="91"/>
      <c r="L289" s="92"/>
      <c r="M289" s="92"/>
      <c r="N289" s="91"/>
      <c r="O289" s="93"/>
      <c r="P289" s="67"/>
      <c r="R289" t="str">
        <f t="shared" si="45"/>
        <v/>
      </c>
      <c r="S289" t="str">
        <f t="shared" si="46"/>
        <v/>
      </c>
      <c r="T289" t="str">
        <f t="shared" si="47"/>
        <v/>
      </c>
      <c r="AD289" t="s">
        <v>1615</v>
      </c>
      <c r="AE289" t="s">
        <v>1616</v>
      </c>
      <c r="AF289" t="str">
        <f t="shared" si="48"/>
        <v>A679076</v>
      </c>
      <c r="AG289" t="str">
        <f>VLOOKUP(AF289,AKT!$C$4:$E$324,3,FALSE)</f>
        <v>0942</v>
      </c>
    </row>
    <row r="290" spans="1:33">
      <c r="A290" s="84"/>
      <c r="B290" s="83" t="str">
        <f t="shared" si="40"/>
        <v/>
      </c>
      <c r="C290" s="84"/>
      <c r="D290" s="83" t="str">
        <f t="shared" si="41"/>
        <v/>
      </c>
      <c r="E290" s="85"/>
      <c r="F290" s="83" t="str">
        <f t="shared" si="42"/>
        <v/>
      </c>
      <c r="G290" s="83" t="str">
        <f t="shared" si="43"/>
        <v/>
      </c>
      <c r="H290" s="69"/>
      <c r="I290" s="69"/>
      <c r="J290" s="78">
        <f t="shared" si="44"/>
        <v>0</v>
      </c>
      <c r="K290" s="91"/>
      <c r="L290" s="92"/>
      <c r="M290" s="92"/>
      <c r="N290" s="91"/>
      <c r="O290" s="93"/>
      <c r="P290" s="67"/>
      <c r="R290" t="str">
        <f t="shared" si="45"/>
        <v/>
      </c>
      <c r="S290" t="str">
        <f t="shared" si="46"/>
        <v/>
      </c>
      <c r="T290" t="str">
        <f t="shared" si="47"/>
        <v/>
      </c>
      <c r="AD290" t="s">
        <v>1617</v>
      </c>
      <c r="AE290" t="s">
        <v>1618</v>
      </c>
      <c r="AF290" t="str">
        <f t="shared" si="48"/>
        <v>A679076</v>
      </c>
      <c r="AG290" t="str">
        <f>VLOOKUP(AF290,AKT!$C$4:$E$324,3,FALSE)</f>
        <v>0942</v>
      </c>
    </row>
    <row r="291" spans="1:33">
      <c r="A291" s="84"/>
      <c r="B291" s="83" t="str">
        <f t="shared" si="40"/>
        <v/>
      </c>
      <c r="C291" s="84"/>
      <c r="D291" s="83" t="str">
        <f t="shared" si="41"/>
        <v/>
      </c>
      <c r="E291" s="85"/>
      <c r="F291" s="83" t="str">
        <f t="shared" si="42"/>
        <v/>
      </c>
      <c r="G291" s="83" t="str">
        <f t="shared" si="43"/>
        <v/>
      </c>
      <c r="H291" s="69"/>
      <c r="I291" s="69"/>
      <c r="J291" s="78">
        <f t="shared" si="44"/>
        <v>0</v>
      </c>
      <c r="K291" s="91"/>
      <c r="L291" s="92"/>
      <c r="M291" s="92"/>
      <c r="N291" s="91"/>
      <c r="O291" s="93"/>
      <c r="P291" s="67"/>
      <c r="R291" t="str">
        <f t="shared" si="45"/>
        <v/>
      </c>
      <c r="S291" t="str">
        <f t="shared" si="46"/>
        <v/>
      </c>
      <c r="T291" t="str">
        <f t="shared" si="47"/>
        <v/>
      </c>
      <c r="AD291" t="s">
        <v>1619</v>
      </c>
      <c r="AE291" t="s">
        <v>1620</v>
      </c>
      <c r="AF291" t="str">
        <f t="shared" si="48"/>
        <v>A679076</v>
      </c>
      <c r="AG291" t="str">
        <f>VLOOKUP(AF291,AKT!$C$4:$E$324,3,FALSE)</f>
        <v>0942</v>
      </c>
    </row>
    <row r="292" spans="1:33">
      <c r="A292" s="84"/>
      <c r="B292" s="83" t="str">
        <f t="shared" si="40"/>
        <v/>
      </c>
      <c r="C292" s="84"/>
      <c r="D292" s="83" t="str">
        <f t="shared" si="41"/>
        <v/>
      </c>
      <c r="E292" s="85"/>
      <c r="F292" s="83" t="str">
        <f t="shared" si="42"/>
        <v/>
      </c>
      <c r="G292" s="83" t="str">
        <f t="shared" si="43"/>
        <v/>
      </c>
      <c r="H292" s="69"/>
      <c r="I292" s="69"/>
      <c r="J292" s="78">
        <f t="shared" si="44"/>
        <v>0</v>
      </c>
      <c r="K292" s="91"/>
      <c r="L292" s="92"/>
      <c r="M292" s="92"/>
      <c r="N292" s="91"/>
      <c r="O292" s="93"/>
      <c r="P292" s="67"/>
      <c r="R292" t="str">
        <f t="shared" si="45"/>
        <v/>
      </c>
      <c r="S292" t="str">
        <f t="shared" si="46"/>
        <v/>
      </c>
      <c r="T292" t="str">
        <f t="shared" si="47"/>
        <v/>
      </c>
      <c r="AD292" t="s">
        <v>1621</v>
      </c>
      <c r="AE292" t="s">
        <v>1622</v>
      </c>
      <c r="AF292" t="str">
        <f t="shared" si="48"/>
        <v>A679076</v>
      </c>
      <c r="AG292" t="str">
        <f>VLOOKUP(AF292,AKT!$C$4:$E$324,3,FALSE)</f>
        <v>0942</v>
      </c>
    </row>
    <row r="293" spans="1:33">
      <c r="A293" s="84"/>
      <c r="B293" s="83" t="str">
        <f t="shared" si="40"/>
        <v/>
      </c>
      <c r="C293" s="84"/>
      <c r="D293" s="83" t="str">
        <f t="shared" si="41"/>
        <v/>
      </c>
      <c r="E293" s="85"/>
      <c r="F293" s="83" t="str">
        <f t="shared" si="42"/>
        <v/>
      </c>
      <c r="G293" s="83" t="str">
        <f t="shared" si="43"/>
        <v/>
      </c>
      <c r="H293" s="69"/>
      <c r="I293" s="69"/>
      <c r="J293" s="78">
        <f t="shared" si="44"/>
        <v>0</v>
      </c>
      <c r="K293" s="91"/>
      <c r="L293" s="92"/>
      <c r="M293" s="92"/>
      <c r="N293" s="91"/>
      <c r="O293" s="93"/>
      <c r="P293" s="67"/>
      <c r="R293" t="str">
        <f t="shared" si="45"/>
        <v/>
      </c>
      <c r="S293" t="str">
        <f t="shared" si="46"/>
        <v/>
      </c>
      <c r="T293" t="str">
        <f t="shared" si="47"/>
        <v/>
      </c>
      <c r="AD293" t="s">
        <v>1623</v>
      </c>
      <c r="AE293" t="s">
        <v>1624</v>
      </c>
      <c r="AF293" t="str">
        <f t="shared" si="48"/>
        <v>A679076</v>
      </c>
      <c r="AG293" t="str">
        <f>VLOOKUP(AF293,AKT!$C$4:$E$324,3,FALSE)</f>
        <v>0942</v>
      </c>
    </row>
    <row r="294" spans="1:33">
      <c r="A294" s="84"/>
      <c r="B294" s="83" t="str">
        <f t="shared" si="40"/>
        <v/>
      </c>
      <c r="C294" s="84"/>
      <c r="D294" s="83" t="str">
        <f t="shared" si="41"/>
        <v/>
      </c>
      <c r="E294" s="85"/>
      <c r="F294" s="83" t="str">
        <f t="shared" si="42"/>
        <v/>
      </c>
      <c r="G294" s="83" t="str">
        <f t="shared" si="43"/>
        <v/>
      </c>
      <c r="H294" s="69"/>
      <c r="I294" s="69"/>
      <c r="J294" s="78">
        <f t="shared" si="44"/>
        <v>0</v>
      </c>
      <c r="K294" s="91"/>
      <c r="L294" s="92"/>
      <c r="M294" s="92"/>
      <c r="N294" s="91"/>
      <c r="O294" s="93"/>
      <c r="P294" s="67"/>
      <c r="R294" t="str">
        <f t="shared" si="45"/>
        <v/>
      </c>
      <c r="S294" t="str">
        <f t="shared" si="46"/>
        <v/>
      </c>
      <c r="T294" t="str">
        <f t="shared" si="47"/>
        <v/>
      </c>
      <c r="AD294" t="s">
        <v>1625</v>
      </c>
      <c r="AE294" t="s">
        <v>1072</v>
      </c>
      <c r="AF294" t="str">
        <f t="shared" si="48"/>
        <v>A679076</v>
      </c>
      <c r="AG294" t="str">
        <f>VLOOKUP(AF294,AKT!$C$4:$E$324,3,FALSE)</f>
        <v>0942</v>
      </c>
    </row>
    <row r="295" spans="1:33">
      <c r="A295" s="84"/>
      <c r="B295" s="83" t="str">
        <f t="shared" si="40"/>
        <v/>
      </c>
      <c r="C295" s="84"/>
      <c r="D295" s="83" t="str">
        <f t="shared" si="41"/>
        <v/>
      </c>
      <c r="E295" s="85"/>
      <c r="F295" s="83" t="str">
        <f t="shared" si="42"/>
        <v/>
      </c>
      <c r="G295" s="83" t="str">
        <f t="shared" si="43"/>
        <v/>
      </c>
      <c r="H295" s="69"/>
      <c r="I295" s="69"/>
      <c r="J295" s="78">
        <f t="shared" si="44"/>
        <v>0</v>
      </c>
      <c r="K295" s="91"/>
      <c r="L295" s="92"/>
      <c r="M295" s="92"/>
      <c r="N295" s="91"/>
      <c r="O295" s="93"/>
      <c r="P295" s="67"/>
      <c r="R295" t="str">
        <f t="shared" si="45"/>
        <v/>
      </c>
      <c r="S295" t="str">
        <f t="shared" si="46"/>
        <v/>
      </c>
      <c r="T295" t="str">
        <f t="shared" si="47"/>
        <v/>
      </c>
      <c r="AD295" t="s">
        <v>1626</v>
      </c>
      <c r="AE295" t="s">
        <v>1627</v>
      </c>
      <c r="AF295" t="str">
        <f t="shared" si="48"/>
        <v>A679077</v>
      </c>
      <c r="AG295" t="str">
        <f>VLOOKUP(AF295,AKT!$C$4:$E$324,3,FALSE)</f>
        <v>0942</v>
      </c>
    </row>
    <row r="296" spans="1:33">
      <c r="A296" s="84"/>
      <c r="B296" s="83" t="str">
        <f t="shared" si="40"/>
        <v/>
      </c>
      <c r="C296" s="84"/>
      <c r="D296" s="83" t="str">
        <f t="shared" si="41"/>
        <v/>
      </c>
      <c r="E296" s="85"/>
      <c r="F296" s="83" t="str">
        <f t="shared" si="42"/>
        <v/>
      </c>
      <c r="G296" s="83" t="str">
        <f t="shared" si="43"/>
        <v/>
      </c>
      <c r="H296" s="69"/>
      <c r="I296" s="69"/>
      <c r="J296" s="78">
        <f t="shared" si="44"/>
        <v>0</v>
      </c>
      <c r="K296" s="91"/>
      <c r="L296" s="92"/>
      <c r="M296" s="92"/>
      <c r="N296" s="91"/>
      <c r="O296" s="93"/>
      <c r="P296" s="67"/>
      <c r="R296" t="str">
        <f t="shared" si="45"/>
        <v/>
      </c>
      <c r="S296" t="str">
        <f t="shared" si="46"/>
        <v/>
      </c>
      <c r="T296" t="str">
        <f t="shared" si="47"/>
        <v/>
      </c>
      <c r="AD296" t="s">
        <v>1628</v>
      </c>
      <c r="AE296" t="s">
        <v>1629</v>
      </c>
      <c r="AF296" t="str">
        <f t="shared" si="48"/>
        <v>A679077</v>
      </c>
      <c r="AG296" t="str">
        <f>VLOOKUP(AF296,AKT!$C$4:$E$324,3,FALSE)</f>
        <v>0942</v>
      </c>
    </row>
    <row r="297" spans="1:33">
      <c r="A297" s="84"/>
      <c r="B297" s="83" t="str">
        <f t="shared" si="40"/>
        <v/>
      </c>
      <c r="C297" s="84"/>
      <c r="D297" s="83" t="str">
        <f t="shared" si="41"/>
        <v/>
      </c>
      <c r="E297" s="85"/>
      <c r="F297" s="83" t="str">
        <f t="shared" si="42"/>
        <v/>
      </c>
      <c r="G297" s="83" t="str">
        <f t="shared" si="43"/>
        <v/>
      </c>
      <c r="H297" s="69"/>
      <c r="I297" s="69"/>
      <c r="J297" s="78">
        <f t="shared" si="44"/>
        <v>0</v>
      </c>
      <c r="K297" s="91"/>
      <c r="L297" s="92"/>
      <c r="M297" s="92"/>
      <c r="N297" s="91"/>
      <c r="O297" s="93"/>
      <c r="P297" s="67"/>
      <c r="R297" t="str">
        <f t="shared" si="45"/>
        <v/>
      </c>
      <c r="S297" t="str">
        <f t="shared" si="46"/>
        <v/>
      </c>
      <c r="T297" t="str">
        <f t="shared" si="47"/>
        <v/>
      </c>
      <c r="AD297" t="s">
        <v>1630</v>
      </c>
      <c r="AE297" t="s">
        <v>1631</v>
      </c>
      <c r="AF297" t="str">
        <f t="shared" si="48"/>
        <v>A679077</v>
      </c>
      <c r="AG297" t="str">
        <f>VLOOKUP(AF297,AKT!$C$4:$E$324,3,FALSE)</f>
        <v>0942</v>
      </c>
    </row>
    <row r="298" spans="1:33">
      <c r="A298" s="84"/>
      <c r="B298" s="83" t="str">
        <f t="shared" si="40"/>
        <v/>
      </c>
      <c r="C298" s="84"/>
      <c r="D298" s="83" t="str">
        <f t="shared" si="41"/>
        <v/>
      </c>
      <c r="E298" s="85"/>
      <c r="F298" s="83" t="str">
        <f t="shared" si="42"/>
        <v/>
      </c>
      <c r="G298" s="83" t="str">
        <f t="shared" si="43"/>
        <v/>
      </c>
      <c r="H298" s="69"/>
      <c r="I298" s="69"/>
      <c r="J298" s="78">
        <f t="shared" si="44"/>
        <v>0</v>
      </c>
      <c r="K298" s="91"/>
      <c r="L298" s="92"/>
      <c r="M298" s="92"/>
      <c r="N298" s="91"/>
      <c r="O298" s="93"/>
      <c r="P298" s="67"/>
      <c r="R298" t="str">
        <f t="shared" si="45"/>
        <v/>
      </c>
      <c r="S298" t="str">
        <f t="shared" si="46"/>
        <v/>
      </c>
      <c r="T298" t="str">
        <f t="shared" si="47"/>
        <v/>
      </c>
      <c r="AD298" t="s">
        <v>1632</v>
      </c>
      <c r="AE298" t="s">
        <v>1633</v>
      </c>
      <c r="AF298" t="str">
        <f t="shared" si="48"/>
        <v>A679077</v>
      </c>
      <c r="AG298" t="str">
        <f>VLOOKUP(AF298,AKT!$C$4:$E$324,3,FALSE)</f>
        <v>0942</v>
      </c>
    </row>
    <row r="299" spans="1:33">
      <c r="A299" s="84"/>
      <c r="B299" s="83" t="str">
        <f t="shared" si="40"/>
        <v/>
      </c>
      <c r="C299" s="84"/>
      <c r="D299" s="83" t="str">
        <f t="shared" si="41"/>
        <v/>
      </c>
      <c r="E299" s="85"/>
      <c r="F299" s="83" t="str">
        <f t="shared" si="42"/>
        <v/>
      </c>
      <c r="G299" s="83" t="str">
        <f t="shared" si="43"/>
        <v/>
      </c>
      <c r="H299" s="69"/>
      <c r="I299" s="69"/>
      <c r="J299" s="78">
        <f t="shared" si="44"/>
        <v>0</v>
      </c>
      <c r="K299" s="91"/>
      <c r="L299" s="92"/>
      <c r="M299" s="92"/>
      <c r="N299" s="91"/>
      <c r="O299" s="93"/>
      <c r="P299" s="67"/>
      <c r="R299" t="str">
        <f t="shared" si="45"/>
        <v/>
      </c>
      <c r="S299" t="str">
        <f t="shared" si="46"/>
        <v/>
      </c>
      <c r="T299" t="str">
        <f t="shared" si="47"/>
        <v/>
      </c>
      <c r="AD299" t="s">
        <v>1634</v>
      </c>
      <c r="AE299" t="s">
        <v>1635</v>
      </c>
      <c r="AF299" t="str">
        <f t="shared" si="48"/>
        <v>A679077</v>
      </c>
      <c r="AG299" t="str">
        <f>VLOOKUP(AF299,AKT!$C$4:$E$324,3,FALSE)</f>
        <v>0942</v>
      </c>
    </row>
    <row r="300" spans="1:33">
      <c r="A300" s="84"/>
      <c r="B300" s="83" t="str">
        <f t="shared" si="40"/>
        <v/>
      </c>
      <c r="C300" s="84"/>
      <c r="D300" s="83" t="str">
        <f t="shared" si="41"/>
        <v/>
      </c>
      <c r="E300" s="85"/>
      <c r="F300" s="83" t="str">
        <f t="shared" si="42"/>
        <v/>
      </c>
      <c r="G300" s="83" t="str">
        <f t="shared" si="43"/>
        <v/>
      </c>
      <c r="H300" s="69"/>
      <c r="I300" s="69"/>
      <c r="J300" s="78">
        <f t="shared" si="44"/>
        <v>0</v>
      </c>
      <c r="K300" s="91"/>
      <c r="L300" s="92"/>
      <c r="M300" s="92"/>
      <c r="N300" s="91"/>
      <c r="O300" s="93"/>
      <c r="P300" s="67"/>
      <c r="R300" t="str">
        <f t="shared" si="45"/>
        <v/>
      </c>
      <c r="S300" t="str">
        <f t="shared" si="46"/>
        <v/>
      </c>
      <c r="T300" t="str">
        <f t="shared" si="47"/>
        <v/>
      </c>
      <c r="AD300" t="s">
        <v>1636</v>
      </c>
      <c r="AE300" t="s">
        <v>1637</v>
      </c>
      <c r="AF300" t="str">
        <f t="shared" si="48"/>
        <v>A679077</v>
      </c>
      <c r="AG300" t="str">
        <f>VLOOKUP(AF300,AKT!$C$4:$E$324,3,FALSE)</f>
        <v>0942</v>
      </c>
    </row>
    <row r="301" spans="1:33">
      <c r="A301" s="84"/>
      <c r="B301" s="83" t="str">
        <f t="shared" si="40"/>
        <v/>
      </c>
      <c r="C301" s="84"/>
      <c r="D301" s="83" t="str">
        <f t="shared" si="41"/>
        <v/>
      </c>
      <c r="E301" s="85"/>
      <c r="F301" s="83" t="str">
        <f t="shared" si="42"/>
        <v/>
      </c>
      <c r="G301" s="83" t="str">
        <f t="shared" si="43"/>
        <v/>
      </c>
      <c r="H301" s="69"/>
      <c r="I301" s="69"/>
      <c r="J301" s="78">
        <f t="shared" si="44"/>
        <v>0</v>
      </c>
      <c r="K301" s="91"/>
      <c r="L301" s="92"/>
      <c r="M301" s="92"/>
      <c r="N301" s="91"/>
      <c r="O301" s="93"/>
      <c r="P301" s="67"/>
      <c r="R301" t="str">
        <f t="shared" si="45"/>
        <v/>
      </c>
      <c r="S301" t="str">
        <f t="shared" si="46"/>
        <v/>
      </c>
      <c r="T301" t="str">
        <f t="shared" si="47"/>
        <v/>
      </c>
      <c r="AD301" t="s">
        <v>1638</v>
      </c>
      <c r="AE301" t="s">
        <v>1639</v>
      </c>
      <c r="AF301" t="str">
        <f t="shared" si="48"/>
        <v>A679077</v>
      </c>
      <c r="AG301" t="str">
        <f>VLOOKUP(AF301,AKT!$C$4:$E$324,3,FALSE)</f>
        <v>0942</v>
      </c>
    </row>
    <row r="302" spans="1:33">
      <c r="A302" s="84"/>
      <c r="B302" s="83" t="str">
        <f t="shared" si="40"/>
        <v/>
      </c>
      <c r="C302" s="84"/>
      <c r="D302" s="83" t="str">
        <f t="shared" si="41"/>
        <v/>
      </c>
      <c r="E302" s="85"/>
      <c r="F302" s="83" t="str">
        <f t="shared" si="42"/>
        <v/>
      </c>
      <c r="G302" s="83" t="str">
        <f t="shared" si="43"/>
        <v/>
      </c>
      <c r="H302" s="69"/>
      <c r="I302" s="69"/>
      <c r="J302" s="78">
        <f t="shared" si="44"/>
        <v>0</v>
      </c>
      <c r="K302" s="91"/>
      <c r="L302" s="92"/>
      <c r="M302" s="92"/>
      <c r="N302" s="91"/>
      <c r="O302" s="93"/>
      <c r="P302" s="67"/>
      <c r="R302" t="str">
        <f t="shared" si="45"/>
        <v/>
      </c>
      <c r="S302" t="str">
        <f t="shared" si="46"/>
        <v/>
      </c>
      <c r="T302" t="str">
        <f t="shared" si="47"/>
        <v/>
      </c>
      <c r="AD302" t="s">
        <v>1640</v>
      </c>
      <c r="AE302" t="s">
        <v>1641</v>
      </c>
      <c r="AF302" t="str">
        <f t="shared" si="48"/>
        <v>A679077</v>
      </c>
      <c r="AG302" t="str">
        <f>VLOOKUP(AF302,AKT!$C$4:$E$324,3,FALSE)</f>
        <v>0942</v>
      </c>
    </row>
    <row r="303" spans="1:33">
      <c r="A303" s="84"/>
      <c r="B303" s="83" t="str">
        <f t="shared" si="40"/>
        <v/>
      </c>
      <c r="C303" s="84"/>
      <c r="D303" s="83" t="str">
        <f t="shared" si="41"/>
        <v/>
      </c>
      <c r="E303" s="85"/>
      <c r="F303" s="83" t="str">
        <f t="shared" si="42"/>
        <v/>
      </c>
      <c r="G303" s="83" t="str">
        <f t="shared" si="43"/>
        <v/>
      </c>
      <c r="H303" s="69"/>
      <c r="I303" s="69"/>
      <c r="J303" s="78">
        <f t="shared" si="44"/>
        <v>0</v>
      </c>
      <c r="K303" s="91"/>
      <c r="L303" s="92"/>
      <c r="M303" s="92"/>
      <c r="N303" s="91"/>
      <c r="O303" s="93"/>
      <c r="P303" s="67"/>
      <c r="R303" t="str">
        <f t="shared" si="45"/>
        <v/>
      </c>
      <c r="S303" t="str">
        <f t="shared" si="46"/>
        <v/>
      </c>
      <c r="T303" t="str">
        <f t="shared" si="47"/>
        <v/>
      </c>
      <c r="AD303" t="s">
        <v>1642</v>
      </c>
      <c r="AE303" t="s">
        <v>1643</v>
      </c>
      <c r="AF303" t="str">
        <f t="shared" si="48"/>
        <v>A679077</v>
      </c>
      <c r="AG303" t="str">
        <f>VLOOKUP(AF303,AKT!$C$4:$E$324,3,FALSE)</f>
        <v>0942</v>
      </c>
    </row>
    <row r="304" spans="1:33">
      <c r="A304" s="84"/>
      <c r="B304" s="83" t="str">
        <f t="shared" si="40"/>
        <v/>
      </c>
      <c r="C304" s="84"/>
      <c r="D304" s="83" t="str">
        <f t="shared" si="41"/>
        <v/>
      </c>
      <c r="E304" s="85"/>
      <c r="F304" s="83" t="str">
        <f t="shared" si="42"/>
        <v/>
      </c>
      <c r="G304" s="83" t="str">
        <f t="shared" si="43"/>
        <v/>
      </c>
      <c r="H304" s="69"/>
      <c r="I304" s="69"/>
      <c r="J304" s="78">
        <f t="shared" si="44"/>
        <v>0</v>
      </c>
      <c r="K304" s="91"/>
      <c r="L304" s="92"/>
      <c r="M304" s="92"/>
      <c r="N304" s="91"/>
      <c r="O304" s="93"/>
      <c r="P304" s="67"/>
      <c r="R304" t="str">
        <f t="shared" si="45"/>
        <v/>
      </c>
      <c r="S304" t="str">
        <f t="shared" si="46"/>
        <v/>
      </c>
      <c r="T304" t="str">
        <f t="shared" si="47"/>
        <v/>
      </c>
      <c r="AD304" t="s">
        <v>1644</v>
      </c>
      <c r="AE304" t="s">
        <v>1645</v>
      </c>
      <c r="AF304" t="str">
        <f t="shared" si="48"/>
        <v>A679077</v>
      </c>
      <c r="AG304" t="str">
        <f>VLOOKUP(AF304,AKT!$C$4:$E$324,3,FALSE)</f>
        <v>0942</v>
      </c>
    </row>
    <row r="305" spans="1:33">
      <c r="A305" s="84"/>
      <c r="B305" s="83" t="str">
        <f t="shared" si="40"/>
        <v/>
      </c>
      <c r="C305" s="84"/>
      <c r="D305" s="83" t="str">
        <f t="shared" si="41"/>
        <v/>
      </c>
      <c r="E305" s="85"/>
      <c r="F305" s="83" t="str">
        <f t="shared" si="42"/>
        <v/>
      </c>
      <c r="G305" s="83" t="str">
        <f t="shared" si="43"/>
        <v/>
      </c>
      <c r="H305" s="69"/>
      <c r="I305" s="69"/>
      <c r="J305" s="78">
        <f t="shared" si="44"/>
        <v>0</v>
      </c>
      <c r="K305" s="91"/>
      <c r="L305" s="92"/>
      <c r="M305" s="92"/>
      <c r="N305" s="91"/>
      <c r="O305" s="93"/>
      <c r="P305" s="67"/>
      <c r="R305" t="str">
        <f t="shared" si="45"/>
        <v/>
      </c>
      <c r="S305" t="str">
        <f t="shared" si="46"/>
        <v/>
      </c>
      <c r="T305" t="str">
        <f t="shared" si="47"/>
        <v/>
      </c>
      <c r="AD305" t="s">
        <v>1646</v>
      </c>
      <c r="AE305" t="s">
        <v>1647</v>
      </c>
      <c r="AF305" t="str">
        <f t="shared" si="48"/>
        <v>A679077</v>
      </c>
      <c r="AG305" t="str">
        <f>VLOOKUP(AF305,AKT!$C$4:$E$324,3,FALSE)</f>
        <v>0942</v>
      </c>
    </row>
    <row r="306" spans="1:33">
      <c r="A306" s="84"/>
      <c r="B306" s="83" t="str">
        <f t="shared" si="40"/>
        <v/>
      </c>
      <c r="C306" s="84"/>
      <c r="D306" s="83" t="str">
        <f t="shared" si="41"/>
        <v/>
      </c>
      <c r="E306" s="85"/>
      <c r="F306" s="83" t="str">
        <f t="shared" si="42"/>
        <v/>
      </c>
      <c r="G306" s="83" t="str">
        <f t="shared" si="43"/>
        <v/>
      </c>
      <c r="H306" s="69"/>
      <c r="I306" s="69"/>
      <c r="J306" s="78">
        <f t="shared" si="44"/>
        <v>0</v>
      </c>
      <c r="K306" s="91"/>
      <c r="L306" s="92"/>
      <c r="M306" s="92"/>
      <c r="N306" s="91"/>
      <c r="O306" s="93"/>
      <c r="P306" s="67"/>
      <c r="R306" t="str">
        <f t="shared" si="45"/>
        <v/>
      </c>
      <c r="S306" t="str">
        <f t="shared" si="46"/>
        <v/>
      </c>
      <c r="T306" t="str">
        <f t="shared" si="47"/>
        <v/>
      </c>
      <c r="AD306" t="s">
        <v>1648</v>
      </c>
      <c r="AE306" t="s">
        <v>1649</v>
      </c>
      <c r="AF306" t="str">
        <f t="shared" si="48"/>
        <v>A679077</v>
      </c>
      <c r="AG306" t="str">
        <f>VLOOKUP(AF306,AKT!$C$4:$E$324,3,FALSE)</f>
        <v>0942</v>
      </c>
    </row>
    <row r="307" spans="1:33">
      <c r="A307" s="84"/>
      <c r="B307" s="83" t="str">
        <f t="shared" si="40"/>
        <v/>
      </c>
      <c r="C307" s="84"/>
      <c r="D307" s="83" t="str">
        <f t="shared" si="41"/>
        <v/>
      </c>
      <c r="E307" s="85"/>
      <c r="F307" s="83" t="str">
        <f t="shared" si="42"/>
        <v/>
      </c>
      <c r="G307" s="83" t="str">
        <f t="shared" si="43"/>
        <v/>
      </c>
      <c r="H307" s="69"/>
      <c r="I307" s="69"/>
      <c r="J307" s="78">
        <f t="shared" si="44"/>
        <v>0</v>
      </c>
      <c r="K307" s="91"/>
      <c r="L307" s="92"/>
      <c r="M307" s="92"/>
      <c r="N307" s="91"/>
      <c r="O307" s="93"/>
      <c r="P307" s="67"/>
      <c r="R307" t="str">
        <f t="shared" si="45"/>
        <v/>
      </c>
      <c r="S307" t="str">
        <f t="shared" si="46"/>
        <v/>
      </c>
      <c r="T307" t="str">
        <f t="shared" si="47"/>
        <v/>
      </c>
      <c r="AD307" t="s">
        <v>1650</v>
      </c>
      <c r="AE307" t="s">
        <v>1651</v>
      </c>
      <c r="AF307" t="str">
        <f t="shared" si="48"/>
        <v>A679077</v>
      </c>
      <c r="AG307" t="str">
        <f>VLOOKUP(AF307,AKT!$C$4:$E$324,3,FALSE)</f>
        <v>0942</v>
      </c>
    </row>
    <row r="308" spans="1:33">
      <c r="A308" s="84"/>
      <c r="B308" s="83" t="str">
        <f t="shared" si="40"/>
        <v/>
      </c>
      <c r="C308" s="84"/>
      <c r="D308" s="83" t="str">
        <f t="shared" si="41"/>
        <v/>
      </c>
      <c r="E308" s="85"/>
      <c r="F308" s="83" t="str">
        <f t="shared" si="42"/>
        <v/>
      </c>
      <c r="G308" s="83" t="str">
        <f t="shared" si="43"/>
        <v/>
      </c>
      <c r="H308" s="69"/>
      <c r="I308" s="69"/>
      <c r="J308" s="78">
        <f t="shared" si="44"/>
        <v>0</v>
      </c>
      <c r="K308" s="91"/>
      <c r="L308" s="92"/>
      <c r="M308" s="92"/>
      <c r="N308" s="91"/>
      <c r="O308" s="93"/>
      <c r="P308" s="67"/>
      <c r="R308" t="str">
        <f t="shared" si="45"/>
        <v/>
      </c>
      <c r="S308" t="str">
        <f t="shared" si="46"/>
        <v/>
      </c>
      <c r="T308" t="str">
        <f t="shared" si="47"/>
        <v/>
      </c>
      <c r="AD308" t="s">
        <v>1652</v>
      </c>
      <c r="AE308" t="s">
        <v>1653</v>
      </c>
      <c r="AF308" t="str">
        <f t="shared" si="48"/>
        <v>A679077</v>
      </c>
      <c r="AG308" t="str">
        <f>VLOOKUP(AF308,AKT!$C$4:$E$324,3,FALSE)</f>
        <v>0942</v>
      </c>
    </row>
    <row r="309" spans="1:33">
      <c r="A309" s="84"/>
      <c r="B309" s="83" t="str">
        <f t="shared" si="40"/>
        <v/>
      </c>
      <c r="C309" s="84"/>
      <c r="D309" s="83" t="str">
        <f t="shared" si="41"/>
        <v/>
      </c>
      <c r="E309" s="85"/>
      <c r="F309" s="83" t="str">
        <f t="shared" si="42"/>
        <v/>
      </c>
      <c r="G309" s="83" t="str">
        <f t="shared" si="43"/>
        <v/>
      </c>
      <c r="H309" s="69"/>
      <c r="I309" s="69"/>
      <c r="J309" s="78">
        <f t="shared" si="44"/>
        <v>0</v>
      </c>
      <c r="K309" s="91"/>
      <c r="L309" s="92"/>
      <c r="M309" s="92"/>
      <c r="N309" s="91"/>
      <c r="O309" s="93"/>
      <c r="P309" s="67"/>
      <c r="R309" t="str">
        <f t="shared" si="45"/>
        <v/>
      </c>
      <c r="S309" t="str">
        <f t="shared" si="46"/>
        <v/>
      </c>
      <c r="T309" t="str">
        <f t="shared" si="47"/>
        <v/>
      </c>
      <c r="AD309" t="s">
        <v>1654</v>
      </c>
      <c r="AE309" t="s">
        <v>1655</v>
      </c>
      <c r="AF309" t="str">
        <f t="shared" si="48"/>
        <v>A679077</v>
      </c>
      <c r="AG309" t="str">
        <f>VLOOKUP(AF309,AKT!$C$4:$E$324,3,FALSE)</f>
        <v>0942</v>
      </c>
    </row>
    <row r="310" spans="1:33">
      <c r="A310" s="84"/>
      <c r="B310" s="83" t="str">
        <f t="shared" si="40"/>
        <v/>
      </c>
      <c r="C310" s="84"/>
      <c r="D310" s="83" t="str">
        <f t="shared" si="41"/>
        <v/>
      </c>
      <c r="E310" s="85"/>
      <c r="F310" s="83" t="str">
        <f t="shared" si="42"/>
        <v/>
      </c>
      <c r="G310" s="83" t="str">
        <f t="shared" si="43"/>
        <v/>
      </c>
      <c r="H310" s="69"/>
      <c r="I310" s="69"/>
      <c r="J310" s="78">
        <f t="shared" si="44"/>
        <v>0</v>
      </c>
      <c r="K310" s="91"/>
      <c r="L310" s="92"/>
      <c r="M310" s="92"/>
      <c r="N310" s="91"/>
      <c r="O310" s="93"/>
      <c r="P310" s="67"/>
      <c r="R310" t="str">
        <f t="shared" si="45"/>
        <v/>
      </c>
      <c r="S310" t="str">
        <f t="shared" si="46"/>
        <v/>
      </c>
      <c r="T310" t="str">
        <f t="shared" si="47"/>
        <v/>
      </c>
      <c r="AD310" t="s">
        <v>1656</v>
      </c>
      <c r="AE310" t="s">
        <v>1657</v>
      </c>
      <c r="AF310" t="str">
        <f t="shared" si="48"/>
        <v>A679077</v>
      </c>
      <c r="AG310" t="str">
        <f>VLOOKUP(AF310,AKT!$C$4:$E$324,3,FALSE)</f>
        <v>0942</v>
      </c>
    </row>
    <row r="311" spans="1:33">
      <c r="A311" s="84"/>
      <c r="B311" s="83" t="str">
        <f t="shared" si="40"/>
        <v/>
      </c>
      <c r="C311" s="84"/>
      <c r="D311" s="83" t="str">
        <f t="shared" si="41"/>
        <v/>
      </c>
      <c r="E311" s="85"/>
      <c r="F311" s="83" t="str">
        <f t="shared" si="42"/>
        <v/>
      </c>
      <c r="G311" s="83" t="str">
        <f t="shared" si="43"/>
        <v/>
      </c>
      <c r="H311" s="69"/>
      <c r="I311" s="69"/>
      <c r="J311" s="78">
        <f t="shared" si="44"/>
        <v>0</v>
      </c>
      <c r="K311" s="91"/>
      <c r="L311" s="92"/>
      <c r="M311" s="92"/>
      <c r="N311" s="91"/>
      <c r="O311" s="93"/>
      <c r="P311" s="67"/>
      <c r="R311" t="str">
        <f t="shared" si="45"/>
        <v/>
      </c>
      <c r="S311" t="str">
        <f t="shared" si="46"/>
        <v/>
      </c>
      <c r="T311" t="str">
        <f t="shared" si="47"/>
        <v/>
      </c>
      <c r="AD311" t="s">
        <v>1658</v>
      </c>
      <c r="AE311" t="s">
        <v>1659</v>
      </c>
      <c r="AF311" t="str">
        <f t="shared" si="48"/>
        <v>A679077</v>
      </c>
      <c r="AG311" t="str">
        <f>VLOOKUP(AF311,AKT!$C$4:$E$324,3,FALSE)</f>
        <v>0942</v>
      </c>
    </row>
    <row r="312" spans="1:33">
      <c r="A312" s="84"/>
      <c r="B312" s="83" t="str">
        <f t="shared" si="40"/>
        <v/>
      </c>
      <c r="C312" s="84"/>
      <c r="D312" s="83" t="str">
        <f t="shared" si="41"/>
        <v/>
      </c>
      <c r="E312" s="85"/>
      <c r="F312" s="83" t="str">
        <f t="shared" si="42"/>
        <v/>
      </c>
      <c r="G312" s="83" t="str">
        <f t="shared" si="43"/>
        <v/>
      </c>
      <c r="H312" s="69"/>
      <c r="I312" s="69"/>
      <c r="J312" s="78">
        <f t="shared" si="44"/>
        <v>0</v>
      </c>
      <c r="K312" s="91"/>
      <c r="L312" s="92"/>
      <c r="M312" s="92"/>
      <c r="N312" s="91"/>
      <c r="O312" s="93"/>
      <c r="P312" s="67"/>
      <c r="R312" t="str">
        <f t="shared" si="45"/>
        <v/>
      </c>
      <c r="S312" t="str">
        <f t="shared" si="46"/>
        <v/>
      </c>
      <c r="T312" t="str">
        <f t="shared" si="47"/>
        <v/>
      </c>
      <c r="AD312" t="s">
        <v>1660</v>
      </c>
      <c r="AE312" t="s">
        <v>1661</v>
      </c>
      <c r="AF312" t="str">
        <f t="shared" si="48"/>
        <v>A679077</v>
      </c>
      <c r="AG312" t="str">
        <f>VLOOKUP(AF312,AKT!$C$4:$E$324,3,FALSE)</f>
        <v>0942</v>
      </c>
    </row>
    <row r="313" spans="1:33">
      <c r="A313" s="84"/>
      <c r="B313" s="83" t="str">
        <f t="shared" si="40"/>
        <v/>
      </c>
      <c r="C313" s="84"/>
      <c r="D313" s="83" t="str">
        <f t="shared" si="41"/>
        <v/>
      </c>
      <c r="E313" s="85"/>
      <c r="F313" s="83" t="str">
        <f t="shared" si="42"/>
        <v/>
      </c>
      <c r="G313" s="83" t="str">
        <f t="shared" si="43"/>
        <v/>
      </c>
      <c r="H313" s="69"/>
      <c r="I313" s="69"/>
      <c r="J313" s="78">
        <f t="shared" si="44"/>
        <v>0</v>
      </c>
      <c r="K313" s="91"/>
      <c r="L313" s="92"/>
      <c r="M313" s="92"/>
      <c r="N313" s="91"/>
      <c r="O313" s="93"/>
      <c r="P313" s="67"/>
      <c r="R313" t="str">
        <f t="shared" si="45"/>
        <v/>
      </c>
      <c r="S313" t="str">
        <f t="shared" si="46"/>
        <v/>
      </c>
      <c r="T313" t="str">
        <f t="shared" si="47"/>
        <v/>
      </c>
      <c r="AD313" t="s">
        <v>1662</v>
      </c>
      <c r="AE313" t="s">
        <v>1663</v>
      </c>
      <c r="AF313" t="str">
        <f t="shared" si="48"/>
        <v>A679077</v>
      </c>
      <c r="AG313" t="str">
        <f>VLOOKUP(AF313,AKT!$C$4:$E$324,3,FALSE)</f>
        <v>0942</v>
      </c>
    </row>
    <row r="314" spans="1:33">
      <c r="A314" s="84"/>
      <c r="B314" s="83" t="str">
        <f t="shared" si="40"/>
        <v/>
      </c>
      <c r="C314" s="84"/>
      <c r="D314" s="83" t="str">
        <f t="shared" si="41"/>
        <v/>
      </c>
      <c r="E314" s="85"/>
      <c r="F314" s="83" t="str">
        <f t="shared" si="42"/>
        <v/>
      </c>
      <c r="G314" s="83" t="str">
        <f t="shared" si="43"/>
        <v/>
      </c>
      <c r="H314" s="69"/>
      <c r="I314" s="69"/>
      <c r="J314" s="78">
        <f t="shared" si="44"/>
        <v>0</v>
      </c>
      <c r="K314" s="91"/>
      <c r="L314" s="92"/>
      <c r="M314" s="92"/>
      <c r="N314" s="91"/>
      <c r="O314" s="93"/>
      <c r="P314" s="67"/>
      <c r="R314" t="str">
        <f t="shared" si="45"/>
        <v/>
      </c>
      <c r="S314" t="str">
        <f t="shared" si="46"/>
        <v/>
      </c>
      <c r="T314" t="str">
        <f t="shared" si="47"/>
        <v/>
      </c>
      <c r="AD314" t="s">
        <v>1664</v>
      </c>
      <c r="AE314" t="s">
        <v>1665</v>
      </c>
      <c r="AF314" t="str">
        <f t="shared" si="48"/>
        <v>A679077</v>
      </c>
      <c r="AG314" t="str">
        <f>VLOOKUP(AF314,AKT!$C$4:$E$324,3,FALSE)</f>
        <v>0942</v>
      </c>
    </row>
    <row r="315" spans="1:33">
      <c r="A315" s="84"/>
      <c r="B315" s="83" t="str">
        <f t="shared" si="40"/>
        <v/>
      </c>
      <c r="C315" s="84"/>
      <c r="D315" s="83" t="str">
        <f t="shared" si="41"/>
        <v/>
      </c>
      <c r="E315" s="85"/>
      <c r="F315" s="83" t="str">
        <f t="shared" si="42"/>
        <v/>
      </c>
      <c r="G315" s="83" t="str">
        <f t="shared" si="43"/>
        <v/>
      </c>
      <c r="H315" s="69"/>
      <c r="I315" s="69"/>
      <c r="J315" s="78">
        <f t="shared" si="44"/>
        <v>0</v>
      </c>
      <c r="K315" s="91"/>
      <c r="L315" s="92"/>
      <c r="M315" s="92"/>
      <c r="N315" s="91"/>
      <c r="O315" s="93"/>
      <c r="P315" s="67"/>
      <c r="R315" t="str">
        <f t="shared" si="45"/>
        <v/>
      </c>
      <c r="S315" t="str">
        <f t="shared" si="46"/>
        <v/>
      </c>
      <c r="T315" t="str">
        <f t="shared" si="47"/>
        <v/>
      </c>
      <c r="AD315" t="s">
        <v>1666</v>
      </c>
      <c r="AE315" t="s">
        <v>1667</v>
      </c>
      <c r="AF315" t="str">
        <f t="shared" si="48"/>
        <v>A679077</v>
      </c>
      <c r="AG315" t="str">
        <f>VLOOKUP(AF315,AKT!$C$4:$E$324,3,FALSE)</f>
        <v>0942</v>
      </c>
    </row>
    <row r="316" spans="1:33">
      <c r="A316" s="84"/>
      <c r="B316" s="83" t="str">
        <f t="shared" si="40"/>
        <v/>
      </c>
      <c r="C316" s="84"/>
      <c r="D316" s="83" t="str">
        <f t="shared" si="41"/>
        <v/>
      </c>
      <c r="E316" s="85"/>
      <c r="F316" s="83" t="str">
        <f t="shared" si="42"/>
        <v/>
      </c>
      <c r="G316" s="83" t="str">
        <f t="shared" si="43"/>
        <v/>
      </c>
      <c r="H316" s="69"/>
      <c r="I316" s="69"/>
      <c r="J316" s="78">
        <f t="shared" si="44"/>
        <v>0</v>
      </c>
      <c r="K316" s="91"/>
      <c r="L316" s="92"/>
      <c r="M316" s="92"/>
      <c r="N316" s="91"/>
      <c r="O316" s="93"/>
      <c r="P316" s="67"/>
      <c r="R316" t="str">
        <f t="shared" si="45"/>
        <v/>
      </c>
      <c r="S316" t="str">
        <f t="shared" si="46"/>
        <v/>
      </c>
      <c r="T316" t="str">
        <f t="shared" si="47"/>
        <v/>
      </c>
      <c r="AD316" t="s">
        <v>1668</v>
      </c>
      <c r="AE316" t="s">
        <v>1667</v>
      </c>
      <c r="AF316" t="str">
        <f t="shared" si="48"/>
        <v>A679077</v>
      </c>
      <c r="AG316" t="str">
        <f>VLOOKUP(AF316,AKT!$C$4:$E$324,3,FALSE)</f>
        <v>0942</v>
      </c>
    </row>
    <row r="317" spans="1:33">
      <c r="A317" s="84"/>
      <c r="B317" s="83" t="str">
        <f t="shared" si="40"/>
        <v/>
      </c>
      <c r="C317" s="84"/>
      <c r="D317" s="83" t="str">
        <f t="shared" si="41"/>
        <v/>
      </c>
      <c r="E317" s="85"/>
      <c r="F317" s="83" t="str">
        <f t="shared" si="42"/>
        <v/>
      </c>
      <c r="G317" s="83" t="str">
        <f t="shared" si="43"/>
        <v/>
      </c>
      <c r="H317" s="69"/>
      <c r="I317" s="69"/>
      <c r="J317" s="78">
        <f t="shared" si="44"/>
        <v>0</v>
      </c>
      <c r="K317" s="91"/>
      <c r="L317" s="92"/>
      <c r="M317" s="92"/>
      <c r="N317" s="91"/>
      <c r="O317" s="93"/>
      <c r="P317" s="67"/>
      <c r="R317" t="str">
        <f t="shared" si="45"/>
        <v/>
      </c>
      <c r="S317" t="str">
        <f t="shared" si="46"/>
        <v/>
      </c>
      <c r="T317" t="str">
        <f t="shared" si="47"/>
        <v/>
      </c>
      <c r="AD317" t="s">
        <v>1669</v>
      </c>
      <c r="AE317" t="s">
        <v>1670</v>
      </c>
      <c r="AF317" t="str">
        <f t="shared" si="48"/>
        <v>A679077</v>
      </c>
      <c r="AG317" t="str">
        <f>VLOOKUP(AF317,AKT!$C$4:$E$324,3,FALSE)</f>
        <v>0942</v>
      </c>
    </row>
    <row r="318" spans="1:33">
      <c r="A318" s="84"/>
      <c r="B318" s="83" t="str">
        <f t="shared" si="40"/>
        <v/>
      </c>
      <c r="C318" s="84"/>
      <c r="D318" s="83" t="str">
        <f t="shared" si="41"/>
        <v/>
      </c>
      <c r="E318" s="85"/>
      <c r="F318" s="83" t="str">
        <f t="shared" si="42"/>
        <v/>
      </c>
      <c r="G318" s="83" t="str">
        <f t="shared" si="43"/>
        <v/>
      </c>
      <c r="H318" s="69"/>
      <c r="I318" s="69"/>
      <c r="J318" s="78">
        <f t="shared" si="44"/>
        <v>0</v>
      </c>
      <c r="K318" s="91"/>
      <c r="L318" s="92"/>
      <c r="M318" s="92"/>
      <c r="N318" s="91"/>
      <c r="O318" s="93"/>
      <c r="P318" s="67"/>
      <c r="R318" t="str">
        <f t="shared" si="45"/>
        <v/>
      </c>
      <c r="S318" t="str">
        <f t="shared" si="46"/>
        <v/>
      </c>
      <c r="T318" t="str">
        <f t="shared" si="47"/>
        <v/>
      </c>
      <c r="AD318" t="s">
        <v>1671</v>
      </c>
      <c r="AE318" t="s">
        <v>1670</v>
      </c>
      <c r="AF318" t="str">
        <f t="shared" si="48"/>
        <v>A679077</v>
      </c>
      <c r="AG318" t="str">
        <f>VLOOKUP(AF318,AKT!$C$4:$E$324,3,FALSE)</f>
        <v>0942</v>
      </c>
    </row>
    <row r="319" spans="1:33">
      <c r="A319" s="84"/>
      <c r="B319" s="83" t="str">
        <f t="shared" si="40"/>
        <v/>
      </c>
      <c r="C319" s="84"/>
      <c r="D319" s="83" t="str">
        <f t="shared" si="41"/>
        <v/>
      </c>
      <c r="E319" s="85"/>
      <c r="F319" s="83" t="str">
        <f t="shared" si="42"/>
        <v/>
      </c>
      <c r="G319" s="83" t="str">
        <f t="shared" si="43"/>
        <v/>
      </c>
      <c r="H319" s="69"/>
      <c r="I319" s="69"/>
      <c r="J319" s="78">
        <f t="shared" si="44"/>
        <v>0</v>
      </c>
      <c r="K319" s="91"/>
      <c r="L319" s="92"/>
      <c r="M319" s="92"/>
      <c r="N319" s="91"/>
      <c r="O319" s="93"/>
      <c r="P319" s="67"/>
      <c r="R319" t="str">
        <f t="shared" si="45"/>
        <v/>
      </c>
      <c r="S319" t="str">
        <f t="shared" si="46"/>
        <v/>
      </c>
      <c r="T319" t="str">
        <f t="shared" si="47"/>
        <v/>
      </c>
      <c r="AD319" t="s">
        <v>1672</v>
      </c>
      <c r="AE319" t="s">
        <v>1673</v>
      </c>
      <c r="AF319" t="str">
        <f t="shared" si="48"/>
        <v>A679077</v>
      </c>
      <c r="AG319" t="str">
        <f>VLOOKUP(AF319,AKT!$C$4:$E$324,3,FALSE)</f>
        <v>0942</v>
      </c>
    </row>
    <row r="320" spans="1:33">
      <c r="A320" s="84"/>
      <c r="B320" s="83" t="str">
        <f t="shared" si="40"/>
        <v/>
      </c>
      <c r="C320" s="84"/>
      <c r="D320" s="83" t="str">
        <f t="shared" si="41"/>
        <v/>
      </c>
      <c r="E320" s="85"/>
      <c r="F320" s="83" t="str">
        <f t="shared" si="42"/>
        <v/>
      </c>
      <c r="G320" s="83" t="str">
        <f t="shared" si="43"/>
        <v/>
      </c>
      <c r="H320" s="69"/>
      <c r="I320" s="69"/>
      <c r="J320" s="78">
        <f t="shared" si="44"/>
        <v>0</v>
      </c>
      <c r="K320" s="91"/>
      <c r="L320" s="92"/>
      <c r="M320" s="92"/>
      <c r="N320" s="91"/>
      <c r="O320" s="93"/>
      <c r="P320" s="67"/>
      <c r="R320" t="str">
        <f t="shared" si="45"/>
        <v/>
      </c>
      <c r="S320" t="str">
        <f t="shared" si="46"/>
        <v/>
      </c>
      <c r="T320" t="str">
        <f t="shared" si="47"/>
        <v/>
      </c>
      <c r="AD320" t="s">
        <v>1674</v>
      </c>
      <c r="AE320" t="s">
        <v>1675</v>
      </c>
      <c r="AF320" t="str">
        <f t="shared" si="48"/>
        <v>A679077</v>
      </c>
      <c r="AG320" t="str">
        <f>VLOOKUP(AF320,AKT!$C$4:$E$324,3,FALSE)</f>
        <v>0942</v>
      </c>
    </row>
    <row r="321" spans="1:33">
      <c r="A321" s="84"/>
      <c r="B321" s="83" t="str">
        <f t="shared" si="40"/>
        <v/>
      </c>
      <c r="C321" s="84"/>
      <c r="D321" s="83" t="str">
        <f t="shared" si="41"/>
        <v/>
      </c>
      <c r="E321" s="85"/>
      <c r="F321" s="83" t="str">
        <f t="shared" si="42"/>
        <v/>
      </c>
      <c r="G321" s="83" t="str">
        <f t="shared" si="43"/>
        <v/>
      </c>
      <c r="H321" s="69"/>
      <c r="I321" s="69"/>
      <c r="J321" s="78">
        <f t="shared" si="44"/>
        <v>0</v>
      </c>
      <c r="K321" s="91"/>
      <c r="L321" s="92"/>
      <c r="M321" s="92"/>
      <c r="N321" s="91"/>
      <c r="O321" s="93"/>
      <c r="P321" s="67"/>
      <c r="R321" t="str">
        <f t="shared" si="45"/>
        <v/>
      </c>
      <c r="S321" t="str">
        <f t="shared" si="46"/>
        <v/>
      </c>
      <c r="T321" t="str">
        <f t="shared" si="47"/>
        <v/>
      </c>
      <c r="AD321" t="s">
        <v>1676</v>
      </c>
      <c r="AE321" t="s">
        <v>1677</v>
      </c>
      <c r="AF321" t="str">
        <f t="shared" si="48"/>
        <v>A679077</v>
      </c>
      <c r="AG321" t="str">
        <f>VLOOKUP(AF321,AKT!$C$4:$E$324,3,FALSE)</f>
        <v>0942</v>
      </c>
    </row>
    <row r="322" spans="1:33">
      <c r="A322" s="84"/>
      <c r="B322" s="83" t="str">
        <f t="shared" si="40"/>
        <v/>
      </c>
      <c r="C322" s="84"/>
      <c r="D322" s="83" t="str">
        <f t="shared" si="41"/>
        <v/>
      </c>
      <c r="E322" s="85"/>
      <c r="F322" s="83" t="str">
        <f t="shared" si="42"/>
        <v/>
      </c>
      <c r="G322" s="83" t="str">
        <f t="shared" si="43"/>
        <v/>
      </c>
      <c r="H322" s="69"/>
      <c r="I322" s="69"/>
      <c r="J322" s="78">
        <f t="shared" si="44"/>
        <v>0</v>
      </c>
      <c r="K322" s="91"/>
      <c r="L322" s="92"/>
      <c r="M322" s="92"/>
      <c r="N322" s="91"/>
      <c r="O322" s="93"/>
      <c r="P322" s="67"/>
      <c r="R322" t="str">
        <f t="shared" si="45"/>
        <v/>
      </c>
      <c r="S322" t="str">
        <f t="shared" si="46"/>
        <v/>
      </c>
      <c r="T322" t="str">
        <f t="shared" si="47"/>
        <v/>
      </c>
      <c r="AD322" t="s">
        <v>1678</v>
      </c>
      <c r="AE322" t="s">
        <v>1679</v>
      </c>
      <c r="AF322" t="str">
        <f t="shared" si="48"/>
        <v>A679077</v>
      </c>
      <c r="AG322" t="str">
        <f>VLOOKUP(AF322,AKT!$C$4:$E$324,3,FALSE)</f>
        <v>0942</v>
      </c>
    </row>
    <row r="323" spans="1:33">
      <c r="A323" s="84"/>
      <c r="B323" s="83" t="str">
        <f t="shared" ref="B323:B386" si="49">IFERROR(VLOOKUP(A323,$U$6:$V$23,2,FALSE),"")</f>
        <v/>
      </c>
      <c r="C323" s="84"/>
      <c r="D323" s="83" t="str">
        <f t="shared" si="41"/>
        <v/>
      </c>
      <c r="E323" s="85"/>
      <c r="F323" s="83" t="str">
        <f t="shared" si="42"/>
        <v/>
      </c>
      <c r="G323" s="83" t="str">
        <f t="shared" si="43"/>
        <v/>
      </c>
      <c r="H323" s="69"/>
      <c r="I323" s="69"/>
      <c r="J323" s="78">
        <f t="shared" si="44"/>
        <v>0</v>
      </c>
      <c r="K323" s="91"/>
      <c r="L323" s="92"/>
      <c r="M323" s="92"/>
      <c r="N323" s="91"/>
      <c r="O323" s="93"/>
      <c r="P323" s="67"/>
      <c r="R323" t="str">
        <f t="shared" si="45"/>
        <v/>
      </c>
      <c r="S323" t="str">
        <f t="shared" si="46"/>
        <v/>
      </c>
      <c r="T323" t="str">
        <f t="shared" si="47"/>
        <v/>
      </c>
      <c r="AD323" t="s">
        <v>1680</v>
      </c>
      <c r="AE323" t="s">
        <v>1681</v>
      </c>
      <c r="AF323" t="str">
        <f t="shared" si="48"/>
        <v>A679077</v>
      </c>
      <c r="AG323" t="str">
        <f>VLOOKUP(AF323,AKT!$C$4:$E$324,3,FALSE)</f>
        <v>0942</v>
      </c>
    </row>
    <row r="324" spans="1:33">
      <c r="A324" s="84"/>
      <c r="B324" s="83" t="str">
        <f t="shared" si="49"/>
        <v/>
      </c>
      <c r="C324" s="84"/>
      <c r="D324" s="83" t="str">
        <f t="shared" ref="D324:D387" si="50">IFERROR(VLOOKUP(C324,$X$5:$Z$129,2,FALSE),"")</f>
        <v/>
      </c>
      <c r="E324" s="85"/>
      <c r="F324" s="83" t="str">
        <f t="shared" ref="F324:F387" si="51">IFERROR(VLOOKUP(E324,$AD$6:$AE$1090,2,FALSE),"")</f>
        <v/>
      </c>
      <c r="G324" s="83" t="str">
        <f t="shared" ref="G324:G387" si="52">IFERROR(VLOOKUP(E324,$AD$6:$AG$1090,4,FALSE),"")</f>
        <v/>
      </c>
      <c r="H324" s="69"/>
      <c r="I324" s="69"/>
      <c r="J324" s="78">
        <f t="shared" ref="J324:J387" si="53">I324-H324</f>
        <v>0</v>
      </c>
      <c r="K324" s="91"/>
      <c r="L324" s="92"/>
      <c r="M324" s="92"/>
      <c r="N324" s="91"/>
      <c r="O324" s="93"/>
      <c r="P324" s="67"/>
      <c r="R324" t="str">
        <f t="shared" ref="R324:R387" si="54">LEFT(C324,3)</f>
        <v/>
      </c>
      <c r="S324" t="str">
        <f t="shared" ref="S324:S387" si="55">LEFT(C324,2)</f>
        <v/>
      </c>
      <c r="T324" t="str">
        <f t="shared" ref="T324:T387" si="56">MID(G324,2,2)</f>
        <v/>
      </c>
      <c r="AD324" t="s">
        <v>1682</v>
      </c>
      <c r="AE324" t="s">
        <v>1683</v>
      </c>
      <c r="AF324" t="str">
        <f t="shared" si="48"/>
        <v>A679077</v>
      </c>
      <c r="AG324" t="str">
        <f>VLOOKUP(AF324,AKT!$C$4:$E$324,3,FALSE)</f>
        <v>0942</v>
      </c>
    </row>
    <row r="325" spans="1:33">
      <c r="A325" s="84"/>
      <c r="B325" s="83" t="str">
        <f t="shared" si="49"/>
        <v/>
      </c>
      <c r="C325" s="84"/>
      <c r="D325" s="83" t="str">
        <f t="shared" si="50"/>
        <v/>
      </c>
      <c r="E325" s="85"/>
      <c r="F325" s="83" t="str">
        <f t="shared" si="51"/>
        <v/>
      </c>
      <c r="G325" s="83" t="str">
        <f t="shared" si="52"/>
        <v/>
      </c>
      <c r="H325" s="69"/>
      <c r="I325" s="69"/>
      <c r="J325" s="78">
        <f t="shared" si="53"/>
        <v>0</v>
      </c>
      <c r="K325" s="91"/>
      <c r="L325" s="92"/>
      <c r="M325" s="92"/>
      <c r="N325" s="91"/>
      <c r="O325" s="93"/>
      <c r="P325" s="67"/>
      <c r="R325" t="str">
        <f t="shared" si="54"/>
        <v/>
      </c>
      <c r="S325" t="str">
        <f t="shared" si="55"/>
        <v/>
      </c>
      <c r="T325" t="str">
        <f t="shared" si="56"/>
        <v/>
      </c>
      <c r="AD325" t="s">
        <v>1684</v>
      </c>
      <c r="AE325" t="s">
        <v>1685</v>
      </c>
      <c r="AF325" t="str">
        <f t="shared" si="48"/>
        <v>A679077</v>
      </c>
      <c r="AG325" t="str">
        <f>VLOOKUP(AF325,AKT!$C$4:$E$324,3,FALSE)</f>
        <v>0942</v>
      </c>
    </row>
    <row r="326" spans="1:33">
      <c r="A326" s="84"/>
      <c r="B326" s="83" t="str">
        <f t="shared" si="49"/>
        <v/>
      </c>
      <c r="C326" s="84"/>
      <c r="D326" s="83" t="str">
        <f t="shared" si="50"/>
        <v/>
      </c>
      <c r="E326" s="85"/>
      <c r="F326" s="83" t="str">
        <f t="shared" si="51"/>
        <v/>
      </c>
      <c r="G326" s="83" t="str">
        <f t="shared" si="52"/>
        <v/>
      </c>
      <c r="H326" s="69"/>
      <c r="I326" s="69"/>
      <c r="J326" s="78">
        <f t="shared" si="53"/>
        <v>0</v>
      </c>
      <c r="K326" s="91"/>
      <c r="L326" s="92"/>
      <c r="M326" s="92"/>
      <c r="N326" s="91"/>
      <c r="O326" s="93"/>
      <c r="P326" s="67"/>
      <c r="R326" t="str">
        <f t="shared" si="54"/>
        <v/>
      </c>
      <c r="S326" t="str">
        <f t="shared" si="55"/>
        <v/>
      </c>
      <c r="T326" t="str">
        <f t="shared" si="56"/>
        <v/>
      </c>
      <c r="AD326" t="s">
        <v>1686</v>
      </c>
      <c r="AE326" t="s">
        <v>1687</v>
      </c>
      <c r="AF326" t="str">
        <f t="shared" si="48"/>
        <v>A679077</v>
      </c>
      <c r="AG326" t="str">
        <f>VLOOKUP(AF326,AKT!$C$4:$E$324,3,FALSE)</f>
        <v>0942</v>
      </c>
    </row>
    <row r="327" spans="1:33">
      <c r="A327" s="84"/>
      <c r="B327" s="83" t="str">
        <f t="shared" si="49"/>
        <v/>
      </c>
      <c r="C327" s="84"/>
      <c r="D327" s="83" t="str">
        <f t="shared" si="50"/>
        <v/>
      </c>
      <c r="E327" s="85"/>
      <c r="F327" s="83" t="str">
        <f t="shared" si="51"/>
        <v/>
      </c>
      <c r="G327" s="83" t="str">
        <f t="shared" si="52"/>
        <v/>
      </c>
      <c r="H327" s="69"/>
      <c r="I327" s="69"/>
      <c r="J327" s="78">
        <f t="shared" si="53"/>
        <v>0</v>
      </c>
      <c r="K327" s="91"/>
      <c r="L327" s="92"/>
      <c r="M327" s="92"/>
      <c r="N327" s="91"/>
      <c r="O327" s="93"/>
      <c r="P327" s="67"/>
      <c r="R327" t="str">
        <f t="shared" si="54"/>
        <v/>
      </c>
      <c r="S327" t="str">
        <f t="shared" si="55"/>
        <v/>
      </c>
      <c r="T327" t="str">
        <f t="shared" si="56"/>
        <v/>
      </c>
      <c r="AD327" t="s">
        <v>1688</v>
      </c>
      <c r="AE327" t="s">
        <v>1689</v>
      </c>
      <c r="AF327" t="str">
        <f t="shared" si="48"/>
        <v>A679077</v>
      </c>
      <c r="AG327" t="str">
        <f>VLOOKUP(AF327,AKT!$C$4:$E$324,3,FALSE)</f>
        <v>0942</v>
      </c>
    </row>
    <row r="328" spans="1:33">
      <c r="A328" s="84"/>
      <c r="B328" s="83" t="str">
        <f t="shared" si="49"/>
        <v/>
      </c>
      <c r="C328" s="84"/>
      <c r="D328" s="83" t="str">
        <f t="shared" si="50"/>
        <v/>
      </c>
      <c r="E328" s="85"/>
      <c r="F328" s="83" t="str">
        <f t="shared" si="51"/>
        <v/>
      </c>
      <c r="G328" s="83" t="str">
        <f t="shared" si="52"/>
        <v/>
      </c>
      <c r="H328" s="69"/>
      <c r="I328" s="69"/>
      <c r="J328" s="78">
        <f t="shared" si="53"/>
        <v>0</v>
      </c>
      <c r="K328" s="91"/>
      <c r="L328" s="92"/>
      <c r="M328" s="92"/>
      <c r="N328" s="91"/>
      <c r="O328" s="93"/>
      <c r="P328" s="67"/>
      <c r="R328" t="str">
        <f t="shared" si="54"/>
        <v/>
      </c>
      <c r="S328" t="str">
        <f t="shared" si="55"/>
        <v/>
      </c>
      <c r="T328" t="str">
        <f t="shared" si="56"/>
        <v/>
      </c>
      <c r="AD328" t="s">
        <v>1690</v>
      </c>
      <c r="AE328" t="s">
        <v>1691</v>
      </c>
      <c r="AF328" t="str">
        <f t="shared" ref="AF328:AF391" si="57">LEFT(AD328,7)</f>
        <v>A679077</v>
      </c>
      <c r="AG328" t="str">
        <f>VLOOKUP(AF328,AKT!$C$4:$E$324,3,FALSE)</f>
        <v>0942</v>
      </c>
    </row>
    <row r="329" spans="1:33">
      <c r="A329" s="84"/>
      <c r="B329" s="83" t="str">
        <f t="shared" si="49"/>
        <v/>
      </c>
      <c r="C329" s="84"/>
      <c r="D329" s="83" t="str">
        <f t="shared" si="50"/>
        <v/>
      </c>
      <c r="E329" s="85"/>
      <c r="F329" s="83" t="str">
        <f t="shared" si="51"/>
        <v/>
      </c>
      <c r="G329" s="83" t="str">
        <f t="shared" si="52"/>
        <v/>
      </c>
      <c r="H329" s="69"/>
      <c r="I329" s="69"/>
      <c r="J329" s="78">
        <f t="shared" si="53"/>
        <v>0</v>
      </c>
      <c r="K329" s="91"/>
      <c r="L329" s="92"/>
      <c r="M329" s="92"/>
      <c r="N329" s="91"/>
      <c r="O329" s="93"/>
      <c r="P329" s="67"/>
      <c r="R329" t="str">
        <f t="shared" si="54"/>
        <v/>
      </c>
      <c r="S329" t="str">
        <f t="shared" si="55"/>
        <v/>
      </c>
      <c r="T329" t="str">
        <f t="shared" si="56"/>
        <v/>
      </c>
      <c r="AD329" t="s">
        <v>1692</v>
      </c>
      <c r="AE329" t="s">
        <v>1693</v>
      </c>
      <c r="AF329" t="str">
        <f t="shared" si="57"/>
        <v>A679077</v>
      </c>
      <c r="AG329" t="str">
        <f>VLOOKUP(AF329,AKT!$C$4:$E$324,3,FALSE)</f>
        <v>0942</v>
      </c>
    </row>
    <row r="330" spans="1:33">
      <c r="A330" s="84"/>
      <c r="B330" s="83" t="str">
        <f t="shared" si="49"/>
        <v/>
      </c>
      <c r="C330" s="84"/>
      <c r="D330" s="83" t="str">
        <f t="shared" si="50"/>
        <v/>
      </c>
      <c r="E330" s="85"/>
      <c r="F330" s="83" t="str">
        <f t="shared" si="51"/>
        <v/>
      </c>
      <c r="G330" s="83" t="str">
        <f t="shared" si="52"/>
        <v/>
      </c>
      <c r="H330" s="69"/>
      <c r="I330" s="69"/>
      <c r="J330" s="78">
        <f t="shared" si="53"/>
        <v>0</v>
      </c>
      <c r="K330" s="91"/>
      <c r="L330" s="92"/>
      <c r="M330" s="92"/>
      <c r="N330" s="91"/>
      <c r="O330" s="93"/>
      <c r="P330" s="67"/>
      <c r="R330" t="str">
        <f t="shared" si="54"/>
        <v/>
      </c>
      <c r="S330" t="str">
        <f t="shared" si="55"/>
        <v/>
      </c>
      <c r="T330" t="str">
        <f t="shared" si="56"/>
        <v/>
      </c>
      <c r="AD330" t="s">
        <v>1694</v>
      </c>
      <c r="AE330" t="s">
        <v>1695</v>
      </c>
      <c r="AF330" t="str">
        <f t="shared" si="57"/>
        <v>A679077</v>
      </c>
      <c r="AG330" t="str">
        <f>VLOOKUP(AF330,AKT!$C$4:$E$324,3,FALSE)</f>
        <v>0942</v>
      </c>
    </row>
    <row r="331" spans="1:33">
      <c r="A331" s="84"/>
      <c r="B331" s="83" t="str">
        <f t="shared" si="49"/>
        <v/>
      </c>
      <c r="C331" s="84"/>
      <c r="D331" s="83" t="str">
        <f t="shared" si="50"/>
        <v/>
      </c>
      <c r="E331" s="85"/>
      <c r="F331" s="83" t="str">
        <f t="shared" si="51"/>
        <v/>
      </c>
      <c r="G331" s="83" t="str">
        <f t="shared" si="52"/>
        <v/>
      </c>
      <c r="H331" s="69"/>
      <c r="I331" s="69"/>
      <c r="J331" s="78">
        <f t="shared" si="53"/>
        <v>0</v>
      </c>
      <c r="K331" s="91"/>
      <c r="L331" s="92"/>
      <c r="M331" s="92"/>
      <c r="N331" s="91"/>
      <c r="O331" s="93"/>
      <c r="P331" s="67"/>
      <c r="R331" t="str">
        <f t="shared" si="54"/>
        <v/>
      </c>
      <c r="S331" t="str">
        <f t="shared" si="55"/>
        <v/>
      </c>
      <c r="T331" t="str">
        <f t="shared" si="56"/>
        <v/>
      </c>
      <c r="AD331" t="s">
        <v>1696</v>
      </c>
      <c r="AE331" t="s">
        <v>1697</v>
      </c>
      <c r="AF331" t="str">
        <f t="shared" si="57"/>
        <v>A679077</v>
      </c>
      <c r="AG331" t="str">
        <f>VLOOKUP(AF331,AKT!$C$4:$E$324,3,FALSE)</f>
        <v>0942</v>
      </c>
    </row>
    <row r="332" spans="1:33">
      <c r="A332" s="84"/>
      <c r="B332" s="83" t="str">
        <f t="shared" si="49"/>
        <v/>
      </c>
      <c r="C332" s="84"/>
      <c r="D332" s="83" t="str">
        <f t="shared" si="50"/>
        <v/>
      </c>
      <c r="E332" s="85"/>
      <c r="F332" s="83" t="str">
        <f t="shared" si="51"/>
        <v/>
      </c>
      <c r="G332" s="83" t="str">
        <f t="shared" si="52"/>
        <v/>
      </c>
      <c r="H332" s="69"/>
      <c r="I332" s="69"/>
      <c r="J332" s="78">
        <f t="shared" si="53"/>
        <v>0</v>
      </c>
      <c r="K332" s="91"/>
      <c r="L332" s="92"/>
      <c r="M332" s="92"/>
      <c r="N332" s="91"/>
      <c r="O332" s="93"/>
      <c r="P332" s="67"/>
      <c r="R332" t="str">
        <f t="shared" si="54"/>
        <v/>
      </c>
      <c r="S332" t="str">
        <f t="shared" si="55"/>
        <v/>
      </c>
      <c r="T332" t="str">
        <f t="shared" si="56"/>
        <v/>
      </c>
      <c r="AD332" t="s">
        <v>1698</v>
      </c>
      <c r="AE332" t="s">
        <v>1699</v>
      </c>
      <c r="AF332" t="str">
        <f t="shared" si="57"/>
        <v>A679077</v>
      </c>
      <c r="AG332" t="str">
        <f>VLOOKUP(AF332,AKT!$C$4:$E$324,3,FALSE)</f>
        <v>0942</v>
      </c>
    </row>
    <row r="333" spans="1:33">
      <c r="A333" s="84"/>
      <c r="B333" s="83" t="str">
        <f t="shared" si="49"/>
        <v/>
      </c>
      <c r="C333" s="84"/>
      <c r="D333" s="83" t="str">
        <f t="shared" si="50"/>
        <v/>
      </c>
      <c r="E333" s="85"/>
      <c r="F333" s="83" t="str">
        <f t="shared" si="51"/>
        <v/>
      </c>
      <c r="G333" s="83" t="str">
        <f t="shared" si="52"/>
        <v/>
      </c>
      <c r="H333" s="69"/>
      <c r="I333" s="69"/>
      <c r="J333" s="78">
        <f t="shared" si="53"/>
        <v>0</v>
      </c>
      <c r="K333" s="91"/>
      <c r="L333" s="92"/>
      <c r="M333" s="92"/>
      <c r="N333" s="91"/>
      <c r="O333" s="93"/>
      <c r="P333" s="67"/>
      <c r="R333" t="str">
        <f t="shared" si="54"/>
        <v/>
      </c>
      <c r="S333" t="str">
        <f t="shared" si="55"/>
        <v/>
      </c>
      <c r="T333" t="str">
        <f t="shared" si="56"/>
        <v/>
      </c>
      <c r="AD333" t="s">
        <v>1700</v>
      </c>
      <c r="AE333" t="s">
        <v>1701</v>
      </c>
      <c r="AF333" t="str">
        <f t="shared" si="57"/>
        <v>A679077</v>
      </c>
      <c r="AG333" t="str">
        <f>VLOOKUP(AF333,AKT!$C$4:$E$324,3,FALSE)</f>
        <v>0942</v>
      </c>
    </row>
    <row r="334" spans="1:33">
      <c r="A334" s="84"/>
      <c r="B334" s="83" t="str">
        <f t="shared" si="49"/>
        <v/>
      </c>
      <c r="C334" s="84"/>
      <c r="D334" s="83" t="str">
        <f t="shared" si="50"/>
        <v/>
      </c>
      <c r="E334" s="85"/>
      <c r="F334" s="83" t="str">
        <f t="shared" si="51"/>
        <v/>
      </c>
      <c r="G334" s="83" t="str">
        <f t="shared" si="52"/>
        <v/>
      </c>
      <c r="H334" s="69"/>
      <c r="I334" s="69"/>
      <c r="J334" s="78">
        <f t="shared" si="53"/>
        <v>0</v>
      </c>
      <c r="K334" s="91"/>
      <c r="L334" s="92"/>
      <c r="M334" s="92"/>
      <c r="N334" s="91"/>
      <c r="O334" s="93"/>
      <c r="P334" s="67"/>
      <c r="R334" t="str">
        <f t="shared" si="54"/>
        <v/>
      </c>
      <c r="S334" t="str">
        <f t="shared" si="55"/>
        <v/>
      </c>
      <c r="T334" t="str">
        <f t="shared" si="56"/>
        <v/>
      </c>
      <c r="AD334" t="s">
        <v>1702</v>
      </c>
      <c r="AE334" t="s">
        <v>1703</v>
      </c>
      <c r="AF334" t="str">
        <f t="shared" si="57"/>
        <v>A679077</v>
      </c>
      <c r="AG334" t="str">
        <f>VLOOKUP(AF334,AKT!$C$4:$E$324,3,FALSE)</f>
        <v>0942</v>
      </c>
    </row>
    <row r="335" spans="1:33">
      <c r="A335" s="84"/>
      <c r="B335" s="83" t="str">
        <f t="shared" si="49"/>
        <v/>
      </c>
      <c r="C335" s="84"/>
      <c r="D335" s="83" t="str">
        <f t="shared" si="50"/>
        <v/>
      </c>
      <c r="E335" s="85"/>
      <c r="F335" s="83" t="str">
        <f t="shared" si="51"/>
        <v/>
      </c>
      <c r="G335" s="83" t="str">
        <f t="shared" si="52"/>
        <v/>
      </c>
      <c r="H335" s="69"/>
      <c r="I335" s="69"/>
      <c r="J335" s="78">
        <f t="shared" si="53"/>
        <v>0</v>
      </c>
      <c r="K335" s="91"/>
      <c r="L335" s="92"/>
      <c r="M335" s="92"/>
      <c r="N335" s="91"/>
      <c r="O335" s="93"/>
      <c r="P335" s="67"/>
      <c r="R335" t="str">
        <f t="shared" si="54"/>
        <v/>
      </c>
      <c r="S335" t="str">
        <f t="shared" si="55"/>
        <v/>
      </c>
      <c r="T335" t="str">
        <f t="shared" si="56"/>
        <v/>
      </c>
      <c r="AD335" t="s">
        <v>1704</v>
      </c>
      <c r="AE335" t="s">
        <v>1705</v>
      </c>
      <c r="AF335" t="str">
        <f t="shared" si="57"/>
        <v>A679077</v>
      </c>
      <c r="AG335" t="str">
        <f>VLOOKUP(AF335,AKT!$C$4:$E$324,3,FALSE)</f>
        <v>0942</v>
      </c>
    </row>
    <row r="336" spans="1:33">
      <c r="A336" s="84"/>
      <c r="B336" s="83" t="str">
        <f t="shared" si="49"/>
        <v/>
      </c>
      <c r="C336" s="84"/>
      <c r="D336" s="83" t="str">
        <f t="shared" si="50"/>
        <v/>
      </c>
      <c r="E336" s="85"/>
      <c r="F336" s="83" t="str">
        <f t="shared" si="51"/>
        <v/>
      </c>
      <c r="G336" s="83" t="str">
        <f t="shared" si="52"/>
        <v/>
      </c>
      <c r="H336" s="69"/>
      <c r="I336" s="69"/>
      <c r="J336" s="78">
        <f t="shared" si="53"/>
        <v>0</v>
      </c>
      <c r="K336" s="91"/>
      <c r="L336" s="92"/>
      <c r="M336" s="92"/>
      <c r="N336" s="91"/>
      <c r="O336" s="93"/>
      <c r="P336" s="67"/>
      <c r="R336" t="str">
        <f t="shared" si="54"/>
        <v/>
      </c>
      <c r="S336" t="str">
        <f t="shared" si="55"/>
        <v/>
      </c>
      <c r="T336" t="str">
        <f t="shared" si="56"/>
        <v/>
      </c>
      <c r="AD336" t="s">
        <v>1706</v>
      </c>
      <c r="AE336" t="s">
        <v>1707</v>
      </c>
      <c r="AF336" t="str">
        <f t="shared" si="57"/>
        <v>A679077</v>
      </c>
      <c r="AG336" t="str">
        <f>VLOOKUP(AF336,AKT!$C$4:$E$324,3,FALSE)</f>
        <v>0942</v>
      </c>
    </row>
    <row r="337" spans="1:33">
      <c r="A337" s="84"/>
      <c r="B337" s="83" t="str">
        <f t="shared" si="49"/>
        <v/>
      </c>
      <c r="C337" s="84"/>
      <c r="D337" s="83" t="str">
        <f t="shared" si="50"/>
        <v/>
      </c>
      <c r="E337" s="85"/>
      <c r="F337" s="83" t="str">
        <f t="shared" si="51"/>
        <v/>
      </c>
      <c r="G337" s="83" t="str">
        <f t="shared" si="52"/>
        <v/>
      </c>
      <c r="H337" s="69"/>
      <c r="I337" s="69"/>
      <c r="J337" s="78">
        <f t="shared" si="53"/>
        <v>0</v>
      </c>
      <c r="K337" s="91"/>
      <c r="L337" s="92"/>
      <c r="M337" s="92"/>
      <c r="N337" s="91"/>
      <c r="O337" s="93"/>
      <c r="P337" s="67"/>
      <c r="R337" t="str">
        <f t="shared" si="54"/>
        <v/>
      </c>
      <c r="S337" t="str">
        <f t="shared" si="55"/>
        <v/>
      </c>
      <c r="T337" t="str">
        <f t="shared" si="56"/>
        <v/>
      </c>
      <c r="AD337" t="s">
        <v>1708</v>
      </c>
      <c r="AE337" t="s">
        <v>1709</v>
      </c>
      <c r="AF337" t="str">
        <f t="shared" si="57"/>
        <v>A679077</v>
      </c>
      <c r="AG337" t="str">
        <f>VLOOKUP(AF337,AKT!$C$4:$E$324,3,FALSE)</f>
        <v>0942</v>
      </c>
    </row>
    <row r="338" spans="1:33">
      <c r="A338" s="84"/>
      <c r="B338" s="83" t="str">
        <f t="shared" si="49"/>
        <v/>
      </c>
      <c r="C338" s="84"/>
      <c r="D338" s="83" t="str">
        <f t="shared" si="50"/>
        <v/>
      </c>
      <c r="E338" s="85"/>
      <c r="F338" s="83" t="str">
        <f t="shared" si="51"/>
        <v/>
      </c>
      <c r="G338" s="83" t="str">
        <f t="shared" si="52"/>
        <v/>
      </c>
      <c r="H338" s="69"/>
      <c r="I338" s="69"/>
      <c r="J338" s="78">
        <f t="shared" si="53"/>
        <v>0</v>
      </c>
      <c r="K338" s="91"/>
      <c r="L338" s="92"/>
      <c r="M338" s="92"/>
      <c r="N338" s="91"/>
      <c r="O338" s="93"/>
      <c r="P338" s="67"/>
      <c r="R338" t="str">
        <f t="shared" si="54"/>
        <v/>
      </c>
      <c r="S338" t="str">
        <f t="shared" si="55"/>
        <v/>
      </c>
      <c r="T338" t="str">
        <f t="shared" si="56"/>
        <v/>
      </c>
      <c r="AD338" t="s">
        <v>1710</v>
      </c>
      <c r="AE338" t="s">
        <v>1711</v>
      </c>
      <c r="AF338" t="str">
        <f t="shared" si="57"/>
        <v>A679077</v>
      </c>
      <c r="AG338" t="str">
        <f>VLOOKUP(AF338,AKT!$C$4:$E$324,3,FALSE)</f>
        <v>0942</v>
      </c>
    </row>
    <row r="339" spans="1:33">
      <c r="A339" s="84"/>
      <c r="B339" s="83" t="str">
        <f t="shared" si="49"/>
        <v/>
      </c>
      <c r="C339" s="84"/>
      <c r="D339" s="83" t="str">
        <f t="shared" si="50"/>
        <v/>
      </c>
      <c r="E339" s="85"/>
      <c r="F339" s="83" t="str">
        <f t="shared" si="51"/>
        <v/>
      </c>
      <c r="G339" s="83" t="str">
        <f t="shared" si="52"/>
        <v/>
      </c>
      <c r="H339" s="69"/>
      <c r="I339" s="69"/>
      <c r="J339" s="78">
        <f t="shared" si="53"/>
        <v>0</v>
      </c>
      <c r="K339" s="91"/>
      <c r="L339" s="92"/>
      <c r="M339" s="92"/>
      <c r="N339" s="91"/>
      <c r="O339" s="93"/>
      <c r="P339" s="67"/>
      <c r="R339" t="str">
        <f t="shared" si="54"/>
        <v/>
      </c>
      <c r="S339" t="str">
        <f t="shared" si="55"/>
        <v/>
      </c>
      <c r="T339" t="str">
        <f t="shared" si="56"/>
        <v/>
      </c>
      <c r="AD339" t="s">
        <v>1712</v>
      </c>
      <c r="AE339" t="s">
        <v>1713</v>
      </c>
      <c r="AF339" t="str">
        <f t="shared" si="57"/>
        <v>A679077</v>
      </c>
      <c r="AG339" t="str">
        <f>VLOOKUP(AF339,AKT!$C$4:$E$324,3,FALSE)</f>
        <v>0942</v>
      </c>
    </row>
    <row r="340" spans="1:33">
      <c r="A340" s="84"/>
      <c r="B340" s="83" t="str">
        <f t="shared" si="49"/>
        <v/>
      </c>
      <c r="C340" s="84"/>
      <c r="D340" s="83" t="str">
        <f t="shared" si="50"/>
        <v/>
      </c>
      <c r="E340" s="85"/>
      <c r="F340" s="83" t="str">
        <f t="shared" si="51"/>
        <v/>
      </c>
      <c r="G340" s="83" t="str">
        <f t="shared" si="52"/>
        <v/>
      </c>
      <c r="H340" s="69"/>
      <c r="I340" s="69"/>
      <c r="J340" s="78">
        <f t="shared" si="53"/>
        <v>0</v>
      </c>
      <c r="K340" s="91"/>
      <c r="L340" s="92"/>
      <c r="M340" s="92"/>
      <c r="N340" s="91"/>
      <c r="O340" s="93"/>
      <c r="P340" s="67"/>
      <c r="R340" t="str">
        <f t="shared" si="54"/>
        <v/>
      </c>
      <c r="S340" t="str">
        <f t="shared" si="55"/>
        <v/>
      </c>
      <c r="T340" t="str">
        <f t="shared" si="56"/>
        <v/>
      </c>
      <c r="AD340" t="s">
        <v>1714</v>
      </c>
      <c r="AE340" t="s">
        <v>1715</v>
      </c>
      <c r="AF340" t="str">
        <f t="shared" si="57"/>
        <v>A679077</v>
      </c>
      <c r="AG340" t="str">
        <f>VLOOKUP(AF340,AKT!$C$4:$E$324,3,FALSE)</f>
        <v>0942</v>
      </c>
    </row>
    <row r="341" spans="1:33">
      <c r="A341" s="84"/>
      <c r="B341" s="83" t="str">
        <f t="shared" si="49"/>
        <v/>
      </c>
      <c r="C341" s="84"/>
      <c r="D341" s="83" t="str">
        <f t="shared" si="50"/>
        <v/>
      </c>
      <c r="E341" s="85"/>
      <c r="F341" s="83" t="str">
        <f t="shared" si="51"/>
        <v/>
      </c>
      <c r="G341" s="83" t="str">
        <f t="shared" si="52"/>
        <v/>
      </c>
      <c r="H341" s="69"/>
      <c r="I341" s="69"/>
      <c r="J341" s="78">
        <f t="shared" si="53"/>
        <v>0</v>
      </c>
      <c r="K341" s="91"/>
      <c r="L341" s="92"/>
      <c r="M341" s="92"/>
      <c r="N341" s="91"/>
      <c r="O341" s="93"/>
      <c r="P341" s="67"/>
      <c r="R341" t="str">
        <f t="shared" si="54"/>
        <v/>
      </c>
      <c r="S341" t="str">
        <f t="shared" si="55"/>
        <v/>
      </c>
      <c r="T341" t="str">
        <f t="shared" si="56"/>
        <v/>
      </c>
      <c r="AD341" t="s">
        <v>1716</v>
      </c>
      <c r="AE341" t="s">
        <v>1717</v>
      </c>
      <c r="AF341" t="str">
        <f t="shared" si="57"/>
        <v>A679077</v>
      </c>
      <c r="AG341" t="str">
        <f>VLOOKUP(AF341,AKT!$C$4:$E$324,3,FALSE)</f>
        <v>0942</v>
      </c>
    </row>
    <row r="342" spans="1:33">
      <c r="A342" s="84"/>
      <c r="B342" s="83" t="str">
        <f t="shared" si="49"/>
        <v/>
      </c>
      <c r="C342" s="84"/>
      <c r="D342" s="83" t="str">
        <f t="shared" si="50"/>
        <v/>
      </c>
      <c r="E342" s="85"/>
      <c r="F342" s="83" t="str">
        <f t="shared" si="51"/>
        <v/>
      </c>
      <c r="G342" s="83" t="str">
        <f t="shared" si="52"/>
        <v/>
      </c>
      <c r="H342" s="69"/>
      <c r="I342" s="69"/>
      <c r="J342" s="78">
        <f t="shared" si="53"/>
        <v>0</v>
      </c>
      <c r="K342" s="91"/>
      <c r="L342" s="92"/>
      <c r="M342" s="92"/>
      <c r="N342" s="91"/>
      <c r="O342" s="93"/>
      <c r="P342" s="67"/>
      <c r="R342" t="str">
        <f t="shared" si="54"/>
        <v/>
      </c>
      <c r="S342" t="str">
        <f t="shared" si="55"/>
        <v/>
      </c>
      <c r="T342" t="str">
        <f t="shared" si="56"/>
        <v/>
      </c>
      <c r="AD342" t="s">
        <v>1718</v>
      </c>
      <c r="AE342" t="s">
        <v>1719</v>
      </c>
      <c r="AF342" t="str">
        <f t="shared" si="57"/>
        <v>A679077</v>
      </c>
      <c r="AG342" t="str">
        <f>VLOOKUP(AF342,AKT!$C$4:$E$324,3,FALSE)</f>
        <v>0942</v>
      </c>
    </row>
    <row r="343" spans="1:33">
      <c r="A343" s="84"/>
      <c r="B343" s="83" t="str">
        <f t="shared" si="49"/>
        <v/>
      </c>
      <c r="C343" s="84"/>
      <c r="D343" s="83" t="str">
        <f t="shared" si="50"/>
        <v/>
      </c>
      <c r="E343" s="85"/>
      <c r="F343" s="83" t="str">
        <f t="shared" si="51"/>
        <v/>
      </c>
      <c r="G343" s="83" t="str">
        <f t="shared" si="52"/>
        <v/>
      </c>
      <c r="H343" s="69"/>
      <c r="I343" s="69"/>
      <c r="J343" s="78">
        <f t="shared" si="53"/>
        <v>0</v>
      </c>
      <c r="K343" s="91"/>
      <c r="L343" s="92"/>
      <c r="M343" s="92"/>
      <c r="N343" s="91"/>
      <c r="O343" s="93"/>
      <c r="P343" s="67"/>
      <c r="R343" t="str">
        <f t="shared" si="54"/>
        <v/>
      </c>
      <c r="S343" t="str">
        <f t="shared" si="55"/>
        <v/>
      </c>
      <c r="T343" t="str">
        <f t="shared" si="56"/>
        <v/>
      </c>
      <c r="AD343" t="s">
        <v>1720</v>
      </c>
      <c r="AE343" t="s">
        <v>1721</v>
      </c>
      <c r="AF343" t="str">
        <f t="shared" si="57"/>
        <v>A679077</v>
      </c>
      <c r="AG343" t="str">
        <f>VLOOKUP(AF343,AKT!$C$4:$E$324,3,FALSE)</f>
        <v>0942</v>
      </c>
    </row>
    <row r="344" spans="1:33">
      <c r="A344" s="84"/>
      <c r="B344" s="83" t="str">
        <f t="shared" si="49"/>
        <v/>
      </c>
      <c r="C344" s="84"/>
      <c r="D344" s="83" t="str">
        <f t="shared" si="50"/>
        <v/>
      </c>
      <c r="E344" s="85"/>
      <c r="F344" s="83" t="str">
        <f t="shared" si="51"/>
        <v/>
      </c>
      <c r="G344" s="83" t="str">
        <f t="shared" si="52"/>
        <v/>
      </c>
      <c r="H344" s="69"/>
      <c r="I344" s="69"/>
      <c r="J344" s="78">
        <f t="shared" si="53"/>
        <v>0</v>
      </c>
      <c r="K344" s="91"/>
      <c r="L344" s="92"/>
      <c r="M344" s="92"/>
      <c r="N344" s="91"/>
      <c r="O344" s="93"/>
      <c r="P344" s="67"/>
      <c r="R344" t="str">
        <f t="shared" si="54"/>
        <v/>
      </c>
      <c r="S344" t="str">
        <f t="shared" si="55"/>
        <v/>
      </c>
      <c r="T344" t="str">
        <f t="shared" si="56"/>
        <v/>
      </c>
      <c r="AD344" t="s">
        <v>1722</v>
      </c>
      <c r="AE344" t="s">
        <v>1723</v>
      </c>
      <c r="AF344" t="str">
        <f t="shared" si="57"/>
        <v>A679077</v>
      </c>
      <c r="AG344" t="str">
        <f>VLOOKUP(AF344,AKT!$C$4:$E$324,3,FALSE)</f>
        <v>0942</v>
      </c>
    </row>
    <row r="345" spans="1:33">
      <c r="A345" s="84"/>
      <c r="B345" s="83" t="str">
        <f t="shared" si="49"/>
        <v/>
      </c>
      <c r="C345" s="84"/>
      <c r="D345" s="83" t="str">
        <f t="shared" si="50"/>
        <v/>
      </c>
      <c r="E345" s="85"/>
      <c r="F345" s="83" t="str">
        <f t="shared" si="51"/>
        <v/>
      </c>
      <c r="G345" s="83" t="str">
        <f t="shared" si="52"/>
        <v/>
      </c>
      <c r="H345" s="69"/>
      <c r="I345" s="69"/>
      <c r="J345" s="78">
        <f t="shared" si="53"/>
        <v>0</v>
      </c>
      <c r="K345" s="91"/>
      <c r="L345" s="92"/>
      <c r="M345" s="92"/>
      <c r="N345" s="91"/>
      <c r="O345" s="93"/>
      <c r="P345" s="67"/>
      <c r="R345" t="str">
        <f t="shared" si="54"/>
        <v/>
      </c>
      <c r="S345" t="str">
        <f t="shared" si="55"/>
        <v/>
      </c>
      <c r="T345" t="str">
        <f t="shared" si="56"/>
        <v/>
      </c>
      <c r="AD345" t="s">
        <v>1724</v>
      </c>
      <c r="AE345" t="s">
        <v>1725</v>
      </c>
      <c r="AF345" t="str">
        <f t="shared" si="57"/>
        <v>A679077</v>
      </c>
      <c r="AG345" t="str">
        <f>VLOOKUP(AF345,AKT!$C$4:$E$324,3,FALSE)</f>
        <v>0942</v>
      </c>
    </row>
    <row r="346" spans="1:33">
      <c r="A346" s="84"/>
      <c r="B346" s="83" t="str">
        <f t="shared" si="49"/>
        <v/>
      </c>
      <c r="C346" s="84"/>
      <c r="D346" s="83" t="str">
        <f t="shared" si="50"/>
        <v/>
      </c>
      <c r="E346" s="85"/>
      <c r="F346" s="83" t="str">
        <f t="shared" si="51"/>
        <v/>
      </c>
      <c r="G346" s="83" t="str">
        <f t="shared" si="52"/>
        <v/>
      </c>
      <c r="H346" s="69"/>
      <c r="I346" s="69"/>
      <c r="J346" s="78">
        <f t="shared" si="53"/>
        <v>0</v>
      </c>
      <c r="K346" s="91"/>
      <c r="L346" s="92"/>
      <c r="M346" s="92"/>
      <c r="N346" s="91"/>
      <c r="O346" s="93"/>
      <c r="P346" s="67"/>
      <c r="R346" t="str">
        <f t="shared" si="54"/>
        <v/>
      </c>
      <c r="S346" t="str">
        <f t="shared" si="55"/>
        <v/>
      </c>
      <c r="T346" t="str">
        <f t="shared" si="56"/>
        <v/>
      </c>
      <c r="AD346" t="s">
        <v>1726</v>
      </c>
      <c r="AE346" t="s">
        <v>1727</v>
      </c>
      <c r="AF346" t="str">
        <f t="shared" si="57"/>
        <v>A679077</v>
      </c>
      <c r="AG346" t="str">
        <f>VLOOKUP(AF346,AKT!$C$4:$E$324,3,FALSE)</f>
        <v>0942</v>
      </c>
    </row>
    <row r="347" spans="1:33">
      <c r="A347" s="84"/>
      <c r="B347" s="83" t="str">
        <f t="shared" si="49"/>
        <v/>
      </c>
      <c r="C347" s="84"/>
      <c r="D347" s="83" t="str">
        <f t="shared" si="50"/>
        <v/>
      </c>
      <c r="E347" s="85"/>
      <c r="F347" s="83" t="str">
        <f t="shared" si="51"/>
        <v/>
      </c>
      <c r="G347" s="83" t="str">
        <f t="shared" si="52"/>
        <v/>
      </c>
      <c r="H347" s="69"/>
      <c r="I347" s="69"/>
      <c r="J347" s="78">
        <f t="shared" si="53"/>
        <v>0</v>
      </c>
      <c r="K347" s="91"/>
      <c r="L347" s="92"/>
      <c r="M347" s="92"/>
      <c r="N347" s="91"/>
      <c r="O347" s="93"/>
      <c r="P347" s="67"/>
      <c r="R347" t="str">
        <f t="shared" si="54"/>
        <v/>
      </c>
      <c r="S347" t="str">
        <f t="shared" si="55"/>
        <v/>
      </c>
      <c r="T347" t="str">
        <f t="shared" si="56"/>
        <v/>
      </c>
      <c r="AD347" t="s">
        <v>1728</v>
      </c>
      <c r="AE347" t="s">
        <v>1729</v>
      </c>
      <c r="AF347" t="str">
        <f t="shared" si="57"/>
        <v>A679077</v>
      </c>
      <c r="AG347" t="str">
        <f>VLOOKUP(AF347,AKT!$C$4:$E$324,3,FALSE)</f>
        <v>0942</v>
      </c>
    </row>
    <row r="348" spans="1:33">
      <c r="A348" s="84"/>
      <c r="B348" s="83" t="str">
        <f t="shared" si="49"/>
        <v/>
      </c>
      <c r="C348" s="84"/>
      <c r="D348" s="83" t="str">
        <f t="shared" si="50"/>
        <v/>
      </c>
      <c r="E348" s="85"/>
      <c r="F348" s="83" t="str">
        <f t="shared" si="51"/>
        <v/>
      </c>
      <c r="G348" s="83" t="str">
        <f t="shared" si="52"/>
        <v/>
      </c>
      <c r="H348" s="69"/>
      <c r="I348" s="69"/>
      <c r="J348" s="78">
        <f t="shared" si="53"/>
        <v>0</v>
      </c>
      <c r="K348" s="91"/>
      <c r="L348" s="92"/>
      <c r="M348" s="92"/>
      <c r="N348" s="91"/>
      <c r="O348" s="93"/>
      <c r="P348" s="67"/>
      <c r="R348" t="str">
        <f t="shared" si="54"/>
        <v/>
      </c>
      <c r="S348" t="str">
        <f t="shared" si="55"/>
        <v/>
      </c>
      <c r="T348" t="str">
        <f t="shared" si="56"/>
        <v/>
      </c>
      <c r="AD348" t="s">
        <v>1730</v>
      </c>
      <c r="AE348" t="s">
        <v>1731</v>
      </c>
      <c r="AF348" t="str">
        <f t="shared" si="57"/>
        <v>A679077</v>
      </c>
      <c r="AG348" t="str">
        <f>VLOOKUP(AF348,AKT!$C$4:$E$324,3,FALSE)</f>
        <v>0942</v>
      </c>
    </row>
    <row r="349" spans="1:33">
      <c r="A349" s="84"/>
      <c r="B349" s="83" t="str">
        <f t="shared" si="49"/>
        <v/>
      </c>
      <c r="C349" s="84"/>
      <c r="D349" s="83" t="str">
        <f t="shared" si="50"/>
        <v/>
      </c>
      <c r="E349" s="85"/>
      <c r="F349" s="83" t="str">
        <f t="shared" si="51"/>
        <v/>
      </c>
      <c r="G349" s="83" t="str">
        <f t="shared" si="52"/>
        <v/>
      </c>
      <c r="H349" s="69"/>
      <c r="I349" s="69"/>
      <c r="J349" s="78">
        <f t="shared" si="53"/>
        <v>0</v>
      </c>
      <c r="K349" s="91"/>
      <c r="L349" s="92"/>
      <c r="M349" s="92"/>
      <c r="N349" s="91"/>
      <c r="O349" s="93"/>
      <c r="P349" s="67"/>
      <c r="R349" t="str">
        <f t="shared" si="54"/>
        <v/>
      </c>
      <c r="S349" t="str">
        <f t="shared" si="55"/>
        <v/>
      </c>
      <c r="T349" t="str">
        <f t="shared" si="56"/>
        <v/>
      </c>
      <c r="AD349" t="s">
        <v>1732</v>
      </c>
      <c r="AE349" t="s">
        <v>1733</v>
      </c>
      <c r="AF349" t="str">
        <f t="shared" si="57"/>
        <v>A679077</v>
      </c>
      <c r="AG349" t="str">
        <f>VLOOKUP(AF349,AKT!$C$4:$E$324,3,FALSE)</f>
        <v>0942</v>
      </c>
    </row>
    <row r="350" spans="1:33">
      <c r="A350" s="84"/>
      <c r="B350" s="83" t="str">
        <f t="shared" si="49"/>
        <v/>
      </c>
      <c r="C350" s="84"/>
      <c r="D350" s="83" t="str">
        <f t="shared" si="50"/>
        <v/>
      </c>
      <c r="E350" s="85"/>
      <c r="F350" s="83" t="str">
        <f t="shared" si="51"/>
        <v/>
      </c>
      <c r="G350" s="83" t="str">
        <f t="shared" si="52"/>
        <v/>
      </c>
      <c r="H350" s="69"/>
      <c r="I350" s="69"/>
      <c r="J350" s="78">
        <f t="shared" si="53"/>
        <v>0</v>
      </c>
      <c r="K350" s="91"/>
      <c r="L350" s="92"/>
      <c r="M350" s="92"/>
      <c r="N350" s="91"/>
      <c r="O350" s="93"/>
      <c r="P350" s="67"/>
      <c r="R350" t="str">
        <f t="shared" si="54"/>
        <v/>
      </c>
      <c r="S350" t="str">
        <f t="shared" si="55"/>
        <v/>
      </c>
      <c r="T350" t="str">
        <f t="shared" si="56"/>
        <v/>
      </c>
      <c r="AD350" t="s">
        <v>1734</v>
      </c>
      <c r="AE350" t="s">
        <v>1735</v>
      </c>
      <c r="AF350" t="str">
        <f t="shared" si="57"/>
        <v>A679077</v>
      </c>
      <c r="AG350" t="str">
        <f>VLOOKUP(AF350,AKT!$C$4:$E$324,3,FALSE)</f>
        <v>0942</v>
      </c>
    </row>
    <row r="351" spans="1:33">
      <c r="A351" s="84"/>
      <c r="B351" s="83" t="str">
        <f t="shared" si="49"/>
        <v/>
      </c>
      <c r="C351" s="84"/>
      <c r="D351" s="83" t="str">
        <f t="shared" si="50"/>
        <v/>
      </c>
      <c r="E351" s="85"/>
      <c r="F351" s="83" t="str">
        <f t="shared" si="51"/>
        <v/>
      </c>
      <c r="G351" s="83" t="str">
        <f t="shared" si="52"/>
        <v/>
      </c>
      <c r="H351" s="69"/>
      <c r="I351" s="69"/>
      <c r="J351" s="78">
        <f t="shared" si="53"/>
        <v>0</v>
      </c>
      <c r="K351" s="91"/>
      <c r="L351" s="92"/>
      <c r="M351" s="92"/>
      <c r="N351" s="91"/>
      <c r="O351" s="93"/>
      <c r="P351" s="67"/>
      <c r="R351" t="str">
        <f t="shared" si="54"/>
        <v/>
      </c>
      <c r="S351" t="str">
        <f t="shared" si="55"/>
        <v/>
      </c>
      <c r="T351" t="str">
        <f t="shared" si="56"/>
        <v/>
      </c>
      <c r="AD351" t="s">
        <v>1736</v>
      </c>
      <c r="AE351" t="s">
        <v>1737</v>
      </c>
      <c r="AF351" t="str">
        <f t="shared" si="57"/>
        <v>A679077</v>
      </c>
      <c r="AG351" t="str">
        <f>VLOOKUP(AF351,AKT!$C$4:$E$324,3,FALSE)</f>
        <v>0942</v>
      </c>
    </row>
    <row r="352" spans="1:33">
      <c r="A352" s="84"/>
      <c r="B352" s="83" t="str">
        <f t="shared" si="49"/>
        <v/>
      </c>
      <c r="C352" s="84"/>
      <c r="D352" s="83" t="str">
        <f t="shared" si="50"/>
        <v/>
      </c>
      <c r="E352" s="85"/>
      <c r="F352" s="83" t="str">
        <f t="shared" si="51"/>
        <v/>
      </c>
      <c r="G352" s="83" t="str">
        <f t="shared" si="52"/>
        <v/>
      </c>
      <c r="H352" s="69"/>
      <c r="I352" s="69"/>
      <c r="J352" s="78">
        <f t="shared" si="53"/>
        <v>0</v>
      </c>
      <c r="K352" s="91"/>
      <c r="L352" s="92"/>
      <c r="M352" s="92"/>
      <c r="N352" s="91"/>
      <c r="O352" s="93"/>
      <c r="P352" s="67"/>
      <c r="R352" t="str">
        <f t="shared" si="54"/>
        <v/>
      </c>
      <c r="S352" t="str">
        <f t="shared" si="55"/>
        <v/>
      </c>
      <c r="T352" t="str">
        <f t="shared" si="56"/>
        <v/>
      </c>
      <c r="AD352" t="s">
        <v>1738</v>
      </c>
      <c r="AE352" t="s">
        <v>1739</v>
      </c>
      <c r="AF352" t="str">
        <f t="shared" si="57"/>
        <v>A679077</v>
      </c>
      <c r="AG352" t="str">
        <f>VLOOKUP(AF352,AKT!$C$4:$E$324,3,FALSE)</f>
        <v>0942</v>
      </c>
    </row>
    <row r="353" spans="1:33">
      <c r="A353" s="84"/>
      <c r="B353" s="83" t="str">
        <f t="shared" si="49"/>
        <v/>
      </c>
      <c r="C353" s="84"/>
      <c r="D353" s="83" t="str">
        <f t="shared" si="50"/>
        <v/>
      </c>
      <c r="E353" s="85"/>
      <c r="F353" s="83" t="str">
        <f t="shared" si="51"/>
        <v/>
      </c>
      <c r="G353" s="83" t="str">
        <f t="shared" si="52"/>
        <v/>
      </c>
      <c r="H353" s="69"/>
      <c r="I353" s="69"/>
      <c r="J353" s="78">
        <f t="shared" si="53"/>
        <v>0</v>
      </c>
      <c r="K353" s="91"/>
      <c r="L353" s="92"/>
      <c r="M353" s="92"/>
      <c r="N353" s="91"/>
      <c r="O353" s="93"/>
      <c r="P353" s="67"/>
      <c r="R353" t="str">
        <f t="shared" si="54"/>
        <v/>
      </c>
      <c r="S353" t="str">
        <f t="shared" si="55"/>
        <v/>
      </c>
      <c r="T353" t="str">
        <f t="shared" si="56"/>
        <v/>
      </c>
      <c r="AD353" t="s">
        <v>1740</v>
      </c>
      <c r="AE353" t="s">
        <v>1741</v>
      </c>
      <c r="AF353" t="str">
        <f t="shared" si="57"/>
        <v>A679077</v>
      </c>
      <c r="AG353" t="str">
        <f>VLOOKUP(AF353,AKT!$C$4:$E$324,3,FALSE)</f>
        <v>0942</v>
      </c>
    </row>
    <row r="354" spans="1:33">
      <c r="A354" s="84"/>
      <c r="B354" s="83" t="str">
        <f t="shared" si="49"/>
        <v/>
      </c>
      <c r="C354" s="84"/>
      <c r="D354" s="83" t="str">
        <f t="shared" si="50"/>
        <v/>
      </c>
      <c r="E354" s="85"/>
      <c r="F354" s="83" t="str">
        <f t="shared" si="51"/>
        <v/>
      </c>
      <c r="G354" s="83" t="str">
        <f t="shared" si="52"/>
        <v/>
      </c>
      <c r="H354" s="69"/>
      <c r="I354" s="69"/>
      <c r="J354" s="78">
        <f t="shared" si="53"/>
        <v>0</v>
      </c>
      <c r="K354" s="91"/>
      <c r="L354" s="92"/>
      <c r="M354" s="92"/>
      <c r="N354" s="91"/>
      <c r="O354" s="93"/>
      <c r="P354" s="67"/>
      <c r="R354" t="str">
        <f t="shared" si="54"/>
        <v/>
      </c>
      <c r="S354" t="str">
        <f t="shared" si="55"/>
        <v/>
      </c>
      <c r="T354" t="str">
        <f t="shared" si="56"/>
        <v/>
      </c>
      <c r="AD354" t="s">
        <v>1742</v>
      </c>
      <c r="AE354" t="s">
        <v>1743</v>
      </c>
      <c r="AF354" t="str">
        <f t="shared" si="57"/>
        <v>A679077</v>
      </c>
      <c r="AG354" t="str">
        <f>VLOOKUP(AF354,AKT!$C$4:$E$324,3,FALSE)</f>
        <v>0942</v>
      </c>
    </row>
    <row r="355" spans="1:33">
      <c r="A355" s="84"/>
      <c r="B355" s="83" t="str">
        <f t="shared" si="49"/>
        <v/>
      </c>
      <c r="C355" s="84"/>
      <c r="D355" s="83" t="str">
        <f t="shared" si="50"/>
        <v/>
      </c>
      <c r="E355" s="85"/>
      <c r="F355" s="83" t="str">
        <f t="shared" si="51"/>
        <v/>
      </c>
      <c r="G355" s="83" t="str">
        <f t="shared" si="52"/>
        <v/>
      </c>
      <c r="H355" s="69"/>
      <c r="I355" s="69"/>
      <c r="J355" s="78">
        <f t="shared" si="53"/>
        <v>0</v>
      </c>
      <c r="K355" s="91"/>
      <c r="L355" s="92"/>
      <c r="M355" s="92"/>
      <c r="N355" s="91"/>
      <c r="O355" s="93"/>
      <c r="P355" s="67"/>
      <c r="R355" t="str">
        <f t="shared" si="54"/>
        <v/>
      </c>
      <c r="S355" t="str">
        <f t="shared" si="55"/>
        <v/>
      </c>
      <c r="T355" t="str">
        <f t="shared" si="56"/>
        <v/>
      </c>
      <c r="AD355" t="s">
        <v>1744</v>
      </c>
      <c r="AE355" t="s">
        <v>1745</v>
      </c>
      <c r="AF355" t="str">
        <f t="shared" si="57"/>
        <v>A679077</v>
      </c>
      <c r="AG355" t="str">
        <f>VLOOKUP(AF355,AKT!$C$4:$E$324,3,FALSE)</f>
        <v>0942</v>
      </c>
    </row>
    <row r="356" spans="1:33">
      <c r="A356" s="84"/>
      <c r="B356" s="83" t="str">
        <f t="shared" si="49"/>
        <v/>
      </c>
      <c r="C356" s="84"/>
      <c r="D356" s="83" t="str">
        <f t="shared" si="50"/>
        <v/>
      </c>
      <c r="E356" s="85"/>
      <c r="F356" s="83" t="str">
        <f t="shared" si="51"/>
        <v/>
      </c>
      <c r="G356" s="83" t="str">
        <f t="shared" si="52"/>
        <v/>
      </c>
      <c r="H356" s="69"/>
      <c r="I356" s="69"/>
      <c r="J356" s="78">
        <f t="shared" si="53"/>
        <v>0</v>
      </c>
      <c r="K356" s="91"/>
      <c r="L356" s="92"/>
      <c r="M356" s="92"/>
      <c r="N356" s="91"/>
      <c r="O356" s="93"/>
      <c r="P356" s="67"/>
      <c r="R356" t="str">
        <f t="shared" si="54"/>
        <v/>
      </c>
      <c r="S356" t="str">
        <f t="shared" si="55"/>
        <v/>
      </c>
      <c r="T356" t="str">
        <f t="shared" si="56"/>
        <v/>
      </c>
      <c r="AD356" t="s">
        <v>1746</v>
      </c>
      <c r="AE356" t="s">
        <v>1747</v>
      </c>
      <c r="AF356" t="str">
        <f t="shared" si="57"/>
        <v>A679077</v>
      </c>
      <c r="AG356" t="str">
        <f>VLOOKUP(AF356,AKT!$C$4:$E$324,3,FALSE)</f>
        <v>0942</v>
      </c>
    </row>
    <row r="357" spans="1:33">
      <c r="A357" s="84"/>
      <c r="B357" s="83" t="str">
        <f t="shared" si="49"/>
        <v/>
      </c>
      <c r="C357" s="84"/>
      <c r="D357" s="83" t="str">
        <f t="shared" si="50"/>
        <v/>
      </c>
      <c r="E357" s="85"/>
      <c r="F357" s="83" t="str">
        <f t="shared" si="51"/>
        <v/>
      </c>
      <c r="G357" s="83" t="str">
        <f t="shared" si="52"/>
        <v/>
      </c>
      <c r="H357" s="69"/>
      <c r="I357" s="69"/>
      <c r="J357" s="78">
        <f t="shared" si="53"/>
        <v>0</v>
      </c>
      <c r="K357" s="91"/>
      <c r="L357" s="92"/>
      <c r="M357" s="92"/>
      <c r="N357" s="91"/>
      <c r="O357" s="93"/>
      <c r="P357" s="67"/>
      <c r="R357" t="str">
        <f t="shared" si="54"/>
        <v/>
      </c>
      <c r="S357" t="str">
        <f t="shared" si="55"/>
        <v/>
      </c>
      <c r="T357" t="str">
        <f t="shared" si="56"/>
        <v/>
      </c>
      <c r="AD357" t="s">
        <v>1748</v>
      </c>
      <c r="AE357" t="s">
        <v>1749</v>
      </c>
      <c r="AF357" t="str">
        <f t="shared" si="57"/>
        <v>A679077</v>
      </c>
      <c r="AG357" t="str">
        <f>VLOOKUP(AF357,AKT!$C$4:$E$324,3,FALSE)</f>
        <v>0942</v>
      </c>
    </row>
    <row r="358" spans="1:33">
      <c r="A358" s="84"/>
      <c r="B358" s="83" t="str">
        <f t="shared" si="49"/>
        <v/>
      </c>
      <c r="C358" s="84"/>
      <c r="D358" s="83" t="str">
        <f t="shared" si="50"/>
        <v/>
      </c>
      <c r="E358" s="85"/>
      <c r="F358" s="83" t="str">
        <f t="shared" si="51"/>
        <v/>
      </c>
      <c r="G358" s="83" t="str">
        <f t="shared" si="52"/>
        <v/>
      </c>
      <c r="H358" s="69"/>
      <c r="I358" s="69"/>
      <c r="J358" s="78">
        <f t="shared" si="53"/>
        <v>0</v>
      </c>
      <c r="K358" s="91"/>
      <c r="L358" s="92"/>
      <c r="M358" s="92"/>
      <c r="N358" s="91"/>
      <c r="O358" s="93"/>
      <c r="P358" s="67"/>
      <c r="R358" t="str">
        <f t="shared" si="54"/>
        <v/>
      </c>
      <c r="S358" t="str">
        <f t="shared" si="55"/>
        <v/>
      </c>
      <c r="T358" t="str">
        <f t="shared" si="56"/>
        <v/>
      </c>
      <c r="AD358" t="s">
        <v>1750</v>
      </c>
      <c r="AE358" t="s">
        <v>1751</v>
      </c>
      <c r="AF358" t="str">
        <f t="shared" si="57"/>
        <v>A679077</v>
      </c>
      <c r="AG358" t="str">
        <f>VLOOKUP(AF358,AKT!$C$4:$E$324,3,FALSE)</f>
        <v>0942</v>
      </c>
    </row>
    <row r="359" spans="1:33">
      <c r="A359" s="84"/>
      <c r="B359" s="83" t="str">
        <f t="shared" si="49"/>
        <v/>
      </c>
      <c r="C359" s="84"/>
      <c r="D359" s="83" t="str">
        <f t="shared" si="50"/>
        <v/>
      </c>
      <c r="E359" s="85"/>
      <c r="F359" s="83" t="str">
        <f t="shared" si="51"/>
        <v/>
      </c>
      <c r="G359" s="83" t="str">
        <f t="shared" si="52"/>
        <v/>
      </c>
      <c r="H359" s="69"/>
      <c r="I359" s="69"/>
      <c r="J359" s="78">
        <f t="shared" si="53"/>
        <v>0</v>
      </c>
      <c r="K359" s="91"/>
      <c r="L359" s="92"/>
      <c r="M359" s="92"/>
      <c r="N359" s="91"/>
      <c r="O359" s="93"/>
      <c r="P359" s="67"/>
      <c r="R359" t="str">
        <f t="shared" si="54"/>
        <v/>
      </c>
      <c r="S359" t="str">
        <f t="shared" si="55"/>
        <v/>
      </c>
      <c r="T359" t="str">
        <f t="shared" si="56"/>
        <v/>
      </c>
      <c r="AD359" t="s">
        <v>1752</v>
      </c>
      <c r="AE359" t="s">
        <v>1753</v>
      </c>
      <c r="AF359" t="str">
        <f t="shared" si="57"/>
        <v>A679077</v>
      </c>
      <c r="AG359" t="str">
        <f>VLOOKUP(AF359,AKT!$C$4:$E$324,3,FALSE)</f>
        <v>0942</v>
      </c>
    </row>
    <row r="360" spans="1:33">
      <c r="A360" s="84"/>
      <c r="B360" s="83" t="str">
        <f t="shared" si="49"/>
        <v/>
      </c>
      <c r="C360" s="84"/>
      <c r="D360" s="83" t="str">
        <f t="shared" si="50"/>
        <v/>
      </c>
      <c r="E360" s="85"/>
      <c r="F360" s="83" t="str">
        <f t="shared" si="51"/>
        <v/>
      </c>
      <c r="G360" s="83" t="str">
        <f t="shared" si="52"/>
        <v/>
      </c>
      <c r="H360" s="69"/>
      <c r="I360" s="69"/>
      <c r="J360" s="78">
        <f t="shared" si="53"/>
        <v>0</v>
      </c>
      <c r="K360" s="91"/>
      <c r="L360" s="92"/>
      <c r="M360" s="92"/>
      <c r="N360" s="91"/>
      <c r="O360" s="93"/>
      <c r="P360" s="67"/>
      <c r="R360" t="str">
        <f t="shared" si="54"/>
        <v/>
      </c>
      <c r="S360" t="str">
        <f t="shared" si="55"/>
        <v/>
      </c>
      <c r="T360" t="str">
        <f t="shared" si="56"/>
        <v/>
      </c>
      <c r="AD360" t="s">
        <v>1754</v>
      </c>
      <c r="AE360" t="s">
        <v>1755</v>
      </c>
      <c r="AF360" t="str">
        <f t="shared" si="57"/>
        <v>A679077</v>
      </c>
      <c r="AG360" t="str">
        <f>VLOOKUP(AF360,AKT!$C$4:$E$324,3,FALSE)</f>
        <v>0942</v>
      </c>
    </row>
    <row r="361" spans="1:33">
      <c r="A361" s="84"/>
      <c r="B361" s="83" t="str">
        <f t="shared" si="49"/>
        <v/>
      </c>
      <c r="C361" s="84"/>
      <c r="D361" s="83" t="str">
        <f t="shared" si="50"/>
        <v/>
      </c>
      <c r="E361" s="85"/>
      <c r="F361" s="83" t="str">
        <f t="shared" si="51"/>
        <v/>
      </c>
      <c r="G361" s="83" t="str">
        <f t="shared" si="52"/>
        <v/>
      </c>
      <c r="H361" s="69"/>
      <c r="I361" s="69"/>
      <c r="J361" s="78">
        <f t="shared" si="53"/>
        <v>0</v>
      </c>
      <c r="K361" s="91"/>
      <c r="L361" s="92"/>
      <c r="M361" s="92"/>
      <c r="N361" s="91"/>
      <c r="O361" s="93"/>
      <c r="P361" s="67"/>
      <c r="R361" t="str">
        <f t="shared" si="54"/>
        <v/>
      </c>
      <c r="S361" t="str">
        <f t="shared" si="55"/>
        <v/>
      </c>
      <c r="T361" t="str">
        <f t="shared" si="56"/>
        <v/>
      </c>
      <c r="AD361" t="s">
        <v>1756</v>
      </c>
      <c r="AE361" t="s">
        <v>1757</v>
      </c>
      <c r="AF361" t="str">
        <f t="shared" si="57"/>
        <v>A679077</v>
      </c>
      <c r="AG361" t="str">
        <f>VLOOKUP(AF361,AKT!$C$4:$E$324,3,FALSE)</f>
        <v>0942</v>
      </c>
    </row>
    <row r="362" spans="1:33">
      <c r="A362" s="84"/>
      <c r="B362" s="83" t="str">
        <f t="shared" si="49"/>
        <v/>
      </c>
      <c r="C362" s="84"/>
      <c r="D362" s="83" t="str">
        <f t="shared" si="50"/>
        <v/>
      </c>
      <c r="E362" s="85"/>
      <c r="F362" s="83" t="str">
        <f t="shared" si="51"/>
        <v/>
      </c>
      <c r="G362" s="83" t="str">
        <f t="shared" si="52"/>
        <v/>
      </c>
      <c r="H362" s="69"/>
      <c r="I362" s="69"/>
      <c r="J362" s="78">
        <f t="shared" si="53"/>
        <v>0</v>
      </c>
      <c r="K362" s="91"/>
      <c r="L362" s="92"/>
      <c r="M362" s="92"/>
      <c r="N362" s="91"/>
      <c r="O362" s="93"/>
      <c r="P362" s="67"/>
      <c r="R362" t="str">
        <f t="shared" si="54"/>
        <v/>
      </c>
      <c r="S362" t="str">
        <f t="shared" si="55"/>
        <v/>
      </c>
      <c r="T362" t="str">
        <f t="shared" si="56"/>
        <v/>
      </c>
      <c r="AD362" t="s">
        <v>1758</v>
      </c>
      <c r="AE362" t="s">
        <v>1759</v>
      </c>
      <c r="AF362" t="str">
        <f t="shared" si="57"/>
        <v>A679077</v>
      </c>
      <c r="AG362" t="str">
        <f>VLOOKUP(AF362,AKT!$C$4:$E$324,3,FALSE)</f>
        <v>0942</v>
      </c>
    </row>
    <row r="363" spans="1:33">
      <c r="A363" s="84"/>
      <c r="B363" s="83" t="str">
        <f t="shared" si="49"/>
        <v/>
      </c>
      <c r="C363" s="84"/>
      <c r="D363" s="83" t="str">
        <f t="shared" si="50"/>
        <v/>
      </c>
      <c r="E363" s="85"/>
      <c r="F363" s="83" t="str">
        <f t="shared" si="51"/>
        <v/>
      </c>
      <c r="G363" s="83" t="str">
        <f t="shared" si="52"/>
        <v/>
      </c>
      <c r="H363" s="69"/>
      <c r="I363" s="69"/>
      <c r="J363" s="78">
        <f t="shared" si="53"/>
        <v>0</v>
      </c>
      <c r="K363" s="91"/>
      <c r="L363" s="92"/>
      <c r="M363" s="92"/>
      <c r="N363" s="91"/>
      <c r="O363" s="93"/>
      <c r="P363" s="67"/>
      <c r="R363" t="str">
        <f t="shared" si="54"/>
        <v/>
      </c>
      <c r="S363" t="str">
        <f t="shared" si="55"/>
        <v/>
      </c>
      <c r="T363" t="str">
        <f t="shared" si="56"/>
        <v/>
      </c>
      <c r="AD363" t="s">
        <v>1760</v>
      </c>
      <c r="AE363" t="s">
        <v>1761</v>
      </c>
      <c r="AF363" t="str">
        <f t="shared" si="57"/>
        <v>A679077</v>
      </c>
      <c r="AG363" t="str">
        <f>VLOOKUP(AF363,AKT!$C$4:$E$324,3,FALSE)</f>
        <v>0942</v>
      </c>
    </row>
    <row r="364" spans="1:33">
      <c r="A364" s="84"/>
      <c r="B364" s="83" t="str">
        <f t="shared" si="49"/>
        <v/>
      </c>
      <c r="C364" s="84"/>
      <c r="D364" s="83" t="str">
        <f t="shared" si="50"/>
        <v/>
      </c>
      <c r="E364" s="85"/>
      <c r="F364" s="83" t="str">
        <f t="shared" si="51"/>
        <v/>
      </c>
      <c r="G364" s="83" t="str">
        <f t="shared" si="52"/>
        <v/>
      </c>
      <c r="H364" s="69"/>
      <c r="I364" s="69"/>
      <c r="J364" s="78">
        <f t="shared" si="53"/>
        <v>0</v>
      </c>
      <c r="K364" s="91"/>
      <c r="L364" s="92"/>
      <c r="M364" s="92"/>
      <c r="N364" s="91"/>
      <c r="O364" s="93"/>
      <c r="P364" s="67"/>
      <c r="R364" t="str">
        <f t="shared" si="54"/>
        <v/>
      </c>
      <c r="S364" t="str">
        <f t="shared" si="55"/>
        <v/>
      </c>
      <c r="T364" t="str">
        <f t="shared" si="56"/>
        <v/>
      </c>
      <c r="AD364" t="s">
        <v>1762</v>
      </c>
      <c r="AE364" t="s">
        <v>1763</v>
      </c>
      <c r="AF364" t="str">
        <f t="shared" si="57"/>
        <v>A679077</v>
      </c>
      <c r="AG364" t="str">
        <f>VLOOKUP(AF364,AKT!$C$4:$E$324,3,FALSE)</f>
        <v>0942</v>
      </c>
    </row>
    <row r="365" spans="1:33">
      <c r="A365" s="84"/>
      <c r="B365" s="83" t="str">
        <f t="shared" si="49"/>
        <v/>
      </c>
      <c r="C365" s="84"/>
      <c r="D365" s="83" t="str">
        <f t="shared" si="50"/>
        <v/>
      </c>
      <c r="E365" s="85"/>
      <c r="F365" s="83" t="str">
        <f t="shared" si="51"/>
        <v/>
      </c>
      <c r="G365" s="83" t="str">
        <f t="shared" si="52"/>
        <v/>
      </c>
      <c r="H365" s="69"/>
      <c r="I365" s="69"/>
      <c r="J365" s="78">
        <f t="shared" si="53"/>
        <v>0</v>
      </c>
      <c r="K365" s="91"/>
      <c r="L365" s="92"/>
      <c r="M365" s="92"/>
      <c r="N365" s="91"/>
      <c r="O365" s="93"/>
      <c r="P365" s="67"/>
      <c r="R365" t="str">
        <f t="shared" si="54"/>
        <v/>
      </c>
      <c r="S365" t="str">
        <f t="shared" si="55"/>
        <v/>
      </c>
      <c r="T365" t="str">
        <f t="shared" si="56"/>
        <v/>
      </c>
      <c r="AD365" t="s">
        <v>1764</v>
      </c>
      <c r="AE365" t="s">
        <v>1765</v>
      </c>
      <c r="AF365" t="str">
        <f t="shared" si="57"/>
        <v>A679077</v>
      </c>
      <c r="AG365" t="str">
        <f>VLOOKUP(AF365,AKT!$C$4:$E$324,3,FALSE)</f>
        <v>0942</v>
      </c>
    </row>
    <row r="366" spans="1:33">
      <c r="A366" s="84"/>
      <c r="B366" s="83" t="str">
        <f t="shared" si="49"/>
        <v/>
      </c>
      <c r="C366" s="84"/>
      <c r="D366" s="83" t="str">
        <f t="shared" si="50"/>
        <v/>
      </c>
      <c r="E366" s="85"/>
      <c r="F366" s="83" t="str">
        <f t="shared" si="51"/>
        <v/>
      </c>
      <c r="G366" s="83" t="str">
        <f t="shared" si="52"/>
        <v/>
      </c>
      <c r="H366" s="69"/>
      <c r="I366" s="69"/>
      <c r="J366" s="78">
        <f t="shared" si="53"/>
        <v>0</v>
      </c>
      <c r="K366" s="91"/>
      <c r="L366" s="92"/>
      <c r="M366" s="92"/>
      <c r="N366" s="91"/>
      <c r="O366" s="93"/>
      <c r="P366" s="67"/>
      <c r="R366" t="str">
        <f t="shared" si="54"/>
        <v/>
      </c>
      <c r="S366" t="str">
        <f t="shared" si="55"/>
        <v/>
      </c>
      <c r="T366" t="str">
        <f t="shared" si="56"/>
        <v/>
      </c>
      <c r="AD366" t="s">
        <v>1766</v>
      </c>
      <c r="AE366" t="s">
        <v>1767</v>
      </c>
      <c r="AF366" t="str">
        <f t="shared" si="57"/>
        <v>A679077</v>
      </c>
      <c r="AG366" t="str">
        <f>VLOOKUP(AF366,AKT!$C$4:$E$324,3,FALSE)</f>
        <v>0942</v>
      </c>
    </row>
    <row r="367" spans="1:33">
      <c r="A367" s="84"/>
      <c r="B367" s="83" t="str">
        <f t="shared" si="49"/>
        <v/>
      </c>
      <c r="C367" s="84"/>
      <c r="D367" s="83" t="str">
        <f t="shared" si="50"/>
        <v/>
      </c>
      <c r="E367" s="85"/>
      <c r="F367" s="83" t="str">
        <f t="shared" si="51"/>
        <v/>
      </c>
      <c r="G367" s="83" t="str">
        <f t="shared" si="52"/>
        <v/>
      </c>
      <c r="H367" s="69"/>
      <c r="I367" s="69"/>
      <c r="J367" s="78">
        <f t="shared" si="53"/>
        <v>0</v>
      </c>
      <c r="K367" s="91"/>
      <c r="L367" s="92"/>
      <c r="M367" s="92"/>
      <c r="N367" s="91"/>
      <c r="O367" s="93"/>
      <c r="P367" s="67"/>
      <c r="R367" t="str">
        <f t="shared" si="54"/>
        <v/>
      </c>
      <c r="S367" t="str">
        <f t="shared" si="55"/>
        <v/>
      </c>
      <c r="T367" t="str">
        <f t="shared" si="56"/>
        <v/>
      </c>
      <c r="AD367" t="s">
        <v>1768</v>
      </c>
      <c r="AE367" t="s">
        <v>1769</v>
      </c>
      <c r="AF367" t="str">
        <f t="shared" si="57"/>
        <v>A679077</v>
      </c>
      <c r="AG367" t="str">
        <f>VLOOKUP(AF367,AKT!$C$4:$E$324,3,FALSE)</f>
        <v>0942</v>
      </c>
    </row>
    <row r="368" spans="1:33">
      <c r="A368" s="84"/>
      <c r="B368" s="83" t="str">
        <f t="shared" si="49"/>
        <v/>
      </c>
      <c r="C368" s="84"/>
      <c r="D368" s="83" t="str">
        <f t="shared" si="50"/>
        <v/>
      </c>
      <c r="E368" s="85"/>
      <c r="F368" s="83" t="str">
        <f t="shared" si="51"/>
        <v/>
      </c>
      <c r="G368" s="83" t="str">
        <f t="shared" si="52"/>
        <v/>
      </c>
      <c r="H368" s="69"/>
      <c r="I368" s="69"/>
      <c r="J368" s="78">
        <f t="shared" si="53"/>
        <v>0</v>
      </c>
      <c r="K368" s="91"/>
      <c r="L368" s="92"/>
      <c r="M368" s="92"/>
      <c r="N368" s="91"/>
      <c r="O368" s="93"/>
      <c r="P368" s="67"/>
      <c r="R368" t="str">
        <f t="shared" si="54"/>
        <v/>
      </c>
      <c r="S368" t="str">
        <f t="shared" si="55"/>
        <v/>
      </c>
      <c r="T368" t="str">
        <f t="shared" si="56"/>
        <v/>
      </c>
      <c r="AD368" t="s">
        <v>1770</v>
      </c>
      <c r="AE368" t="s">
        <v>1771</v>
      </c>
      <c r="AF368" t="str">
        <f t="shared" si="57"/>
        <v>A679077</v>
      </c>
      <c r="AG368" t="str">
        <f>VLOOKUP(AF368,AKT!$C$4:$E$324,3,FALSE)</f>
        <v>0942</v>
      </c>
    </row>
    <row r="369" spans="1:33">
      <c r="A369" s="84"/>
      <c r="B369" s="83" t="str">
        <f t="shared" si="49"/>
        <v/>
      </c>
      <c r="C369" s="84"/>
      <c r="D369" s="83" t="str">
        <f t="shared" si="50"/>
        <v/>
      </c>
      <c r="E369" s="85"/>
      <c r="F369" s="83" t="str">
        <f t="shared" si="51"/>
        <v/>
      </c>
      <c r="G369" s="83" t="str">
        <f t="shared" si="52"/>
        <v/>
      </c>
      <c r="H369" s="69"/>
      <c r="I369" s="69"/>
      <c r="J369" s="78">
        <f t="shared" si="53"/>
        <v>0</v>
      </c>
      <c r="K369" s="91"/>
      <c r="L369" s="92"/>
      <c r="M369" s="92"/>
      <c r="N369" s="91"/>
      <c r="O369" s="93"/>
      <c r="P369" s="67"/>
      <c r="R369" t="str">
        <f t="shared" si="54"/>
        <v/>
      </c>
      <c r="S369" t="str">
        <f t="shared" si="55"/>
        <v/>
      </c>
      <c r="T369" t="str">
        <f t="shared" si="56"/>
        <v/>
      </c>
      <c r="AD369" t="s">
        <v>1772</v>
      </c>
      <c r="AE369" t="s">
        <v>1773</v>
      </c>
      <c r="AF369" t="str">
        <f t="shared" si="57"/>
        <v>A679077</v>
      </c>
      <c r="AG369" t="str">
        <f>VLOOKUP(AF369,AKT!$C$4:$E$324,3,FALSE)</f>
        <v>0942</v>
      </c>
    </row>
    <row r="370" spans="1:33">
      <c r="A370" s="84"/>
      <c r="B370" s="83" t="str">
        <f t="shared" si="49"/>
        <v/>
      </c>
      <c r="C370" s="84"/>
      <c r="D370" s="83" t="str">
        <f t="shared" si="50"/>
        <v/>
      </c>
      <c r="E370" s="85"/>
      <c r="F370" s="83" t="str">
        <f t="shared" si="51"/>
        <v/>
      </c>
      <c r="G370" s="83" t="str">
        <f t="shared" si="52"/>
        <v/>
      </c>
      <c r="H370" s="69"/>
      <c r="I370" s="69"/>
      <c r="J370" s="78">
        <f t="shared" si="53"/>
        <v>0</v>
      </c>
      <c r="K370" s="91"/>
      <c r="L370" s="92"/>
      <c r="M370" s="92"/>
      <c r="N370" s="91"/>
      <c r="O370" s="93"/>
      <c r="P370" s="67"/>
      <c r="R370" t="str">
        <f t="shared" si="54"/>
        <v/>
      </c>
      <c r="S370" t="str">
        <f t="shared" si="55"/>
        <v/>
      </c>
      <c r="T370" t="str">
        <f t="shared" si="56"/>
        <v/>
      </c>
      <c r="AD370" t="s">
        <v>1774</v>
      </c>
      <c r="AE370" t="s">
        <v>1775</v>
      </c>
      <c r="AF370" t="str">
        <f t="shared" si="57"/>
        <v>A679077</v>
      </c>
      <c r="AG370" t="str">
        <f>VLOOKUP(AF370,AKT!$C$4:$E$324,3,FALSE)</f>
        <v>0942</v>
      </c>
    </row>
    <row r="371" spans="1:33">
      <c r="A371" s="84"/>
      <c r="B371" s="83" t="str">
        <f t="shared" si="49"/>
        <v/>
      </c>
      <c r="C371" s="84"/>
      <c r="D371" s="83" t="str">
        <f t="shared" si="50"/>
        <v/>
      </c>
      <c r="E371" s="85"/>
      <c r="F371" s="83" t="str">
        <f t="shared" si="51"/>
        <v/>
      </c>
      <c r="G371" s="83" t="str">
        <f t="shared" si="52"/>
        <v/>
      </c>
      <c r="H371" s="69"/>
      <c r="I371" s="69"/>
      <c r="J371" s="78">
        <f t="shared" si="53"/>
        <v>0</v>
      </c>
      <c r="K371" s="91"/>
      <c r="L371" s="92"/>
      <c r="M371" s="92"/>
      <c r="N371" s="91"/>
      <c r="O371" s="93"/>
      <c r="P371" s="67"/>
      <c r="R371" t="str">
        <f t="shared" si="54"/>
        <v/>
      </c>
      <c r="S371" t="str">
        <f t="shared" si="55"/>
        <v/>
      </c>
      <c r="T371" t="str">
        <f t="shared" si="56"/>
        <v/>
      </c>
      <c r="AD371" t="s">
        <v>1776</v>
      </c>
      <c r="AE371" t="s">
        <v>1777</v>
      </c>
      <c r="AF371" t="str">
        <f t="shared" si="57"/>
        <v>A679077</v>
      </c>
      <c r="AG371" t="str">
        <f>VLOOKUP(AF371,AKT!$C$4:$E$324,3,FALSE)</f>
        <v>0942</v>
      </c>
    </row>
    <row r="372" spans="1:33">
      <c r="A372" s="84"/>
      <c r="B372" s="83" t="str">
        <f t="shared" si="49"/>
        <v/>
      </c>
      <c r="C372" s="84"/>
      <c r="D372" s="83" t="str">
        <f t="shared" si="50"/>
        <v/>
      </c>
      <c r="E372" s="85"/>
      <c r="F372" s="83" t="str">
        <f t="shared" si="51"/>
        <v/>
      </c>
      <c r="G372" s="83" t="str">
        <f t="shared" si="52"/>
        <v/>
      </c>
      <c r="H372" s="69"/>
      <c r="I372" s="69"/>
      <c r="J372" s="78">
        <f t="shared" si="53"/>
        <v>0</v>
      </c>
      <c r="K372" s="91"/>
      <c r="L372" s="92"/>
      <c r="M372" s="92"/>
      <c r="N372" s="91"/>
      <c r="O372" s="93"/>
      <c r="P372" s="67"/>
      <c r="R372" t="str">
        <f t="shared" si="54"/>
        <v/>
      </c>
      <c r="S372" t="str">
        <f t="shared" si="55"/>
        <v/>
      </c>
      <c r="T372" t="str">
        <f t="shared" si="56"/>
        <v/>
      </c>
      <c r="AD372" t="s">
        <v>1778</v>
      </c>
      <c r="AE372" t="s">
        <v>1779</v>
      </c>
      <c r="AF372" t="str">
        <f t="shared" si="57"/>
        <v>A679077</v>
      </c>
      <c r="AG372" t="str">
        <f>VLOOKUP(AF372,AKT!$C$4:$E$324,3,FALSE)</f>
        <v>0942</v>
      </c>
    </row>
    <row r="373" spans="1:33">
      <c r="A373" s="84"/>
      <c r="B373" s="83" t="str">
        <f t="shared" si="49"/>
        <v/>
      </c>
      <c r="C373" s="84"/>
      <c r="D373" s="83" t="str">
        <f t="shared" si="50"/>
        <v/>
      </c>
      <c r="E373" s="85"/>
      <c r="F373" s="83" t="str">
        <f t="shared" si="51"/>
        <v/>
      </c>
      <c r="G373" s="83" t="str">
        <f t="shared" si="52"/>
        <v/>
      </c>
      <c r="H373" s="69"/>
      <c r="I373" s="69"/>
      <c r="J373" s="78">
        <f t="shared" si="53"/>
        <v>0</v>
      </c>
      <c r="K373" s="91"/>
      <c r="L373" s="92"/>
      <c r="M373" s="92"/>
      <c r="N373" s="91"/>
      <c r="O373" s="93"/>
      <c r="P373" s="67"/>
      <c r="R373" t="str">
        <f t="shared" si="54"/>
        <v/>
      </c>
      <c r="S373" t="str">
        <f t="shared" si="55"/>
        <v/>
      </c>
      <c r="T373" t="str">
        <f t="shared" si="56"/>
        <v/>
      </c>
      <c r="AD373" t="s">
        <v>1780</v>
      </c>
      <c r="AE373" t="s">
        <v>1781</v>
      </c>
      <c r="AF373" t="str">
        <f t="shared" si="57"/>
        <v>A679077</v>
      </c>
      <c r="AG373" t="str">
        <f>VLOOKUP(AF373,AKT!$C$4:$E$324,3,FALSE)</f>
        <v>0942</v>
      </c>
    </row>
    <row r="374" spans="1:33">
      <c r="A374" s="84"/>
      <c r="B374" s="83" t="str">
        <f t="shared" si="49"/>
        <v/>
      </c>
      <c r="C374" s="84"/>
      <c r="D374" s="83" t="str">
        <f t="shared" si="50"/>
        <v/>
      </c>
      <c r="E374" s="85"/>
      <c r="F374" s="83" t="str">
        <f t="shared" si="51"/>
        <v/>
      </c>
      <c r="G374" s="83" t="str">
        <f t="shared" si="52"/>
        <v/>
      </c>
      <c r="H374" s="69"/>
      <c r="I374" s="69"/>
      <c r="J374" s="78">
        <f t="shared" si="53"/>
        <v>0</v>
      </c>
      <c r="K374" s="91"/>
      <c r="L374" s="92"/>
      <c r="M374" s="92"/>
      <c r="N374" s="91"/>
      <c r="O374" s="93"/>
      <c r="P374" s="67"/>
      <c r="R374" t="str">
        <f t="shared" si="54"/>
        <v/>
      </c>
      <c r="S374" t="str">
        <f t="shared" si="55"/>
        <v/>
      </c>
      <c r="T374" t="str">
        <f t="shared" si="56"/>
        <v/>
      </c>
      <c r="AD374" t="s">
        <v>1782</v>
      </c>
      <c r="AE374" t="s">
        <v>1783</v>
      </c>
      <c r="AF374" t="str">
        <f t="shared" si="57"/>
        <v>A679077</v>
      </c>
      <c r="AG374" t="str">
        <f>VLOOKUP(AF374,AKT!$C$4:$E$324,3,FALSE)</f>
        <v>0942</v>
      </c>
    </row>
    <row r="375" spans="1:33">
      <c r="A375" s="84"/>
      <c r="B375" s="83" t="str">
        <f t="shared" si="49"/>
        <v/>
      </c>
      <c r="C375" s="84"/>
      <c r="D375" s="83" t="str">
        <f t="shared" si="50"/>
        <v/>
      </c>
      <c r="E375" s="85"/>
      <c r="F375" s="83" t="str">
        <f t="shared" si="51"/>
        <v/>
      </c>
      <c r="G375" s="83" t="str">
        <f t="shared" si="52"/>
        <v/>
      </c>
      <c r="H375" s="69"/>
      <c r="I375" s="69"/>
      <c r="J375" s="78">
        <f t="shared" si="53"/>
        <v>0</v>
      </c>
      <c r="K375" s="91"/>
      <c r="L375" s="92"/>
      <c r="M375" s="92"/>
      <c r="N375" s="91"/>
      <c r="O375" s="93"/>
      <c r="P375" s="67"/>
      <c r="R375" t="str">
        <f t="shared" si="54"/>
        <v/>
      </c>
      <c r="S375" t="str">
        <f t="shared" si="55"/>
        <v/>
      </c>
      <c r="T375" t="str">
        <f t="shared" si="56"/>
        <v/>
      </c>
      <c r="AD375" t="s">
        <v>1784</v>
      </c>
      <c r="AE375" t="s">
        <v>1785</v>
      </c>
      <c r="AF375" t="str">
        <f t="shared" si="57"/>
        <v>A679077</v>
      </c>
      <c r="AG375" t="str">
        <f>VLOOKUP(AF375,AKT!$C$4:$E$324,3,FALSE)</f>
        <v>0942</v>
      </c>
    </row>
    <row r="376" spans="1:33">
      <c r="A376" s="84"/>
      <c r="B376" s="83" t="str">
        <f t="shared" si="49"/>
        <v/>
      </c>
      <c r="C376" s="84"/>
      <c r="D376" s="83" t="str">
        <f t="shared" si="50"/>
        <v/>
      </c>
      <c r="E376" s="85"/>
      <c r="F376" s="83" t="str">
        <f t="shared" si="51"/>
        <v/>
      </c>
      <c r="G376" s="83" t="str">
        <f t="shared" si="52"/>
        <v/>
      </c>
      <c r="H376" s="69"/>
      <c r="I376" s="69"/>
      <c r="J376" s="78">
        <f t="shared" si="53"/>
        <v>0</v>
      </c>
      <c r="K376" s="91"/>
      <c r="L376" s="92"/>
      <c r="M376" s="92"/>
      <c r="N376" s="91"/>
      <c r="O376" s="93"/>
      <c r="P376" s="67"/>
      <c r="R376" t="str">
        <f t="shared" si="54"/>
        <v/>
      </c>
      <c r="S376" t="str">
        <f t="shared" si="55"/>
        <v/>
      </c>
      <c r="T376" t="str">
        <f t="shared" si="56"/>
        <v/>
      </c>
      <c r="AD376" t="s">
        <v>1786</v>
      </c>
      <c r="AE376" t="s">
        <v>1787</v>
      </c>
      <c r="AF376" t="str">
        <f t="shared" si="57"/>
        <v>A679077</v>
      </c>
      <c r="AG376" t="str">
        <f>VLOOKUP(AF376,AKT!$C$4:$E$324,3,FALSE)</f>
        <v>0942</v>
      </c>
    </row>
    <row r="377" spans="1:33">
      <c r="A377" s="84"/>
      <c r="B377" s="83" t="str">
        <f t="shared" si="49"/>
        <v/>
      </c>
      <c r="C377" s="84"/>
      <c r="D377" s="83" t="str">
        <f t="shared" si="50"/>
        <v/>
      </c>
      <c r="E377" s="85"/>
      <c r="F377" s="83" t="str">
        <f t="shared" si="51"/>
        <v/>
      </c>
      <c r="G377" s="83" t="str">
        <f t="shared" si="52"/>
        <v/>
      </c>
      <c r="H377" s="69"/>
      <c r="I377" s="69"/>
      <c r="J377" s="78">
        <f t="shared" si="53"/>
        <v>0</v>
      </c>
      <c r="K377" s="91"/>
      <c r="L377" s="92"/>
      <c r="M377" s="92"/>
      <c r="N377" s="91"/>
      <c r="O377" s="93"/>
      <c r="P377" s="67"/>
      <c r="R377" t="str">
        <f t="shared" si="54"/>
        <v/>
      </c>
      <c r="S377" t="str">
        <f t="shared" si="55"/>
        <v/>
      </c>
      <c r="T377" t="str">
        <f t="shared" si="56"/>
        <v/>
      </c>
      <c r="AD377" t="s">
        <v>1788</v>
      </c>
      <c r="AE377" t="s">
        <v>1789</v>
      </c>
      <c r="AF377" t="str">
        <f t="shared" si="57"/>
        <v>A679077</v>
      </c>
      <c r="AG377" t="str">
        <f>VLOOKUP(AF377,AKT!$C$4:$E$324,3,FALSE)</f>
        <v>0942</v>
      </c>
    </row>
    <row r="378" spans="1:33">
      <c r="A378" s="84"/>
      <c r="B378" s="83" t="str">
        <f t="shared" si="49"/>
        <v/>
      </c>
      <c r="C378" s="84"/>
      <c r="D378" s="83" t="str">
        <f t="shared" si="50"/>
        <v/>
      </c>
      <c r="E378" s="85"/>
      <c r="F378" s="83" t="str">
        <f t="shared" si="51"/>
        <v/>
      </c>
      <c r="G378" s="83" t="str">
        <f t="shared" si="52"/>
        <v/>
      </c>
      <c r="H378" s="69"/>
      <c r="I378" s="69"/>
      <c r="J378" s="78">
        <f t="shared" si="53"/>
        <v>0</v>
      </c>
      <c r="K378" s="91"/>
      <c r="L378" s="92"/>
      <c r="M378" s="92"/>
      <c r="N378" s="91"/>
      <c r="O378" s="93"/>
      <c r="P378" s="67"/>
      <c r="R378" t="str">
        <f t="shared" si="54"/>
        <v/>
      </c>
      <c r="S378" t="str">
        <f t="shared" si="55"/>
        <v/>
      </c>
      <c r="T378" t="str">
        <f t="shared" si="56"/>
        <v/>
      </c>
      <c r="AD378" t="s">
        <v>1790</v>
      </c>
      <c r="AE378" t="s">
        <v>1791</v>
      </c>
      <c r="AF378" t="str">
        <f t="shared" si="57"/>
        <v>A679077</v>
      </c>
      <c r="AG378" t="str">
        <f>VLOOKUP(AF378,AKT!$C$4:$E$324,3,FALSE)</f>
        <v>0942</v>
      </c>
    </row>
    <row r="379" spans="1:33">
      <c r="A379" s="84"/>
      <c r="B379" s="83" t="str">
        <f t="shared" si="49"/>
        <v/>
      </c>
      <c r="C379" s="84"/>
      <c r="D379" s="83" t="str">
        <f t="shared" si="50"/>
        <v/>
      </c>
      <c r="E379" s="85"/>
      <c r="F379" s="83" t="str">
        <f t="shared" si="51"/>
        <v/>
      </c>
      <c r="G379" s="83" t="str">
        <f t="shared" si="52"/>
        <v/>
      </c>
      <c r="H379" s="69"/>
      <c r="I379" s="69"/>
      <c r="J379" s="78">
        <f t="shared" si="53"/>
        <v>0</v>
      </c>
      <c r="K379" s="91"/>
      <c r="L379" s="92"/>
      <c r="M379" s="92"/>
      <c r="N379" s="91"/>
      <c r="O379" s="93"/>
      <c r="P379" s="67"/>
      <c r="R379" t="str">
        <f t="shared" si="54"/>
        <v/>
      </c>
      <c r="S379" t="str">
        <f t="shared" si="55"/>
        <v/>
      </c>
      <c r="T379" t="str">
        <f t="shared" si="56"/>
        <v/>
      </c>
      <c r="AD379" t="s">
        <v>1792</v>
      </c>
      <c r="AE379" t="s">
        <v>1070</v>
      </c>
      <c r="AF379" t="str">
        <f t="shared" si="57"/>
        <v>A679077</v>
      </c>
      <c r="AG379" t="str">
        <f>VLOOKUP(AF379,AKT!$C$4:$E$324,3,FALSE)</f>
        <v>0942</v>
      </c>
    </row>
    <row r="380" spans="1:33">
      <c r="A380" s="84"/>
      <c r="B380" s="83" t="str">
        <f t="shared" si="49"/>
        <v/>
      </c>
      <c r="C380" s="84"/>
      <c r="D380" s="83" t="str">
        <f t="shared" si="50"/>
        <v/>
      </c>
      <c r="E380" s="85"/>
      <c r="F380" s="83" t="str">
        <f t="shared" si="51"/>
        <v/>
      </c>
      <c r="G380" s="83" t="str">
        <f t="shared" si="52"/>
        <v/>
      </c>
      <c r="H380" s="69"/>
      <c r="I380" s="69"/>
      <c r="J380" s="78">
        <f t="shared" si="53"/>
        <v>0</v>
      </c>
      <c r="K380" s="91"/>
      <c r="L380" s="92"/>
      <c r="M380" s="92"/>
      <c r="N380" s="91"/>
      <c r="O380" s="93"/>
      <c r="P380" s="67"/>
      <c r="R380" t="str">
        <f t="shared" si="54"/>
        <v/>
      </c>
      <c r="S380" t="str">
        <f t="shared" si="55"/>
        <v/>
      </c>
      <c r="T380" t="str">
        <f t="shared" si="56"/>
        <v/>
      </c>
      <c r="AD380" t="s">
        <v>1793</v>
      </c>
      <c r="AE380" t="s">
        <v>1082</v>
      </c>
      <c r="AF380" t="str">
        <f t="shared" si="57"/>
        <v>A679077</v>
      </c>
      <c r="AG380" t="str">
        <f>VLOOKUP(AF380,AKT!$C$4:$E$324,3,FALSE)</f>
        <v>0942</v>
      </c>
    </row>
    <row r="381" spans="1:33">
      <c r="A381" s="84"/>
      <c r="B381" s="83" t="str">
        <f t="shared" si="49"/>
        <v/>
      </c>
      <c r="C381" s="84"/>
      <c r="D381" s="83" t="str">
        <f t="shared" si="50"/>
        <v/>
      </c>
      <c r="E381" s="85"/>
      <c r="F381" s="83" t="str">
        <f t="shared" si="51"/>
        <v/>
      </c>
      <c r="G381" s="83" t="str">
        <f t="shared" si="52"/>
        <v/>
      </c>
      <c r="H381" s="69"/>
      <c r="I381" s="69"/>
      <c r="J381" s="78">
        <f t="shared" si="53"/>
        <v>0</v>
      </c>
      <c r="K381" s="91"/>
      <c r="L381" s="92"/>
      <c r="M381" s="92"/>
      <c r="N381" s="91"/>
      <c r="O381" s="93"/>
      <c r="P381" s="67"/>
      <c r="R381" t="str">
        <f t="shared" si="54"/>
        <v/>
      </c>
      <c r="S381" t="str">
        <f t="shared" si="55"/>
        <v/>
      </c>
      <c r="T381" t="str">
        <f t="shared" si="56"/>
        <v/>
      </c>
      <c r="AD381" t="s">
        <v>1794</v>
      </c>
      <c r="AE381" t="s">
        <v>1795</v>
      </c>
      <c r="AF381" t="str">
        <f t="shared" si="57"/>
        <v>A679077</v>
      </c>
      <c r="AG381" t="str">
        <f>VLOOKUP(AF381,AKT!$C$4:$E$324,3,FALSE)</f>
        <v>0942</v>
      </c>
    </row>
    <row r="382" spans="1:33">
      <c r="A382" s="84"/>
      <c r="B382" s="83" t="str">
        <f t="shared" si="49"/>
        <v/>
      </c>
      <c r="C382" s="84"/>
      <c r="D382" s="83" t="str">
        <f t="shared" si="50"/>
        <v/>
      </c>
      <c r="E382" s="85"/>
      <c r="F382" s="83" t="str">
        <f t="shared" si="51"/>
        <v/>
      </c>
      <c r="G382" s="83" t="str">
        <f t="shared" si="52"/>
        <v/>
      </c>
      <c r="H382" s="69"/>
      <c r="I382" s="69"/>
      <c r="J382" s="78">
        <f t="shared" si="53"/>
        <v>0</v>
      </c>
      <c r="K382" s="91"/>
      <c r="L382" s="92"/>
      <c r="M382" s="92"/>
      <c r="N382" s="91"/>
      <c r="O382" s="93"/>
      <c r="P382" s="67"/>
      <c r="R382" t="str">
        <f t="shared" si="54"/>
        <v/>
      </c>
      <c r="S382" t="str">
        <f t="shared" si="55"/>
        <v/>
      </c>
      <c r="T382" t="str">
        <f t="shared" si="56"/>
        <v/>
      </c>
      <c r="AD382" t="s">
        <v>1796</v>
      </c>
      <c r="AE382" t="s">
        <v>1797</v>
      </c>
      <c r="AF382" t="str">
        <f t="shared" si="57"/>
        <v>A679077</v>
      </c>
      <c r="AG382" t="str">
        <f>VLOOKUP(AF382,AKT!$C$4:$E$324,3,FALSE)</f>
        <v>0942</v>
      </c>
    </row>
    <row r="383" spans="1:33">
      <c r="A383" s="84"/>
      <c r="B383" s="83" t="str">
        <f t="shared" si="49"/>
        <v/>
      </c>
      <c r="C383" s="84"/>
      <c r="D383" s="83" t="str">
        <f t="shared" si="50"/>
        <v/>
      </c>
      <c r="E383" s="85"/>
      <c r="F383" s="83" t="str">
        <f t="shared" si="51"/>
        <v/>
      </c>
      <c r="G383" s="83" t="str">
        <f t="shared" si="52"/>
        <v/>
      </c>
      <c r="H383" s="69"/>
      <c r="I383" s="69"/>
      <c r="J383" s="78">
        <f t="shared" si="53"/>
        <v>0</v>
      </c>
      <c r="K383" s="91"/>
      <c r="L383" s="92"/>
      <c r="M383" s="92"/>
      <c r="N383" s="91"/>
      <c r="O383" s="93"/>
      <c r="P383" s="67"/>
      <c r="R383" t="str">
        <f t="shared" si="54"/>
        <v/>
      </c>
      <c r="S383" t="str">
        <f t="shared" si="55"/>
        <v/>
      </c>
      <c r="T383" t="str">
        <f t="shared" si="56"/>
        <v/>
      </c>
      <c r="AD383" t="s">
        <v>1798</v>
      </c>
      <c r="AE383" t="s">
        <v>1799</v>
      </c>
      <c r="AF383" t="str">
        <f t="shared" si="57"/>
        <v>A679077</v>
      </c>
      <c r="AG383" t="str">
        <f>VLOOKUP(AF383,AKT!$C$4:$E$324,3,FALSE)</f>
        <v>0942</v>
      </c>
    </row>
    <row r="384" spans="1:33">
      <c r="A384" s="84"/>
      <c r="B384" s="83" t="str">
        <f t="shared" si="49"/>
        <v/>
      </c>
      <c r="C384" s="84"/>
      <c r="D384" s="83" t="str">
        <f t="shared" si="50"/>
        <v/>
      </c>
      <c r="E384" s="85"/>
      <c r="F384" s="83" t="str">
        <f t="shared" si="51"/>
        <v/>
      </c>
      <c r="G384" s="83" t="str">
        <f t="shared" si="52"/>
        <v/>
      </c>
      <c r="H384" s="69"/>
      <c r="I384" s="69"/>
      <c r="J384" s="78">
        <f t="shared" si="53"/>
        <v>0</v>
      </c>
      <c r="K384" s="91"/>
      <c r="L384" s="92"/>
      <c r="M384" s="92"/>
      <c r="N384" s="91"/>
      <c r="O384" s="93"/>
      <c r="P384" s="67"/>
      <c r="R384" t="str">
        <f t="shared" si="54"/>
        <v/>
      </c>
      <c r="S384" t="str">
        <f t="shared" si="55"/>
        <v/>
      </c>
      <c r="T384" t="str">
        <f t="shared" si="56"/>
        <v/>
      </c>
      <c r="AD384" t="s">
        <v>1800</v>
      </c>
      <c r="AE384" t="s">
        <v>1801</v>
      </c>
      <c r="AF384" t="str">
        <f t="shared" si="57"/>
        <v>A679077</v>
      </c>
      <c r="AG384" t="str">
        <f>VLOOKUP(AF384,AKT!$C$4:$E$324,3,FALSE)</f>
        <v>0942</v>
      </c>
    </row>
    <row r="385" spans="1:33">
      <c r="A385" s="84"/>
      <c r="B385" s="83" t="str">
        <f t="shared" si="49"/>
        <v/>
      </c>
      <c r="C385" s="84"/>
      <c r="D385" s="83" t="str">
        <f t="shared" si="50"/>
        <v/>
      </c>
      <c r="E385" s="85"/>
      <c r="F385" s="83" t="str">
        <f t="shared" si="51"/>
        <v/>
      </c>
      <c r="G385" s="83" t="str">
        <f t="shared" si="52"/>
        <v/>
      </c>
      <c r="H385" s="69"/>
      <c r="I385" s="69"/>
      <c r="J385" s="78">
        <f t="shared" si="53"/>
        <v>0</v>
      </c>
      <c r="K385" s="91"/>
      <c r="L385" s="92"/>
      <c r="M385" s="92"/>
      <c r="N385" s="91"/>
      <c r="O385" s="93"/>
      <c r="P385" s="67"/>
      <c r="R385" t="str">
        <f t="shared" si="54"/>
        <v/>
      </c>
      <c r="S385" t="str">
        <f t="shared" si="55"/>
        <v/>
      </c>
      <c r="T385" t="str">
        <f t="shared" si="56"/>
        <v/>
      </c>
      <c r="AD385" t="s">
        <v>1802</v>
      </c>
      <c r="AE385" t="s">
        <v>1803</v>
      </c>
      <c r="AF385" t="str">
        <f t="shared" si="57"/>
        <v>A679077</v>
      </c>
      <c r="AG385" t="str">
        <f>VLOOKUP(AF385,AKT!$C$4:$E$324,3,FALSE)</f>
        <v>0942</v>
      </c>
    </row>
    <row r="386" spans="1:33">
      <c r="A386" s="84"/>
      <c r="B386" s="83" t="str">
        <f t="shared" si="49"/>
        <v/>
      </c>
      <c r="C386" s="84"/>
      <c r="D386" s="83" t="str">
        <f t="shared" si="50"/>
        <v/>
      </c>
      <c r="E386" s="85"/>
      <c r="F386" s="83" t="str">
        <f t="shared" si="51"/>
        <v/>
      </c>
      <c r="G386" s="83" t="str">
        <f t="shared" si="52"/>
        <v/>
      </c>
      <c r="H386" s="69"/>
      <c r="I386" s="69"/>
      <c r="J386" s="78">
        <f t="shared" si="53"/>
        <v>0</v>
      </c>
      <c r="K386" s="91"/>
      <c r="L386" s="92"/>
      <c r="M386" s="92"/>
      <c r="N386" s="91"/>
      <c r="O386" s="93"/>
      <c r="P386" s="67"/>
      <c r="R386" t="str">
        <f t="shared" si="54"/>
        <v/>
      </c>
      <c r="S386" t="str">
        <f t="shared" si="55"/>
        <v/>
      </c>
      <c r="T386" t="str">
        <f t="shared" si="56"/>
        <v/>
      </c>
      <c r="AD386" t="s">
        <v>1804</v>
      </c>
      <c r="AE386" t="s">
        <v>1805</v>
      </c>
      <c r="AF386" t="str">
        <f t="shared" si="57"/>
        <v>A679077</v>
      </c>
      <c r="AG386" t="str">
        <f>VLOOKUP(AF386,AKT!$C$4:$E$324,3,FALSE)</f>
        <v>0942</v>
      </c>
    </row>
    <row r="387" spans="1:33">
      <c r="A387" s="84"/>
      <c r="B387" s="83" t="str">
        <f t="shared" ref="B387:B450" si="58">IFERROR(VLOOKUP(A387,$U$6:$V$23,2,FALSE),"")</f>
        <v/>
      </c>
      <c r="C387" s="84"/>
      <c r="D387" s="83" t="str">
        <f t="shared" si="50"/>
        <v/>
      </c>
      <c r="E387" s="85"/>
      <c r="F387" s="83" t="str">
        <f t="shared" si="51"/>
        <v/>
      </c>
      <c r="G387" s="83" t="str">
        <f t="shared" si="52"/>
        <v/>
      </c>
      <c r="H387" s="69"/>
      <c r="I387" s="69"/>
      <c r="J387" s="78">
        <f t="shared" si="53"/>
        <v>0</v>
      </c>
      <c r="K387" s="91"/>
      <c r="L387" s="92"/>
      <c r="M387" s="92"/>
      <c r="N387" s="91"/>
      <c r="O387" s="93"/>
      <c r="P387" s="67"/>
      <c r="R387" t="str">
        <f t="shared" si="54"/>
        <v/>
      </c>
      <c r="S387" t="str">
        <f t="shared" si="55"/>
        <v/>
      </c>
      <c r="T387" t="str">
        <f t="shared" si="56"/>
        <v/>
      </c>
      <c r="AD387" t="s">
        <v>1806</v>
      </c>
      <c r="AE387" t="s">
        <v>1807</v>
      </c>
      <c r="AF387" t="str">
        <f t="shared" si="57"/>
        <v>A679077</v>
      </c>
      <c r="AG387" t="str">
        <f>VLOOKUP(AF387,AKT!$C$4:$E$324,3,FALSE)</f>
        <v>0942</v>
      </c>
    </row>
    <row r="388" spans="1:33">
      <c r="A388" s="84"/>
      <c r="B388" s="83" t="str">
        <f t="shared" si="58"/>
        <v/>
      </c>
      <c r="C388" s="84"/>
      <c r="D388" s="83" t="str">
        <f t="shared" ref="D388:D451" si="59">IFERROR(VLOOKUP(C388,$X$5:$Z$129,2,FALSE),"")</f>
        <v/>
      </c>
      <c r="E388" s="85"/>
      <c r="F388" s="83" t="str">
        <f t="shared" ref="F388:F451" si="60">IFERROR(VLOOKUP(E388,$AD$6:$AE$1090,2,FALSE),"")</f>
        <v/>
      </c>
      <c r="G388" s="83" t="str">
        <f t="shared" ref="G388:G451" si="61">IFERROR(VLOOKUP(E388,$AD$6:$AG$1090,4,FALSE),"")</f>
        <v/>
      </c>
      <c r="H388" s="69"/>
      <c r="I388" s="69"/>
      <c r="J388" s="78">
        <f t="shared" ref="J388:J451" si="62">I388-H388</f>
        <v>0</v>
      </c>
      <c r="K388" s="91"/>
      <c r="L388" s="92"/>
      <c r="M388" s="92"/>
      <c r="N388" s="91"/>
      <c r="O388" s="93"/>
      <c r="P388" s="67"/>
      <c r="R388" t="str">
        <f t="shared" ref="R388:R451" si="63">LEFT(C388,3)</f>
        <v/>
      </c>
      <c r="S388" t="str">
        <f t="shared" ref="S388:S451" si="64">LEFT(C388,2)</f>
        <v/>
      </c>
      <c r="T388" t="str">
        <f t="shared" ref="T388:T451" si="65">MID(G388,2,2)</f>
        <v/>
      </c>
      <c r="AD388" t="s">
        <v>1808</v>
      </c>
      <c r="AE388" t="s">
        <v>1809</v>
      </c>
      <c r="AF388" t="str">
        <f t="shared" si="57"/>
        <v>A679077</v>
      </c>
      <c r="AG388" t="str">
        <f>VLOOKUP(AF388,AKT!$C$4:$E$324,3,FALSE)</f>
        <v>0942</v>
      </c>
    </row>
    <row r="389" spans="1:33">
      <c r="A389" s="84"/>
      <c r="B389" s="83" t="str">
        <f t="shared" si="58"/>
        <v/>
      </c>
      <c r="C389" s="84"/>
      <c r="D389" s="83" t="str">
        <f t="shared" si="59"/>
        <v/>
      </c>
      <c r="E389" s="85"/>
      <c r="F389" s="83" t="str">
        <f t="shared" si="60"/>
        <v/>
      </c>
      <c r="G389" s="83" t="str">
        <f t="shared" si="61"/>
        <v/>
      </c>
      <c r="H389" s="69"/>
      <c r="I389" s="69"/>
      <c r="J389" s="78">
        <f t="shared" si="62"/>
        <v>0</v>
      </c>
      <c r="K389" s="91"/>
      <c r="L389" s="92"/>
      <c r="M389" s="92"/>
      <c r="N389" s="91"/>
      <c r="O389" s="93"/>
      <c r="P389" s="67"/>
      <c r="R389" t="str">
        <f t="shared" si="63"/>
        <v/>
      </c>
      <c r="S389" t="str">
        <f t="shared" si="64"/>
        <v/>
      </c>
      <c r="T389" t="str">
        <f t="shared" si="65"/>
        <v/>
      </c>
      <c r="AD389" t="s">
        <v>1810</v>
      </c>
      <c r="AE389" t="s">
        <v>1811</v>
      </c>
      <c r="AF389" t="str">
        <f t="shared" si="57"/>
        <v>A679077</v>
      </c>
      <c r="AG389" t="str">
        <f>VLOOKUP(AF389,AKT!$C$4:$E$324,3,FALSE)</f>
        <v>0942</v>
      </c>
    </row>
    <row r="390" spans="1:33">
      <c r="A390" s="84"/>
      <c r="B390" s="83" t="str">
        <f t="shared" si="58"/>
        <v/>
      </c>
      <c r="C390" s="84"/>
      <c r="D390" s="83" t="str">
        <f t="shared" si="59"/>
        <v/>
      </c>
      <c r="E390" s="85"/>
      <c r="F390" s="83" t="str">
        <f t="shared" si="60"/>
        <v/>
      </c>
      <c r="G390" s="83" t="str">
        <f t="shared" si="61"/>
        <v/>
      </c>
      <c r="H390" s="69"/>
      <c r="I390" s="69"/>
      <c r="J390" s="78">
        <f t="shared" si="62"/>
        <v>0</v>
      </c>
      <c r="K390" s="91"/>
      <c r="L390" s="92"/>
      <c r="M390" s="92"/>
      <c r="N390" s="91"/>
      <c r="O390" s="93"/>
      <c r="P390" s="67"/>
      <c r="R390" t="str">
        <f t="shared" si="63"/>
        <v/>
      </c>
      <c r="S390" t="str">
        <f t="shared" si="64"/>
        <v/>
      </c>
      <c r="T390" t="str">
        <f t="shared" si="65"/>
        <v/>
      </c>
      <c r="AD390" t="s">
        <v>1812</v>
      </c>
      <c r="AE390" t="s">
        <v>1813</v>
      </c>
      <c r="AF390" t="str">
        <f t="shared" si="57"/>
        <v>A679077</v>
      </c>
      <c r="AG390" t="str">
        <f>VLOOKUP(AF390,AKT!$C$4:$E$324,3,FALSE)</f>
        <v>0942</v>
      </c>
    </row>
    <row r="391" spans="1:33">
      <c r="A391" s="84"/>
      <c r="B391" s="83" t="str">
        <f t="shared" si="58"/>
        <v/>
      </c>
      <c r="C391" s="84"/>
      <c r="D391" s="83" t="str">
        <f t="shared" si="59"/>
        <v/>
      </c>
      <c r="E391" s="85"/>
      <c r="F391" s="83" t="str">
        <f t="shared" si="60"/>
        <v/>
      </c>
      <c r="G391" s="83" t="str">
        <f t="shared" si="61"/>
        <v/>
      </c>
      <c r="H391" s="69"/>
      <c r="I391" s="69"/>
      <c r="J391" s="78">
        <f t="shared" si="62"/>
        <v>0</v>
      </c>
      <c r="K391" s="91"/>
      <c r="L391" s="92"/>
      <c r="M391" s="92"/>
      <c r="N391" s="91"/>
      <c r="O391" s="93"/>
      <c r="P391" s="67"/>
      <c r="R391" t="str">
        <f t="shared" si="63"/>
        <v/>
      </c>
      <c r="S391" t="str">
        <f t="shared" si="64"/>
        <v/>
      </c>
      <c r="T391" t="str">
        <f t="shared" si="65"/>
        <v/>
      </c>
      <c r="AD391" t="s">
        <v>1814</v>
      </c>
      <c r="AE391" t="s">
        <v>1815</v>
      </c>
      <c r="AF391" t="str">
        <f t="shared" si="57"/>
        <v>A679077</v>
      </c>
      <c r="AG391" t="str">
        <f>VLOOKUP(AF391,AKT!$C$4:$E$324,3,FALSE)</f>
        <v>0942</v>
      </c>
    </row>
    <row r="392" spans="1:33">
      <c r="A392" s="84"/>
      <c r="B392" s="83" t="str">
        <f t="shared" si="58"/>
        <v/>
      </c>
      <c r="C392" s="84"/>
      <c r="D392" s="83" t="str">
        <f t="shared" si="59"/>
        <v/>
      </c>
      <c r="E392" s="85"/>
      <c r="F392" s="83" t="str">
        <f t="shared" si="60"/>
        <v/>
      </c>
      <c r="G392" s="83" t="str">
        <f t="shared" si="61"/>
        <v/>
      </c>
      <c r="H392" s="69"/>
      <c r="I392" s="69"/>
      <c r="J392" s="78">
        <f t="shared" si="62"/>
        <v>0</v>
      </c>
      <c r="K392" s="91"/>
      <c r="L392" s="92"/>
      <c r="M392" s="92"/>
      <c r="N392" s="91"/>
      <c r="O392" s="93"/>
      <c r="P392" s="67"/>
      <c r="R392" t="str">
        <f t="shared" si="63"/>
        <v/>
      </c>
      <c r="S392" t="str">
        <f t="shared" si="64"/>
        <v/>
      </c>
      <c r="T392" t="str">
        <f t="shared" si="65"/>
        <v/>
      </c>
      <c r="AD392" t="s">
        <v>1816</v>
      </c>
      <c r="AE392" t="s">
        <v>1817</v>
      </c>
      <c r="AF392" t="str">
        <f t="shared" ref="AF392:AF455" si="66">LEFT(AD392,7)</f>
        <v>A679077</v>
      </c>
      <c r="AG392" t="str">
        <f>VLOOKUP(AF392,AKT!$C$4:$E$324,3,FALSE)</f>
        <v>0942</v>
      </c>
    </row>
    <row r="393" spans="1:33">
      <c r="A393" s="84"/>
      <c r="B393" s="83" t="str">
        <f t="shared" si="58"/>
        <v/>
      </c>
      <c r="C393" s="84"/>
      <c r="D393" s="83" t="str">
        <f t="shared" si="59"/>
        <v/>
      </c>
      <c r="E393" s="85"/>
      <c r="F393" s="83" t="str">
        <f t="shared" si="60"/>
        <v/>
      </c>
      <c r="G393" s="83" t="str">
        <f t="shared" si="61"/>
        <v/>
      </c>
      <c r="H393" s="69"/>
      <c r="I393" s="69"/>
      <c r="J393" s="78">
        <f t="shared" si="62"/>
        <v>0</v>
      </c>
      <c r="K393" s="91"/>
      <c r="L393" s="92"/>
      <c r="M393" s="92"/>
      <c r="N393" s="91"/>
      <c r="O393" s="93"/>
      <c r="P393" s="67"/>
      <c r="R393" t="str">
        <f t="shared" si="63"/>
        <v/>
      </c>
      <c r="S393" t="str">
        <f t="shared" si="64"/>
        <v/>
      </c>
      <c r="T393" t="str">
        <f t="shared" si="65"/>
        <v/>
      </c>
      <c r="AD393" t="s">
        <v>1818</v>
      </c>
      <c r="AE393" t="s">
        <v>1819</v>
      </c>
      <c r="AF393" t="str">
        <f t="shared" si="66"/>
        <v>A679077</v>
      </c>
      <c r="AG393" t="str">
        <f>VLOOKUP(AF393,AKT!$C$4:$E$324,3,FALSE)</f>
        <v>0942</v>
      </c>
    </row>
    <row r="394" spans="1:33">
      <c r="A394" s="84"/>
      <c r="B394" s="83" t="str">
        <f t="shared" si="58"/>
        <v/>
      </c>
      <c r="C394" s="84"/>
      <c r="D394" s="83" t="str">
        <f t="shared" si="59"/>
        <v/>
      </c>
      <c r="E394" s="85"/>
      <c r="F394" s="83" t="str">
        <f t="shared" si="60"/>
        <v/>
      </c>
      <c r="G394" s="83" t="str">
        <f t="shared" si="61"/>
        <v/>
      </c>
      <c r="H394" s="69"/>
      <c r="I394" s="69"/>
      <c r="J394" s="78">
        <f t="shared" si="62"/>
        <v>0</v>
      </c>
      <c r="K394" s="91"/>
      <c r="L394" s="92"/>
      <c r="M394" s="92"/>
      <c r="N394" s="91"/>
      <c r="O394" s="93"/>
      <c r="P394" s="67"/>
      <c r="R394" t="str">
        <f t="shared" si="63"/>
        <v/>
      </c>
      <c r="S394" t="str">
        <f t="shared" si="64"/>
        <v/>
      </c>
      <c r="T394" t="str">
        <f t="shared" si="65"/>
        <v/>
      </c>
      <c r="AD394" t="s">
        <v>1820</v>
      </c>
      <c r="AE394" t="s">
        <v>1821</v>
      </c>
      <c r="AF394" t="str">
        <f t="shared" si="66"/>
        <v>A679077</v>
      </c>
      <c r="AG394" t="str">
        <f>VLOOKUP(AF394,AKT!$C$4:$E$324,3,FALSE)</f>
        <v>0942</v>
      </c>
    </row>
    <row r="395" spans="1:33">
      <c r="A395" s="84"/>
      <c r="B395" s="83" t="str">
        <f t="shared" si="58"/>
        <v/>
      </c>
      <c r="C395" s="84"/>
      <c r="D395" s="83" t="str">
        <f t="shared" si="59"/>
        <v/>
      </c>
      <c r="E395" s="85"/>
      <c r="F395" s="83" t="str">
        <f t="shared" si="60"/>
        <v/>
      </c>
      <c r="G395" s="83" t="str">
        <f t="shared" si="61"/>
        <v/>
      </c>
      <c r="H395" s="69"/>
      <c r="I395" s="69"/>
      <c r="J395" s="78">
        <f t="shared" si="62"/>
        <v>0</v>
      </c>
      <c r="K395" s="91"/>
      <c r="L395" s="92"/>
      <c r="M395" s="92"/>
      <c r="N395" s="91"/>
      <c r="O395" s="93"/>
      <c r="P395" s="67"/>
      <c r="R395" t="str">
        <f t="shared" si="63"/>
        <v/>
      </c>
      <c r="S395" t="str">
        <f t="shared" si="64"/>
        <v/>
      </c>
      <c r="T395" t="str">
        <f t="shared" si="65"/>
        <v/>
      </c>
      <c r="AD395" t="s">
        <v>1822</v>
      </c>
      <c r="AE395" t="s">
        <v>1823</v>
      </c>
      <c r="AF395" t="str">
        <f t="shared" si="66"/>
        <v>A679077</v>
      </c>
      <c r="AG395" t="str">
        <f>VLOOKUP(AF395,AKT!$C$4:$E$324,3,FALSE)</f>
        <v>0942</v>
      </c>
    </row>
    <row r="396" spans="1:33">
      <c r="A396" s="84"/>
      <c r="B396" s="83" t="str">
        <f t="shared" si="58"/>
        <v/>
      </c>
      <c r="C396" s="84"/>
      <c r="D396" s="83" t="str">
        <f t="shared" si="59"/>
        <v/>
      </c>
      <c r="E396" s="85"/>
      <c r="F396" s="83" t="str">
        <f t="shared" si="60"/>
        <v/>
      </c>
      <c r="G396" s="83" t="str">
        <f t="shared" si="61"/>
        <v/>
      </c>
      <c r="H396" s="69"/>
      <c r="I396" s="69"/>
      <c r="J396" s="78">
        <f t="shared" si="62"/>
        <v>0</v>
      </c>
      <c r="K396" s="91"/>
      <c r="L396" s="92"/>
      <c r="M396" s="92"/>
      <c r="N396" s="91"/>
      <c r="O396" s="93"/>
      <c r="P396" s="67"/>
      <c r="R396" t="str">
        <f t="shared" si="63"/>
        <v/>
      </c>
      <c r="S396" t="str">
        <f t="shared" si="64"/>
        <v/>
      </c>
      <c r="T396" t="str">
        <f t="shared" si="65"/>
        <v/>
      </c>
      <c r="AD396" t="s">
        <v>1824</v>
      </c>
      <c r="AE396" t="s">
        <v>1825</v>
      </c>
      <c r="AF396" t="str">
        <f t="shared" si="66"/>
        <v>A679077</v>
      </c>
      <c r="AG396" t="str">
        <f>VLOOKUP(AF396,AKT!$C$4:$E$324,3,FALSE)</f>
        <v>0942</v>
      </c>
    </row>
    <row r="397" spans="1:33">
      <c r="A397" s="84"/>
      <c r="B397" s="83" t="str">
        <f t="shared" si="58"/>
        <v/>
      </c>
      <c r="C397" s="84"/>
      <c r="D397" s="83" t="str">
        <f t="shared" si="59"/>
        <v/>
      </c>
      <c r="E397" s="85"/>
      <c r="F397" s="83" t="str">
        <f t="shared" si="60"/>
        <v/>
      </c>
      <c r="G397" s="83" t="str">
        <f t="shared" si="61"/>
        <v/>
      </c>
      <c r="H397" s="69"/>
      <c r="I397" s="69"/>
      <c r="J397" s="78">
        <f t="shared" si="62"/>
        <v>0</v>
      </c>
      <c r="K397" s="91"/>
      <c r="L397" s="92"/>
      <c r="M397" s="92"/>
      <c r="N397" s="91"/>
      <c r="O397" s="93"/>
      <c r="P397" s="67"/>
      <c r="R397" t="str">
        <f t="shared" si="63"/>
        <v/>
      </c>
      <c r="S397" t="str">
        <f t="shared" si="64"/>
        <v/>
      </c>
      <c r="T397" t="str">
        <f t="shared" si="65"/>
        <v/>
      </c>
      <c r="AD397" t="s">
        <v>1826</v>
      </c>
      <c r="AE397" t="s">
        <v>1827</v>
      </c>
      <c r="AF397" t="str">
        <f t="shared" si="66"/>
        <v>A679077</v>
      </c>
      <c r="AG397" t="str">
        <f>VLOOKUP(AF397,AKT!$C$4:$E$324,3,FALSE)</f>
        <v>0942</v>
      </c>
    </row>
    <row r="398" spans="1:33">
      <c r="A398" s="84"/>
      <c r="B398" s="83" t="str">
        <f t="shared" si="58"/>
        <v/>
      </c>
      <c r="C398" s="84"/>
      <c r="D398" s="83" t="str">
        <f t="shared" si="59"/>
        <v/>
      </c>
      <c r="E398" s="85"/>
      <c r="F398" s="83" t="str">
        <f t="shared" si="60"/>
        <v/>
      </c>
      <c r="G398" s="83" t="str">
        <f t="shared" si="61"/>
        <v/>
      </c>
      <c r="H398" s="69"/>
      <c r="I398" s="69"/>
      <c r="J398" s="78">
        <f t="shared" si="62"/>
        <v>0</v>
      </c>
      <c r="K398" s="91"/>
      <c r="L398" s="92"/>
      <c r="M398" s="92"/>
      <c r="N398" s="91"/>
      <c r="O398" s="93"/>
      <c r="P398" s="67"/>
      <c r="R398" t="str">
        <f t="shared" si="63"/>
        <v/>
      </c>
      <c r="S398" t="str">
        <f t="shared" si="64"/>
        <v/>
      </c>
      <c r="T398" t="str">
        <f t="shared" si="65"/>
        <v/>
      </c>
      <c r="AD398" t="s">
        <v>1828</v>
      </c>
      <c r="AE398" t="s">
        <v>1829</v>
      </c>
      <c r="AF398" t="str">
        <f t="shared" si="66"/>
        <v>A679077</v>
      </c>
      <c r="AG398" t="str">
        <f>VLOOKUP(AF398,AKT!$C$4:$E$324,3,FALSE)</f>
        <v>0942</v>
      </c>
    </row>
    <row r="399" spans="1:33">
      <c r="A399" s="84"/>
      <c r="B399" s="83" t="str">
        <f t="shared" si="58"/>
        <v/>
      </c>
      <c r="C399" s="84"/>
      <c r="D399" s="83" t="str">
        <f t="shared" si="59"/>
        <v/>
      </c>
      <c r="E399" s="85"/>
      <c r="F399" s="83" t="str">
        <f t="shared" si="60"/>
        <v/>
      </c>
      <c r="G399" s="83" t="str">
        <f t="shared" si="61"/>
        <v/>
      </c>
      <c r="H399" s="69"/>
      <c r="I399" s="69"/>
      <c r="J399" s="78">
        <f t="shared" si="62"/>
        <v>0</v>
      </c>
      <c r="K399" s="91"/>
      <c r="L399" s="92"/>
      <c r="M399" s="92"/>
      <c r="N399" s="91"/>
      <c r="O399" s="93"/>
      <c r="P399" s="67"/>
      <c r="R399" t="str">
        <f t="shared" si="63"/>
        <v/>
      </c>
      <c r="S399" t="str">
        <f t="shared" si="64"/>
        <v/>
      </c>
      <c r="T399" t="str">
        <f t="shared" si="65"/>
        <v/>
      </c>
      <c r="AD399" t="s">
        <v>1830</v>
      </c>
      <c r="AE399" t="s">
        <v>1831</v>
      </c>
      <c r="AF399" t="str">
        <f t="shared" si="66"/>
        <v>A679077</v>
      </c>
      <c r="AG399" t="str">
        <f>VLOOKUP(AF399,AKT!$C$4:$E$324,3,FALSE)</f>
        <v>0942</v>
      </c>
    </row>
    <row r="400" spans="1:33">
      <c r="A400" s="84"/>
      <c r="B400" s="83" t="str">
        <f t="shared" si="58"/>
        <v/>
      </c>
      <c r="C400" s="84"/>
      <c r="D400" s="83" t="str">
        <f t="shared" si="59"/>
        <v/>
      </c>
      <c r="E400" s="85"/>
      <c r="F400" s="83" t="str">
        <f t="shared" si="60"/>
        <v/>
      </c>
      <c r="G400" s="83" t="str">
        <f t="shared" si="61"/>
        <v/>
      </c>
      <c r="H400" s="69"/>
      <c r="I400" s="69"/>
      <c r="J400" s="78">
        <f t="shared" si="62"/>
        <v>0</v>
      </c>
      <c r="K400" s="91"/>
      <c r="L400" s="92"/>
      <c r="M400" s="92"/>
      <c r="N400" s="91"/>
      <c r="O400" s="93"/>
      <c r="P400" s="67"/>
      <c r="R400" t="str">
        <f t="shared" si="63"/>
        <v/>
      </c>
      <c r="S400" t="str">
        <f t="shared" si="64"/>
        <v/>
      </c>
      <c r="T400" t="str">
        <f t="shared" si="65"/>
        <v/>
      </c>
      <c r="AD400" t="s">
        <v>1832</v>
      </c>
      <c r="AE400" t="s">
        <v>1833</v>
      </c>
      <c r="AF400" t="str">
        <f t="shared" si="66"/>
        <v>A679077</v>
      </c>
      <c r="AG400" t="str">
        <f>VLOOKUP(AF400,AKT!$C$4:$E$324,3,FALSE)</f>
        <v>0942</v>
      </c>
    </row>
    <row r="401" spans="1:33">
      <c r="A401" s="84"/>
      <c r="B401" s="83" t="str">
        <f t="shared" si="58"/>
        <v/>
      </c>
      <c r="C401" s="84"/>
      <c r="D401" s="83" t="str">
        <f t="shared" si="59"/>
        <v/>
      </c>
      <c r="E401" s="85"/>
      <c r="F401" s="83" t="str">
        <f t="shared" si="60"/>
        <v/>
      </c>
      <c r="G401" s="83" t="str">
        <f t="shared" si="61"/>
        <v/>
      </c>
      <c r="H401" s="69"/>
      <c r="I401" s="69"/>
      <c r="J401" s="78">
        <f t="shared" si="62"/>
        <v>0</v>
      </c>
      <c r="K401" s="91"/>
      <c r="L401" s="92"/>
      <c r="M401" s="92"/>
      <c r="N401" s="91"/>
      <c r="O401" s="93"/>
      <c r="P401" s="67"/>
      <c r="R401" t="str">
        <f t="shared" si="63"/>
        <v/>
      </c>
      <c r="S401" t="str">
        <f t="shared" si="64"/>
        <v/>
      </c>
      <c r="T401" t="str">
        <f t="shared" si="65"/>
        <v/>
      </c>
      <c r="AD401" t="s">
        <v>1834</v>
      </c>
      <c r="AE401" t="s">
        <v>1835</v>
      </c>
      <c r="AF401" t="str">
        <f t="shared" si="66"/>
        <v>A679077</v>
      </c>
      <c r="AG401" t="str">
        <f>VLOOKUP(AF401,AKT!$C$4:$E$324,3,FALSE)</f>
        <v>0942</v>
      </c>
    </row>
    <row r="402" spans="1:33">
      <c r="A402" s="84"/>
      <c r="B402" s="83" t="str">
        <f t="shared" si="58"/>
        <v/>
      </c>
      <c r="C402" s="84"/>
      <c r="D402" s="83" t="str">
        <f t="shared" si="59"/>
        <v/>
      </c>
      <c r="E402" s="85"/>
      <c r="F402" s="83" t="str">
        <f t="shared" si="60"/>
        <v/>
      </c>
      <c r="G402" s="83" t="str">
        <f t="shared" si="61"/>
        <v/>
      </c>
      <c r="H402" s="69"/>
      <c r="I402" s="69"/>
      <c r="J402" s="78">
        <f t="shared" si="62"/>
        <v>0</v>
      </c>
      <c r="K402" s="91"/>
      <c r="L402" s="92"/>
      <c r="M402" s="92"/>
      <c r="N402" s="91"/>
      <c r="O402" s="93"/>
      <c r="P402" s="67"/>
      <c r="R402" t="str">
        <f t="shared" si="63"/>
        <v/>
      </c>
      <c r="S402" t="str">
        <f t="shared" si="64"/>
        <v/>
      </c>
      <c r="T402" t="str">
        <f t="shared" si="65"/>
        <v/>
      </c>
      <c r="AD402" t="s">
        <v>1836</v>
      </c>
      <c r="AE402" t="s">
        <v>1837</v>
      </c>
      <c r="AF402" t="str">
        <f t="shared" si="66"/>
        <v>A679077</v>
      </c>
      <c r="AG402" t="str">
        <f>VLOOKUP(AF402,AKT!$C$4:$E$324,3,FALSE)</f>
        <v>0942</v>
      </c>
    </row>
    <row r="403" spans="1:33">
      <c r="A403" s="84"/>
      <c r="B403" s="83" t="str">
        <f t="shared" si="58"/>
        <v/>
      </c>
      <c r="C403" s="84"/>
      <c r="D403" s="83" t="str">
        <f t="shared" si="59"/>
        <v/>
      </c>
      <c r="E403" s="85"/>
      <c r="F403" s="83" t="str">
        <f t="shared" si="60"/>
        <v/>
      </c>
      <c r="G403" s="83" t="str">
        <f t="shared" si="61"/>
        <v/>
      </c>
      <c r="H403" s="69"/>
      <c r="I403" s="69"/>
      <c r="J403" s="78">
        <f t="shared" si="62"/>
        <v>0</v>
      </c>
      <c r="K403" s="91"/>
      <c r="L403" s="92"/>
      <c r="M403" s="92"/>
      <c r="N403" s="91"/>
      <c r="O403" s="93"/>
      <c r="P403" s="67"/>
      <c r="R403" t="str">
        <f t="shared" si="63"/>
        <v/>
      </c>
      <c r="S403" t="str">
        <f t="shared" si="64"/>
        <v/>
      </c>
      <c r="T403" t="str">
        <f t="shared" si="65"/>
        <v/>
      </c>
      <c r="AD403" t="s">
        <v>1838</v>
      </c>
      <c r="AE403" t="s">
        <v>1839</v>
      </c>
      <c r="AF403" t="str">
        <f t="shared" si="66"/>
        <v>A679077</v>
      </c>
      <c r="AG403" t="str">
        <f>VLOOKUP(AF403,AKT!$C$4:$E$324,3,FALSE)</f>
        <v>0942</v>
      </c>
    </row>
    <row r="404" spans="1:33">
      <c r="A404" s="84"/>
      <c r="B404" s="83" t="str">
        <f t="shared" si="58"/>
        <v/>
      </c>
      <c r="C404" s="84"/>
      <c r="D404" s="83" t="str">
        <f t="shared" si="59"/>
        <v/>
      </c>
      <c r="E404" s="85"/>
      <c r="F404" s="83" t="str">
        <f t="shared" si="60"/>
        <v/>
      </c>
      <c r="G404" s="83" t="str">
        <f t="shared" si="61"/>
        <v/>
      </c>
      <c r="H404" s="69"/>
      <c r="I404" s="69"/>
      <c r="J404" s="78">
        <f t="shared" si="62"/>
        <v>0</v>
      </c>
      <c r="K404" s="91"/>
      <c r="L404" s="92"/>
      <c r="M404" s="92"/>
      <c r="N404" s="91"/>
      <c r="O404" s="93"/>
      <c r="P404" s="67"/>
      <c r="R404" t="str">
        <f t="shared" si="63"/>
        <v/>
      </c>
      <c r="S404" t="str">
        <f t="shared" si="64"/>
        <v/>
      </c>
      <c r="T404" t="str">
        <f t="shared" si="65"/>
        <v/>
      </c>
      <c r="AD404" t="s">
        <v>1840</v>
      </c>
      <c r="AE404" t="s">
        <v>1841</v>
      </c>
      <c r="AF404" t="str">
        <f t="shared" si="66"/>
        <v>A679077</v>
      </c>
      <c r="AG404" t="str">
        <f>VLOOKUP(AF404,AKT!$C$4:$E$324,3,FALSE)</f>
        <v>0942</v>
      </c>
    </row>
    <row r="405" spans="1:33">
      <c r="A405" s="84"/>
      <c r="B405" s="83" t="str">
        <f t="shared" si="58"/>
        <v/>
      </c>
      <c r="C405" s="84"/>
      <c r="D405" s="83" t="str">
        <f t="shared" si="59"/>
        <v/>
      </c>
      <c r="E405" s="85"/>
      <c r="F405" s="83" t="str">
        <f t="shared" si="60"/>
        <v/>
      </c>
      <c r="G405" s="83" t="str">
        <f t="shared" si="61"/>
        <v/>
      </c>
      <c r="H405" s="69"/>
      <c r="I405" s="69"/>
      <c r="J405" s="78">
        <f t="shared" si="62"/>
        <v>0</v>
      </c>
      <c r="K405" s="91"/>
      <c r="L405" s="92"/>
      <c r="M405" s="92"/>
      <c r="N405" s="91"/>
      <c r="O405" s="93"/>
      <c r="P405" s="67"/>
      <c r="R405" t="str">
        <f t="shared" si="63"/>
        <v/>
      </c>
      <c r="S405" t="str">
        <f t="shared" si="64"/>
        <v/>
      </c>
      <c r="T405" t="str">
        <f t="shared" si="65"/>
        <v/>
      </c>
      <c r="AD405" t="s">
        <v>1842</v>
      </c>
      <c r="AE405" t="s">
        <v>1843</v>
      </c>
      <c r="AF405" t="str">
        <f t="shared" si="66"/>
        <v>A679077</v>
      </c>
      <c r="AG405" t="str">
        <f>VLOOKUP(AF405,AKT!$C$4:$E$324,3,FALSE)</f>
        <v>0942</v>
      </c>
    </row>
    <row r="406" spans="1:33">
      <c r="A406" s="84"/>
      <c r="B406" s="83" t="str">
        <f t="shared" si="58"/>
        <v/>
      </c>
      <c r="C406" s="84"/>
      <c r="D406" s="83" t="str">
        <f t="shared" si="59"/>
        <v/>
      </c>
      <c r="E406" s="85"/>
      <c r="F406" s="83" t="str">
        <f t="shared" si="60"/>
        <v/>
      </c>
      <c r="G406" s="83" t="str">
        <f t="shared" si="61"/>
        <v/>
      </c>
      <c r="H406" s="69"/>
      <c r="I406" s="69"/>
      <c r="J406" s="78">
        <f t="shared" si="62"/>
        <v>0</v>
      </c>
      <c r="K406" s="91"/>
      <c r="L406" s="92"/>
      <c r="M406" s="92"/>
      <c r="N406" s="91"/>
      <c r="O406" s="93"/>
      <c r="P406" s="67"/>
      <c r="R406" t="str">
        <f t="shared" si="63"/>
        <v/>
      </c>
      <c r="S406" t="str">
        <f t="shared" si="64"/>
        <v/>
      </c>
      <c r="T406" t="str">
        <f t="shared" si="65"/>
        <v/>
      </c>
      <c r="AD406" t="s">
        <v>1844</v>
      </c>
      <c r="AE406" t="s">
        <v>1845</v>
      </c>
      <c r="AF406" t="str">
        <f t="shared" si="66"/>
        <v>A679077</v>
      </c>
      <c r="AG406" t="str">
        <f>VLOOKUP(AF406,AKT!$C$4:$E$324,3,FALSE)</f>
        <v>0942</v>
      </c>
    </row>
    <row r="407" spans="1:33">
      <c r="A407" s="84"/>
      <c r="B407" s="83" t="str">
        <f t="shared" si="58"/>
        <v/>
      </c>
      <c r="C407" s="84"/>
      <c r="D407" s="83" t="str">
        <f t="shared" si="59"/>
        <v/>
      </c>
      <c r="E407" s="85"/>
      <c r="F407" s="83" t="str">
        <f t="shared" si="60"/>
        <v/>
      </c>
      <c r="G407" s="83" t="str">
        <f t="shared" si="61"/>
        <v/>
      </c>
      <c r="H407" s="69"/>
      <c r="I407" s="69"/>
      <c r="J407" s="78">
        <f t="shared" si="62"/>
        <v>0</v>
      </c>
      <c r="K407" s="91"/>
      <c r="L407" s="92"/>
      <c r="M407" s="92"/>
      <c r="N407" s="91"/>
      <c r="O407" s="93"/>
      <c r="P407" s="67"/>
      <c r="R407" t="str">
        <f t="shared" si="63"/>
        <v/>
      </c>
      <c r="S407" t="str">
        <f t="shared" si="64"/>
        <v/>
      </c>
      <c r="T407" t="str">
        <f t="shared" si="65"/>
        <v/>
      </c>
      <c r="AD407" t="s">
        <v>1846</v>
      </c>
      <c r="AE407" t="s">
        <v>1847</v>
      </c>
      <c r="AF407" t="str">
        <f t="shared" si="66"/>
        <v>A679077</v>
      </c>
      <c r="AG407" t="str">
        <f>VLOOKUP(AF407,AKT!$C$4:$E$324,3,FALSE)</f>
        <v>0942</v>
      </c>
    </row>
    <row r="408" spans="1:33">
      <c r="A408" s="84"/>
      <c r="B408" s="83" t="str">
        <f t="shared" si="58"/>
        <v/>
      </c>
      <c r="C408" s="84"/>
      <c r="D408" s="83" t="str">
        <f t="shared" si="59"/>
        <v/>
      </c>
      <c r="E408" s="85"/>
      <c r="F408" s="83" t="str">
        <f t="shared" si="60"/>
        <v/>
      </c>
      <c r="G408" s="83" t="str">
        <f t="shared" si="61"/>
        <v/>
      </c>
      <c r="H408" s="69"/>
      <c r="I408" s="69"/>
      <c r="J408" s="78">
        <f t="shared" si="62"/>
        <v>0</v>
      </c>
      <c r="K408" s="91"/>
      <c r="L408" s="92"/>
      <c r="M408" s="92"/>
      <c r="N408" s="91"/>
      <c r="O408" s="93"/>
      <c r="P408" s="67"/>
      <c r="R408" t="str">
        <f t="shared" si="63"/>
        <v/>
      </c>
      <c r="S408" t="str">
        <f t="shared" si="64"/>
        <v/>
      </c>
      <c r="T408" t="str">
        <f t="shared" si="65"/>
        <v/>
      </c>
      <c r="AD408" t="s">
        <v>1848</v>
      </c>
      <c r="AE408" t="s">
        <v>1849</v>
      </c>
      <c r="AF408" t="str">
        <f t="shared" si="66"/>
        <v>A679077</v>
      </c>
      <c r="AG408" t="str">
        <f>VLOOKUP(AF408,AKT!$C$4:$E$324,3,FALSE)</f>
        <v>0942</v>
      </c>
    </row>
    <row r="409" spans="1:33">
      <c r="A409" s="84"/>
      <c r="B409" s="83" t="str">
        <f t="shared" si="58"/>
        <v/>
      </c>
      <c r="C409" s="84"/>
      <c r="D409" s="83" t="str">
        <f t="shared" si="59"/>
        <v/>
      </c>
      <c r="E409" s="85"/>
      <c r="F409" s="83" t="str">
        <f t="shared" si="60"/>
        <v/>
      </c>
      <c r="G409" s="83" t="str">
        <f t="shared" si="61"/>
        <v/>
      </c>
      <c r="H409" s="69"/>
      <c r="I409" s="69"/>
      <c r="J409" s="78">
        <f t="shared" si="62"/>
        <v>0</v>
      </c>
      <c r="K409" s="91"/>
      <c r="L409" s="92"/>
      <c r="M409" s="92"/>
      <c r="N409" s="91"/>
      <c r="O409" s="93"/>
      <c r="P409" s="67"/>
      <c r="R409" t="str">
        <f t="shared" si="63"/>
        <v/>
      </c>
      <c r="S409" t="str">
        <f t="shared" si="64"/>
        <v/>
      </c>
      <c r="T409" t="str">
        <f t="shared" si="65"/>
        <v/>
      </c>
      <c r="AD409" t="s">
        <v>1850</v>
      </c>
      <c r="AE409" t="s">
        <v>1851</v>
      </c>
      <c r="AF409" t="str">
        <f t="shared" si="66"/>
        <v>A679077</v>
      </c>
      <c r="AG409" t="str">
        <f>VLOOKUP(AF409,AKT!$C$4:$E$324,3,FALSE)</f>
        <v>0942</v>
      </c>
    </row>
    <row r="410" spans="1:33">
      <c r="A410" s="84"/>
      <c r="B410" s="83" t="str">
        <f t="shared" si="58"/>
        <v/>
      </c>
      <c r="C410" s="84"/>
      <c r="D410" s="83" t="str">
        <f t="shared" si="59"/>
        <v/>
      </c>
      <c r="E410" s="85"/>
      <c r="F410" s="83" t="str">
        <f t="shared" si="60"/>
        <v/>
      </c>
      <c r="G410" s="83" t="str">
        <f t="shared" si="61"/>
        <v/>
      </c>
      <c r="H410" s="69"/>
      <c r="I410" s="69"/>
      <c r="J410" s="78">
        <f t="shared" si="62"/>
        <v>0</v>
      </c>
      <c r="K410" s="91"/>
      <c r="L410" s="92"/>
      <c r="M410" s="92"/>
      <c r="N410" s="91"/>
      <c r="O410" s="93"/>
      <c r="P410" s="67"/>
      <c r="R410" t="str">
        <f t="shared" si="63"/>
        <v/>
      </c>
      <c r="S410" t="str">
        <f t="shared" si="64"/>
        <v/>
      </c>
      <c r="T410" t="str">
        <f t="shared" si="65"/>
        <v/>
      </c>
      <c r="AD410" t="s">
        <v>1852</v>
      </c>
      <c r="AE410" t="s">
        <v>1853</v>
      </c>
      <c r="AF410" t="str">
        <f t="shared" si="66"/>
        <v>A679077</v>
      </c>
      <c r="AG410" t="str">
        <f>VLOOKUP(AF410,AKT!$C$4:$E$324,3,FALSE)</f>
        <v>0942</v>
      </c>
    </row>
    <row r="411" spans="1:33">
      <c r="A411" s="84"/>
      <c r="B411" s="83" t="str">
        <f t="shared" si="58"/>
        <v/>
      </c>
      <c r="C411" s="84"/>
      <c r="D411" s="83" t="str">
        <f t="shared" si="59"/>
        <v/>
      </c>
      <c r="E411" s="85"/>
      <c r="F411" s="83" t="str">
        <f t="shared" si="60"/>
        <v/>
      </c>
      <c r="G411" s="83" t="str">
        <f t="shared" si="61"/>
        <v/>
      </c>
      <c r="H411" s="69"/>
      <c r="I411" s="69"/>
      <c r="J411" s="78">
        <f t="shared" si="62"/>
        <v>0</v>
      </c>
      <c r="K411" s="91"/>
      <c r="L411" s="92"/>
      <c r="M411" s="92"/>
      <c r="N411" s="91"/>
      <c r="O411" s="93"/>
      <c r="P411" s="67"/>
      <c r="R411" t="str">
        <f t="shared" si="63"/>
        <v/>
      </c>
      <c r="S411" t="str">
        <f t="shared" si="64"/>
        <v/>
      </c>
      <c r="T411" t="str">
        <f t="shared" si="65"/>
        <v/>
      </c>
      <c r="AD411" t="s">
        <v>1854</v>
      </c>
      <c r="AE411" t="s">
        <v>1855</v>
      </c>
      <c r="AF411" t="str">
        <f t="shared" si="66"/>
        <v>A679077</v>
      </c>
      <c r="AG411" t="str">
        <f>VLOOKUP(AF411,AKT!$C$4:$E$324,3,FALSE)</f>
        <v>0942</v>
      </c>
    </row>
    <row r="412" spans="1:33">
      <c r="A412" s="84"/>
      <c r="B412" s="83" t="str">
        <f t="shared" si="58"/>
        <v/>
      </c>
      <c r="C412" s="84"/>
      <c r="D412" s="83" t="str">
        <f t="shared" si="59"/>
        <v/>
      </c>
      <c r="E412" s="85"/>
      <c r="F412" s="83" t="str">
        <f t="shared" si="60"/>
        <v/>
      </c>
      <c r="G412" s="83" t="str">
        <f t="shared" si="61"/>
        <v/>
      </c>
      <c r="H412" s="69"/>
      <c r="I412" s="69"/>
      <c r="J412" s="78">
        <f t="shared" si="62"/>
        <v>0</v>
      </c>
      <c r="K412" s="91"/>
      <c r="L412" s="92"/>
      <c r="M412" s="92"/>
      <c r="N412" s="91"/>
      <c r="O412" s="93"/>
      <c r="P412" s="67"/>
      <c r="R412" t="str">
        <f t="shared" si="63"/>
        <v/>
      </c>
      <c r="S412" t="str">
        <f t="shared" si="64"/>
        <v/>
      </c>
      <c r="T412" t="str">
        <f t="shared" si="65"/>
        <v/>
      </c>
      <c r="AD412" t="s">
        <v>1856</v>
      </c>
      <c r="AE412" t="s">
        <v>1857</v>
      </c>
      <c r="AF412" t="str">
        <f t="shared" si="66"/>
        <v>A679077</v>
      </c>
      <c r="AG412" t="str">
        <f>VLOOKUP(AF412,AKT!$C$4:$E$324,3,FALSE)</f>
        <v>0942</v>
      </c>
    </row>
    <row r="413" spans="1:33">
      <c r="A413" s="84"/>
      <c r="B413" s="83" t="str">
        <f t="shared" si="58"/>
        <v/>
      </c>
      <c r="C413" s="84"/>
      <c r="D413" s="83" t="str">
        <f t="shared" si="59"/>
        <v/>
      </c>
      <c r="E413" s="85"/>
      <c r="F413" s="83" t="str">
        <f t="shared" si="60"/>
        <v/>
      </c>
      <c r="G413" s="83" t="str">
        <f t="shared" si="61"/>
        <v/>
      </c>
      <c r="H413" s="69"/>
      <c r="I413" s="69"/>
      <c r="J413" s="78">
        <f t="shared" si="62"/>
        <v>0</v>
      </c>
      <c r="K413" s="91"/>
      <c r="L413" s="92"/>
      <c r="M413" s="92"/>
      <c r="N413" s="91"/>
      <c r="O413" s="93"/>
      <c r="P413" s="67"/>
      <c r="R413" t="str">
        <f t="shared" si="63"/>
        <v/>
      </c>
      <c r="S413" t="str">
        <f t="shared" si="64"/>
        <v/>
      </c>
      <c r="T413" t="str">
        <f t="shared" si="65"/>
        <v/>
      </c>
      <c r="AD413" t="s">
        <v>1858</v>
      </c>
      <c r="AE413" t="s">
        <v>1859</v>
      </c>
      <c r="AF413" t="str">
        <f t="shared" si="66"/>
        <v>A679077</v>
      </c>
      <c r="AG413" t="str">
        <f>VLOOKUP(AF413,AKT!$C$4:$E$324,3,FALSE)</f>
        <v>0942</v>
      </c>
    </row>
    <row r="414" spans="1:33">
      <c r="A414" s="84"/>
      <c r="B414" s="83" t="str">
        <f t="shared" si="58"/>
        <v/>
      </c>
      <c r="C414" s="84"/>
      <c r="D414" s="83" t="str">
        <f t="shared" si="59"/>
        <v/>
      </c>
      <c r="E414" s="85"/>
      <c r="F414" s="83" t="str">
        <f t="shared" si="60"/>
        <v/>
      </c>
      <c r="G414" s="83" t="str">
        <f t="shared" si="61"/>
        <v/>
      </c>
      <c r="H414" s="69"/>
      <c r="I414" s="69"/>
      <c r="J414" s="78">
        <f t="shared" si="62"/>
        <v>0</v>
      </c>
      <c r="K414" s="91"/>
      <c r="L414" s="92"/>
      <c r="M414" s="92"/>
      <c r="N414" s="91"/>
      <c r="O414" s="93"/>
      <c r="P414" s="67"/>
      <c r="R414" t="str">
        <f t="shared" si="63"/>
        <v/>
      </c>
      <c r="S414" t="str">
        <f t="shared" si="64"/>
        <v/>
      </c>
      <c r="T414" t="str">
        <f t="shared" si="65"/>
        <v/>
      </c>
      <c r="AD414" t="s">
        <v>1860</v>
      </c>
      <c r="AE414" t="s">
        <v>1861</v>
      </c>
      <c r="AF414" t="str">
        <f t="shared" si="66"/>
        <v>A679077</v>
      </c>
      <c r="AG414" t="str">
        <f>VLOOKUP(AF414,AKT!$C$4:$E$324,3,FALSE)</f>
        <v>0942</v>
      </c>
    </row>
    <row r="415" spans="1:33">
      <c r="A415" s="84"/>
      <c r="B415" s="83" t="str">
        <f t="shared" si="58"/>
        <v/>
      </c>
      <c r="C415" s="84"/>
      <c r="D415" s="83" t="str">
        <f t="shared" si="59"/>
        <v/>
      </c>
      <c r="E415" s="85"/>
      <c r="F415" s="83" t="str">
        <f t="shared" si="60"/>
        <v/>
      </c>
      <c r="G415" s="83" t="str">
        <f t="shared" si="61"/>
        <v/>
      </c>
      <c r="H415" s="69"/>
      <c r="I415" s="69"/>
      <c r="J415" s="78">
        <f t="shared" si="62"/>
        <v>0</v>
      </c>
      <c r="K415" s="91"/>
      <c r="L415" s="92"/>
      <c r="M415" s="92"/>
      <c r="N415" s="91"/>
      <c r="O415" s="93"/>
      <c r="P415" s="67"/>
      <c r="R415" t="str">
        <f t="shared" si="63"/>
        <v/>
      </c>
      <c r="S415" t="str">
        <f t="shared" si="64"/>
        <v/>
      </c>
      <c r="T415" t="str">
        <f t="shared" si="65"/>
        <v/>
      </c>
      <c r="AD415" t="s">
        <v>1862</v>
      </c>
      <c r="AE415" t="s">
        <v>1863</v>
      </c>
      <c r="AF415" t="str">
        <f t="shared" si="66"/>
        <v>A679078</v>
      </c>
      <c r="AG415" t="str">
        <f>VLOOKUP(AF415,AKT!$C$4:$E$324,3,FALSE)</f>
        <v>0942</v>
      </c>
    </row>
    <row r="416" spans="1:33">
      <c r="A416" s="84"/>
      <c r="B416" s="83" t="str">
        <f t="shared" si="58"/>
        <v/>
      </c>
      <c r="C416" s="84"/>
      <c r="D416" s="83" t="str">
        <f t="shared" si="59"/>
        <v/>
      </c>
      <c r="E416" s="85"/>
      <c r="F416" s="83" t="str">
        <f t="shared" si="60"/>
        <v/>
      </c>
      <c r="G416" s="83" t="str">
        <f t="shared" si="61"/>
        <v/>
      </c>
      <c r="H416" s="69"/>
      <c r="I416" s="69"/>
      <c r="J416" s="78">
        <f t="shared" si="62"/>
        <v>0</v>
      </c>
      <c r="K416" s="91"/>
      <c r="L416" s="92"/>
      <c r="M416" s="92"/>
      <c r="N416" s="91"/>
      <c r="O416" s="93"/>
      <c r="P416" s="67"/>
      <c r="R416" t="str">
        <f t="shared" si="63"/>
        <v/>
      </c>
      <c r="S416" t="str">
        <f t="shared" si="64"/>
        <v/>
      </c>
      <c r="T416" t="str">
        <f t="shared" si="65"/>
        <v/>
      </c>
      <c r="AD416" t="s">
        <v>1864</v>
      </c>
      <c r="AE416" t="s">
        <v>1865</v>
      </c>
      <c r="AF416" t="str">
        <f t="shared" si="66"/>
        <v>A679078</v>
      </c>
      <c r="AG416" t="str">
        <f>VLOOKUP(AF416,AKT!$C$4:$E$324,3,FALSE)</f>
        <v>0942</v>
      </c>
    </row>
    <row r="417" spans="1:33">
      <c r="A417" s="84"/>
      <c r="B417" s="83" t="str">
        <f t="shared" si="58"/>
        <v/>
      </c>
      <c r="C417" s="84"/>
      <c r="D417" s="83" t="str">
        <f t="shared" si="59"/>
        <v/>
      </c>
      <c r="E417" s="85"/>
      <c r="F417" s="83" t="str">
        <f t="shared" si="60"/>
        <v/>
      </c>
      <c r="G417" s="83" t="str">
        <f t="shared" si="61"/>
        <v/>
      </c>
      <c r="H417" s="69"/>
      <c r="I417" s="69"/>
      <c r="J417" s="78">
        <f t="shared" si="62"/>
        <v>0</v>
      </c>
      <c r="K417" s="91"/>
      <c r="L417" s="92"/>
      <c r="M417" s="92"/>
      <c r="N417" s="91"/>
      <c r="O417" s="93"/>
      <c r="P417" s="67"/>
      <c r="R417" t="str">
        <f t="shared" si="63"/>
        <v/>
      </c>
      <c r="S417" t="str">
        <f t="shared" si="64"/>
        <v/>
      </c>
      <c r="T417" t="str">
        <f t="shared" si="65"/>
        <v/>
      </c>
      <c r="AD417" t="s">
        <v>1866</v>
      </c>
      <c r="AE417" t="s">
        <v>1867</v>
      </c>
      <c r="AF417" t="str">
        <f t="shared" si="66"/>
        <v>A679078</v>
      </c>
      <c r="AG417" t="str">
        <f>VLOOKUP(AF417,AKT!$C$4:$E$324,3,FALSE)</f>
        <v>0942</v>
      </c>
    </row>
    <row r="418" spans="1:33">
      <c r="A418" s="84"/>
      <c r="B418" s="83" t="str">
        <f t="shared" si="58"/>
        <v/>
      </c>
      <c r="C418" s="84"/>
      <c r="D418" s="83" t="str">
        <f t="shared" si="59"/>
        <v/>
      </c>
      <c r="E418" s="85"/>
      <c r="F418" s="83" t="str">
        <f t="shared" si="60"/>
        <v/>
      </c>
      <c r="G418" s="83" t="str">
        <f t="shared" si="61"/>
        <v/>
      </c>
      <c r="H418" s="69"/>
      <c r="I418" s="69"/>
      <c r="J418" s="78">
        <f t="shared" si="62"/>
        <v>0</v>
      </c>
      <c r="K418" s="91"/>
      <c r="L418" s="92"/>
      <c r="M418" s="92"/>
      <c r="N418" s="91"/>
      <c r="O418" s="93"/>
      <c r="P418" s="67"/>
      <c r="R418" t="str">
        <f t="shared" si="63"/>
        <v/>
      </c>
      <c r="S418" t="str">
        <f t="shared" si="64"/>
        <v/>
      </c>
      <c r="T418" t="str">
        <f t="shared" si="65"/>
        <v/>
      </c>
      <c r="AD418" t="s">
        <v>1868</v>
      </c>
      <c r="AE418" t="s">
        <v>1869</v>
      </c>
      <c r="AF418" t="str">
        <f t="shared" si="66"/>
        <v>A679078</v>
      </c>
      <c r="AG418" t="str">
        <f>VLOOKUP(AF418,AKT!$C$4:$E$324,3,FALSE)</f>
        <v>0942</v>
      </c>
    </row>
    <row r="419" spans="1:33">
      <c r="A419" s="84"/>
      <c r="B419" s="83" t="str">
        <f t="shared" si="58"/>
        <v/>
      </c>
      <c r="C419" s="84"/>
      <c r="D419" s="83" t="str">
        <f t="shared" si="59"/>
        <v/>
      </c>
      <c r="E419" s="85"/>
      <c r="F419" s="83" t="str">
        <f t="shared" si="60"/>
        <v/>
      </c>
      <c r="G419" s="83" t="str">
        <f t="shared" si="61"/>
        <v/>
      </c>
      <c r="H419" s="69"/>
      <c r="I419" s="69"/>
      <c r="J419" s="78">
        <f t="shared" si="62"/>
        <v>0</v>
      </c>
      <c r="K419" s="91"/>
      <c r="L419" s="92"/>
      <c r="M419" s="92"/>
      <c r="N419" s="91"/>
      <c r="O419" s="93"/>
      <c r="P419" s="67"/>
      <c r="R419" t="str">
        <f t="shared" si="63"/>
        <v/>
      </c>
      <c r="S419" t="str">
        <f t="shared" si="64"/>
        <v/>
      </c>
      <c r="T419" t="str">
        <f t="shared" si="65"/>
        <v/>
      </c>
      <c r="AD419" t="s">
        <v>1870</v>
      </c>
      <c r="AE419" t="s">
        <v>1871</v>
      </c>
      <c r="AF419" t="str">
        <f t="shared" si="66"/>
        <v>A679078</v>
      </c>
      <c r="AG419" t="str">
        <f>VLOOKUP(AF419,AKT!$C$4:$E$324,3,FALSE)</f>
        <v>0942</v>
      </c>
    </row>
    <row r="420" spans="1:33">
      <c r="A420" s="84"/>
      <c r="B420" s="83" t="str">
        <f t="shared" si="58"/>
        <v/>
      </c>
      <c r="C420" s="84"/>
      <c r="D420" s="83" t="str">
        <f t="shared" si="59"/>
        <v/>
      </c>
      <c r="E420" s="85"/>
      <c r="F420" s="83" t="str">
        <f t="shared" si="60"/>
        <v/>
      </c>
      <c r="G420" s="83" t="str">
        <f t="shared" si="61"/>
        <v/>
      </c>
      <c r="H420" s="69"/>
      <c r="I420" s="69"/>
      <c r="J420" s="78">
        <f t="shared" si="62"/>
        <v>0</v>
      </c>
      <c r="K420" s="91"/>
      <c r="L420" s="92"/>
      <c r="M420" s="92"/>
      <c r="N420" s="91"/>
      <c r="O420" s="93"/>
      <c r="P420" s="67"/>
      <c r="R420" t="str">
        <f t="shared" si="63"/>
        <v/>
      </c>
      <c r="S420" t="str">
        <f t="shared" si="64"/>
        <v/>
      </c>
      <c r="T420" t="str">
        <f t="shared" si="65"/>
        <v/>
      </c>
      <c r="AD420" t="s">
        <v>1872</v>
      </c>
      <c r="AE420" t="s">
        <v>1873</v>
      </c>
      <c r="AF420" t="str">
        <f t="shared" si="66"/>
        <v>A679078</v>
      </c>
      <c r="AG420" t="str">
        <f>VLOOKUP(AF420,AKT!$C$4:$E$324,3,FALSE)</f>
        <v>0942</v>
      </c>
    </row>
    <row r="421" spans="1:33">
      <c r="A421" s="84"/>
      <c r="B421" s="83" t="str">
        <f t="shared" si="58"/>
        <v/>
      </c>
      <c r="C421" s="84"/>
      <c r="D421" s="83" t="str">
        <f t="shared" si="59"/>
        <v/>
      </c>
      <c r="E421" s="85"/>
      <c r="F421" s="83" t="str">
        <f t="shared" si="60"/>
        <v/>
      </c>
      <c r="G421" s="83" t="str">
        <f t="shared" si="61"/>
        <v/>
      </c>
      <c r="H421" s="69"/>
      <c r="I421" s="69"/>
      <c r="J421" s="78">
        <f t="shared" si="62"/>
        <v>0</v>
      </c>
      <c r="K421" s="91"/>
      <c r="L421" s="92"/>
      <c r="M421" s="92"/>
      <c r="N421" s="91"/>
      <c r="O421" s="93"/>
      <c r="P421" s="67"/>
      <c r="R421" t="str">
        <f t="shared" si="63"/>
        <v/>
      </c>
      <c r="S421" t="str">
        <f t="shared" si="64"/>
        <v/>
      </c>
      <c r="T421" t="str">
        <f t="shared" si="65"/>
        <v/>
      </c>
      <c r="AD421" t="s">
        <v>1874</v>
      </c>
      <c r="AE421" t="s">
        <v>1875</v>
      </c>
      <c r="AF421" t="str">
        <f t="shared" si="66"/>
        <v>A679078</v>
      </c>
      <c r="AG421" t="str">
        <f>VLOOKUP(AF421,AKT!$C$4:$E$324,3,FALSE)</f>
        <v>0942</v>
      </c>
    </row>
    <row r="422" spans="1:33">
      <c r="A422" s="84"/>
      <c r="B422" s="83" t="str">
        <f t="shared" si="58"/>
        <v/>
      </c>
      <c r="C422" s="84"/>
      <c r="D422" s="83" t="str">
        <f t="shared" si="59"/>
        <v/>
      </c>
      <c r="E422" s="85"/>
      <c r="F422" s="83" t="str">
        <f t="shared" si="60"/>
        <v/>
      </c>
      <c r="G422" s="83" t="str">
        <f t="shared" si="61"/>
        <v/>
      </c>
      <c r="H422" s="69"/>
      <c r="I422" s="69"/>
      <c r="J422" s="78">
        <f t="shared" si="62"/>
        <v>0</v>
      </c>
      <c r="K422" s="91"/>
      <c r="L422" s="92"/>
      <c r="M422" s="92"/>
      <c r="N422" s="91"/>
      <c r="O422" s="93"/>
      <c r="P422" s="67"/>
      <c r="R422" t="str">
        <f t="shared" si="63"/>
        <v/>
      </c>
      <c r="S422" t="str">
        <f t="shared" si="64"/>
        <v/>
      </c>
      <c r="T422" t="str">
        <f t="shared" si="65"/>
        <v/>
      </c>
      <c r="AD422" t="s">
        <v>1876</v>
      </c>
      <c r="AE422" t="s">
        <v>1877</v>
      </c>
      <c r="AF422" t="str">
        <f t="shared" si="66"/>
        <v>A679078</v>
      </c>
      <c r="AG422" t="str">
        <f>VLOOKUP(AF422,AKT!$C$4:$E$324,3,FALSE)</f>
        <v>0942</v>
      </c>
    </row>
    <row r="423" spans="1:33">
      <c r="A423" s="84"/>
      <c r="B423" s="83" t="str">
        <f t="shared" si="58"/>
        <v/>
      </c>
      <c r="C423" s="84"/>
      <c r="D423" s="83" t="str">
        <f t="shared" si="59"/>
        <v/>
      </c>
      <c r="E423" s="85"/>
      <c r="F423" s="83" t="str">
        <f t="shared" si="60"/>
        <v/>
      </c>
      <c r="G423" s="83" t="str">
        <f t="shared" si="61"/>
        <v/>
      </c>
      <c r="H423" s="69"/>
      <c r="I423" s="69"/>
      <c r="J423" s="78">
        <f t="shared" si="62"/>
        <v>0</v>
      </c>
      <c r="K423" s="91"/>
      <c r="L423" s="92"/>
      <c r="M423" s="92"/>
      <c r="N423" s="91"/>
      <c r="O423" s="93"/>
      <c r="P423" s="67"/>
      <c r="R423" t="str">
        <f t="shared" si="63"/>
        <v/>
      </c>
      <c r="S423" t="str">
        <f t="shared" si="64"/>
        <v/>
      </c>
      <c r="T423" t="str">
        <f t="shared" si="65"/>
        <v/>
      </c>
      <c r="AD423" t="s">
        <v>1878</v>
      </c>
      <c r="AE423" t="s">
        <v>1879</v>
      </c>
      <c r="AF423" t="str">
        <f t="shared" si="66"/>
        <v>A679078</v>
      </c>
      <c r="AG423" t="str">
        <f>VLOOKUP(AF423,AKT!$C$4:$E$324,3,FALSE)</f>
        <v>0942</v>
      </c>
    </row>
    <row r="424" spans="1:33">
      <c r="A424" s="84"/>
      <c r="B424" s="83" t="str">
        <f t="shared" si="58"/>
        <v/>
      </c>
      <c r="C424" s="84"/>
      <c r="D424" s="83" t="str">
        <f t="shared" si="59"/>
        <v/>
      </c>
      <c r="E424" s="85"/>
      <c r="F424" s="83" t="str">
        <f t="shared" si="60"/>
        <v/>
      </c>
      <c r="G424" s="83" t="str">
        <f t="shared" si="61"/>
        <v/>
      </c>
      <c r="H424" s="69"/>
      <c r="I424" s="69"/>
      <c r="J424" s="78">
        <f t="shared" si="62"/>
        <v>0</v>
      </c>
      <c r="K424" s="91"/>
      <c r="L424" s="92"/>
      <c r="M424" s="92"/>
      <c r="N424" s="91"/>
      <c r="O424" s="93"/>
      <c r="P424" s="67"/>
      <c r="R424" t="str">
        <f t="shared" si="63"/>
        <v/>
      </c>
      <c r="S424" t="str">
        <f t="shared" si="64"/>
        <v/>
      </c>
      <c r="T424" t="str">
        <f t="shared" si="65"/>
        <v/>
      </c>
      <c r="AD424" t="s">
        <v>1880</v>
      </c>
      <c r="AE424" t="s">
        <v>1881</v>
      </c>
      <c r="AF424" t="str">
        <f t="shared" si="66"/>
        <v>A679078</v>
      </c>
      <c r="AG424" t="str">
        <f>VLOOKUP(AF424,AKT!$C$4:$E$324,3,FALSE)</f>
        <v>0942</v>
      </c>
    </row>
    <row r="425" spans="1:33">
      <c r="A425" s="84"/>
      <c r="B425" s="83" t="str">
        <f t="shared" si="58"/>
        <v/>
      </c>
      <c r="C425" s="84"/>
      <c r="D425" s="83" t="str">
        <f t="shared" si="59"/>
        <v/>
      </c>
      <c r="E425" s="85"/>
      <c r="F425" s="83" t="str">
        <f t="shared" si="60"/>
        <v/>
      </c>
      <c r="G425" s="83" t="str">
        <f t="shared" si="61"/>
        <v/>
      </c>
      <c r="H425" s="69"/>
      <c r="I425" s="69"/>
      <c r="J425" s="78">
        <f t="shared" si="62"/>
        <v>0</v>
      </c>
      <c r="K425" s="91"/>
      <c r="L425" s="92"/>
      <c r="M425" s="92"/>
      <c r="N425" s="91"/>
      <c r="O425" s="93"/>
      <c r="P425" s="67"/>
      <c r="R425" t="str">
        <f t="shared" si="63"/>
        <v/>
      </c>
      <c r="S425" t="str">
        <f t="shared" si="64"/>
        <v/>
      </c>
      <c r="T425" t="str">
        <f t="shared" si="65"/>
        <v/>
      </c>
      <c r="AD425" t="s">
        <v>1882</v>
      </c>
      <c r="AE425" t="s">
        <v>1883</v>
      </c>
      <c r="AF425" t="str">
        <f t="shared" si="66"/>
        <v>A679078</v>
      </c>
      <c r="AG425" t="str">
        <f>VLOOKUP(AF425,AKT!$C$4:$E$324,3,FALSE)</f>
        <v>0942</v>
      </c>
    </row>
    <row r="426" spans="1:33">
      <c r="A426" s="84"/>
      <c r="B426" s="83" t="str">
        <f t="shared" si="58"/>
        <v/>
      </c>
      <c r="C426" s="84"/>
      <c r="D426" s="83" t="str">
        <f t="shared" si="59"/>
        <v/>
      </c>
      <c r="E426" s="85"/>
      <c r="F426" s="83" t="str">
        <f t="shared" si="60"/>
        <v/>
      </c>
      <c r="G426" s="83" t="str">
        <f t="shared" si="61"/>
        <v/>
      </c>
      <c r="H426" s="69"/>
      <c r="I426" s="69"/>
      <c r="J426" s="78">
        <f t="shared" si="62"/>
        <v>0</v>
      </c>
      <c r="K426" s="91"/>
      <c r="L426" s="92"/>
      <c r="M426" s="92"/>
      <c r="N426" s="91"/>
      <c r="O426" s="93"/>
      <c r="P426" s="67"/>
      <c r="R426" t="str">
        <f t="shared" si="63"/>
        <v/>
      </c>
      <c r="S426" t="str">
        <f t="shared" si="64"/>
        <v/>
      </c>
      <c r="T426" t="str">
        <f t="shared" si="65"/>
        <v/>
      </c>
      <c r="AD426" t="s">
        <v>1884</v>
      </c>
      <c r="AE426" t="s">
        <v>1885</v>
      </c>
      <c r="AF426" t="str">
        <f t="shared" si="66"/>
        <v>A679078</v>
      </c>
      <c r="AG426" t="str">
        <f>VLOOKUP(AF426,AKT!$C$4:$E$324,3,FALSE)</f>
        <v>0942</v>
      </c>
    </row>
    <row r="427" spans="1:33">
      <c r="A427" s="84"/>
      <c r="B427" s="83" t="str">
        <f t="shared" si="58"/>
        <v/>
      </c>
      <c r="C427" s="84"/>
      <c r="D427" s="83" t="str">
        <f t="shared" si="59"/>
        <v/>
      </c>
      <c r="E427" s="85"/>
      <c r="F427" s="83" t="str">
        <f t="shared" si="60"/>
        <v/>
      </c>
      <c r="G427" s="83" t="str">
        <f t="shared" si="61"/>
        <v/>
      </c>
      <c r="H427" s="69"/>
      <c r="I427" s="69"/>
      <c r="J427" s="78">
        <f t="shared" si="62"/>
        <v>0</v>
      </c>
      <c r="K427" s="91"/>
      <c r="L427" s="92"/>
      <c r="M427" s="92"/>
      <c r="N427" s="91"/>
      <c r="O427" s="93"/>
      <c r="P427" s="67"/>
      <c r="R427" t="str">
        <f t="shared" si="63"/>
        <v/>
      </c>
      <c r="S427" t="str">
        <f t="shared" si="64"/>
        <v/>
      </c>
      <c r="T427" t="str">
        <f t="shared" si="65"/>
        <v/>
      </c>
      <c r="AD427" t="s">
        <v>1886</v>
      </c>
      <c r="AE427" t="s">
        <v>1887</v>
      </c>
      <c r="AF427" t="str">
        <f t="shared" si="66"/>
        <v>A679078</v>
      </c>
      <c r="AG427" t="str">
        <f>VLOOKUP(AF427,AKT!$C$4:$E$324,3,FALSE)</f>
        <v>0942</v>
      </c>
    </row>
    <row r="428" spans="1:33">
      <c r="A428" s="84"/>
      <c r="B428" s="83" t="str">
        <f t="shared" si="58"/>
        <v/>
      </c>
      <c r="C428" s="84"/>
      <c r="D428" s="83" t="str">
        <f t="shared" si="59"/>
        <v/>
      </c>
      <c r="E428" s="85"/>
      <c r="F428" s="83" t="str">
        <f t="shared" si="60"/>
        <v/>
      </c>
      <c r="G428" s="83" t="str">
        <f t="shared" si="61"/>
        <v/>
      </c>
      <c r="H428" s="69"/>
      <c r="I428" s="69"/>
      <c r="J428" s="78">
        <f t="shared" si="62"/>
        <v>0</v>
      </c>
      <c r="K428" s="91"/>
      <c r="L428" s="92"/>
      <c r="M428" s="92"/>
      <c r="N428" s="91"/>
      <c r="O428" s="93"/>
      <c r="P428" s="67"/>
      <c r="R428" t="str">
        <f t="shared" si="63"/>
        <v/>
      </c>
      <c r="S428" t="str">
        <f t="shared" si="64"/>
        <v/>
      </c>
      <c r="T428" t="str">
        <f t="shared" si="65"/>
        <v/>
      </c>
      <c r="AD428" t="s">
        <v>1888</v>
      </c>
      <c r="AE428" t="s">
        <v>1889</v>
      </c>
      <c r="AF428" t="str">
        <f t="shared" si="66"/>
        <v>A679078</v>
      </c>
      <c r="AG428" t="str">
        <f>VLOOKUP(AF428,AKT!$C$4:$E$324,3,FALSE)</f>
        <v>0942</v>
      </c>
    </row>
    <row r="429" spans="1:33">
      <c r="A429" s="84"/>
      <c r="B429" s="83" t="str">
        <f t="shared" si="58"/>
        <v/>
      </c>
      <c r="C429" s="84"/>
      <c r="D429" s="83" t="str">
        <f t="shared" si="59"/>
        <v/>
      </c>
      <c r="E429" s="85"/>
      <c r="F429" s="83" t="str">
        <f t="shared" si="60"/>
        <v/>
      </c>
      <c r="G429" s="83" t="str">
        <f t="shared" si="61"/>
        <v/>
      </c>
      <c r="H429" s="69"/>
      <c r="I429" s="69"/>
      <c r="J429" s="78">
        <f t="shared" si="62"/>
        <v>0</v>
      </c>
      <c r="K429" s="91"/>
      <c r="L429" s="92"/>
      <c r="M429" s="92"/>
      <c r="N429" s="91"/>
      <c r="O429" s="93"/>
      <c r="P429" s="67"/>
      <c r="R429" t="str">
        <f t="shared" si="63"/>
        <v/>
      </c>
      <c r="S429" t="str">
        <f t="shared" si="64"/>
        <v/>
      </c>
      <c r="T429" t="str">
        <f t="shared" si="65"/>
        <v/>
      </c>
      <c r="AD429" t="s">
        <v>1890</v>
      </c>
      <c r="AE429" t="s">
        <v>1891</v>
      </c>
      <c r="AF429" t="str">
        <f t="shared" si="66"/>
        <v>A679078</v>
      </c>
      <c r="AG429" t="str">
        <f>VLOOKUP(AF429,AKT!$C$4:$E$324,3,FALSE)</f>
        <v>0942</v>
      </c>
    </row>
    <row r="430" spans="1:33">
      <c r="A430" s="84"/>
      <c r="B430" s="83" t="str">
        <f t="shared" si="58"/>
        <v/>
      </c>
      <c r="C430" s="84"/>
      <c r="D430" s="83" t="str">
        <f t="shared" si="59"/>
        <v/>
      </c>
      <c r="E430" s="85"/>
      <c r="F430" s="83" t="str">
        <f t="shared" si="60"/>
        <v/>
      </c>
      <c r="G430" s="83" t="str">
        <f t="shared" si="61"/>
        <v/>
      </c>
      <c r="H430" s="69"/>
      <c r="I430" s="69"/>
      <c r="J430" s="78">
        <f t="shared" si="62"/>
        <v>0</v>
      </c>
      <c r="K430" s="91"/>
      <c r="L430" s="92"/>
      <c r="M430" s="92"/>
      <c r="N430" s="91"/>
      <c r="O430" s="93"/>
      <c r="P430" s="67"/>
      <c r="R430" t="str">
        <f t="shared" si="63"/>
        <v/>
      </c>
      <c r="S430" t="str">
        <f t="shared" si="64"/>
        <v/>
      </c>
      <c r="T430" t="str">
        <f t="shared" si="65"/>
        <v/>
      </c>
      <c r="AD430" t="s">
        <v>1892</v>
      </c>
      <c r="AE430" t="s">
        <v>1893</v>
      </c>
      <c r="AF430" t="str">
        <f t="shared" si="66"/>
        <v>A679078</v>
      </c>
      <c r="AG430" t="str">
        <f>VLOOKUP(AF430,AKT!$C$4:$E$324,3,FALSE)</f>
        <v>0942</v>
      </c>
    </row>
    <row r="431" spans="1:33">
      <c r="A431" s="84"/>
      <c r="B431" s="83" t="str">
        <f t="shared" si="58"/>
        <v/>
      </c>
      <c r="C431" s="84"/>
      <c r="D431" s="83" t="str">
        <f t="shared" si="59"/>
        <v/>
      </c>
      <c r="E431" s="85"/>
      <c r="F431" s="83" t="str">
        <f t="shared" si="60"/>
        <v/>
      </c>
      <c r="G431" s="83" t="str">
        <f t="shared" si="61"/>
        <v/>
      </c>
      <c r="H431" s="69"/>
      <c r="I431" s="69"/>
      <c r="J431" s="78">
        <f t="shared" si="62"/>
        <v>0</v>
      </c>
      <c r="K431" s="91"/>
      <c r="L431" s="92"/>
      <c r="M431" s="92"/>
      <c r="N431" s="91"/>
      <c r="O431" s="93"/>
      <c r="P431" s="67"/>
      <c r="R431" t="str">
        <f t="shared" si="63"/>
        <v/>
      </c>
      <c r="S431" t="str">
        <f t="shared" si="64"/>
        <v/>
      </c>
      <c r="T431" t="str">
        <f t="shared" si="65"/>
        <v/>
      </c>
      <c r="AD431" t="s">
        <v>1894</v>
      </c>
      <c r="AE431" t="s">
        <v>1895</v>
      </c>
      <c r="AF431" t="str">
        <f t="shared" si="66"/>
        <v>A679078</v>
      </c>
      <c r="AG431" t="str">
        <f>VLOOKUP(AF431,AKT!$C$4:$E$324,3,FALSE)</f>
        <v>0942</v>
      </c>
    </row>
    <row r="432" spans="1:33">
      <c r="A432" s="84"/>
      <c r="B432" s="83" t="str">
        <f t="shared" si="58"/>
        <v/>
      </c>
      <c r="C432" s="84"/>
      <c r="D432" s="83" t="str">
        <f t="shared" si="59"/>
        <v/>
      </c>
      <c r="E432" s="85"/>
      <c r="F432" s="83" t="str">
        <f t="shared" si="60"/>
        <v/>
      </c>
      <c r="G432" s="83" t="str">
        <f t="shared" si="61"/>
        <v/>
      </c>
      <c r="H432" s="69"/>
      <c r="I432" s="69"/>
      <c r="J432" s="78">
        <f t="shared" si="62"/>
        <v>0</v>
      </c>
      <c r="K432" s="91"/>
      <c r="L432" s="92"/>
      <c r="M432" s="92"/>
      <c r="N432" s="91"/>
      <c r="O432" s="93"/>
      <c r="P432" s="67"/>
      <c r="R432" t="str">
        <f t="shared" si="63"/>
        <v/>
      </c>
      <c r="S432" t="str">
        <f t="shared" si="64"/>
        <v/>
      </c>
      <c r="T432" t="str">
        <f t="shared" si="65"/>
        <v/>
      </c>
      <c r="AD432" t="s">
        <v>1896</v>
      </c>
      <c r="AE432" t="s">
        <v>1897</v>
      </c>
      <c r="AF432" t="str">
        <f t="shared" si="66"/>
        <v>A679078</v>
      </c>
      <c r="AG432" t="str">
        <f>VLOOKUP(AF432,AKT!$C$4:$E$324,3,FALSE)</f>
        <v>0942</v>
      </c>
    </row>
    <row r="433" spans="1:33">
      <c r="A433" s="84"/>
      <c r="B433" s="83" t="str">
        <f t="shared" si="58"/>
        <v/>
      </c>
      <c r="C433" s="84"/>
      <c r="D433" s="83" t="str">
        <f t="shared" si="59"/>
        <v/>
      </c>
      <c r="E433" s="85"/>
      <c r="F433" s="83" t="str">
        <f t="shared" si="60"/>
        <v/>
      </c>
      <c r="G433" s="83" t="str">
        <f t="shared" si="61"/>
        <v/>
      </c>
      <c r="H433" s="69"/>
      <c r="I433" s="69"/>
      <c r="J433" s="78">
        <f t="shared" si="62"/>
        <v>0</v>
      </c>
      <c r="K433" s="91"/>
      <c r="L433" s="92"/>
      <c r="M433" s="92"/>
      <c r="N433" s="91"/>
      <c r="O433" s="93"/>
      <c r="P433" s="67"/>
      <c r="R433" t="str">
        <f t="shared" si="63"/>
        <v/>
      </c>
      <c r="S433" t="str">
        <f t="shared" si="64"/>
        <v/>
      </c>
      <c r="T433" t="str">
        <f t="shared" si="65"/>
        <v/>
      </c>
      <c r="AD433" t="s">
        <v>1898</v>
      </c>
      <c r="AE433" t="s">
        <v>1899</v>
      </c>
      <c r="AF433" t="str">
        <f t="shared" si="66"/>
        <v>A679078</v>
      </c>
      <c r="AG433" t="str">
        <f>VLOOKUP(AF433,AKT!$C$4:$E$324,3,FALSE)</f>
        <v>0942</v>
      </c>
    </row>
    <row r="434" spans="1:33">
      <c r="A434" s="84"/>
      <c r="B434" s="83" t="str">
        <f t="shared" si="58"/>
        <v/>
      </c>
      <c r="C434" s="84"/>
      <c r="D434" s="83" t="str">
        <f t="shared" si="59"/>
        <v/>
      </c>
      <c r="E434" s="85"/>
      <c r="F434" s="83" t="str">
        <f t="shared" si="60"/>
        <v/>
      </c>
      <c r="G434" s="83" t="str">
        <f t="shared" si="61"/>
        <v/>
      </c>
      <c r="H434" s="69"/>
      <c r="I434" s="69"/>
      <c r="J434" s="78">
        <f t="shared" si="62"/>
        <v>0</v>
      </c>
      <c r="K434" s="91"/>
      <c r="L434" s="92"/>
      <c r="M434" s="92"/>
      <c r="N434" s="91"/>
      <c r="O434" s="93"/>
      <c r="P434" s="67"/>
      <c r="R434" t="str">
        <f t="shared" si="63"/>
        <v/>
      </c>
      <c r="S434" t="str">
        <f t="shared" si="64"/>
        <v/>
      </c>
      <c r="T434" t="str">
        <f t="shared" si="65"/>
        <v/>
      </c>
      <c r="AD434" t="s">
        <v>1900</v>
      </c>
      <c r="AE434" t="s">
        <v>1901</v>
      </c>
      <c r="AF434" t="str">
        <f t="shared" si="66"/>
        <v>A679078</v>
      </c>
      <c r="AG434" t="str">
        <f>VLOOKUP(AF434,AKT!$C$4:$E$324,3,FALSE)</f>
        <v>0942</v>
      </c>
    </row>
    <row r="435" spans="1:33">
      <c r="A435" s="84"/>
      <c r="B435" s="83" t="str">
        <f t="shared" si="58"/>
        <v/>
      </c>
      <c r="C435" s="84"/>
      <c r="D435" s="83" t="str">
        <f t="shared" si="59"/>
        <v/>
      </c>
      <c r="E435" s="85"/>
      <c r="F435" s="83" t="str">
        <f t="shared" si="60"/>
        <v/>
      </c>
      <c r="G435" s="83" t="str">
        <f t="shared" si="61"/>
        <v/>
      </c>
      <c r="H435" s="69"/>
      <c r="I435" s="69"/>
      <c r="J435" s="78">
        <f t="shared" si="62"/>
        <v>0</v>
      </c>
      <c r="K435" s="91"/>
      <c r="L435" s="92"/>
      <c r="M435" s="92"/>
      <c r="N435" s="91"/>
      <c r="O435" s="93"/>
      <c r="P435" s="67"/>
      <c r="R435" t="str">
        <f t="shared" si="63"/>
        <v/>
      </c>
      <c r="S435" t="str">
        <f t="shared" si="64"/>
        <v/>
      </c>
      <c r="T435" t="str">
        <f t="shared" si="65"/>
        <v/>
      </c>
      <c r="AD435" t="s">
        <v>1902</v>
      </c>
      <c r="AE435" t="s">
        <v>1903</v>
      </c>
      <c r="AF435" t="str">
        <f t="shared" si="66"/>
        <v>A679078</v>
      </c>
      <c r="AG435" t="str">
        <f>VLOOKUP(AF435,AKT!$C$4:$E$324,3,FALSE)</f>
        <v>0942</v>
      </c>
    </row>
    <row r="436" spans="1:33">
      <c r="A436" s="84"/>
      <c r="B436" s="83" t="str">
        <f t="shared" si="58"/>
        <v/>
      </c>
      <c r="C436" s="84"/>
      <c r="D436" s="83" t="str">
        <f t="shared" si="59"/>
        <v/>
      </c>
      <c r="E436" s="85"/>
      <c r="F436" s="83" t="str">
        <f t="shared" si="60"/>
        <v/>
      </c>
      <c r="G436" s="83" t="str">
        <f t="shared" si="61"/>
        <v/>
      </c>
      <c r="H436" s="69"/>
      <c r="I436" s="69"/>
      <c r="J436" s="78">
        <f t="shared" si="62"/>
        <v>0</v>
      </c>
      <c r="K436" s="91"/>
      <c r="L436" s="92"/>
      <c r="M436" s="92"/>
      <c r="N436" s="91"/>
      <c r="O436" s="93"/>
      <c r="P436" s="67"/>
      <c r="R436" t="str">
        <f t="shared" si="63"/>
        <v/>
      </c>
      <c r="S436" t="str">
        <f t="shared" si="64"/>
        <v/>
      </c>
      <c r="T436" t="str">
        <f t="shared" si="65"/>
        <v/>
      </c>
      <c r="AD436" t="s">
        <v>1904</v>
      </c>
      <c r="AE436" t="s">
        <v>1905</v>
      </c>
      <c r="AF436" t="str">
        <f t="shared" si="66"/>
        <v>A679078</v>
      </c>
      <c r="AG436" t="str">
        <f>VLOOKUP(AF436,AKT!$C$4:$E$324,3,FALSE)</f>
        <v>0942</v>
      </c>
    </row>
    <row r="437" spans="1:33">
      <c r="A437" s="84"/>
      <c r="B437" s="83" t="str">
        <f t="shared" si="58"/>
        <v/>
      </c>
      <c r="C437" s="84"/>
      <c r="D437" s="83" t="str">
        <f t="shared" si="59"/>
        <v/>
      </c>
      <c r="E437" s="85"/>
      <c r="F437" s="83" t="str">
        <f t="shared" si="60"/>
        <v/>
      </c>
      <c r="G437" s="83" t="str">
        <f t="shared" si="61"/>
        <v/>
      </c>
      <c r="H437" s="69"/>
      <c r="I437" s="69"/>
      <c r="J437" s="78">
        <f t="shared" si="62"/>
        <v>0</v>
      </c>
      <c r="K437" s="91"/>
      <c r="L437" s="92"/>
      <c r="M437" s="92"/>
      <c r="N437" s="91"/>
      <c r="O437" s="93"/>
      <c r="P437" s="67"/>
      <c r="R437" t="str">
        <f t="shared" si="63"/>
        <v/>
      </c>
      <c r="S437" t="str">
        <f t="shared" si="64"/>
        <v/>
      </c>
      <c r="T437" t="str">
        <f t="shared" si="65"/>
        <v/>
      </c>
      <c r="AD437" t="s">
        <v>1906</v>
      </c>
      <c r="AE437" t="s">
        <v>1907</v>
      </c>
      <c r="AF437" t="str">
        <f t="shared" si="66"/>
        <v>A679078</v>
      </c>
      <c r="AG437" t="str">
        <f>VLOOKUP(AF437,AKT!$C$4:$E$324,3,FALSE)</f>
        <v>0942</v>
      </c>
    </row>
    <row r="438" spans="1:33">
      <c r="A438" s="84"/>
      <c r="B438" s="83" t="str">
        <f t="shared" si="58"/>
        <v/>
      </c>
      <c r="C438" s="84"/>
      <c r="D438" s="83" t="str">
        <f t="shared" si="59"/>
        <v/>
      </c>
      <c r="E438" s="85"/>
      <c r="F438" s="83" t="str">
        <f t="shared" si="60"/>
        <v/>
      </c>
      <c r="G438" s="83" t="str">
        <f t="shared" si="61"/>
        <v/>
      </c>
      <c r="H438" s="69"/>
      <c r="I438" s="69"/>
      <c r="J438" s="78">
        <f t="shared" si="62"/>
        <v>0</v>
      </c>
      <c r="K438" s="91"/>
      <c r="L438" s="92"/>
      <c r="M438" s="92"/>
      <c r="N438" s="91"/>
      <c r="O438" s="93"/>
      <c r="P438" s="67"/>
      <c r="R438" t="str">
        <f t="shared" si="63"/>
        <v/>
      </c>
      <c r="S438" t="str">
        <f t="shared" si="64"/>
        <v/>
      </c>
      <c r="T438" t="str">
        <f t="shared" si="65"/>
        <v/>
      </c>
      <c r="AD438" t="s">
        <v>1908</v>
      </c>
      <c r="AE438" t="s">
        <v>1909</v>
      </c>
      <c r="AF438" t="str">
        <f t="shared" si="66"/>
        <v>A679078</v>
      </c>
      <c r="AG438" t="str">
        <f>VLOOKUP(AF438,AKT!$C$4:$E$324,3,FALSE)</f>
        <v>0942</v>
      </c>
    </row>
    <row r="439" spans="1:33">
      <c r="A439" s="84"/>
      <c r="B439" s="83" t="str">
        <f t="shared" si="58"/>
        <v/>
      </c>
      <c r="C439" s="84"/>
      <c r="D439" s="83" t="str">
        <f t="shared" si="59"/>
        <v/>
      </c>
      <c r="E439" s="85"/>
      <c r="F439" s="83" t="str">
        <f t="shared" si="60"/>
        <v/>
      </c>
      <c r="G439" s="83" t="str">
        <f t="shared" si="61"/>
        <v/>
      </c>
      <c r="H439" s="69"/>
      <c r="I439" s="69"/>
      <c r="J439" s="78">
        <f t="shared" si="62"/>
        <v>0</v>
      </c>
      <c r="K439" s="91"/>
      <c r="L439" s="92"/>
      <c r="M439" s="92"/>
      <c r="N439" s="91"/>
      <c r="O439" s="93"/>
      <c r="P439" s="67"/>
      <c r="R439" t="str">
        <f t="shared" si="63"/>
        <v/>
      </c>
      <c r="S439" t="str">
        <f t="shared" si="64"/>
        <v/>
      </c>
      <c r="T439" t="str">
        <f t="shared" si="65"/>
        <v/>
      </c>
      <c r="AD439" t="s">
        <v>1910</v>
      </c>
      <c r="AE439" t="s">
        <v>1911</v>
      </c>
      <c r="AF439" t="str">
        <f t="shared" si="66"/>
        <v>A679078</v>
      </c>
      <c r="AG439" t="str">
        <f>VLOOKUP(AF439,AKT!$C$4:$E$324,3,FALSE)</f>
        <v>0942</v>
      </c>
    </row>
    <row r="440" spans="1:33">
      <c r="A440" s="84"/>
      <c r="B440" s="83" t="str">
        <f t="shared" si="58"/>
        <v/>
      </c>
      <c r="C440" s="84"/>
      <c r="D440" s="83" t="str">
        <f t="shared" si="59"/>
        <v/>
      </c>
      <c r="E440" s="85"/>
      <c r="F440" s="83" t="str">
        <f t="shared" si="60"/>
        <v/>
      </c>
      <c r="G440" s="83" t="str">
        <f t="shared" si="61"/>
        <v/>
      </c>
      <c r="H440" s="69"/>
      <c r="I440" s="69"/>
      <c r="J440" s="78">
        <f t="shared" si="62"/>
        <v>0</v>
      </c>
      <c r="K440" s="91"/>
      <c r="L440" s="92"/>
      <c r="M440" s="92"/>
      <c r="N440" s="91"/>
      <c r="O440" s="93"/>
      <c r="P440" s="67"/>
      <c r="R440" t="str">
        <f t="shared" si="63"/>
        <v/>
      </c>
      <c r="S440" t="str">
        <f t="shared" si="64"/>
        <v/>
      </c>
      <c r="T440" t="str">
        <f t="shared" si="65"/>
        <v/>
      </c>
      <c r="AD440" t="s">
        <v>1912</v>
      </c>
      <c r="AE440" t="s">
        <v>1913</v>
      </c>
      <c r="AF440" t="str">
        <f t="shared" si="66"/>
        <v>A679078</v>
      </c>
      <c r="AG440" t="str">
        <f>VLOOKUP(AF440,AKT!$C$4:$E$324,3,FALSE)</f>
        <v>0942</v>
      </c>
    </row>
    <row r="441" spans="1:33">
      <c r="A441" s="84"/>
      <c r="B441" s="83" t="str">
        <f t="shared" si="58"/>
        <v/>
      </c>
      <c r="C441" s="84"/>
      <c r="D441" s="83" t="str">
        <f t="shared" si="59"/>
        <v/>
      </c>
      <c r="E441" s="85"/>
      <c r="F441" s="83" t="str">
        <f t="shared" si="60"/>
        <v/>
      </c>
      <c r="G441" s="83" t="str">
        <f t="shared" si="61"/>
        <v/>
      </c>
      <c r="H441" s="69"/>
      <c r="I441" s="69"/>
      <c r="J441" s="78">
        <f t="shared" si="62"/>
        <v>0</v>
      </c>
      <c r="K441" s="91"/>
      <c r="L441" s="92"/>
      <c r="M441" s="92"/>
      <c r="N441" s="91"/>
      <c r="O441" s="93"/>
      <c r="P441" s="67"/>
      <c r="R441" t="str">
        <f t="shared" si="63"/>
        <v/>
      </c>
      <c r="S441" t="str">
        <f t="shared" si="64"/>
        <v/>
      </c>
      <c r="T441" t="str">
        <f t="shared" si="65"/>
        <v/>
      </c>
      <c r="AD441" t="s">
        <v>1914</v>
      </c>
      <c r="AE441" t="s">
        <v>1915</v>
      </c>
      <c r="AF441" t="str">
        <f t="shared" si="66"/>
        <v>A679078</v>
      </c>
      <c r="AG441" t="str">
        <f>VLOOKUP(AF441,AKT!$C$4:$E$324,3,FALSE)</f>
        <v>0942</v>
      </c>
    </row>
    <row r="442" spans="1:33">
      <c r="A442" s="84"/>
      <c r="B442" s="83" t="str">
        <f t="shared" si="58"/>
        <v/>
      </c>
      <c r="C442" s="84"/>
      <c r="D442" s="83" t="str">
        <f t="shared" si="59"/>
        <v/>
      </c>
      <c r="E442" s="85"/>
      <c r="F442" s="83" t="str">
        <f t="shared" si="60"/>
        <v/>
      </c>
      <c r="G442" s="83" t="str">
        <f t="shared" si="61"/>
        <v/>
      </c>
      <c r="H442" s="69"/>
      <c r="I442" s="69"/>
      <c r="J442" s="78">
        <f t="shared" si="62"/>
        <v>0</v>
      </c>
      <c r="K442" s="91"/>
      <c r="L442" s="92"/>
      <c r="M442" s="92"/>
      <c r="N442" s="91"/>
      <c r="O442" s="93"/>
      <c r="P442" s="67"/>
      <c r="R442" t="str">
        <f t="shared" si="63"/>
        <v/>
      </c>
      <c r="S442" t="str">
        <f t="shared" si="64"/>
        <v/>
      </c>
      <c r="T442" t="str">
        <f t="shared" si="65"/>
        <v/>
      </c>
      <c r="AD442" t="s">
        <v>1916</v>
      </c>
      <c r="AE442" t="s">
        <v>1917</v>
      </c>
      <c r="AF442" t="str">
        <f t="shared" si="66"/>
        <v>A679078</v>
      </c>
      <c r="AG442" t="str">
        <f>VLOOKUP(AF442,AKT!$C$4:$E$324,3,FALSE)</f>
        <v>0942</v>
      </c>
    </row>
    <row r="443" spans="1:33">
      <c r="A443" s="84"/>
      <c r="B443" s="83" t="str">
        <f t="shared" si="58"/>
        <v/>
      </c>
      <c r="C443" s="84"/>
      <c r="D443" s="83" t="str">
        <f t="shared" si="59"/>
        <v/>
      </c>
      <c r="E443" s="85"/>
      <c r="F443" s="83" t="str">
        <f t="shared" si="60"/>
        <v/>
      </c>
      <c r="G443" s="83" t="str">
        <f t="shared" si="61"/>
        <v/>
      </c>
      <c r="H443" s="69"/>
      <c r="I443" s="69"/>
      <c r="J443" s="78">
        <f t="shared" si="62"/>
        <v>0</v>
      </c>
      <c r="K443" s="91"/>
      <c r="L443" s="92"/>
      <c r="M443" s="92"/>
      <c r="N443" s="91"/>
      <c r="O443" s="93"/>
      <c r="P443" s="67"/>
      <c r="R443" t="str">
        <f t="shared" si="63"/>
        <v/>
      </c>
      <c r="S443" t="str">
        <f t="shared" si="64"/>
        <v/>
      </c>
      <c r="T443" t="str">
        <f t="shared" si="65"/>
        <v/>
      </c>
      <c r="AD443" t="s">
        <v>1918</v>
      </c>
      <c r="AE443" t="s">
        <v>1919</v>
      </c>
      <c r="AF443" t="str">
        <f t="shared" si="66"/>
        <v>A679078</v>
      </c>
      <c r="AG443" t="str">
        <f>VLOOKUP(AF443,AKT!$C$4:$E$324,3,FALSE)</f>
        <v>0942</v>
      </c>
    </row>
    <row r="444" spans="1:33">
      <c r="A444" s="84"/>
      <c r="B444" s="83" t="str">
        <f t="shared" si="58"/>
        <v/>
      </c>
      <c r="C444" s="84"/>
      <c r="D444" s="83" t="str">
        <f t="shared" si="59"/>
        <v/>
      </c>
      <c r="E444" s="85"/>
      <c r="F444" s="83" t="str">
        <f t="shared" si="60"/>
        <v/>
      </c>
      <c r="G444" s="83" t="str">
        <f t="shared" si="61"/>
        <v/>
      </c>
      <c r="H444" s="69"/>
      <c r="I444" s="69"/>
      <c r="J444" s="78">
        <f t="shared" si="62"/>
        <v>0</v>
      </c>
      <c r="K444" s="91"/>
      <c r="L444" s="92"/>
      <c r="M444" s="92"/>
      <c r="N444" s="91"/>
      <c r="O444" s="93"/>
      <c r="P444" s="67"/>
      <c r="R444" t="str">
        <f t="shared" si="63"/>
        <v/>
      </c>
      <c r="S444" t="str">
        <f t="shared" si="64"/>
        <v/>
      </c>
      <c r="T444" t="str">
        <f t="shared" si="65"/>
        <v/>
      </c>
      <c r="AD444" t="s">
        <v>1920</v>
      </c>
      <c r="AE444" t="s">
        <v>1921</v>
      </c>
      <c r="AF444" t="str">
        <f t="shared" si="66"/>
        <v>A679078</v>
      </c>
      <c r="AG444" t="str">
        <f>VLOOKUP(AF444,AKT!$C$4:$E$324,3,FALSE)</f>
        <v>0942</v>
      </c>
    </row>
    <row r="445" spans="1:33">
      <c r="A445" s="84"/>
      <c r="B445" s="83" t="str">
        <f t="shared" si="58"/>
        <v/>
      </c>
      <c r="C445" s="84"/>
      <c r="D445" s="83" t="str">
        <f t="shared" si="59"/>
        <v/>
      </c>
      <c r="E445" s="85"/>
      <c r="F445" s="83" t="str">
        <f t="shared" si="60"/>
        <v/>
      </c>
      <c r="G445" s="83" t="str">
        <f t="shared" si="61"/>
        <v/>
      </c>
      <c r="H445" s="69"/>
      <c r="I445" s="69"/>
      <c r="J445" s="78">
        <f t="shared" si="62"/>
        <v>0</v>
      </c>
      <c r="K445" s="91"/>
      <c r="L445" s="92"/>
      <c r="M445" s="92"/>
      <c r="N445" s="91"/>
      <c r="O445" s="93"/>
      <c r="P445" s="67"/>
      <c r="R445" t="str">
        <f t="shared" si="63"/>
        <v/>
      </c>
      <c r="S445" t="str">
        <f t="shared" si="64"/>
        <v/>
      </c>
      <c r="T445" t="str">
        <f t="shared" si="65"/>
        <v/>
      </c>
      <c r="AD445" t="s">
        <v>1922</v>
      </c>
      <c r="AE445" t="s">
        <v>1923</v>
      </c>
      <c r="AF445" t="str">
        <f t="shared" si="66"/>
        <v>A679078</v>
      </c>
      <c r="AG445" t="str">
        <f>VLOOKUP(AF445,AKT!$C$4:$E$324,3,FALSE)</f>
        <v>0942</v>
      </c>
    </row>
    <row r="446" spans="1:33">
      <c r="A446" s="84"/>
      <c r="B446" s="83" t="str">
        <f t="shared" si="58"/>
        <v/>
      </c>
      <c r="C446" s="84"/>
      <c r="D446" s="83" t="str">
        <f t="shared" si="59"/>
        <v/>
      </c>
      <c r="E446" s="85"/>
      <c r="F446" s="83" t="str">
        <f t="shared" si="60"/>
        <v/>
      </c>
      <c r="G446" s="83" t="str">
        <f t="shared" si="61"/>
        <v/>
      </c>
      <c r="H446" s="69"/>
      <c r="I446" s="69"/>
      <c r="J446" s="78">
        <f t="shared" si="62"/>
        <v>0</v>
      </c>
      <c r="K446" s="91"/>
      <c r="L446" s="92"/>
      <c r="M446" s="92"/>
      <c r="N446" s="91"/>
      <c r="O446" s="93"/>
      <c r="P446" s="67"/>
      <c r="R446" t="str">
        <f t="shared" si="63"/>
        <v/>
      </c>
      <c r="S446" t="str">
        <f t="shared" si="64"/>
        <v/>
      </c>
      <c r="T446" t="str">
        <f t="shared" si="65"/>
        <v/>
      </c>
      <c r="AD446" t="s">
        <v>1924</v>
      </c>
      <c r="AE446" t="s">
        <v>1925</v>
      </c>
      <c r="AF446" t="str">
        <f t="shared" si="66"/>
        <v>A679078</v>
      </c>
      <c r="AG446" t="str">
        <f>VLOOKUP(AF446,AKT!$C$4:$E$324,3,FALSE)</f>
        <v>0942</v>
      </c>
    </row>
    <row r="447" spans="1:33">
      <c r="A447" s="84"/>
      <c r="B447" s="83" t="str">
        <f t="shared" si="58"/>
        <v/>
      </c>
      <c r="C447" s="84"/>
      <c r="D447" s="83" t="str">
        <f t="shared" si="59"/>
        <v/>
      </c>
      <c r="E447" s="85"/>
      <c r="F447" s="83" t="str">
        <f t="shared" si="60"/>
        <v/>
      </c>
      <c r="G447" s="83" t="str">
        <f t="shared" si="61"/>
        <v/>
      </c>
      <c r="H447" s="69"/>
      <c r="I447" s="69"/>
      <c r="J447" s="78">
        <f t="shared" si="62"/>
        <v>0</v>
      </c>
      <c r="K447" s="91"/>
      <c r="L447" s="92"/>
      <c r="M447" s="92"/>
      <c r="N447" s="91"/>
      <c r="O447" s="93"/>
      <c r="P447" s="67"/>
      <c r="R447" t="str">
        <f t="shared" si="63"/>
        <v/>
      </c>
      <c r="S447" t="str">
        <f t="shared" si="64"/>
        <v/>
      </c>
      <c r="T447" t="str">
        <f t="shared" si="65"/>
        <v/>
      </c>
      <c r="AD447" t="s">
        <v>1926</v>
      </c>
      <c r="AE447" t="s">
        <v>1927</v>
      </c>
      <c r="AF447" t="str">
        <f t="shared" si="66"/>
        <v>A679078</v>
      </c>
      <c r="AG447" t="str">
        <f>VLOOKUP(AF447,AKT!$C$4:$E$324,3,FALSE)</f>
        <v>0942</v>
      </c>
    </row>
    <row r="448" spans="1:33">
      <c r="A448" s="84"/>
      <c r="B448" s="83" t="str">
        <f t="shared" si="58"/>
        <v/>
      </c>
      <c r="C448" s="84"/>
      <c r="D448" s="83" t="str">
        <f t="shared" si="59"/>
        <v/>
      </c>
      <c r="E448" s="85"/>
      <c r="F448" s="83" t="str">
        <f t="shared" si="60"/>
        <v/>
      </c>
      <c r="G448" s="83" t="str">
        <f t="shared" si="61"/>
        <v/>
      </c>
      <c r="H448" s="69"/>
      <c r="I448" s="69"/>
      <c r="J448" s="78">
        <f t="shared" si="62"/>
        <v>0</v>
      </c>
      <c r="K448" s="91"/>
      <c r="L448" s="92"/>
      <c r="M448" s="92"/>
      <c r="N448" s="91"/>
      <c r="O448" s="93"/>
      <c r="P448" s="67"/>
      <c r="R448" t="str">
        <f t="shared" si="63"/>
        <v/>
      </c>
      <c r="S448" t="str">
        <f t="shared" si="64"/>
        <v/>
      </c>
      <c r="T448" t="str">
        <f t="shared" si="65"/>
        <v/>
      </c>
      <c r="AD448" t="s">
        <v>1928</v>
      </c>
      <c r="AE448" t="s">
        <v>1929</v>
      </c>
      <c r="AF448" t="str">
        <f t="shared" si="66"/>
        <v>A679078</v>
      </c>
      <c r="AG448" t="str">
        <f>VLOOKUP(AF448,AKT!$C$4:$E$324,3,FALSE)</f>
        <v>0942</v>
      </c>
    </row>
    <row r="449" spans="1:33">
      <c r="A449" s="84"/>
      <c r="B449" s="83" t="str">
        <f t="shared" si="58"/>
        <v/>
      </c>
      <c r="C449" s="84"/>
      <c r="D449" s="83" t="str">
        <f t="shared" si="59"/>
        <v/>
      </c>
      <c r="E449" s="85"/>
      <c r="F449" s="83" t="str">
        <f t="shared" si="60"/>
        <v/>
      </c>
      <c r="G449" s="83" t="str">
        <f t="shared" si="61"/>
        <v/>
      </c>
      <c r="H449" s="69"/>
      <c r="I449" s="69"/>
      <c r="J449" s="78">
        <f t="shared" si="62"/>
        <v>0</v>
      </c>
      <c r="K449" s="91"/>
      <c r="L449" s="92"/>
      <c r="M449" s="92"/>
      <c r="N449" s="91"/>
      <c r="O449" s="93"/>
      <c r="P449" s="67"/>
      <c r="R449" t="str">
        <f t="shared" si="63"/>
        <v/>
      </c>
      <c r="S449" t="str">
        <f t="shared" si="64"/>
        <v/>
      </c>
      <c r="T449" t="str">
        <f t="shared" si="65"/>
        <v/>
      </c>
      <c r="AD449" t="s">
        <v>1930</v>
      </c>
      <c r="AE449" t="s">
        <v>1931</v>
      </c>
      <c r="AF449" t="str">
        <f t="shared" si="66"/>
        <v>A679078</v>
      </c>
      <c r="AG449" t="str">
        <f>VLOOKUP(AF449,AKT!$C$4:$E$324,3,FALSE)</f>
        <v>0942</v>
      </c>
    </row>
    <row r="450" spans="1:33">
      <c r="A450" s="84"/>
      <c r="B450" s="83" t="str">
        <f t="shared" si="58"/>
        <v/>
      </c>
      <c r="C450" s="84"/>
      <c r="D450" s="83" t="str">
        <f t="shared" si="59"/>
        <v/>
      </c>
      <c r="E450" s="85"/>
      <c r="F450" s="83" t="str">
        <f t="shared" si="60"/>
        <v/>
      </c>
      <c r="G450" s="83" t="str">
        <f t="shared" si="61"/>
        <v/>
      </c>
      <c r="H450" s="69"/>
      <c r="I450" s="69"/>
      <c r="J450" s="78">
        <f t="shared" si="62"/>
        <v>0</v>
      </c>
      <c r="K450" s="91"/>
      <c r="L450" s="92"/>
      <c r="M450" s="92"/>
      <c r="N450" s="91"/>
      <c r="O450" s="93"/>
      <c r="P450" s="67"/>
      <c r="R450" t="str">
        <f t="shared" si="63"/>
        <v/>
      </c>
      <c r="S450" t="str">
        <f t="shared" si="64"/>
        <v/>
      </c>
      <c r="T450" t="str">
        <f t="shared" si="65"/>
        <v/>
      </c>
      <c r="AD450" t="s">
        <v>1932</v>
      </c>
      <c r="AE450" t="s">
        <v>1933</v>
      </c>
      <c r="AF450" t="str">
        <f t="shared" si="66"/>
        <v>A679078</v>
      </c>
      <c r="AG450" t="str">
        <f>VLOOKUP(AF450,AKT!$C$4:$E$324,3,FALSE)</f>
        <v>0942</v>
      </c>
    </row>
    <row r="451" spans="1:33">
      <c r="A451" s="84"/>
      <c r="B451" s="83" t="str">
        <f t="shared" ref="B451:B501" si="67">IFERROR(VLOOKUP(A451,$U$6:$V$23,2,FALSE),"")</f>
        <v/>
      </c>
      <c r="C451" s="84"/>
      <c r="D451" s="83" t="str">
        <f t="shared" si="59"/>
        <v/>
      </c>
      <c r="E451" s="85"/>
      <c r="F451" s="83" t="str">
        <f t="shared" si="60"/>
        <v/>
      </c>
      <c r="G451" s="83" t="str">
        <f t="shared" si="61"/>
        <v/>
      </c>
      <c r="H451" s="69"/>
      <c r="I451" s="69"/>
      <c r="J451" s="78">
        <f t="shared" si="62"/>
        <v>0</v>
      </c>
      <c r="K451" s="91"/>
      <c r="L451" s="92"/>
      <c r="M451" s="92"/>
      <c r="N451" s="91"/>
      <c r="O451" s="93"/>
      <c r="P451" s="67"/>
      <c r="R451" t="str">
        <f t="shared" si="63"/>
        <v/>
      </c>
      <c r="S451" t="str">
        <f t="shared" si="64"/>
        <v/>
      </c>
      <c r="T451" t="str">
        <f t="shared" si="65"/>
        <v/>
      </c>
      <c r="AD451" t="s">
        <v>1934</v>
      </c>
      <c r="AE451" t="s">
        <v>1935</v>
      </c>
      <c r="AF451" t="str">
        <f t="shared" si="66"/>
        <v>A679078</v>
      </c>
      <c r="AG451" t="str">
        <f>VLOOKUP(AF451,AKT!$C$4:$E$324,3,FALSE)</f>
        <v>0942</v>
      </c>
    </row>
    <row r="452" spans="1:33">
      <c r="A452" s="84"/>
      <c r="B452" s="83" t="str">
        <f t="shared" si="67"/>
        <v/>
      </c>
      <c r="C452" s="84"/>
      <c r="D452" s="83" t="str">
        <f t="shared" ref="D452:D501" si="68">IFERROR(VLOOKUP(C452,$X$5:$Z$129,2,FALSE),"")</f>
        <v/>
      </c>
      <c r="E452" s="85"/>
      <c r="F452" s="83" t="str">
        <f t="shared" ref="F452:F501" si="69">IFERROR(VLOOKUP(E452,$AD$6:$AE$1090,2,FALSE),"")</f>
        <v/>
      </c>
      <c r="G452" s="83" t="str">
        <f t="shared" ref="G452:G501" si="70">IFERROR(VLOOKUP(E452,$AD$6:$AG$1090,4,FALSE),"")</f>
        <v/>
      </c>
      <c r="H452" s="69"/>
      <c r="I452" s="69"/>
      <c r="J452" s="78">
        <f t="shared" ref="J452:J501" si="71">I452-H452</f>
        <v>0</v>
      </c>
      <c r="K452" s="91"/>
      <c r="L452" s="92"/>
      <c r="M452" s="92"/>
      <c r="N452" s="91"/>
      <c r="O452" s="93"/>
      <c r="P452" s="67"/>
      <c r="R452" t="str">
        <f t="shared" ref="R452:R501" si="72">LEFT(C452,3)</f>
        <v/>
      </c>
      <c r="S452" t="str">
        <f t="shared" ref="S452:S501" si="73">LEFT(C452,2)</f>
        <v/>
      </c>
      <c r="T452" t="str">
        <f t="shared" ref="T452:T501" si="74">MID(G452,2,2)</f>
        <v/>
      </c>
      <c r="AD452" t="s">
        <v>1936</v>
      </c>
      <c r="AE452" t="s">
        <v>1937</v>
      </c>
      <c r="AF452" t="str">
        <f t="shared" si="66"/>
        <v>A679078</v>
      </c>
      <c r="AG452" t="str">
        <f>VLOOKUP(AF452,AKT!$C$4:$E$324,3,FALSE)</f>
        <v>0942</v>
      </c>
    </row>
    <row r="453" spans="1:33">
      <c r="A453" s="84"/>
      <c r="B453" s="83" t="str">
        <f t="shared" si="67"/>
        <v/>
      </c>
      <c r="C453" s="84"/>
      <c r="D453" s="83" t="str">
        <f t="shared" si="68"/>
        <v/>
      </c>
      <c r="E453" s="85"/>
      <c r="F453" s="83" t="str">
        <f t="shared" si="69"/>
        <v/>
      </c>
      <c r="G453" s="83" t="str">
        <f t="shared" si="70"/>
        <v/>
      </c>
      <c r="H453" s="69"/>
      <c r="I453" s="69"/>
      <c r="J453" s="78">
        <f t="shared" si="71"/>
        <v>0</v>
      </c>
      <c r="K453" s="91"/>
      <c r="L453" s="92"/>
      <c r="M453" s="92"/>
      <c r="N453" s="91"/>
      <c r="O453" s="93"/>
      <c r="P453" s="67"/>
      <c r="R453" t="str">
        <f t="shared" si="72"/>
        <v/>
      </c>
      <c r="S453" t="str">
        <f t="shared" si="73"/>
        <v/>
      </c>
      <c r="T453" t="str">
        <f t="shared" si="74"/>
        <v/>
      </c>
      <c r="AD453" t="s">
        <v>1938</v>
      </c>
      <c r="AE453" t="s">
        <v>1939</v>
      </c>
      <c r="AF453" t="str">
        <f t="shared" si="66"/>
        <v>A679078</v>
      </c>
      <c r="AG453" t="str">
        <f>VLOOKUP(AF453,AKT!$C$4:$E$324,3,FALSE)</f>
        <v>0942</v>
      </c>
    </row>
    <row r="454" spans="1:33">
      <c r="A454" s="84"/>
      <c r="B454" s="83" t="str">
        <f t="shared" si="67"/>
        <v/>
      </c>
      <c r="C454" s="84"/>
      <c r="D454" s="83" t="str">
        <f t="shared" si="68"/>
        <v/>
      </c>
      <c r="E454" s="85"/>
      <c r="F454" s="83" t="str">
        <f t="shared" si="69"/>
        <v/>
      </c>
      <c r="G454" s="83" t="str">
        <f t="shared" si="70"/>
        <v/>
      </c>
      <c r="H454" s="69"/>
      <c r="I454" s="69"/>
      <c r="J454" s="78">
        <f t="shared" si="71"/>
        <v>0</v>
      </c>
      <c r="K454" s="91"/>
      <c r="L454" s="92"/>
      <c r="M454" s="92"/>
      <c r="N454" s="91"/>
      <c r="O454" s="93"/>
      <c r="P454" s="67"/>
      <c r="R454" t="str">
        <f t="shared" si="72"/>
        <v/>
      </c>
      <c r="S454" t="str">
        <f t="shared" si="73"/>
        <v/>
      </c>
      <c r="T454" t="str">
        <f t="shared" si="74"/>
        <v/>
      </c>
      <c r="AD454" t="s">
        <v>1940</v>
      </c>
      <c r="AE454" t="s">
        <v>1941</v>
      </c>
      <c r="AF454" t="str">
        <f t="shared" si="66"/>
        <v>A679078</v>
      </c>
      <c r="AG454" t="str">
        <f>VLOOKUP(AF454,AKT!$C$4:$E$324,3,FALSE)</f>
        <v>0942</v>
      </c>
    </row>
    <row r="455" spans="1:33">
      <c r="A455" s="84"/>
      <c r="B455" s="83" t="str">
        <f t="shared" si="67"/>
        <v/>
      </c>
      <c r="C455" s="84"/>
      <c r="D455" s="83" t="str">
        <f t="shared" si="68"/>
        <v/>
      </c>
      <c r="E455" s="85"/>
      <c r="F455" s="83" t="str">
        <f t="shared" si="69"/>
        <v/>
      </c>
      <c r="G455" s="83" t="str">
        <f t="shared" si="70"/>
        <v/>
      </c>
      <c r="H455" s="69"/>
      <c r="I455" s="69"/>
      <c r="J455" s="78">
        <f t="shared" si="71"/>
        <v>0</v>
      </c>
      <c r="K455" s="91"/>
      <c r="L455" s="92"/>
      <c r="M455" s="92"/>
      <c r="N455" s="91"/>
      <c r="O455" s="93"/>
      <c r="P455" s="67"/>
      <c r="R455" t="str">
        <f t="shared" si="72"/>
        <v/>
      </c>
      <c r="S455" t="str">
        <f t="shared" si="73"/>
        <v/>
      </c>
      <c r="T455" t="str">
        <f t="shared" si="74"/>
        <v/>
      </c>
      <c r="AD455" t="s">
        <v>1942</v>
      </c>
      <c r="AE455" t="s">
        <v>1943</v>
      </c>
      <c r="AF455" t="str">
        <f t="shared" si="66"/>
        <v>A679078</v>
      </c>
      <c r="AG455" t="str">
        <f>VLOOKUP(AF455,AKT!$C$4:$E$324,3,FALSE)</f>
        <v>0942</v>
      </c>
    </row>
    <row r="456" spans="1:33">
      <c r="A456" s="84"/>
      <c r="B456" s="83" t="str">
        <f t="shared" si="67"/>
        <v/>
      </c>
      <c r="C456" s="84"/>
      <c r="D456" s="83" t="str">
        <f t="shared" si="68"/>
        <v/>
      </c>
      <c r="E456" s="85"/>
      <c r="F456" s="83" t="str">
        <f t="shared" si="69"/>
        <v/>
      </c>
      <c r="G456" s="83" t="str">
        <f t="shared" si="70"/>
        <v/>
      </c>
      <c r="H456" s="69"/>
      <c r="I456" s="69"/>
      <c r="J456" s="78">
        <f t="shared" si="71"/>
        <v>0</v>
      </c>
      <c r="K456" s="91"/>
      <c r="L456" s="92"/>
      <c r="M456" s="92"/>
      <c r="N456" s="91"/>
      <c r="O456" s="93"/>
      <c r="P456" s="67"/>
      <c r="R456" t="str">
        <f t="shared" si="72"/>
        <v/>
      </c>
      <c r="S456" t="str">
        <f t="shared" si="73"/>
        <v/>
      </c>
      <c r="T456" t="str">
        <f t="shared" si="74"/>
        <v/>
      </c>
      <c r="AD456" t="s">
        <v>1944</v>
      </c>
      <c r="AE456" t="s">
        <v>1945</v>
      </c>
      <c r="AF456" t="str">
        <f t="shared" ref="AF456:AF519" si="75">LEFT(AD456,7)</f>
        <v>A679078</v>
      </c>
      <c r="AG456" t="str">
        <f>VLOOKUP(AF456,AKT!$C$4:$E$324,3,FALSE)</f>
        <v>0942</v>
      </c>
    </row>
    <row r="457" spans="1:33">
      <c r="A457" s="84"/>
      <c r="B457" s="83" t="str">
        <f t="shared" si="67"/>
        <v/>
      </c>
      <c r="C457" s="84"/>
      <c r="D457" s="83" t="str">
        <f t="shared" si="68"/>
        <v/>
      </c>
      <c r="E457" s="85"/>
      <c r="F457" s="83" t="str">
        <f t="shared" si="69"/>
        <v/>
      </c>
      <c r="G457" s="83" t="str">
        <f t="shared" si="70"/>
        <v/>
      </c>
      <c r="H457" s="69"/>
      <c r="I457" s="69"/>
      <c r="J457" s="78">
        <f t="shared" si="71"/>
        <v>0</v>
      </c>
      <c r="K457" s="91"/>
      <c r="L457" s="92"/>
      <c r="M457" s="92"/>
      <c r="N457" s="91"/>
      <c r="O457" s="93"/>
      <c r="P457" s="67"/>
      <c r="R457" t="str">
        <f t="shared" si="72"/>
        <v/>
      </c>
      <c r="S457" t="str">
        <f t="shared" si="73"/>
        <v/>
      </c>
      <c r="T457" t="str">
        <f t="shared" si="74"/>
        <v/>
      </c>
      <c r="AD457" t="s">
        <v>1946</v>
      </c>
      <c r="AE457" t="s">
        <v>1947</v>
      </c>
      <c r="AF457" t="str">
        <f t="shared" si="75"/>
        <v>A679078</v>
      </c>
      <c r="AG457" t="str">
        <f>VLOOKUP(AF457,AKT!$C$4:$E$324,3,FALSE)</f>
        <v>0942</v>
      </c>
    </row>
    <row r="458" spans="1:33">
      <c r="A458" s="84"/>
      <c r="B458" s="83" t="str">
        <f t="shared" si="67"/>
        <v/>
      </c>
      <c r="C458" s="84"/>
      <c r="D458" s="83" t="str">
        <f t="shared" si="68"/>
        <v/>
      </c>
      <c r="E458" s="85"/>
      <c r="F458" s="83" t="str">
        <f t="shared" si="69"/>
        <v/>
      </c>
      <c r="G458" s="83" t="str">
        <f t="shared" si="70"/>
        <v/>
      </c>
      <c r="H458" s="69"/>
      <c r="I458" s="69"/>
      <c r="J458" s="78">
        <f t="shared" si="71"/>
        <v>0</v>
      </c>
      <c r="K458" s="91"/>
      <c r="L458" s="92"/>
      <c r="M458" s="92"/>
      <c r="N458" s="91"/>
      <c r="O458" s="93"/>
      <c r="P458" s="67"/>
      <c r="R458" t="str">
        <f t="shared" si="72"/>
        <v/>
      </c>
      <c r="S458" t="str">
        <f t="shared" si="73"/>
        <v/>
      </c>
      <c r="T458" t="str">
        <f t="shared" si="74"/>
        <v/>
      </c>
      <c r="AD458" t="s">
        <v>1948</v>
      </c>
      <c r="AE458" t="s">
        <v>1949</v>
      </c>
      <c r="AF458" t="str">
        <f t="shared" si="75"/>
        <v>A679078</v>
      </c>
      <c r="AG458" t="str">
        <f>VLOOKUP(AF458,AKT!$C$4:$E$324,3,FALSE)</f>
        <v>0942</v>
      </c>
    </row>
    <row r="459" spans="1:33">
      <c r="A459" s="84"/>
      <c r="B459" s="83" t="str">
        <f t="shared" si="67"/>
        <v/>
      </c>
      <c r="C459" s="84"/>
      <c r="D459" s="83" t="str">
        <f t="shared" si="68"/>
        <v/>
      </c>
      <c r="E459" s="85"/>
      <c r="F459" s="83" t="str">
        <f t="shared" si="69"/>
        <v/>
      </c>
      <c r="G459" s="83" t="str">
        <f t="shared" si="70"/>
        <v/>
      </c>
      <c r="H459" s="69"/>
      <c r="I459" s="69"/>
      <c r="J459" s="78">
        <f t="shared" si="71"/>
        <v>0</v>
      </c>
      <c r="K459" s="91"/>
      <c r="L459" s="92"/>
      <c r="M459" s="92"/>
      <c r="N459" s="91"/>
      <c r="O459" s="93"/>
      <c r="P459" s="67"/>
      <c r="R459" t="str">
        <f t="shared" si="72"/>
        <v/>
      </c>
      <c r="S459" t="str">
        <f t="shared" si="73"/>
        <v/>
      </c>
      <c r="T459" t="str">
        <f t="shared" si="74"/>
        <v/>
      </c>
      <c r="AD459" t="s">
        <v>1950</v>
      </c>
      <c r="AE459" t="s">
        <v>1951</v>
      </c>
      <c r="AF459" t="str">
        <f t="shared" si="75"/>
        <v>A679078</v>
      </c>
      <c r="AG459" t="str">
        <f>VLOOKUP(AF459,AKT!$C$4:$E$324,3,FALSE)</f>
        <v>0942</v>
      </c>
    </row>
    <row r="460" spans="1:33">
      <c r="A460" s="84"/>
      <c r="B460" s="83" t="str">
        <f t="shared" si="67"/>
        <v/>
      </c>
      <c r="C460" s="84"/>
      <c r="D460" s="83" t="str">
        <f t="shared" si="68"/>
        <v/>
      </c>
      <c r="E460" s="85"/>
      <c r="F460" s="83" t="str">
        <f t="shared" si="69"/>
        <v/>
      </c>
      <c r="G460" s="83" t="str">
        <f t="shared" si="70"/>
        <v/>
      </c>
      <c r="H460" s="69"/>
      <c r="I460" s="69"/>
      <c r="J460" s="78">
        <f t="shared" si="71"/>
        <v>0</v>
      </c>
      <c r="K460" s="91"/>
      <c r="L460" s="92"/>
      <c r="M460" s="92"/>
      <c r="N460" s="91"/>
      <c r="O460" s="93"/>
      <c r="P460" s="67"/>
      <c r="R460" t="str">
        <f t="shared" si="72"/>
        <v/>
      </c>
      <c r="S460" t="str">
        <f t="shared" si="73"/>
        <v/>
      </c>
      <c r="T460" t="str">
        <f t="shared" si="74"/>
        <v/>
      </c>
      <c r="AD460" t="s">
        <v>1952</v>
      </c>
      <c r="AE460" t="s">
        <v>1953</v>
      </c>
      <c r="AF460" t="str">
        <f t="shared" si="75"/>
        <v>A679078</v>
      </c>
      <c r="AG460" t="str">
        <f>VLOOKUP(AF460,AKT!$C$4:$E$324,3,FALSE)</f>
        <v>0942</v>
      </c>
    </row>
    <row r="461" spans="1:33">
      <c r="A461" s="84"/>
      <c r="B461" s="83" t="str">
        <f t="shared" si="67"/>
        <v/>
      </c>
      <c r="C461" s="84"/>
      <c r="D461" s="83" t="str">
        <f t="shared" si="68"/>
        <v/>
      </c>
      <c r="E461" s="85"/>
      <c r="F461" s="83" t="str">
        <f t="shared" si="69"/>
        <v/>
      </c>
      <c r="G461" s="83" t="str">
        <f t="shared" si="70"/>
        <v/>
      </c>
      <c r="H461" s="69"/>
      <c r="I461" s="69"/>
      <c r="J461" s="78">
        <f t="shared" si="71"/>
        <v>0</v>
      </c>
      <c r="K461" s="91"/>
      <c r="L461" s="92"/>
      <c r="M461" s="92"/>
      <c r="N461" s="91"/>
      <c r="O461" s="93"/>
      <c r="P461" s="67"/>
      <c r="R461" t="str">
        <f t="shared" si="72"/>
        <v/>
      </c>
      <c r="S461" t="str">
        <f t="shared" si="73"/>
        <v/>
      </c>
      <c r="T461" t="str">
        <f t="shared" si="74"/>
        <v/>
      </c>
      <c r="AD461" t="s">
        <v>1954</v>
      </c>
      <c r="AE461" t="s">
        <v>1955</v>
      </c>
      <c r="AF461" t="str">
        <f t="shared" si="75"/>
        <v>A679078</v>
      </c>
      <c r="AG461" t="str">
        <f>VLOOKUP(AF461,AKT!$C$4:$E$324,3,FALSE)</f>
        <v>0942</v>
      </c>
    </row>
    <row r="462" spans="1:33">
      <c r="A462" s="84"/>
      <c r="B462" s="83" t="str">
        <f t="shared" si="67"/>
        <v/>
      </c>
      <c r="C462" s="84"/>
      <c r="D462" s="83" t="str">
        <f t="shared" si="68"/>
        <v/>
      </c>
      <c r="E462" s="85"/>
      <c r="F462" s="83" t="str">
        <f t="shared" si="69"/>
        <v/>
      </c>
      <c r="G462" s="83" t="str">
        <f t="shared" si="70"/>
        <v/>
      </c>
      <c r="H462" s="69"/>
      <c r="I462" s="69"/>
      <c r="J462" s="78">
        <f t="shared" si="71"/>
        <v>0</v>
      </c>
      <c r="K462" s="91"/>
      <c r="L462" s="92"/>
      <c r="M462" s="92"/>
      <c r="N462" s="91"/>
      <c r="O462" s="93"/>
      <c r="P462" s="67"/>
      <c r="R462" t="str">
        <f t="shared" si="72"/>
        <v/>
      </c>
      <c r="S462" t="str">
        <f t="shared" si="73"/>
        <v/>
      </c>
      <c r="T462" t="str">
        <f t="shared" si="74"/>
        <v/>
      </c>
      <c r="AD462" t="s">
        <v>1956</v>
      </c>
      <c r="AE462" t="s">
        <v>1957</v>
      </c>
      <c r="AF462" t="str">
        <f t="shared" si="75"/>
        <v>A679078</v>
      </c>
      <c r="AG462" t="str">
        <f>VLOOKUP(AF462,AKT!$C$4:$E$324,3,FALSE)</f>
        <v>0942</v>
      </c>
    </row>
    <row r="463" spans="1:33">
      <c r="A463" s="84"/>
      <c r="B463" s="83" t="str">
        <f t="shared" si="67"/>
        <v/>
      </c>
      <c r="C463" s="84"/>
      <c r="D463" s="83" t="str">
        <f t="shared" si="68"/>
        <v/>
      </c>
      <c r="E463" s="85"/>
      <c r="F463" s="83" t="str">
        <f t="shared" si="69"/>
        <v/>
      </c>
      <c r="G463" s="83" t="str">
        <f t="shared" si="70"/>
        <v/>
      </c>
      <c r="H463" s="69"/>
      <c r="I463" s="69"/>
      <c r="J463" s="78">
        <f t="shared" si="71"/>
        <v>0</v>
      </c>
      <c r="K463" s="91"/>
      <c r="L463" s="92"/>
      <c r="M463" s="92"/>
      <c r="N463" s="91"/>
      <c r="O463" s="93"/>
      <c r="P463" s="67"/>
      <c r="R463" t="str">
        <f t="shared" si="72"/>
        <v/>
      </c>
      <c r="S463" t="str">
        <f t="shared" si="73"/>
        <v/>
      </c>
      <c r="T463" t="str">
        <f t="shared" si="74"/>
        <v/>
      </c>
      <c r="AD463" t="s">
        <v>1958</v>
      </c>
      <c r="AE463" t="s">
        <v>1959</v>
      </c>
      <c r="AF463" t="str">
        <f t="shared" si="75"/>
        <v>A679078</v>
      </c>
      <c r="AG463" t="str">
        <f>VLOOKUP(AF463,AKT!$C$4:$E$324,3,FALSE)</f>
        <v>0942</v>
      </c>
    </row>
    <row r="464" spans="1:33">
      <c r="A464" s="84"/>
      <c r="B464" s="83" t="str">
        <f t="shared" si="67"/>
        <v/>
      </c>
      <c r="C464" s="84"/>
      <c r="D464" s="83" t="str">
        <f t="shared" si="68"/>
        <v/>
      </c>
      <c r="E464" s="85"/>
      <c r="F464" s="83" t="str">
        <f t="shared" si="69"/>
        <v/>
      </c>
      <c r="G464" s="83" t="str">
        <f t="shared" si="70"/>
        <v/>
      </c>
      <c r="H464" s="69"/>
      <c r="I464" s="69"/>
      <c r="J464" s="78">
        <f t="shared" si="71"/>
        <v>0</v>
      </c>
      <c r="K464" s="91"/>
      <c r="L464" s="92"/>
      <c r="M464" s="92"/>
      <c r="N464" s="91"/>
      <c r="O464" s="93"/>
      <c r="P464" s="67"/>
      <c r="R464" t="str">
        <f t="shared" si="72"/>
        <v/>
      </c>
      <c r="S464" t="str">
        <f t="shared" si="73"/>
        <v/>
      </c>
      <c r="T464" t="str">
        <f t="shared" si="74"/>
        <v/>
      </c>
      <c r="AD464" t="s">
        <v>1960</v>
      </c>
      <c r="AE464" t="s">
        <v>1961</v>
      </c>
      <c r="AF464" t="str">
        <f t="shared" si="75"/>
        <v>A679078</v>
      </c>
      <c r="AG464" t="str">
        <f>VLOOKUP(AF464,AKT!$C$4:$E$324,3,FALSE)</f>
        <v>0942</v>
      </c>
    </row>
    <row r="465" spans="1:33">
      <c r="A465" s="84"/>
      <c r="B465" s="83" t="str">
        <f t="shared" si="67"/>
        <v/>
      </c>
      <c r="C465" s="84"/>
      <c r="D465" s="83" t="str">
        <f t="shared" si="68"/>
        <v/>
      </c>
      <c r="E465" s="85"/>
      <c r="F465" s="83" t="str">
        <f t="shared" si="69"/>
        <v/>
      </c>
      <c r="G465" s="83" t="str">
        <f t="shared" si="70"/>
        <v/>
      </c>
      <c r="H465" s="69"/>
      <c r="I465" s="69"/>
      <c r="J465" s="78">
        <f t="shared" si="71"/>
        <v>0</v>
      </c>
      <c r="K465" s="91"/>
      <c r="L465" s="92"/>
      <c r="M465" s="92"/>
      <c r="N465" s="91"/>
      <c r="O465" s="93"/>
      <c r="P465" s="67"/>
      <c r="R465" t="str">
        <f t="shared" si="72"/>
        <v/>
      </c>
      <c r="S465" t="str">
        <f t="shared" si="73"/>
        <v/>
      </c>
      <c r="T465" t="str">
        <f t="shared" si="74"/>
        <v/>
      </c>
      <c r="AD465" t="s">
        <v>1962</v>
      </c>
      <c r="AE465" t="s">
        <v>1963</v>
      </c>
      <c r="AF465" t="str">
        <f t="shared" si="75"/>
        <v>A679078</v>
      </c>
      <c r="AG465" t="str">
        <f>VLOOKUP(AF465,AKT!$C$4:$E$324,3,FALSE)</f>
        <v>0942</v>
      </c>
    </row>
    <row r="466" spans="1:33">
      <c r="A466" s="84"/>
      <c r="B466" s="83" t="str">
        <f t="shared" si="67"/>
        <v/>
      </c>
      <c r="C466" s="84"/>
      <c r="D466" s="83" t="str">
        <f t="shared" si="68"/>
        <v/>
      </c>
      <c r="E466" s="85"/>
      <c r="F466" s="83" t="str">
        <f t="shared" si="69"/>
        <v/>
      </c>
      <c r="G466" s="83" t="str">
        <f t="shared" si="70"/>
        <v/>
      </c>
      <c r="H466" s="69"/>
      <c r="I466" s="69"/>
      <c r="J466" s="78">
        <f t="shared" si="71"/>
        <v>0</v>
      </c>
      <c r="K466" s="91"/>
      <c r="L466" s="92"/>
      <c r="M466" s="92"/>
      <c r="N466" s="91"/>
      <c r="O466" s="93"/>
      <c r="P466" s="67"/>
      <c r="R466" t="str">
        <f t="shared" si="72"/>
        <v/>
      </c>
      <c r="S466" t="str">
        <f t="shared" si="73"/>
        <v/>
      </c>
      <c r="T466" t="str">
        <f t="shared" si="74"/>
        <v/>
      </c>
      <c r="AD466" t="s">
        <v>1964</v>
      </c>
      <c r="AE466" t="s">
        <v>1965</v>
      </c>
      <c r="AF466" t="str">
        <f t="shared" si="75"/>
        <v>A679078</v>
      </c>
      <c r="AG466" t="str">
        <f>VLOOKUP(AF466,AKT!$C$4:$E$324,3,FALSE)</f>
        <v>0942</v>
      </c>
    </row>
    <row r="467" spans="1:33">
      <c r="A467" s="84"/>
      <c r="B467" s="83" t="str">
        <f t="shared" si="67"/>
        <v/>
      </c>
      <c r="C467" s="84"/>
      <c r="D467" s="83" t="str">
        <f t="shared" si="68"/>
        <v/>
      </c>
      <c r="E467" s="85"/>
      <c r="F467" s="83" t="str">
        <f t="shared" si="69"/>
        <v/>
      </c>
      <c r="G467" s="83" t="str">
        <f t="shared" si="70"/>
        <v/>
      </c>
      <c r="H467" s="69"/>
      <c r="I467" s="69"/>
      <c r="J467" s="78">
        <f t="shared" si="71"/>
        <v>0</v>
      </c>
      <c r="K467" s="91"/>
      <c r="L467" s="92"/>
      <c r="M467" s="92"/>
      <c r="N467" s="91"/>
      <c r="O467" s="91"/>
      <c r="P467" s="67"/>
      <c r="R467" t="str">
        <f t="shared" si="72"/>
        <v/>
      </c>
      <c r="S467" t="str">
        <f t="shared" si="73"/>
        <v/>
      </c>
      <c r="T467" t="str">
        <f t="shared" si="74"/>
        <v/>
      </c>
      <c r="AD467" t="s">
        <v>1966</v>
      </c>
      <c r="AE467" t="s">
        <v>1967</v>
      </c>
      <c r="AF467" t="str">
        <f t="shared" si="75"/>
        <v>A679078</v>
      </c>
      <c r="AG467" t="str">
        <f>VLOOKUP(AF467,AKT!$C$4:$E$324,3,FALSE)</f>
        <v>0942</v>
      </c>
    </row>
    <row r="468" spans="1:33">
      <c r="A468" s="84"/>
      <c r="B468" s="83" t="str">
        <f t="shared" si="67"/>
        <v/>
      </c>
      <c r="C468" s="84"/>
      <c r="D468" s="83" t="str">
        <f t="shared" si="68"/>
        <v/>
      </c>
      <c r="E468" s="85"/>
      <c r="F468" s="83" t="str">
        <f t="shared" si="69"/>
        <v/>
      </c>
      <c r="G468" s="83" t="str">
        <f t="shared" si="70"/>
        <v/>
      </c>
      <c r="H468" s="69"/>
      <c r="I468" s="69"/>
      <c r="J468" s="78">
        <f t="shared" si="71"/>
        <v>0</v>
      </c>
      <c r="K468" s="91"/>
      <c r="L468" s="92"/>
      <c r="M468" s="92"/>
      <c r="N468" s="91"/>
      <c r="O468" s="91"/>
      <c r="P468" s="67"/>
      <c r="R468" t="str">
        <f t="shared" si="72"/>
        <v/>
      </c>
      <c r="S468" t="str">
        <f t="shared" si="73"/>
        <v/>
      </c>
      <c r="T468" t="str">
        <f t="shared" si="74"/>
        <v/>
      </c>
      <c r="AD468" t="s">
        <v>1968</v>
      </c>
      <c r="AE468" t="s">
        <v>1969</v>
      </c>
      <c r="AF468" t="str">
        <f t="shared" si="75"/>
        <v>A679078</v>
      </c>
      <c r="AG468" t="str">
        <f>VLOOKUP(AF468,AKT!$C$4:$E$324,3,FALSE)</f>
        <v>0942</v>
      </c>
    </row>
    <row r="469" spans="1:33">
      <c r="A469" s="84"/>
      <c r="B469" s="83" t="str">
        <f t="shared" si="67"/>
        <v/>
      </c>
      <c r="C469" s="84"/>
      <c r="D469" s="83" t="str">
        <f t="shared" si="68"/>
        <v/>
      </c>
      <c r="E469" s="85"/>
      <c r="F469" s="83" t="str">
        <f t="shared" si="69"/>
        <v/>
      </c>
      <c r="G469" s="83" t="str">
        <f t="shared" si="70"/>
        <v/>
      </c>
      <c r="H469" s="69"/>
      <c r="I469" s="69"/>
      <c r="J469" s="78">
        <f t="shared" si="71"/>
        <v>0</v>
      </c>
      <c r="K469" s="91"/>
      <c r="L469" s="92"/>
      <c r="M469" s="92"/>
      <c r="N469" s="91"/>
      <c r="O469" s="91"/>
      <c r="P469" s="67"/>
      <c r="R469" t="str">
        <f t="shared" si="72"/>
        <v/>
      </c>
      <c r="S469" t="str">
        <f t="shared" si="73"/>
        <v/>
      </c>
      <c r="T469" t="str">
        <f t="shared" si="74"/>
        <v/>
      </c>
      <c r="AD469" t="s">
        <v>1970</v>
      </c>
      <c r="AE469" t="s">
        <v>1971</v>
      </c>
      <c r="AF469" t="str">
        <f t="shared" si="75"/>
        <v>A679078</v>
      </c>
      <c r="AG469" t="str">
        <f>VLOOKUP(AF469,AKT!$C$4:$E$324,3,FALSE)</f>
        <v>0942</v>
      </c>
    </row>
    <row r="470" spans="1:33">
      <c r="A470" s="84"/>
      <c r="B470" s="83" t="str">
        <f t="shared" si="67"/>
        <v/>
      </c>
      <c r="C470" s="84"/>
      <c r="D470" s="83" t="str">
        <f t="shared" si="68"/>
        <v/>
      </c>
      <c r="E470" s="85"/>
      <c r="F470" s="83" t="str">
        <f t="shared" si="69"/>
        <v/>
      </c>
      <c r="G470" s="83" t="str">
        <f t="shared" si="70"/>
        <v/>
      </c>
      <c r="H470" s="69"/>
      <c r="I470" s="69"/>
      <c r="J470" s="78">
        <f t="shared" si="71"/>
        <v>0</v>
      </c>
      <c r="K470" s="91"/>
      <c r="L470" s="92"/>
      <c r="M470" s="92"/>
      <c r="N470" s="91"/>
      <c r="O470" s="91"/>
      <c r="P470" s="67"/>
      <c r="R470" t="str">
        <f t="shared" si="72"/>
        <v/>
      </c>
      <c r="S470" t="str">
        <f t="shared" si="73"/>
        <v/>
      </c>
      <c r="T470" t="str">
        <f t="shared" si="74"/>
        <v/>
      </c>
      <c r="AD470" t="s">
        <v>1972</v>
      </c>
      <c r="AE470" t="s">
        <v>1973</v>
      </c>
      <c r="AF470" t="str">
        <f t="shared" si="75"/>
        <v>A679078</v>
      </c>
      <c r="AG470" t="str">
        <f>VLOOKUP(AF470,AKT!$C$4:$E$324,3,FALSE)</f>
        <v>0942</v>
      </c>
    </row>
    <row r="471" spans="1:33">
      <c r="A471" s="84"/>
      <c r="B471" s="83" t="str">
        <f t="shared" si="67"/>
        <v/>
      </c>
      <c r="C471" s="84"/>
      <c r="D471" s="83" t="str">
        <f t="shared" si="68"/>
        <v/>
      </c>
      <c r="E471" s="85"/>
      <c r="F471" s="83" t="str">
        <f t="shared" si="69"/>
        <v/>
      </c>
      <c r="G471" s="83" t="str">
        <f t="shared" si="70"/>
        <v/>
      </c>
      <c r="H471" s="69"/>
      <c r="I471" s="69"/>
      <c r="J471" s="78">
        <f t="shared" si="71"/>
        <v>0</v>
      </c>
      <c r="K471" s="91"/>
      <c r="L471" s="92"/>
      <c r="M471" s="92"/>
      <c r="N471" s="91"/>
      <c r="O471" s="91"/>
      <c r="P471" s="67"/>
      <c r="R471" t="str">
        <f t="shared" si="72"/>
        <v/>
      </c>
      <c r="S471" t="str">
        <f t="shared" si="73"/>
        <v/>
      </c>
      <c r="T471" t="str">
        <f t="shared" si="74"/>
        <v/>
      </c>
      <c r="AD471" t="s">
        <v>1974</v>
      </c>
      <c r="AE471" t="s">
        <v>1975</v>
      </c>
      <c r="AF471" t="str">
        <f t="shared" si="75"/>
        <v>A679078</v>
      </c>
      <c r="AG471" t="str">
        <f>VLOOKUP(AF471,AKT!$C$4:$E$324,3,FALSE)</f>
        <v>0942</v>
      </c>
    </row>
    <row r="472" spans="1:33">
      <c r="A472" s="84"/>
      <c r="B472" s="83" t="str">
        <f t="shared" si="67"/>
        <v/>
      </c>
      <c r="C472" s="84"/>
      <c r="D472" s="83" t="str">
        <f t="shared" si="68"/>
        <v/>
      </c>
      <c r="E472" s="85"/>
      <c r="F472" s="83" t="str">
        <f t="shared" si="69"/>
        <v/>
      </c>
      <c r="G472" s="83" t="str">
        <f t="shared" si="70"/>
        <v/>
      </c>
      <c r="H472" s="69"/>
      <c r="I472" s="69"/>
      <c r="J472" s="78">
        <f t="shared" si="71"/>
        <v>0</v>
      </c>
      <c r="K472" s="91"/>
      <c r="L472" s="92"/>
      <c r="M472" s="92"/>
      <c r="N472" s="91"/>
      <c r="O472" s="91"/>
      <c r="P472" s="67"/>
      <c r="R472" t="str">
        <f t="shared" si="72"/>
        <v/>
      </c>
      <c r="S472" t="str">
        <f t="shared" si="73"/>
        <v/>
      </c>
      <c r="T472" t="str">
        <f t="shared" si="74"/>
        <v/>
      </c>
      <c r="AD472" t="s">
        <v>1976</v>
      </c>
      <c r="AE472" t="s">
        <v>1977</v>
      </c>
      <c r="AF472" t="str">
        <f t="shared" si="75"/>
        <v>A679078</v>
      </c>
      <c r="AG472" t="str">
        <f>VLOOKUP(AF472,AKT!$C$4:$E$324,3,FALSE)</f>
        <v>0942</v>
      </c>
    </row>
    <row r="473" spans="1:33">
      <c r="A473" s="84"/>
      <c r="B473" s="83" t="str">
        <f t="shared" si="67"/>
        <v/>
      </c>
      <c r="C473" s="84"/>
      <c r="D473" s="83" t="str">
        <f t="shared" si="68"/>
        <v/>
      </c>
      <c r="E473" s="85"/>
      <c r="F473" s="83" t="str">
        <f t="shared" si="69"/>
        <v/>
      </c>
      <c r="G473" s="83" t="str">
        <f t="shared" si="70"/>
        <v/>
      </c>
      <c r="H473" s="69"/>
      <c r="I473" s="69"/>
      <c r="J473" s="78">
        <f t="shared" si="71"/>
        <v>0</v>
      </c>
      <c r="K473" s="91"/>
      <c r="L473" s="92"/>
      <c r="M473" s="92"/>
      <c r="N473" s="91"/>
      <c r="O473" s="91"/>
      <c r="P473" s="67"/>
      <c r="R473" t="str">
        <f t="shared" si="72"/>
        <v/>
      </c>
      <c r="S473" t="str">
        <f t="shared" si="73"/>
        <v/>
      </c>
      <c r="T473" t="str">
        <f t="shared" si="74"/>
        <v/>
      </c>
      <c r="AD473" t="s">
        <v>1978</v>
      </c>
      <c r="AE473" t="s">
        <v>1979</v>
      </c>
      <c r="AF473" t="str">
        <f t="shared" si="75"/>
        <v>A679078</v>
      </c>
      <c r="AG473" t="str">
        <f>VLOOKUP(AF473,AKT!$C$4:$E$324,3,FALSE)</f>
        <v>0942</v>
      </c>
    </row>
    <row r="474" spans="1:33">
      <c r="A474" s="84"/>
      <c r="B474" s="83" t="str">
        <f t="shared" si="67"/>
        <v/>
      </c>
      <c r="C474" s="84"/>
      <c r="D474" s="83" t="str">
        <f t="shared" si="68"/>
        <v/>
      </c>
      <c r="E474" s="85"/>
      <c r="F474" s="83" t="str">
        <f t="shared" si="69"/>
        <v/>
      </c>
      <c r="G474" s="83" t="str">
        <f t="shared" si="70"/>
        <v/>
      </c>
      <c r="H474" s="69"/>
      <c r="I474" s="69"/>
      <c r="J474" s="78">
        <f t="shared" si="71"/>
        <v>0</v>
      </c>
      <c r="K474" s="91"/>
      <c r="L474" s="92"/>
      <c r="M474" s="92"/>
      <c r="N474" s="91"/>
      <c r="O474" s="91"/>
      <c r="P474" s="67"/>
      <c r="R474" t="str">
        <f t="shared" si="72"/>
        <v/>
      </c>
      <c r="S474" t="str">
        <f t="shared" si="73"/>
        <v/>
      </c>
      <c r="T474" t="str">
        <f t="shared" si="74"/>
        <v/>
      </c>
      <c r="AD474" t="s">
        <v>1980</v>
      </c>
      <c r="AE474" t="s">
        <v>1981</v>
      </c>
      <c r="AF474" t="str">
        <f t="shared" si="75"/>
        <v>A679078</v>
      </c>
      <c r="AG474" t="str">
        <f>VLOOKUP(AF474,AKT!$C$4:$E$324,3,FALSE)</f>
        <v>0942</v>
      </c>
    </row>
    <row r="475" spans="1:33">
      <c r="A475" s="84"/>
      <c r="B475" s="83" t="str">
        <f t="shared" si="67"/>
        <v/>
      </c>
      <c r="C475" s="84"/>
      <c r="D475" s="83" t="str">
        <f t="shared" si="68"/>
        <v/>
      </c>
      <c r="E475" s="85"/>
      <c r="F475" s="83" t="str">
        <f t="shared" si="69"/>
        <v/>
      </c>
      <c r="G475" s="83" t="str">
        <f t="shared" si="70"/>
        <v/>
      </c>
      <c r="H475" s="69"/>
      <c r="I475" s="69"/>
      <c r="J475" s="78">
        <f t="shared" si="71"/>
        <v>0</v>
      </c>
      <c r="K475" s="91"/>
      <c r="L475" s="92"/>
      <c r="M475" s="92"/>
      <c r="N475" s="91"/>
      <c r="O475" s="91"/>
      <c r="P475" s="67"/>
      <c r="R475" t="str">
        <f t="shared" si="72"/>
        <v/>
      </c>
      <c r="S475" t="str">
        <f t="shared" si="73"/>
        <v/>
      </c>
      <c r="T475" t="str">
        <f t="shared" si="74"/>
        <v/>
      </c>
      <c r="AD475" t="s">
        <v>1982</v>
      </c>
      <c r="AE475" t="s">
        <v>1983</v>
      </c>
      <c r="AF475" t="str">
        <f t="shared" si="75"/>
        <v>A679078</v>
      </c>
      <c r="AG475" t="str">
        <f>VLOOKUP(AF475,AKT!$C$4:$E$324,3,FALSE)</f>
        <v>0942</v>
      </c>
    </row>
    <row r="476" spans="1:33">
      <c r="A476" s="84"/>
      <c r="B476" s="83" t="str">
        <f t="shared" si="67"/>
        <v/>
      </c>
      <c r="C476" s="84"/>
      <c r="D476" s="83" t="str">
        <f t="shared" si="68"/>
        <v/>
      </c>
      <c r="E476" s="85"/>
      <c r="F476" s="83" t="str">
        <f t="shared" si="69"/>
        <v/>
      </c>
      <c r="G476" s="83" t="str">
        <f t="shared" si="70"/>
        <v/>
      </c>
      <c r="H476" s="69"/>
      <c r="I476" s="69"/>
      <c r="J476" s="78">
        <f t="shared" si="71"/>
        <v>0</v>
      </c>
      <c r="K476" s="91"/>
      <c r="L476" s="92"/>
      <c r="M476" s="92"/>
      <c r="N476" s="91"/>
      <c r="O476" s="91"/>
      <c r="P476" s="67"/>
      <c r="R476" t="str">
        <f t="shared" si="72"/>
        <v/>
      </c>
      <c r="S476" t="str">
        <f t="shared" si="73"/>
        <v/>
      </c>
      <c r="T476" t="str">
        <f t="shared" si="74"/>
        <v/>
      </c>
      <c r="AD476" t="s">
        <v>1984</v>
      </c>
      <c r="AE476" t="s">
        <v>1985</v>
      </c>
      <c r="AF476" t="str">
        <f t="shared" si="75"/>
        <v>A679078</v>
      </c>
      <c r="AG476" t="str">
        <f>VLOOKUP(AF476,AKT!$C$4:$E$324,3,FALSE)</f>
        <v>0942</v>
      </c>
    </row>
    <row r="477" spans="1:33">
      <c r="A477" s="84"/>
      <c r="B477" s="83" t="str">
        <f t="shared" si="67"/>
        <v/>
      </c>
      <c r="C477" s="84"/>
      <c r="D477" s="83" t="str">
        <f t="shared" si="68"/>
        <v/>
      </c>
      <c r="E477" s="85"/>
      <c r="F477" s="83" t="str">
        <f t="shared" si="69"/>
        <v/>
      </c>
      <c r="G477" s="83" t="str">
        <f t="shared" si="70"/>
        <v/>
      </c>
      <c r="H477" s="69"/>
      <c r="I477" s="69"/>
      <c r="J477" s="78">
        <f t="shared" si="71"/>
        <v>0</v>
      </c>
      <c r="K477" s="91"/>
      <c r="L477" s="92"/>
      <c r="M477" s="92"/>
      <c r="N477" s="91"/>
      <c r="O477" s="91"/>
      <c r="P477" s="67"/>
      <c r="R477" t="str">
        <f t="shared" si="72"/>
        <v/>
      </c>
      <c r="S477" t="str">
        <f t="shared" si="73"/>
        <v/>
      </c>
      <c r="T477" t="str">
        <f t="shared" si="74"/>
        <v/>
      </c>
      <c r="AD477" t="s">
        <v>1986</v>
      </c>
      <c r="AE477" t="s">
        <v>1987</v>
      </c>
      <c r="AF477" t="str">
        <f t="shared" si="75"/>
        <v>A679078</v>
      </c>
      <c r="AG477" t="str">
        <f>VLOOKUP(AF477,AKT!$C$4:$E$324,3,FALSE)</f>
        <v>0942</v>
      </c>
    </row>
    <row r="478" spans="1:33">
      <c r="A478" s="84"/>
      <c r="B478" s="83" t="str">
        <f t="shared" si="67"/>
        <v/>
      </c>
      <c r="C478" s="84"/>
      <c r="D478" s="83" t="str">
        <f t="shared" si="68"/>
        <v/>
      </c>
      <c r="E478" s="85"/>
      <c r="F478" s="83" t="str">
        <f t="shared" si="69"/>
        <v/>
      </c>
      <c r="G478" s="83" t="str">
        <f t="shared" si="70"/>
        <v/>
      </c>
      <c r="H478" s="69"/>
      <c r="I478" s="69"/>
      <c r="J478" s="78">
        <f t="shared" si="71"/>
        <v>0</v>
      </c>
      <c r="K478" s="91"/>
      <c r="L478" s="92"/>
      <c r="M478" s="92"/>
      <c r="N478" s="91"/>
      <c r="O478" s="91"/>
      <c r="P478" s="67"/>
      <c r="R478" t="str">
        <f t="shared" si="72"/>
        <v/>
      </c>
      <c r="S478" t="str">
        <f t="shared" si="73"/>
        <v/>
      </c>
      <c r="T478" t="str">
        <f t="shared" si="74"/>
        <v/>
      </c>
      <c r="AD478" t="s">
        <v>1988</v>
      </c>
      <c r="AE478" t="s">
        <v>1989</v>
      </c>
      <c r="AF478" t="str">
        <f t="shared" si="75"/>
        <v>A679078</v>
      </c>
      <c r="AG478" t="str">
        <f>VLOOKUP(AF478,AKT!$C$4:$E$324,3,FALSE)</f>
        <v>0942</v>
      </c>
    </row>
    <row r="479" spans="1:33">
      <c r="A479" s="84"/>
      <c r="B479" s="83" t="str">
        <f t="shared" si="67"/>
        <v/>
      </c>
      <c r="C479" s="84"/>
      <c r="D479" s="83" t="str">
        <f t="shared" si="68"/>
        <v/>
      </c>
      <c r="E479" s="85"/>
      <c r="F479" s="83" t="str">
        <f t="shared" si="69"/>
        <v/>
      </c>
      <c r="G479" s="83" t="str">
        <f t="shared" si="70"/>
        <v/>
      </c>
      <c r="H479" s="69"/>
      <c r="I479" s="69"/>
      <c r="J479" s="78">
        <f t="shared" si="71"/>
        <v>0</v>
      </c>
      <c r="K479" s="91"/>
      <c r="L479" s="92"/>
      <c r="M479" s="92"/>
      <c r="N479" s="91"/>
      <c r="O479" s="91"/>
      <c r="P479" s="67"/>
      <c r="R479" t="str">
        <f t="shared" si="72"/>
        <v/>
      </c>
      <c r="S479" t="str">
        <f t="shared" si="73"/>
        <v/>
      </c>
      <c r="T479" t="str">
        <f t="shared" si="74"/>
        <v/>
      </c>
      <c r="AD479" t="s">
        <v>1990</v>
      </c>
      <c r="AE479" t="s">
        <v>1991</v>
      </c>
      <c r="AF479" t="str">
        <f t="shared" si="75"/>
        <v>A679078</v>
      </c>
      <c r="AG479" t="str">
        <f>VLOOKUP(AF479,AKT!$C$4:$E$324,3,FALSE)</f>
        <v>0942</v>
      </c>
    </row>
    <row r="480" spans="1:33">
      <c r="A480" s="84"/>
      <c r="B480" s="83" t="str">
        <f t="shared" si="67"/>
        <v/>
      </c>
      <c r="C480" s="84"/>
      <c r="D480" s="83" t="str">
        <f t="shared" si="68"/>
        <v/>
      </c>
      <c r="E480" s="85"/>
      <c r="F480" s="83" t="str">
        <f t="shared" si="69"/>
        <v/>
      </c>
      <c r="G480" s="83" t="str">
        <f t="shared" si="70"/>
        <v/>
      </c>
      <c r="H480" s="69"/>
      <c r="I480" s="69"/>
      <c r="J480" s="78">
        <f t="shared" si="71"/>
        <v>0</v>
      </c>
      <c r="K480" s="91"/>
      <c r="L480" s="92"/>
      <c r="M480" s="92"/>
      <c r="N480" s="91"/>
      <c r="O480" s="91"/>
      <c r="P480" s="67"/>
      <c r="R480" t="str">
        <f t="shared" si="72"/>
        <v/>
      </c>
      <c r="S480" t="str">
        <f t="shared" si="73"/>
        <v/>
      </c>
      <c r="T480" t="str">
        <f t="shared" si="74"/>
        <v/>
      </c>
      <c r="AD480" t="s">
        <v>1992</v>
      </c>
      <c r="AE480" t="s">
        <v>1993</v>
      </c>
      <c r="AF480" t="str">
        <f t="shared" si="75"/>
        <v>A679078</v>
      </c>
      <c r="AG480" t="str">
        <f>VLOOKUP(AF480,AKT!$C$4:$E$324,3,FALSE)</f>
        <v>0942</v>
      </c>
    </row>
    <row r="481" spans="1:33">
      <c r="A481" s="84"/>
      <c r="B481" s="83" t="str">
        <f t="shared" si="67"/>
        <v/>
      </c>
      <c r="C481" s="84"/>
      <c r="D481" s="83" t="str">
        <f t="shared" si="68"/>
        <v/>
      </c>
      <c r="E481" s="85"/>
      <c r="F481" s="83" t="str">
        <f t="shared" si="69"/>
        <v/>
      </c>
      <c r="G481" s="83" t="str">
        <f t="shared" si="70"/>
        <v/>
      </c>
      <c r="H481" s="69"/>
      <c r="I481" s="69"/>
      <c r="J481" s="78">
        <f t="shared" si="71"/>
        <v>0</v>
      </c>
      <c r="K481" s="91"/>
      <c r="L481" s="92"/>
      <c r="M481" s="92"/>
      <c r="N481" s="91"/>
      <c r="O481" s="91"/>
      <c r="P481" s="67"/>
      <c r="R481" t="str">
        <f t="shared" si="72"/>
        <v/>
      </c>
      <c r="S481" t="str">
        <f t="shared" si="73"/>
        <v/>
      </c>
      <c r="T481" t="str">
        <f t="shared" si="74"/>
        <v/>
      </c>
      <c r="AD481" t="s">
        <v>1994</v>
      </c>
      <c r="AE481" t="s">
        <v>1995</v>
      </c>
      <c r="AF481" t="str">
        <f t="shared" si="75"/>
        <v>A679078</v>
      </c>
      <c r="AG481" t="str">
        <f>VLOOKUP(AF481,AKT!$C$4:$E$324,3,FALSE)</f>
        <v>0942</v>
      </c>
    </row>
    <row r="482" spans="1:33">
      <c r="A482" s="84"/>
      <c r="B482" s="83" t="str">
        <f t="shared" si="67"/>
        <v/>
      </c>
      <c r="C482" s="84"/>
      <c r="D482" s="83" t="str">
        <f t="shared" si="68"/>
        <v/>
      </c>
      <c r="E482" s="85"/>
      <c r="F482" s="83" t="str">
        <f t="shared" si="69"/>
        <v/>
      </c>
      <c r="G482" s="83" t="str">
        <f t="shared" si="70"/>
        <v/>
      </c>
      <c r="H482" s="69"/>
      <c r="I482" s="69"/>
      <c r="J482" s="78">
        <f t="shared" si="71"/>
        <v>0</v>
      </c>
      <c r="K482" s="91"/>
      <c r="L482" s="92"/>
      <c r="M482" s="92"/>
      <c r="N482" s="91"/>
      <c r="O482" s="91"/>
      <c r="P482" s="67"/>
      <c r="R482" t="str">
        <f t="shared" si="72"/>
        <v/>
      </c>
      <c r="S482" t="str">
        <f t="shared" si="73"/>
        <v/>
      </c>
      <c r="T482" t="str">
        <f t="shared" si="74"/>
        <v/>
      </c>
      <c r="AD482" t="s">
        <v>1996</v>
      </c>
      <c r="AE482" t="s">
        <v>1997</v>
      </c>
      <c r="AF482" t="str">
        <f t="shared" si="75"/>
        <v>A679078</v>
      </c>
      <c r="AG482" t="str">
        <f>VLOOKUP(AF482,AKT!$C$4:$E$324,3,FALSE)</f>
        <v>0942</v>
      </c>
    </row>
    <row r="483" spans="1:33">
      <c r="A483" s="84"/>
      <c r="B483" s="83" t="str">
        <f t="shared" si="67"/>
        <v/>
      </c>
      <c r="C483" s="84"/>
      <c r="D483" s="83" t="str">
        <f t="shared" si="68"/>
        <v/>
      </c>
      <c r="E483" s="85"/>
      <c r="F483" s="83" t="str">
        <f t="shared" si="69"/>
        <v/>
      </c>
      <c r="G483" s="83" t="str">
        <f t="shared" si="70"/>
        <v/>
      </c>
      <c r="H483" s="69"/>
      <c r="I483" s="69"/>
      <c r="J483" s="78">
        <f t="shared" si="71"/>
        <v>0</v>
      </c>
      <c r="K483" s="91"/>
      <c r="L483" s="92"/>
      <c r="M483" s="92"/>
      <c r="N483" s="91"/>
      <c r="O483" s="91"/>
      <c r="P483" s="67"/>
      <c r="R483" t="str">
        <f t="shared" si="72"/>
        <v/>
      </c>
      <c r="S483" t="str">
        <f t="shared" si="73"/>
        <v/>
      </c>
      <c r="T483" t="str">
        <f t="shared" si="74"/>
        <v/>
      </c>
      <c r="AD483" t="s">
        <v>1998</v>
      </c>
      <c r="AE483" t="s">
        <v>1999</v>
      </c>
      <c r="AF483" t="str">
        <f t="shared" si="75"/>
        <v>A679078</v>
      </c>
      <c r="AG483" t="str">
        <f>VLOOKUP(AF483,AKT!$C$4:$E$324,3,FALSE)</f>
        <v>0942</v>
      </c>
    </row>
    <row r="484" spans="1:33">
      <c r="A484" s="84"/>
      <c r="B484" s="83" t="str">
        <f t="shared" si="67"/>
        <v/>
      </c>
      <c r="C484" s="84"/>
      <c r="D484" s="83" t="str">
        <f t="shared" si="68"/>
        <v/>
      </c>
      <c r="E484" s="85"/>
      <c r="F484" s="83" t="str">
        <f t="shared" si="69"/>
        <v/>
      </c>
      <c r="G484" s="83" t="str">
        <f t="shared" si="70"/>
        <v/>
      </c>
      <c r="H484" s="69"/>
      <c r="I484" s="69"/>
      <c r="J484" s="78">
        <f t="shared" si="71"/>
        <v>0</v>
      </c>
      <c r="K484" s="91"/>
      <c r="L484" s="92"/>
      <c r="M484" s="92"/>
      <c r="N484" s="91"/>
      <c r="O484" s="91"/>
      <c r="P484" s="67"/>
      <c r="R484" t="str">
        <f t="shared" si="72"/>
        <v/>
      </c>
      <c r="S484" t="str">
        <f t="shared" si="73"/>
        <v/>
      </c>
      <c r="T484" t="str">
        <f t="shared" si="74"/>
        <v/>
      </c>
      <c r="AD484" t="s">
        <v>2000</v>
      </c>
      <c r="AE484" t="s">
        <v>2001</v>
      </c>
      <c r="AF484" t="str">
        <f t="shared" si="75"/>
        <v>A679078</v>
      </c>
      <c r="AG484" t="str">
        <f>VLOOKUP(AF484,AKT!$C$4:$E$324,3,FALSE)</f>
        <v>0942</v>
      </c>
    </row>
    <row r="485" spans="1:33">
      <c r="A485" s="84"/>
      <c r="B485" s="83" t="str">
        <f t="shared" si="67"/>
        <v/>
      </c>
      <c r="C485" s="84"/>
      <c r="D485" s="83" t="str">
        <f t="shared" si="68"/>
        <v/>
      </c>
      <c r="E485" s="85"/>
      <c r="F485" s="83" t="str">
        <f t="shared" si="69"/>
        <v/>
      </c>
      <c r="G485" s="83" t="str">
        <f t="shared" si="70"/>
        <v/>
      </c>
      <c r="H485" s="69"/>
      <c r="I485" s="69"/>
      <c r="J485" s="78">
        <f t="shared" si="71"/>
        <v>0</v>
      </c>
      <c r="K485" s="91"/>
      <c r="L485" s="92"/>
      <c r="M485" s="92"/>
      <c r="N485" s="91"/>
      <c r="O485" s="91"/>
      <c r="P485" s="67"/>
      <c r="R485" t="str">
        <f t="shared" si="72"/>
        <v/>
      </c>
      <c r="S485" t="str">
        <f t="shared" si="73"/>
        <v/>
      </c>
      <c r="T485" t="str">
        <f t="shared" si="74"/>
        <v/>
      </c>
      <c r="AD485" t="s">
        <v>2002</v>
      </c>
      <c r="AE485" t="s">
        <v>2003</v>
      </c>
      <c r="AF485" t="str">
        <f t="shared" si="75"/>
        <v>A679078</v>
      </c>
      <c r="AG485" t="str">
        <f>VLOOKUP(AF485,AKT!$C$4:$E$324,3,FALSE)</f>
        <v>0942</v>
      </c>
    </row>
    <row r="486" spans="1:33">
      <c r="A486" s="84"/>
      <c r="B486" s="83" t="str">
        <f t="shared" si="67"/>
        <v/>
      </c>
      <c r="C486" s="84"/>
      <c r="D486" s="83" t="str">
        <f t="shared" si="68"/>
        <v/>
      </c>
      <c r="E486" s="85"/>
      <c r="F486" s="83" t="str">
        <f t="shared" si="69"/>
        <v/>
      </c>
      <c r="G486" s="83" t="str">
        <f t="shared" si="70"/>
        <v/>
      </c>
      <c r="H486" s="69"/>
      <c r="I486" s="69"/>
      <c r="J486" s="78">
        <f t="shared" si="71"/>
        <v>0</v>
      </c>
      <c r="K486" s="91"/>
      <c r="L486" s="92"/>
      <c r="M486" s="92"/>
      <c r="N486" s="91"/>
      <c r="O486" s="91"/>
      <c r="P486" s="67"/>
      <c r="R486" t="str">
        <f t="shared" si="72"/>
        <v/>
      </c>
      <c r="S486" t="str">
        <f t="shared" si="73"/>
        <v/>
      </c>
      <c r="T486" t="str">
        <f t="shared" si="74"/>
        <v/>
      </c>
      <c r="AD486" t="s">
        <v>2004</v>
      </c>
      <c r="AE486" t="s">
        <v>2005</v>
      </c>
      <c r="AF486" t="str">
        <f t="shared" si="75"/>
        <v>A679078</v>
      </c>
      <c r="AG486" t="str">
        <f>VLOOKUP(AF486,AKT!$C$4:$E$324,3,FALSE)</f>
        <v>0942</v>
      </c>
    </row>
    <row r="487" spans="1:33">
      <c r="A487" s="84"/>
      <c r="B487" s="83" t="str">
        <f t="shared" si="67"/>
        <v/>
      </c>
      <c r="C487" s="84"/>
      <c r="D487" s="83" t="str">
        <f t="shared" si="68"/>
        <v/>
      </c>
      <c r="E487" s="85"/>
      <c r="F487" s="83" t="str">
        <f t="shared" si="69"/>
        <v/>
      </c>
      <c r="G487" s="83" t="str">
        <f t="shared" si="70"/>
        <v/>
      </c>
      <c r="H487" s="69"/>
      <c r="I487" s="69"/>
      <c r="J487" s="78">
        <f t="shared" si="71"/>
        <v>0</v>
      </c>
      <c r="K487" s="91"/>
      <c r="L487" s="92"/>
      <c r="M487" s="92"/>
      <c r="N487" s="91"/>
      <c r="O487" s="91"/>
      <c r="P487" s="67"/>
      <c r="R487" t="str">
        <f t="shared" si="72"/>
        <v/>
      </c>
      <c r="S487" t="str">
        <f t="shared" si="73"/>
        <v/>
      </c>
      <c r="T487" t="str">
        <f t="shared" si="74"/>
        <v/>
      </c>
      <c r="AD487" t="s">
        <v>2006</v>
      </c>
      <c r="AE487" t="s">
        <v>2007</v>
      </c>
      <c r="AF487" t="str">
        <f t="shared" si="75"/>
        <v>A679078</v>
      </c>
      <c r="AG487" t="str">
        <f>VLOOKUP(AF487,AKT!$C$4:$E$324,3,FALSE)</f>
        <v>0942</v>
      </c>
    </row>
    <row r="488" spans="1:33">
      <c r="A488" s="84"/>
      <c r="B488" s="83" t="str">
        <f t="shared" si="67"/>
        <v/>
      </c>
      <c r="C488" s="84"/>
      <c r="D488" s="83" t="str">
        <f t="shared" si="68"/>
        <v/>
      </c>
      <c r="E488" s="85"/>
      <c r="F488" s="83" t="str">
        <f t="shared" si="69"/>
        <v/>
      </c>
      <c r="G488" s="83" t="str">
        <f t="shared" si="70"/>
        <v/>
      </c>
      <c r="H488" s="69"/>
      <c r="I488" s="69"/>
      <c r="J488" s="78">
        <f t="shared" si="71"/>
        <v>0</v>
      </c>
      <c r="K488" s="91"/>
      <c r="L488" s="92"/>
      <c r="M488" s="92"/>
      <c r="N488" s="91"/>
      <c r="O488" s="91"/>
      <c r="P488" s="67"/>
      <c r="R488" t="str">
        <f t="shared" si="72"/>
        <v/>
      </c>
      <c r="S488" t="str">
        <f t="shared" si="73"/>
        <v/>
      </c>
      <c r="T488" t="str">
        <f t="shared" si="74"/>
        <v/>
      </c>
      <c r="AD488" t="s">
        <v>2008</v>
      </c>
      <c r="AE488" t="s">
        <v>2009</v>
      </c>
      <c r="AF488" t="str">
        <f t="shared" si="75"/>
        <v>A679078</v>
      </c>
      <c r="AG488" t="str">
        <f>VLOOKUP(AF488,AKT!$C$4:$E$324,3,FALSE)</f>
        <v>0942</v>
      </c>
    </row>
    <row r="489" spans="1:33">
      <c r="A489" s="84"/>
      <c r="B489" s="83" t="str">
        <f t="shared" si="67"/>
        <v/>
      </c>
      <c r="C489" s="84"/>
      <c r="D489" s="83" t="str">
        <f t="shared" si="68"/>
        <v/>
      </c>
      <c r="E489" s="85"/>
      <c r="F489" s="83" t="str">
        <f t="shared" si="69"/>
        <v/>
      </c>
      <c r="G489" s="83" t="str">
        <f t="shared" si="70"/>
        <v/>
      </c>
      <c r="H489" s="69"/>
      <c r="I489" s="69"/>
      <c r="J489" s="78">
        <f t="shared" si="71"/>
        <v>0</v>
      </c>
      <c r="K489" s="91"/>
      <c r="L489" s="92"/>
      <c r="M489" s="92"/>
      <c r="N489" s="91"/>
      <c r="O489" s="91"/>
      <c r="P489" s="67"/>
      <c r="R489" t="str">
        <f t="shared" si="72"/>
        <v/>
      </c>
      <c r="S489" t="str">
        <f t="shared" si="73"/>
        <v/>
      </c>
      <c r="T489" t="str">
        <f t="shared" si="74"/>
        <v/>
      </c>
      <c r="AD489" t="s">
        <v>2010</v>
      </c>
      <c r="AE489" t="s">
        <v>2011</v>
      </c>
      <c r="AF489" t="str">
        <f t="shared" si="75"/>
        <v>A679078</v>
      </c>
      <c r="AG489" t="str">
        <f>VLOOKUP(AF489,AKT!$C$4:$E$324,3,FALSE)</f>
        <v>0942</v>
      </c>
    </row>
    <row r="490" spans="1:33">
      <c r="A490" s="84"/>
      <c r="B490" s="83" t="str">
        <f t="shared" si="67"/>
        <v/>
      </c>
      <c r="C490" s="84"/>
      <c r="D490" s="83" t="str">
        <f t="shared" si="68"/>
        <v/>
      </c>
      <c r="E490" s="85"/>
      <c r="F490" s="83" t="str">
        <f t="shared" si="69"/>
        <v/>
      </c>
      <c r="G490" s="83" t="str">
        <f t="shared" si="70"/>
        <v/>
      </c>
      <c r="H490" s="69"/>
      <c r="I490" s="69"/>
      <c r="J490" s="78">
        <f t="shared" si="71"/>
        <v>0</v>
      </c>
      <c r="K490" s="91"/>
      <c r="L490" s="92"/>
      <c r="M490" s="92"/>
      <c r="N490" s="91"/>
      <c r="O490" s="91"/>
      <c r="P490" s="67"/>
      <c r="R490" t="str">
        <f t="shared" si="72"/>
        <v/>
      </c>
      <c r="S490" t="str">
        <f t="shared" si="73"/>
        <v/>
      </c>
      <c r="T490" t="str">
        <f t="shared" si="74"/>
        <v/>
      </c>
      <c r="AD490" t="s">
        <v>2012</v>
      </c>
      <c r="AE490" t="s">
        <v>2013</v>
      </c>
      <c r="AF490" t="str">
        <f t="shared" si="75"/>
        <v>A679078</v>
      </c>
      <c r="AG490" t="str">
        <f>VLOOKUP(AF490,AKT!$C$4:$E$324,3,FALSE)</f>
        <v>0942</v>
      </c>
    </row>
    <row r="491" spans="1:33">
      <c r="A491" s="84"/>
      <c r="B491" s="83" t="str">
        <f t="shared" si="67"/>
        <v/>
      </c>
      <c r="C491" s="84"/>
      <c r="D491" s="83" t="str">
        <f t="shared" si="68"/>
        <v/>
      </c>
      <c r="E491" s="85"/>
      <c r="F491" s="83" t="str">
        <f t="shared" si="69"/>
        <v/>
      </c>
      <c r="G491" s="83" t="str">
        <f t="shared" si="70"/>
        <v/>
      </c>
      <c r="H491" s="69"/>
      <c r="I491" s="69"/>
      <c r="J491" s="78">
        <f t="shared" si="71"/>
        <v>0</v>
      </c>
      <c r="K491" s="91"/>
      <c r="L491" s="92"/>
      <c r="M491" s="92"/>
      <c r="N491" s="91"/>
      <c r="O491" s="91"/>
      <c r="P491" s="67"/>
      <c r="R491" t="str">
        <f t="shared" si="72"/>
        <v/>
      </c>
      <c r="S491" t="str">
        <f t="shared" si="73"/>
        <v/>
      </c>
      <c r="T491" t="str">
        <f t="shared" si="74"/>
        <v/>
      </c>
      <c r="AD491" t="s">
        <v>2014</v>
      </c>
      <c r="AE491" t="s">
        <v>2015</v>
      </c>
      <c r="AF491" t="str">
        <f t="shared" si="75"/>
        <v>A679078</v>
      </c>
      <c r="AG491" t="str">
        <f>VLOOKUP(AF491,AKT!$C$4:$E$324,3,FALSE)</f>
        <v>0942</v>
      </c>
    </row>
    <row r="492" spans="1:33">
      <c r="A492" s="84"/>
      <c r="B492" s="83" t="str">
        <f t="shared" si="67"/>
        <v/>
      </c>
      <c r="C492" s="84"/>
      <c r="D492" s="83" t="str">
        <f t="shared" si="68"/>
        <v/>
      </c>
      <c r="E492" s="85"/>
      <c r="F492" s="83" t="str">
        <f t="shared" si="69"/>
        <v/>
      </c>
      <c r="G492" s="83" t="str">
        <f t="shared" si="70"/>
        <v/>
      </c>
      <c r="H492" s="69"/>
      <c r="I492" s="69"/>
      <c r="J492" s="78">
        <f t="shared" si="71"/>
        <v>0</v>
      </c>
      <c r="K492" s="91"/>
      <c r="L492" s="92"/>
      <c r="M492" s="92"/>
      <c r="N492" s="91"/>
      <c r="O492" s="91"/>
      <c r="P492" s="67"/>
      <c r="R492" t="str">
        <f t="shared" si="72"/>
        <v/>
      </c>
      <c r="S492" t="str">
        <f t="shared" si="73"/>
        <v/>
      </c>
      <c r="T492" t="str">
        <f t="shared" si="74"/>
        <v/>
      </c>
      <c r="AD492" t="s">
        <v>2016</v>
      </c>
      <c r="AE492" t="s">
        <v>2017</v>
      </c>
      <c r="AF492" t="str">
        <f t="shared" si="75"/>
        <v>A679078</v>
      </c>
      <c r="AG492" t="str">
        <f>VLOOKUP(AF492,AKT!$C$4:$E$324,3,FALSE)</f>
        <v>0942</v>
      </c>
    </row>
    <row r="493" spans="1:33">
      <c r="A493" s="84"/>
      <c r="B493" s="83" t="str">
        <f t="shared" si="67"/>
        <v/>
      </c>
      <c r="C493" s="84"/>
      <c r="D493" s="83" t="str">
        <f t="shared" si="68"/>
        <v/>
      </c>
      <c r="E493" s="85"/>
      <c r="F493" s="83" t="str">
        <f t="shared" si="69"/>
        <v/>
      </c>
      <c r="G493" s="83" t="str">
        <f t="shared" si="70"/>
        <v/>
      </c>
      <c r="H493" s="69"/>
      <c r="I493" s="69"/>
      <c r="J493" s="78">
        <f t="shared" si="71"/>
        <v>0</v>
      </c>
      <c r="K493" s="91"/>
      <c r="L493" s="92"/>
      <c r="M493" s="92"/>
      <c r="N493" s="91"/>
      <c r="O493" s="91"/>
      <c r="P493" s="67"/>
      <c r="R493" t="str">
        <f t="shared" si="72"/>
        <v/>
      </c>
      <c r="S493" t="str">
        <f t="shared" si="73"/>
        <v/>
      </c>
      <c r="T493" t="str">
        <f t="shared" si="74"/>
        <v/>
      </c>
      <c r="AD493" t="s">
        <v>2018</v>
      </c>
      <c r="AE493" t="s">
        <v>2019</v>
      </c>
      <c r="AF493" t="str">
        <f t="shared" si="75"/>
        <v>A679078</v>
      </c>
      <c r="AG493" t="str">
        <f>VLOOKUP(AF493,AKT!$C$4:$E$324,3,FALSE)</f>
        <v>0942</v>
      </c>
    </row>
    <row r="494" spans="1:33">
      <c r="A494" s="84"/>
      <c r="B494" s="83" t="str">
        <f t="shared" si="67"/>
        <v/>
      </c>
      <c r="C494" s="84"/>
      <c r="D494" s="83" t="str">
        <f t="shared" si="68"/>
        <v/>
      </c>
      <c r="E494" s="85"/>
      <c r="F494" s="83" t="str">
        <f t="shared" si="69"/>
        <v/>
      </c>
      <c r="G494" s="83" t="str">
        <f t="shared" si="70"/>
        <v/>
      </c>
      <c r="H494" s="69"/>
      <c r="I494" s="69"/>
      <c r="J494" s="78">
        <f t="shared" si="71"/>
        <v>0</v>
      </c>
      <c r="K494" s="91"/>
      <c r="L494" s="92"/>
      <c r="M494" s="92"/>
      <c r="N494" s="91"/>
      <c r="O494" s="91"/>
      <c r="P494" s="67"/>
      <c r="R494" t="str">
        <f t="shared" si="72"/>
        <v/>
      </c>
      <c r="S494" t="str">
        <f t="shared" si="73"/>
        <v/>
      </c>
      <c r="T494" t="str">
        <f t="shared" si="74"/>
        <v/>
      </c>
      <c r="AD494" t="s">
        <v>2020</v>
      </c>
      <c r="AE494" t="s">
        <v>2021</v>
      </c>
      <c r="AF494" t="str">
        <f t="shared" si="75"/>
        <v>A679078</v>
      </c>
      <c r="AG494" t="str">
        <f>VLOOKUP(AF494,AKT!$C$4:$E$324,3,FALSE)</f>
        <v>0942</v>
      </c>
    </row>
    <row r="495" spans="1:33">
      <c r="A495" s="84"/>
      <c r="B495" s="83" t="str">
        <f t="shared" si="67"/>
        <v/>
      </c>
      <c r="C495" s="84"/>
      <c r="D495" s="83" t="str">
        <f t="shared" si="68"/>
        <v/>
      </c>
      <c r="E495" s="85"/>
      <c r="F495" s="83" t="str">
        <f t="shared" si="69"/>
        <v/>
      </c>
      <c r="G495" s="83" t="str">
        <f t="shared" si="70"/>
        <v/>
      </c>
      <c r="H495" s="69"/>
      <c r="I495" s="69"/>
      <c r="J495" s="78">
        <f t="shared" si="71"/>
        <v>0</v>
      </c>
      <c r="K495" s="91"/>
      <c r="L495" s="92"/>
      <c r="M495" s="92"/>
      <c r="N495" s="91"/>
      <c r="O495" s="91"/>
      <c r="P495" s="67"/>
      <c r="R495" t="str">
        <f t="shared" si="72"/>
        <v/>
      </c>
      <c r="S495" t="str">
        <f t="shared" si="73"/>
        <v/>
      </c>
      <c r="T495" t="str">
        <f t="shared" si="74"/>
        <v/>
      </c>
      <c r="AD495" t="s">
        <v>2022</v>
      </c>
      <c r="AE495" t="s">
        <v>2023</v>
      </c>
      <c r="AF495" t="str">
        <f t="shared" si="75"/>
        <v>A679078</v>
      </c>
      <c r="AG495" t="str">
        <f>VLOOKUP(AF495,AKT!$C$4:$E$324,3,FALSE)</f>
        <v>0942</v>
      </c>
    </row>
    <row r="496" spans="1:33">
      <c r="A496" s="84"/>
      <c r="B496" s="83" t="str">
        <f t="shared" si="67"/>
        <v/>
      </c>
      <c r="C496" s="84"/>
      <c r="D496" s="83" t="str">
        <f t="shared" si="68"/>
        <v/>
      </c>
      <c r="E496" s="85"/>
      <c r="F496" s="83" t="str">
        <f t="shared" si="69"/>
        <v/>
      </c>
      <c r="G496" s="83" t="str">
        <f t="shared" si="70"/>
        <v/>
      </c>
      <c r="H496" s="69"/>
      <c r="I496" s="69"/>
      <c r="J496" s="78">
        <f t="shared" si="71"/>
        <v>0</v>
      </c>
      <c r="K496" s="91"/>
      <c r="L496" s="92"/>
      <c r="M496" s="92"/>
      <c r="N496" s="91"/>
      <c r="O496" s="91"/>
      <c r="P496" s="67"/>
      <c r="R496" t="str">
        <f t="shared" si="72"/>
        <v/>
      </c>
      <c r="S496" t="str">
        <f t="shared" si="73"/>
        <v/>
      </c>
      <c r="T496" t="str">
        <f t="shared" si="74"/>
        <v/>
      </c>
      <c r="AD496" t="s">
        <v>2024</v>
      </c>
      <c r="AE496" t="s">
        <v>2025</v>
      </c>
      <c r="AF496" t="str">
        <f t="shared" si="75"/>
        <v>A679078</v>
      </c>
      <c r="AG496" t="str">
        <f>VLOOKUP(AF496,AKT!$C$4:$E$324,3,FALSE)</f>
        <v>0942</v>
      </c>
    </row>
    <row r="497" spans="1:33">
      <c r="A497" s="84"/>
      <c r="B497" s="83" t="str">
        <f t="shared" si="67"/>
        <v/>
      </c>
      <c r="C497" s="84"/>
      <c r="D497" s="83" t="str">
        <f t="shared" si="68"/>
        <v/>
      </c>
      <c r="E497" s="85"/>
      <c r="F497" s="83" t="str">
        <f t="shared" si="69"/>
        <v/>
      </c>
      <c r="G497" s="83" t="str">
        <f t="shared" si="70"/>
        <v/>
      </c>
      <c r="H497" s="69"/>
      <c r="I497" s="69"/>
      <c r="J497" s="78">
        <f t="shared" si="71"/>
        <v>0</v>
      </c>
      <c r="K497" s="91"/>
      <c r="L497" s="92"/>
      <c r="M497" s="92"/>
      <c r="N497" s="91"/>
      <c r="O497" s="91"/>
      <c r="P497" s="67"/>
      <c r="R497" t="str">
        <f t="shared" si="72"/>
        <v/>
      </c>
      <c r="S497" t="str">
        <f t="shared" si="73"/>
        <v/>
      </c>
      <c r="T497" t="str">
        <f t="shared" si="74"/>
        <v/>
      </c>
      <c r="AD497" t="s">
        <v>2026</v>
      </c>
      <c r="AE497" t="s">
        <v>2027</v>
      </c>
      <c r="AF497" t="str">
        <f t="shared" si="75"/>
        <v>A679078</v>
      </c>
      <c r="AG497" t="str">
        <f>VLOOKUP(AF497,AKT!$C$4:$E$324,3,FALSE)</f>
        <v>0942</v>
      </c>
    </row>
    <row r="498" spans="1:33">
      <c r="A498" s="84"/>
      <c r="B498" s="83" t="str">
        <f t="shared" si="67"/>
        <v/>
      </c>
      <c r="C498" s="84"/>
      <c r="D498" s="83" t="str">
        <f t="shared" si="68"/>
        <v/>
      </c>
      <c r="E498" s="85"/>
      <c r="F498" s="83" t="str">
        <f t="shared" si="69"/>
        <v/>
      </c>
      <c r="G498" s="83" t="str">
        <f t="shared" si="70"/>
        <v/>
      </c>
      <c r="H498" s="69"/>
      <c r="I498" s="69"/>
      <c r="J498" s="78">
        <f t="shared" si="71"/>
        <v>0</v>
      </c>
      <c r="K498" s="91"/>
      <c r="L498" s="92"/>
      <c r="M498" s="92"/>
      <c r="N498" s="91"/>
      <c r="O498" s="91"/>
      <c r="P498" s="67"/>
      <c r="R498" t="str">
        <f t="shared" si="72"/>
        <v/>
      </c>
      <c r="S498" t="str">
        <f t="shared" si="73"/>
        <v/>
      </c>
      <c r="T498" t="str">
        <f t="shared" si="74"/>
        <v/>
      </c>
      <c r="AD498" t="s">
        <v>2028</v>
      </c>
      <c r="AE498" t="s">
        <v>2029</v>
      </c>
      <c r="AF498" t="str">
        <f t="shared" si="75"/>
        <v>A679078</v>
      </c>
      <c r="AG498" t="str">
        <f>VLOOKUP(AF498,AKT!$C$4:$E$324,3,FALSE)</f>
        <v>0942</v>
      </c>
    </row>
    <row r="499" spans="1:33">
      <c r="A499" s="84"/>
      <c r="B499" s="83" t="str">
        <f t="shared" si="67"/>
        <v/>
      </c>
      <c r="C499" s="84"/>
      <c r="D499" s="83" t="str">
        <f t="shared" si="68"/>
        <v/>
      </c>
      <c r="E499" s="85"/>
      <c r="F499" s="83" t="str">
        <f t="shared" si="69"/>
        <v/>
      </c>
      <c r="G499" s="83" t="str">
        <f t="shared" si="70"/>
        <v/>
      </c>
      <c r="H499" s="69"/>
      <c r="I499" s="69"/>
      <c r="J499" s="78">
        <f t="shared" si="71"/>
        <v>0</v>
      </c>
      <c r="K499" s="91"/>
      <c r="L499" s="92"/>
      <c r="M499" s="92"/>
      <c r="N499" s="91"/>
      <c r="O499" s="91"/>
      <c r="P499" s="67"/>
      <c r="R499" t="str">
        <f t="shared" si="72"/>
        <v/>
      </c>
      <c r="S499" t="str">
        <f t="shared" si="73"/>
        <v/>
      </c>
      <c r="T499" t="str">
        <f t="shared" si="74"/>
        <v/>
      </c>
      <c r="AD499" t="s">
        <v>2030</v>
      </c>
      <c r="AE499" t="s">
        <v>2031</v>
      </c>
      <c r="AF499" t="str">
        <f t="shared" si="75"/>
        <v>A679078</v>
      </c>
      <c r="AG499" t="str">
        <f>VLOOKUP(AF499,AKT!$C$4:$E$324,3,FALSE)</f>
        <v>0942</v>
      </c>
    </row>
    <row r="500" spans="1:33">
      <c r="A500" s="84"/>
      <c r="B500" s="83" t="str">
        <f t="shared" si="67"/>
        <v/>
      </c>
      <c r="C500" s="84"/>
      <c r="D500" s="83" t="str">
        <f t="shared" si="68"/>
        <v/>
      </c>
      <c r="E500" s="85"/>
      <c r="F500" s="83" t="str">
        <f t="shared" si="69"/>
        <v/>
      </c>
      <c r="G500" s="83" t="str">
        <f t="shared" si="70"/>
        <v/>
      </c>
      <c r="H500" s="69"/>
      <c r="I500" s="69"/>
      <c r="J500" s="78">
        <f t="shared" si="71"/>
        <v>0</v>
      </c>
      <c r="K500" s="91"/>
      <c r="L500" s="92"/>
      <c r="M500" s="92"/>
      <c r="N500" s="91"/>
      <c r="O500" s="91"/>
      <c r="P500" s="67"/>
      <c r="R500" t="str">
        <f t="shared" si="72"/>
        <v/>
      </c>
      <c r="S500" t="str">
        <f t="shared" si="73"/>
        <v/>
      </c>
      <c r="T500" t="str">
        <f t="shared" si="74"/>
        <v/>
      </c>
      <c r="AD500" t="s">
        <v>2032</v>
      </c>
      <c r="AE500" t="s">
        <v>2033</v>
      </c>
      <c r="AF500" t="str">
        <f t="shared" si="75"/>
        <v>A679078</v>
      </c>
      <c r="AG500" t="str">
        <f>VLOOKUP(AF500,AKT!$C$4:$E$324,3,FALSE)</f>
        <v>0942</v>
      </c>
    </row>
    <row r="501" spans="1:33">
      <c r="A501" s="84"/>
      <c r="B501" s="83" t="str">
        <f t="shared" si="67"/>
        <v/>
      </c>
      <c r="C501" s="84"/>
      <c r="D501" s="83" t="str">
        <f t="shared" si="68"/>
        <v/>
      </c>
      <c r="E501" s="85"/>
      <c r="F501" s="83" t="str">
        <f t="shared" si="69"/>
        <v/>
      </c>
      <c r="G501" s="83" t="str">
        <f t="shared" si="70"/>
        <v/>
      </c>
      <c r="H501" s="69"/>
      <c r="I501" s="69"/>
      <c r="J501" s="78">
        <f t="shared" si="71"/>
        <v>0</v>
      </c>
      <c r="K501" s="91"/>
      <c r="L501" s="92"/>
      <c r="M501" s="92"/>
      <c r="N501" s="91"/>
      <c r="O501" s="91"/>
      <c r="P501" s="67"/>
      <c r="R501" t="str">
        <f t="shared" si="72"/>
        <v/>
      </c>
      <c r="S501" t="str">
        <f t="shared" si="73"/>
        <v/>
      </c>
      <c r="T501" t="str">
        <f t="shared" si="74"/>
        <v/>
      </c>
      <c r="AD501" t="s">
        <v>2034</v>
      </c>
      <c r="AE501" t="s">
        <v>2035</v>
      </c>
      <c r="AF501" t="str">
        <f t="shared" si="75"/>
        <v>A679078</v>
      </c>
      <c r="AG501" t="str">
        <f>VLOOKUP(AF501,AKT!$C$4:$E$324,3,FALSE)</f>
        <v>0942</v>
      </c>
    </row>
    <row r="502" spans="1:33" ht="15.75" customHeight="1">
      <c r="H502" s="287"/>
      <c r="I502" s="287"/>
      <c r="AD502" t="s">
        <v>2036</v>
      </c>
      <c r="AE502" t="s">
        <v>2037</v>
      </c>
      <c r="AF502" t="str">
        <f t="shared" si="75"/>
        <v>A679078</v>
      </c>
      <c r="AG502" t="str">
        <f>VLOOKUP(AF502,AKT!$C$4:$E$324,3,FALSE)</f>
        <v>0942</v>
      </c>
    </row>
    <row r="503" spans="1:33" hidden="1">
      <c r="AD503" t="s">
        <v>2038</v>
      </c>
      <c r="AE503" t="s">
        <v>2039</v>
      </c>
      <c r="AF503" t="str">
        <f t="shared" si="75"/>
        <v>A679078</v>
      </c>
      <c r="AG503" t="str">
        <f>VLOOKUP(AF503,AKT!$C$4:$E$324,3,FALSE)</f>
        <v>0942</v>
      </c>
    </row>
    <row r="504" spans="1:33" hidden="1">
      <c r="AD504" t="s">
        <v>2040</v>
      </c>
      <c r="AE504" t="s">
        <v>2041</v>
      </c>
      <c r="AF504" t="str">
        <f t="shared" si="75"/>
        <v>A679078</v>
      </c>
      <c r="AG504" t="str">
        <f>VLOOKUP(AF504,AKT!$C$4:$E$324,3,FALSE)</f>
        <v>0942</v>
      </c>
    </row>
    <row r="505" spans="1:33" hidden="1">
      <c r="AD505" t="s">
        <v>2042</v>
      </c>
      <c r="AE505" t="s">
        <v>2043</v>
      </c>
      <c r="AF505" t="str">
        <f t="shared" si="75"/>
        <v>A679078</v>
      </c>
      <c r="AG505" t="str">
        <f>VLOOKUP(AF505,AKT!$C$4:$E$324,3,FALSE)</f>
        <v>0942</v>
      </c>
    </row>
    <row r="506" spans="1:33" hidden="1">
      <c r="AD506" t="s">
        <v>2044</v>
      </c>
      <c r="AE506" t="s">
        <v>2045</v>
      </c>
      <c r="AF506" t="str">
        <f t="shared" si="75"/>
        <v>A679078</v>
      </c>
      <c r="AG506" t="str">
        <f>VLOOKUP(AF506,AKT!$C$4:$E$324,3,FALSE)</f>
        <v>0942</v>
      </c>
    </row>
    <row r="507" spans="1:33" hidden="1">
      <c r="AD507" t="s">
        <v>2046</v>
      </c>
      <c r="AE507" t="s">
        <v>2047</v>
      </c>
      <c r="AF507" t="str">
        <f t="shared" si="75"/>
        <v>A679078</v>
      </c>
      <c r="AG507" t="str">
        <f>VLOOKUP(AF507,AKT!$C$4:$E$324,3,FALSE)</f>
        <v>0942</v>
      </c>
    </row>
    <row r="508" spans="1:33" hidden="1">
      <c r="AD508" t="s">
        <v>2048</v>
      </c>
      <c r="AE508" t="s">
        <v>2049</v>
      </c>
      <c r="AF508" t="str">
        <f t="shared" si="75"/>
        <v>A679078</v>
      </c>
      <c r="AG508" t="str">
        <f>VLOOKUP(AF508,AKT!$C$4:$E$324,3,FALSE)</f>
        <v>0942</v>
      </c>
    </row>
    <row r="509" spans="1:33" hidden="1">
      <c r="AD509" t="s">
        <v>2050</v>
      </c>
      <c r="AE509" t="s">
        <v>2051</v>
      </c>
      <c r="AF509" t="str">
        <f t="shared" si="75"/>
        <v>A679078</v>
      </c>
      <c r="AG509" t="str">
        <f>VLOOKUP(AF509,AKT!$C$4:$E$324,3,FALSE)</f>
        <v>0942</v>
      </c>
    </row>
    <row r="510" spans="1:33" hidden="1">
      <c r="AD510" t="s">
        <v>2052</v>
      </c>
      <c r="AE510" t="s">
        <v>2053</v>
      </c>
      <c r="AF510" t="str">
        <f t="shared" si="75"/>
        <v>A679078</v>
      </c>
      <c r="AG510" t="str">
        <f>VLOOKUP(AF510,AKT!$C$4:$E$324,3,FALSE)</f>
        <v>0942</v>
      </c>
    </row>
    <row r="511" spans="1:33" hidden="1">
      <c r="AD511" t="s">
        <v>2054</v>
      </c>
      <c r="AE511" t="s">
        <v>2055</v>
      </c>
      <c r="AF511" t="str">
        <f t="shared" si="75"/>
        <v>A679078</v>
      </c>
      <c r="AG511" t="str">
        <f>VLOOKUP(AF511,AKT!$C$4:$E$324,3,FALSE)</f>
        <v>0942</v>
      </c>
    </row>
    <row r="512" spans="1:33" hidden="1">
      <c r="AD512" t="s">
        <v>2056</v>
      </c>
      <c r="AE512" t="s">
        <v>2057</v>
      </c>
      <c r="AF512" t="str">
        <f t="shared" si="75"/>
        <v>A679078</v>
      </c>
      <c r="AG512" t="str">
        <f>VLOOKUP(AF512,AKT!$C$4:$E$324,3,FALSE)</f>
        <v>0942</v>
      </c>
    </row>
    <row r="513" spans="30:33" hidden="1">
      <c r="AD513" t="s">
        <v>2058</v>
      </c>
      <c r="AE513" t="s">
        <v>2059</v>
      </c>
      <c r="AF513" t="str">
        <f t="shared" si="75"/>
        <v>A679078</v>
      </c>
      <c r="AG513" t="str">
        <f>VLOOKUP(AF513,AKT!$C$4:$E$324,3,FALSE)</f>
        <v>0942</v>
      </c>
    </row>
    <row r="514" spans="30:33" hidden="1">
      <c r="AD514" t="s">
        <v>2060</v>
      </c>
      <c r="AE514" t="s">
        <v>2061</v>
      </c>
      <c r="AF514" t="str">
        <f t="shared" si="75"/>
        <v>A679078</v>
      </c>
      <c r="AG514" t="str">
        <f>VLOOKUP(AF514,AKT!$C$4:$E$324,3,FALSE)</f>
        <v>0942</v>
      </c>
    </row>
    <row r="515" spans="30:33" hidden="1">
      <c r="AD515" t="s">
        <v>2062</v>
      </c>
      <c r="AE515" t="s">
        <v>2063</v>
      </c>
      <c r="AF515" t="str">
        <f t="shared" si="75"/>
        <v>A679078</v>
      </c>
      <c r="AG515" t="str">
        <f>VLOOKUP(AF515,AKT!$C$4:$E$324,3,FALSE)</f>
        <v>0942</v>
      </c>
    </row>
    <row r="516" spans="30:33" hidden="1">
      <c r="AD516" t="s">
        <v>2064</v>
      </c>
      <c r="AE516" t="s">
        <v>2065</v>
      </c>
      <c r="AF516" t="str">
        <f t="shared" si="75"/>
        <v>A679078</v>
      </c>
      <c r="AG516" t="str">
        <f>VLOOKUP(AF516,AKT!$C$4:$E$324,3,FALSE)</f>
        <v>0942</v>
      </c>
    </row>
    <row r="517" spans="30:33" hidden="1">
      <c r="AD517" t="s">
        <v>2066</v>
      </c>
      <c r="AE517" t="s">
        <v>2067</v>
      </c>
      <c r="AF517" t="str">
        <f t="shared" si="75"/>
        <v>A679078</v>
      </c>
      <c r="AG517" t="str">
        <f>VLOOKUP(AF517,AKT!$C$4:$E$324,3,FALSE)</f>
        <v>0942</v>
      </c>
    </row>
    <row r="518" spans="30:33" hidden="1">
      <c r="AD518" t="s">
        <v>2068</v>
      </c>
      <c r="AE518" t="s">
        <v>2069</v>
      </c>
      <c r="AF518" t="str">
        <f t="shared" si="75"/>
        <v>A679078</v>
      </c>
      <c r="AG518" t="str">
        <f>VLOOKUP(AF518,AKT!$C$4:$E$324,3,FALSE)</f>
        <v>0942</v>
      </c>
    </row>
    <row r="519" spans="30:33" hidden="1">
      <c r="AD519" t="s">
        <v>2070</v>
      </c>
      <c r="AE519" t="s">
        <v>2071</v>
      </c>
      <c r="AF519" t="str">
        <f t="shared" si="75"/>
        <v>A679078</v>
      </c>
      <c r="AG519" t="str">
        <f>VLOOKUP(AF519,AKT!$C$4:$E$324,3,FALSE)</f>
        <v>0942</v>
      </c>
    </row>
    <row r="520" spans="30:33" hidden="1">
      <c r="AD520" t="s">
        <v>2072</v>
      </c>
      <c r="AE520" t="s">
        <v>2073</v>
      </c>
      <c r="AF520" t="str">
        <f t="shared" ref="AF520:AF583" si="76">LEFT(AD520,7)</f>
        <v>A679078</v>
      </c>
      <c r="AG520" t="str">
        <f>VLOOKUP(AF520,AKT!$C$4:$E$324,3,FALSE)</f>
        <v>0942</v>
      </c>
    </row>
    <row r="521" spans="30:33" hidden="1">
      <c r="AD521" t="s">
        <v>2074</v>
      </c>
      <c r="AE521" t="s">
        <v>2075</v>
      </c>
      <c r="AF521" t="str">
        <f t="shared" si="76"/>
        <v>A679078</v>
      </c>
      <c r="AG521" t="str">
        <f>VLOOKUP(AF521,AKT!$C$4:$E$324,3,FALSE)</f>
        <v>0942</v>
      </c>
    </row>
    <row r="522" spans="30:33" hidden="1">
      <c r="AD522" t="s">
        <v>2076</v>
      </c>
      <c r="AE522" t="s">
        <v>2077</v>
      </c>
      <c r="AF522" t="str">
        <f t="shared" si="76"/>
        <v>A679078</v>
      </c>
      <c r="AG522" t="str">
        <f>VLOOKUP(AF522,AKT!$C$4:$E$324,3,FALSE)</f>
        <v>0942</v>
      </c>
    </row>
    <row r="523" spans="30:33" hidden="1">
      <c r="AD523" t="s">
        <v>2078</v>
      </c>
      <c r="AE523" t="s">
        <v>2079</v>
      </c>
      <c r="AF523" t="str">
        <f t="shared" si="76"/>
        <v>A679078</v>
      </c>
      <c r="AG523" t="str">
        <f>VLOOKUP(AF523,AKT!$C$4:$E$324,3,FALSE)</f>
        <v>0942</v>
      </c>
    </row>
    <row r="524" spans="30:33" hidden="1">
      <c r="AD524" t="s">
        <v>2080</v>
      </c>
      <c r="AE524" t="s">
        <v>2081</v>
      </c>
      <c r="AF524" t="str">
        <f t="shared" si="76"/>
        <v>A679078</v>
      </c>
      <c r="AG524" t="str">
        <f>VLOOKUP(AF524,AKT!$C$4:$E$324,3,FALSE)</f>
        <v>0942</v>
      </c>
    </row>
    <row r="525" spans="30:33" hidden="1">
      <c r="AD525" t="s">
        <v>2082</v>
      </c>
      <c r="AE525" t="s">
        <v>2083</v>
      </c>
      <c r="AF525" t="str">
        <f t="shared" si="76"/>
        <v>A679078</v>
      </c>
      <c r="AG525" t="str">
        <f>VLOOKUP(AF525,AKT!$C$4:$E$324,3,FALSE)</f>
        <v>0942</v>
      </c>
    </row>
    <row r="526" spans="30:33" hidden="1">
      <c r="AD526" t="s">
        <v>2084</v>
      </c>
      <c r="AE526" t="s">
        <v>2085</v>
      </c>
      <c r="AF526" t="str">
        <f t="shared" si="76"/>
        <v>A679078</v>
      </c>
      <c r="AG526" t="str">
        <f>VLOOKUP(AF526,AKT!$C$4:$E$324,3,FALSE)</f>
        <v>0942</v>
      </c>
    </row>
    <row r="527" spans="30:33" hidden="1">
      <c r="AD527" t="s">
        <v>2086</v>
      </c>
      <c r="AE527" t="s">
        <v>2087</v>
      </c>
      <c r="AF527" t="str">
        <f t="shared" si="76"/>
        <v>A679078</v>
      </c>
      <c r="AG527" t="str">
        <f>VLOOKUP(AF527,AKT!$C$4:$E$324,3,FALSE)</f>
        <v>0942</v>
      </c>
    </row>
    <row r="528" spans="30:33" hidden="1">
      <c r="AD528" t="s">
        <v>2088</v>
      </c>
      <c r="AE528" t="s">
        <v>2089</v>
      </c>
      <c r="AF528" t="str">
        <f t="shared" si="76"/>
        <v>A679078</v>
      </c>
      <c r="AG528" t="str">
        <f>VLOOKUP(AF528,AKT!$C$4:$E$324,3,FALSE)</f>
        <v>0942</v>
      </c>
    </row>
    <row r="529" spans="30:33" hidden="1">
      <c r="AD529" t="s">
        <v>2090</v>
      </c>
      <c r="AE529" t="s">
        <v>2091</v>
      </c>
      <c r="AF529" t="str">
        <f t="shared" si="76"/>
        <v>A679078</v>
      </c>
      <c r="AG529" t="str">
        <f>VLOOKUP(AF529,AKT!$C$4:$E$324,3,FALSE)</f>
        <v>0942</v>
      </c>
    </row>
    <row r="530" spans="30:33" hidden="1">
      <c r="AD530" t="s">
        <v>2092</v>
      </c>
      <c r="AE530" t="s">
        <v>2093</v>
      </c>
      <c r="AF530" t="str">
        <f t="shared" si="76"/>
        <v>A679078</v>
      </c>
      <c r="AG530" t="str">
        <f>VLOOKUP(AF530,AKT!$C$4:$E$324,3,FALSE)</f>
        <v>0942</v>
      </c>
    </row>
    <row r="531" spans="30:33" hidden="1">
      <c r="AD531" t="s">
        <v>2094</v>
      </c>
      <c r="AE531" t="s">
        <v>2095</v>
      </c>
      <c r="AF531" t="str">
        <f t="shared" si="76"/>
        <v>A679078</v>
      </c>
      <c r="AG531" t="str">
        <f>VLOOKUP(AF531,AKT!$C$4:$E$324,3,FALSE)</f>
        <v>0942</v>
      </c>
    </row>
    <row r="532" spans="30:33" hidden="1">
      <c r="AD532" t="s">
        <v>2096</v>
      </c>
      <c r="AE532" t="s">
        <v>2097</v>
      </c>
      <c r="AF532" t="str">
        <f t="shared" si="76"/>
        <v>A679078</v>
      </c>
      <c r="AG532" t="str">
        <f>VLOOKUP(AF532,AKT!$C$4:$E$324,3,FALSE)</f>
        <v>0942</v>
      </c>
    </row>
    <row r="533" spans="30:33" hidden="1">
      <c r="AD533" t="s">
        <v>2098</v>
      </c>
      <c r="AE533" t="s">
        <v>2099</v>
      </c>
      <c r="AF533" t="str">
        <f t="shared" si="76"/>
        <v>A679078</v>
      </c>
      <c r="AG533" t="str">
        <f>VLOOKUP(AF533,AKT!$C$4:$E$324,3,FALSE)</f>
        <v>0942</v>
      </c>
    </row>
    <row r="534" spans="30:33" hidden="1">
      <c r="AD534" t="s">
        <v>2100</v>
      </c>
      <c r="AE534" t="s">
        <v>2101</v>
      </c>
      <c r="AF534" t="str">
        <f t="shared" si="76"/>
        <v>A679078</v>
      </c>
      <c r="AG534" t="str">
        <f>VLOOKUP(AF534,AKT!$C$4:$E$324,3,FALSE)</f>
        <v>0942</v>
      </c>
    </row>
    <row r="535" spans="30:33" hidden="1">
      <c r="AD535" t="s">
        <v>2102</v>
      </c>
      <c r="AE535" t="s">
        <v>2103</v>
      </c>
      <c r="AF535" t="str">
        <f t="shared" si="76"/>
        <v>A679078</v>
      </c>
      <c r="AG535" t="str">
        <f>VLOOKUP(AF535,AKT!$C$4:$E$324,3,FALSE)</f>
        <v>0942</v>
      </c>
    </row>
    <row r="536" spans="30:33" hidden="1">
      <c r="AD536" t="s">
        <v>2104</v>
      </c>
      <c r="AE536" t="s">
        <v>2105</v>
      </c>
      <c r="AF536" t="str">
        <f t="shared" si="76"/>
        <v>A679078</v>
      </c>
      <c r="AG536" t="str">
        <f>VLOOKUP(AF536,AKT!$C$4:$E$324,3,FALSE)</f>
        <v>0942</v>
      </c>
    </row>
    <row r="537" spans="30:33" hidden="1">
      <c r="AD537" t="s">
        <v>2106</v>
      </c>
      <c r="AE537" t="s">
        <v>2107</v>
      </c>
      <c r="AF537" t="str">
        <f t="shared" si="76"/>
        <v>A679078</v>
      </c>
      <c r="AG537" t="str">
        <f>VLOOKUP(AF537,AKT!$C$4:$E$324,3,FALSE)</f>
        <v>0942</v>
      </c>
    </row>
    <row r="538" spans="30:33" hidden="1">
      <c r="AD538" t="s">
        <v>2108</v>
      </c>
      <c r="AE538" t="s">
        <v>2109</v>
      </c>
      <c r="AF538" t="str">
        <f t="shared" si="76"/>
        <v>A679078</v>
      </c>
      <c r="AG538" t="str">
        <f>VLOOKUP(AF538,AKT!$C$4:$E$324,3,FALSE)</f>
        <v>0942</v>
      </c>
    </row>
    <row r="539" spans="30:33" hidden="1">
      <c r="AD539" t="s">
        <v>2110</v>
      </c>
      <c r="AE539" t="s">
        <v>2111</v>
      </c>
      <c r="AF539" t="str">
        <f t="shared" si="76"/>
        <v>A679078</v>
      </c>
      <c r="AG539" t="str">
        <f>VLOOKUP(AF539,AKT!$C$4:$E$324,3,FALSE)</f>
        <v>0942</v>
      </c>
    </row>
    <row r="540" spans="30:33" hidden="1">
      <c r="AD540" t="s">
        <v>2112</v>
      </c>
      <c r="AE540" t="s">
        <v>2113</v>
      </c>
      <c r="AF540" t="str">
        <f t="shared" si="76"/>
        <v>A679078</v>
      </c>
      <c r="AG540" t="str">
        <f>VLOOKUP(AF540,AKT!$C$4:$E$324,3,FALSE)</f>
        <v>0942</v>
      </c>
    </row>
    <row r="541" spans="30:33" hidden="1">
      <c r="AD541" t="s">
        <v>2114</v>
      </c>
      <c r="AE541" t="s">
        <v>2115</v>
      </c>
      <c r="AF541" t="str">
        <f t="shared" si="76"/>
        <v>A679078</v>
      </c>
      <c r="AG541" t="str">
        <f>VLOOKUP(AF541,AKT!$C$4:$E$324,3,FALSE)</f>
        <v>0942</v>
      </c>
    </row>
    <row r="542" spans="30:33" hidden="1">
      <c r="AD542" t="s">
        <v>2116</v>
      </c>
      <c r="AE542" t="s">
        <v>2117</v>
      </c>
      <c r="AF542" t="str">
        <f t="shared" si="76"/>
        <v>A679078</v>
      </c>
      <c r="AG542" t="str">
        <f>VLOOKUP(AF542,AKT!$C$4:$E$324,3,FALSE)</f>
        <v>0942</v>
      </c>
    </row>
    <row r="543" spans="30:33" hidden="1">
      <c r="AD543" t="s">
        <v>2118</v>
      </c>
      <c r="AE543" t="s">
        <v>2119</v>
      </c>
      <c r="AF543" t="str">
        <f t="shared" si="76"/>
        <v>A679078</v>
      </c>
      <c r="AG543" t="str">
        <f>VLOOKUP(AF543,AKT!$C$4:$E$324,3,FALSE)</f>
        <v>0942</v>
      </c>
    </row>
    <row r="544" spans="30:33" hidden="1">
      <c r="AD544" t="s">
        <v>2120</v>
      </c>
      <c r="AE544" t="s">
        <v>2121</v>
      </c>
      <c r="AF544" t="str">
        <f t="shared" si="76"/>
        <v>A679078</v>
      </c>
      <c r="AG544" t="str">
        <f>VLOOKUP(AF544,AKT!$C$4:$E$324,3,FALSE)</f>
        <v>0942</v>
      </c>
    </row>
    <row r="545" spans="30:33" hidden="1">
      <c r="AD545" t="s">
        <v>2122</v>
      </c>
      <c r="AE545" t="s">
        <v>2123</v>
      </c>
      <c r="AF545" t="str">
        <f t="shared" si="76"/>
        <v>A679078</v>
      </c>
      <c r="AG545" t="str">
        <f>VLOOKUP(AF545,AKT!$C$4:$E$324,3,FALSE)</f>
        <v>0942</v>
      </c>
    </row>
    <row r="546" spans="30:33" hidden="1">
      <c r="AD546" t="s">
        <v>2124</v>
      </c>
      <c r="AE546" t="s">
        <v>2125</v>
      </c>
      <c r="AF546" t="str">
        <f t="shared" si="76"/>
        <v>A679078</v>
      </c>
      <c r="AG546" t="str">
        <f>VLOOKUP(AF546,AKT!$C$4:$E$324,3,FALSE)</f>
        <v>0942</v>
      </c>
    </row>
    <row r="547" spans="30:33" hidden="1">
      <c r="AD547" t="s">
        <v>2126</v>
      </c>
      <c r="AE547" t="s">
        <v>2127</v>
      </c>
      <c r="AF547" t="str">
        <f t="shared" si="76"/>
        <v>A679078</v>
      </c>
      <c r="AG547" t="str">
        <f>VLOOKUP(AF547,AKT!$C$4:$E$324,3,FALSE)</f>
        <v>0942</v>
      </c>
    </row>
    <row r="548" spans="30:33" hidden="1">
      <c r="AD548" t="s">
        <v>2128</v>
      </c>
      <c r="AE548" t="s">
        <v>2129</v>
      </c>
      <c r="AF548" t="str">
        <f t="shared" si="76"/>
        <v>A679078</v>
      </c>
      <c r="AG548" t="str">
        <f>VLOOKUP(AF548,AKT!$C$4:$E$324,3,FALSE)</f>
        <v>0942</v>
      </c>
    </row>
    <row r="549" spans="30:33" hidden="1">
      <c r="AD549" t="s">
        <v>2130</v>
      </c>
      <c r="AE549" t="s">
        <v>2131</v>
      </c>
      <c r="AF549" t="str">
        <f t="shared" si="76"/>
        <v>A679078</v>
      </c>
      <c r="AG549" t="str">
        <f>VLOOKUP(AF549,AKT!$C$4:$E$324,3,FALSE)</f>
        <v>0942</v>
      </c>
    </row>
    <row r="550" spans="30:33" hidden="1">
      <c r="AD550" t="s">
        <v>2132</v>
      </c>
      <c r="AE550" t="s">
        <v>2133</v>
      </c>
      <c r="AF550" t="str">
        <f t="shared" si="76"/>
        <v>A679078</v>
      </c>
      <c r="AG550" t="str">
        <f>VLOOKUP(AF550,AKT!$C$4:$E$324,3,FALSE)</f>
        <v>0942</v>
      </c>
    </row>
    <row r="551" spans="30:33" hidden="1">
      <c r="AD551" t="s">
        <v>2134</v>
      </c>
      <c r="AE551" t="s">
        <v>2135</v>
      </c>
      <c r="AF551" t="str">
        <f t="shared" si="76"/>
        <v>A679078</v>
      </c>
      <c r="AG551" t="str">
        <f>VLOOKUP(AF551,AKT!$C$4:$E$324,3,FALSE)</f>
        <v>0942</v>
      </c>
    </row>
    <row r="552" spans="30:33" hidden="1">
      <c r="AD552" t="s">
        <v>2136</v>
      </c>
      <c r="AE552" t="s">
        <v>1929</v>
      </c>
      <c r="AF552" t="str">
        <f t="shared" si="76"/>
        <v>A679078</v>
      </c>
      <c r="AG552" t="str">
        <f>VLOOKUP(AF552,AKT!$C$4:$E$324,3,FALSE)</f>
        <v>0942</v>
      </c>
    </row>
    <row r="553" spans="30:33" hidden="1">
      <c r="AD553" t="s">
        <v>2137</v>
      </c>
      <c r="AE553" t="s">
        <v>2138</v>
      </c>
      <c r="AF553" t="str">
        <f t="shared" si="76"/>
        <v>A679078</v>
      </c>
      <c r="AG553" t="str">
        <f>VLOOKUP(AF553,AKT!$C$4:$E$324,3,FALSE)</f>
        <v>0942</v>
      </c>
    </row>
    <row r="554" spans="30:33" hidden="1">
      <c r="AD554" t="s">
        <v>2139</v>
      </c>
      <c r="AE554" t="s">
        <v>2140</v>
      </c>
      <c r="AF554" t="str">
        <f t="shared" si="76"/>
        <v>A679078</v>
      </c>
      <c r="AG554" t="str">
        <f>VLOOKUP(AF554,AKT!$C$4:$E$324,3,FALSE)</f>
        <v>0942</v>
      </c>
    </row>
    <row r="555" spans="30:33" hidden="1">
      <c r="AD555" t="s">
        <v>2141</v>
      </c>
      <c r="AE555" t="s">
        <v>2142</v>
      </c>
      <c r="AF555" t="str">
        <f t="shared" si="76"/>
        <v>A679078</v>
      </c>
      <c r="AG555" t="str">
        <f>VLOOKUP(AF555,AKT!$C$4:$E$324,3,FALSE)</f>
        <v>0942</v>
      </c>
    </row>
    <row r="556" spans="30:33" hidden="1">
      <c r="AD556" t="s">
        <v>2143</v>
      </c>
      <c r="AE556" t="s">
        <v>2144</v>
      </c>
      <c r="AF556" t="str">
        <f t="shared" si="76"/>
        <v>A679078</v>
      </c>
      <c r="AG556" t="str">
        <f>VLOOKUP(AF556,AKT!$C$4:$E$324,3,FALSE)</f>
        <v>0942</v>
      </c>
    </row>
    <row r="557" spans="30:33" hidden="1">
      <c r="AD557" t="s">
        <v>2145</v>
      </c>
      <c r="AE557" t="s">
        <v>2146</v>
      </c>
      <c r="AF557" t="str">
        <f t="shared" si="76"/>
        <v>A679078</v>
      </c>
      <c r="AG557" t="str">
        <f>VLOOKUP(AF557,AKT!$C$4:$E$324,3,FALSE)</f>
        <v>0942</v>
      </c>
    </row>
    <row r="558" spans="30:33" hidden="1">
      <c r="AD558" t="s">
        <v>2147</v>
      </c>
      <c r="AE558" t="s">
        <v>2148</v>
      </c>
      <c r="AF558" t="str">
        <f t="shared" si="76"/>
        <v>A679078</v>
      </c>
      <c r="AG558" t="str">
        <f>VLOOKUP(AF558,AKT!$C$4:$E$324,3,FALSE)</f>
        <v>0942</v>
      </c>
    </row>
    <row r="559" spans="30:33" hidden="1">
      <c r="AD559" t="s">
        <v>2149</v>
      </c>
      <c r="AE559" t="s">
        <v>2150</v>
      </c>
      <c r="AF559" t="str">
        <f t="shared" si="76"/>
        <v>A679078</v>
      </c>
      <c r="AG559" t="str">
        <f>VLOOKUP(AF559,AKT!$C$4:$E$324,3,FALSE)</f>
        <v>0942</v>
      </c>
    </row>
    <row r="560" spans="30:33" hidden="1">
      <c r="AD560" t="s">
        <v>2151</v>
      </c>
      <c r="AE560" t="s">
        <v>2152</v>
      </c>
      <c r="AF560" t="str">
        <f t="shared" si="76"/>
        <v>A679078</v>
      </c>
      <c r="AG560" t="str">
        <f>VLOOKUP(AF560,AKT!$C$4:$E$324,3,FALSE)</f>
        <v>0942</v>
      </c>
    </row>
    <row r="561" spans="30:33" hidden="1">
      <c r="AD561" t="s">
        <v>2153</v>
      </c>
      <c r="AE561" t="s">
        <v>2154</v>
      </c>
      <c r="AF561" t="str">
        <f t="shared" si="76"/>
        <v>A679078</v>
      </c>
      <c r="AG561" t="str">
        <f>VLOOKUP(AF561,AKT!$C$4:$E$324,3,FALSE)</f>
        <v>0942</v>
      </c>
    </row>
    <row r="562" spans="30:33" hidden="1">
      <c r="AD562" t="s">
        <v>2155</v>
      </c>
      <c r="AE562" t="s">
        <v>2156</v>
      </c>
      <c r="AF562" t="str">
        <f t="shared" si="76"/>
        <v>A679078</v>
      </c>
      <c r="AG562" t="str">
        <f>VLOOKUP(AF562,AKT!$C$4:$E$324,3,FALSE)</f>
        <v>0942</v>
      </c>
    </row>
    <row r="563" spans="30:33" hidden="1">
      <c r="AD563" t="s">
        <v>2157</v>
      </c>
      <c r="AE563" t="s">
        <v>2158</v>
      </c>
      <c r="AF563" t="str">
        <f t="shared" si="76"/>
        <v>A679078</v>
      </c>
      <c r="AG563" t="str">
        <f>VLOOKUP(AF563,AKT!$C$4:$E$324,3,FALSE)</f>
        <v>0942</v>
      </c>
    </row>
    <row r="564" spans="30:33" hidden="1">
      <c r="AD564" t="s">
        <v>2159</v>
      </c>
      <c r="AE564" t="s">
        <v>2160</v>
      </c>
      <c r="AF564" t="str">
        <f t="shared" si="76"/>
        <v>A679078</v>
      </c>
      <c r="AG564" t="str">
        <f>VLOOKUP(AF564,AKT!$C$4:$E$324,3,FALSE)</f>
        <v>0942</v>
      </c>
    </row>
    <row r="565" spans="30:33" hidden="1">
      <c r="AD565" t="s">
        <v>2161</v>
      </c>
      <c r="AE565" t="s">
        <v>2162</v>
      </c>
      <c r="AF565" t="str">
        <f t="shared" si="76"/>
        <v>A679078</v>
      </c>
      <c r="AG565" t="str">
        <f>VLOOKUP(AF565,AKT!$C$4:$E$324,3,FALSE)</f>
        <v>0942</v>
      </c>
    </row>
    <row r="566" spans="30:33" hidden="1">
      <c r="AD566" t="s">
        <v>2163</v>
      </c>
      <c r="AE566" t="s">
        <v>2164</v>
      </c>
      <c r="AF566" t="str">
        <f t="shared" si="76"/>
        <v>A679078</v>
      </c>
      <c r="AG566" t="str">
        <f>VLOOKUP(AF566,AKT!$C$4:$E$324,3,FALSE)</f>
        <v>0942</v>
      </c>
    </row>
    <row r="567" spans="30:33" hidden="1">
      <c r="AD567" t="s">
        <v>2165</v>
      </c>
      <c r="AE567" t="s">
        <v>2166</v>
      </c>
      <c r="AF567" t="str">
        <f t="shared" si="76"/>
        <v>A679078</v>
      </c>
      <c r="AG567" t="str">
        <f>VLOOKUP(AF567,AKT!$C$4:$E$324,3,FALSE)</f>
        <v>0942</v>
      </c>
    </row>
    <row r="568" spans="30:33" hidden="1">
      <c r="AD568" t="s">
        <v>2167</v>
      </c>
      <c r="AE568" t="s">
        <v>2168</v>
      </c>
      <c r="AF568" t="str">
        <f t="shared" si="76"/>
        <v>A679078</v>
      </c>
      <c r="AG568" t="str">
        <f>VLOOKUP(AF568,AKT!$C$4:$E$324,3,FALSE)</f>
        <v>0942</v>
      </c>
    </row>
    <row r="569" spans="30:33" hidden="1">
      <c r="AD569" t="s">
        <v>2169</v>
      </c>
      <c r="AE569" t="s">
        <v>2170</v>
      </c>
      <c r="AF569" t="str">
        <f t="shared" si="76"/>
        <v>A679078</v>
      </c>
      <c r="AG569" t="str">
        <f>VLOOKUP(AF569,AKT!$C$4:$E$324,3,FALSE)</f>
        <v>0942</v>
      </c>
    </row>
    <row r="570" spans="30:33" hidden="1">
      <c r="AD570" t="s">
        <v>2171</v>
      </c>
      <c r="AE570" t="s">
        <v>2172</v>
      </c>
      <c r="AF570" t="str">
        <f t="shared" si="76"/>
        <v>A679078</v>
      </c>
      <c r="AG570" t="str">
        <f>VLOOKUP(AF570,AKT!$C$4:$E$324,3,FALSE)</f>
        <v>0942</v>
      </c>
    </row>
    <row r="571" spans="30:33" hidden="1">
      <c r="AD571" t="s">
        <v>2173</v>
      </c>
      <c r="AE571" t="s">
        <v>2174</v>
      </c>
      <c r="AF571" t="str">
        <f t="shared" si="76"/>
        <v>A679078</v>
      </c>
      <c r="AG571" t="str">
        <f>VLOOKUP(AF571,AKT!$C$4:$E$324,3,FALSE)</f>
        <v>0942</v>
      </c>
    </row>
    <row r="572" spans="30:33" hidden="1">
      <c r="AD572" t="s">
        <v>2175</v>
      </c>
      <c r="AE572" t="s">
        <v>2176</v>
      </c>
      <c r="AF572" t="str">
        <f t="shared" si="76"/>
        <v>A679078</v>
      </c>
      <c r="AG572" t="str">
        <f>VLOOKUP(AF572,AKT!$C$4:$E$324,3,FALSE)</f>
        <v>0942</v>
      </c>
    </row>
    <row r="573" spans="30:33" hidden="1">
      <c r="AD573" t="s">
        <v>2177</v>
      </c>
      <c r="AE573" t="s">
        <v>2178</v>
      </c>
      <c r="AF573" t="str">
        <f t="shared" si="76"/>
        <v>A679078</v>
      </c>
      <c r="AG573" t="str">
        <f>VLOOKUP(AF573,AKT!$C$4:$E$324,3,FALSE)</f>
        <v>0942</v>
      </c>
    </row>
    <row r="574" spans="30:33" hidden="1">
      <c r="AD574" t="s">
        <v>2179</v>
      </c>
      <c r="AE574" t="s">
        <v>2180</v>
      </c>
      <c r="AF574" t="str">
        <f t="shared" si="76"/>
        <v>A679078</v>
      </c>
      <c r="AG574" t="str">
        <f>VLOOKUP(AF574,AKT!$C$4:$E$324,3,FALSE)</f>
        <v>0942</v>
      </c>
    </row>
    <row r="575" spans="30:33" hidden="1">
      <c r="AD575" t="s">
        <v>2181</v>
      </c>
      <c r="AE575" t="s">
        <v>2182</v>
      </c>
      <c r="AF575" t="str">
        <f t="shared" si="76"/>
        <v>A679078</v>
      </c>
      <c r="AG575" t="str">
        <f>VLOOKUP(AF575,AKT!$C$4:$E$324,3,FALSE)</f>
        <v>0942</v>
      </c>
    </row>
    <row r="576" spans="30:33" hidden="1">
      <c r="AD576" t="s">
        <v>2183</v>
      </c>
      <c r="AE576" t="s">
        <v>2184</v>
      </c>
      <c r="AF576" t="str">
        <f t="shared" si="76"/>
        <v>A679078</v>
      </c>
      <c r="AG576" t="str">
        <f>VLOOKUP(AF576,AKT!$C$4:$E$324,3,FALSE)</f>
        <v>0942</v>
      </c>
    </row>
    <row r="577" spans="30:33" hidden="1">
      <c r="AD577" t="s">
        <v>2185</v>
      </c>
      <c r="AE577" t="s">
        <v>2186</v>
      </c>
      <c r="AF577" t="str">
        <f t="shared" si="76"/>
        <v>A679078</v>
      </c>
      <c r="AG577" t="str">
        <f>VLOOKUP(AF577,AKT!$C$4:$E$324,3,FALSE)</f>
        <v>0942</v>
      </c>
    </row>
    <row r="578" spans="30:33" hidden="1">
      <c r="AD578" t="s">
        <v>2187</v>
      </c>
      <c r="AE578" t="s">
        <v>2188</v>
      </c>
      <c r="AF578" t="str">
        <f t="shared" si="76"/>
        <v>A679078</v>
      </c>
      <c r="AG578" t="str">
        <f>VLOOKUP(AF578,AKT!$C$4:$E$324,3,FALSE)</f>
        <v>0942</v>
      </c>
    </row>
    <row r="579" spans="30:33" hidden="1">
      <c r="AD579" t="s">
        <v>2189</v>
      </c>
      <c r="AE579" t="s">
        <v>2190</v>
      </c>
      <c r="AF579" t="str">
        <f t="shared" si="76"/>
        <v>A679078</v>
      </c>
      <c r="AG579" t="str">
        <f>VLOOKUP(AF579,AKT!$C$4:$E$324,3,FALSE)</f>
        <v>0942</v>
      </c>
    </row>
    <row r="580" spans="30:33" hidden="1">
      <c r="AD580" t="s">
        <v>2191</v>
      </c>
      <c r="AE580" t="s">
        <v>2192</v>
      </c>
      <c r="AF580" t="str">
        <f t="shared" si="76"/>
        <v>A679078</v>
      </c>
      <c r="AG580" t="str">
        <f>VLOOKUP(AF580,AKT!$C$4:$E$324,3,FALSE)</f>
        <v>0942</v>
      </c>
    </row>
    <row r="581" spans="30:33" hidden="1">
      <c r="AD581" t="s">
        <v>2193</v>
      </c>
      <c r="AE581" t="s">
        <v>2194</v>
      </c>
      <c r="AF581" t="str">
        <f t="shared" si="76"/>
        <v>A679078</v>
      </c>
      <c r="AG581" t="str">
        <f>VLOOKUP(AF581,AKT!$C$4:$E$324,3,FALSE)</f>
        <v>0942</v>
      </c>
    </row>
    <row r="582" spans="30:33" hidden="1">
      <c r="AD582" t="s">
        <v>2195</v>
      </c>
      <c r="AE582" t="s">
        <v>2196</v>
      </c>
      <c r="AF582" t="str">
        <f t="shared" si="76"/>
        <v>A679078</v>
      </c>
      <c r="AG582" t="str">
        <f>VLOOKUP(AF582,AKT!$C$4:$E$324,3,FALSE)</f>
        <v>0942</v>
      </c>
    </row>
    <row r="583" spans="30:33" hidden="1">
      <c r="AD583" t="s">
        <v>2197</v>
      </c>
      <c r="AE583" t="s">
        <v>2198</v>
      </c>
      <c r="AF583" t="str">
        <f t="shared" si="76"/>
        <v>A679078</v>
      </c>
      <c r="AG583" t="str">
        <f>VLOOKUP(AF583,AKT!$C$4:$E$324,3,FALSE)</f>
        <v>0942</v>
      </c>
    </row>
    <row r="584" spans="30:33" hidden="1">
      <c r="AD584" t="s">
        <v>2199</v>
      </c>
      <c r="AE584" t="s">
        <v>2200</v>
      </c>
      <c r="AF584" t="str">
        <f t="shared" ref="AF584:AF647" si="77">LEFT(AD584,7)</f>
        <v>A679078</v>
      </c>
      <c r="AG584" t="str">
        <f>VLOOKUP(AF584,AKT!$C$4:$E$324,3,FALSE)</f>
        <v>0942</v>
      </c>
    </row>
    <row r="585" spans="30:33" hidden="1">
      <c r="AD585" t="s">
        <v>2201</v>
      </c>
      <c r="AE585" t="s">
        <v>2202</v>
      </c>
      <c r="AF585" t="str">
        <f t="shared" si="77"/>
        <v>A679078</v>
      </c>
      <c r="AG585" t="str">
        <f>VLOOKUP(AF585,AKT!$C$4:$E$324,3,FALSE)</f>
        <v>0942</v>
      </c>
    </row>
    <row r="586" spans="30:33" hidden="1">
      <c r="AD586" t="s">
        <v>2203</v>
      </c>
      <c r="AE586" t="s">
        <v>2204</v>
      </c>
      <c r="AF586" t="str">
        <f t="shared" si="77"/>
        <v>A679078</v>
      </c>
      <c r="AG586" t="str">
        <f>VLOOKUP(AF586,AKT!$C$4:$E$324,3,FALSE)</f>
        <v>0942</v>
      </c>
    </row>
    <row r="587" spans="30:33" hidden="1">
      <c r="AD587" t="s">
        <v>2205</v>
      </c>
      <c r="AE587" t="s">
        <v>2206</v>
      </c>
      <c r="AF587" t="str">
        <f t="shared" si="77"/>
        <v>A679078</v>
      </c>
      <c r="AG587" t="str">
        <f>VLOOKUP(AF587,AKT!$C$4:$E$324,3,FALSE)</f>
        <v>0942</v>
      </c>
    </row>
    <row r="588" spans="30:33" hidden="1">
      <c r="AD588" t="s">
        <v>2207</v>
      </c>
      <c r="AE588" t="s">
        <v>2208</v>
      </c>
      <c r="AF588" t="str">
        <f t="shared" si="77"/>
        <v>A679078</v>
      </c>
      <c r="AG588" t="str">
        <f>VLOOKUP(AF588,AKT!$C$4:$E$324,3,FALSE)</f>
        <v>0942</v>
      </c>
    </row>
    <row r="589" spans="30:33" hidden="1">
      <c r="AD589" t="s">
        <v>2209</v>
      </c>
      <c r="AE589" t="s">
        <v>2210</v>
      </c>
      <c r="AF589" t="str">
        <f t="shared" si="77"/>
        <v>A679078</v>
      </c>
      <c r="AG589" t="str">
        <f>VLOOKUP(AF589,AKT!$C$4:$E$324,3,FALSE)</f>
        <v>0942</v>
      </c>
    </row>
    <row r="590" spans="30:33" hidden="1">
      <c r="AD590" t="s">
        <v>2211</v>
      </c>
      <c r="AE590" t="s">
        <v>2212</v>
      </c>
      <c r="AF590" t="str">
        <f t="shared" si="77"/>
        <v>A679078</v>
      </c>
      <c r="AG590" t="str">
        <f>VLOOKUP(AF590,AKT!$C$4:$E$324,3,FALSE)</f>
        <v>0942</v>
      </c>
    </row>
    <row r="591" spans="30:33" hidden="1">
      <c r="AD591" t="s">
        <v>2213</v>
      </c>
      <c r="AE591" t="s">
        <v>2214</v>
      </c>
      <c r="AF591" t="str">
        <f t="shared" si="77"/>
        <v>A679078</v>
      </c>
      <c r="AG591" t="str">
        <f>VLOOKUP(AF591,AKT!$C$4:$E$324,3,FALSE)</f>
        <v>0942</v>
      </c>
    </row>
    <row r="592" spans="30:33" hidden="1">
      <c r="AD592" t="s">
        <v>2215</v>
      </c>
      <c r="AE592" t="s">
        <v>2216</v>
      </c>
      <c r="AF592" t="str">
        <f t="shared" si="77"/>
        <v>A679078</v>
      </c>
      <c r="AG592" t="str">
        <f>VLOOKUP(AF592,AKT!$C$4:$E$324,3,FALSE)</f>
        <v>0942</v>
      </c>
    </row>
    <row r="593" spans="30:33" hidden="1">
      <c r="AD593" t="s">
        <v>2217</v>
      </c>
      <c r="AE593" t="s">
        <v>2218</v>
      </c>
      <c r="AF593" t="str">
        <f t="shared" si="77"/>
        <v>A679078</v>
      </c>
      <c r="AG593" t="str">
        <f>VLOOKUP(AF593,AKT!$C$4:$E$324,3,FALSE)</f>
        <v>0942</v>
      </c>
    </row>
    <row r="594" spans="30:33" hidden="1">
      <c r="AD594" t="s">
        <v>2219</v>
      </c>
      <c r="AE594" t="s">
        <v>2220</v>
      </c>
      <c r="AF594" t="str">
        <f t="shared" si="77"/>
        <v>A679078</v>
      </c>
      <c r="AG594" t="str">
        <f>VLOOKUP(AF594,AKT!$C$4:$E$324,3,FALSE)</f>
        <v>0942</v>
      </c>
    </row>
    <row r="595" spans="30:33" hidden="1">
      <c r="AD595" t="s">
        <v>2221</v>
      </c>
      <c r="AE595" t="s">
        <v>2222</v>
      </c>
      <c r="AF595" t="str">
        <f t="shared" si="77"/>
        <v>A679078</v>
      </c>
      <c r="AG595" t="str">
        <f>VLOOKUP(AF595,AKT!$C$4:$E$324,3,FALSE)</f>
        <v>0942</v>
      </c>
    </row>
    <row r="596" spans="30:33" hidden="1">
      <c r="AD596" t="s">
        <v>2223</v>
      </c>
      <c r="AE596" t="s">
        <v>2224</v>
      </c>
      <c r="AF596" t="str">
        <f t="shared" si="77"/>
        <v>A679078</v>
      </c>
      <c r="AG596" t="str">
        <f>VLOOKUP(AF596,AKT!$C$4:$E$324,3,FALSE)</f>
        <v>0942</v>
      </c>
    </row>
    <row r="597" spans="30:33" hidden="1">
      <c r="AD597" t="s">
        <v>2225</v>
      </c>
      <c r="AE597" t="s">
        <v>2226</v>
      </c>
      <c r="AF597" t="str">
        <f t="shared" si="77"/>
        <v>A679078</v>
      </c>
      <c r="AG597" t="str">
        <f>VLOOKUP(AF597,AKT!$C$4:$E$324,3,FALSE)</f>
        <v>0942</v>
      </c>
    </row>
    <row r="598" spans="30:33" hidden="1">
      <c r="AD598" t="s">
        <v>2227</v>
      </c>
      <c r="AE598" t="s">
        <v>2228</v>
      </c>
      <c r="AF598" t="str">
        <f t="shared" si="77"/>
        <v>A679078</v>
      </c>
      <c r="AG598" t="str">
        <f>VLOOKUP(AF598,AKT!$C$4:$E$324,3,FALSE)</f>
        <v>0942</v>
      </c>
    </row>
    <row r="599" spans="30:33" hidden="1">
      <c r="AD599" t="s">
        <v>2229</v>
      </c>
      <c r="AE599" t="s">
        <v>2230</v>
      </c>
      <c r="AF599" t="str">
        <f t="shared" si="77"/>
        <v>A679078</v>
      </c>
      <c r="AG599" t="str">
        <f>VLOOKUP(AF599,AKT!$C$4:$E$324,3,FALSE)</f>
        <v>0942</v>
      </c>
    </row>
    <row r="600" spans="30:33" hidden="1">
      <c r="AD600" t="s">
        <v>2231</v>
      </c>
      <c r="AE600" t="s">
        <v>2232</v>
      </c>
      <c r="AF600" t="str">
        <f t="shared" si="77"/>
        <v>A679078</v>
      </c>
      <c r="AG600" t="str">
        <f>VLOOKUP(AF600,AKT!$C$4:$E$324,3,FALSE)</f>
        <v>0942</v>
      </c>
    </row>
    <row r="601" spans="30:33" hidden="1">
      <c r="AD601" t="s">
        <v>2233</v>
      </c>
      <c r="AE601" t="s">
        <v>2234</v>
      </c>
      <c r="AF601" t="str">
        <f t="shared" si="77"/>
        <v>A679078</v>
      </c>
      <c r="AG601" t="str">
        <f>VLOOKUP(AF601,AKT!$C$4:$E$324,3,FALSE)</f>
        <v>0942</v>
      </c>
    </row>
    <row r="602" spans="30:33" hidden="1">
      <c r="AD602" t="s">
        <v>2235</v>
      </c>
      <c r="AE602" t="s">
        <v>2236</v>
      </c>
      <c r="AF602" t="str">
        <f t="shared" si="77"/>
        <v>A679078</v>
      </c>
      <c r="AG602" t="str">
        <f>VLOOKUP(AF602,AKT!$C$4:$E$324,3,FALSE)</f>
        <v>0942</v>
      </c>
    </row>
    <row r="603" spans="30:33" hidden="1">
      <c r="AD603" t="s">
        <v>2237</v>
      </c>
      <c r="AE603" t="s">
        <v>2238</v>
      </c>
      <c r="AF603" t="str">
        <f t="shared" si="77"/>
        <v>A679078</v>
      </c>
      <c r="AG603" t="str">
        <f>VLOOKUP(AF603,AKT!$C$4:$E$324,3,FALSE)</f>
        <v>0942</v>
      </c>
    </row>
    <row r="604" spans="30:33" hidden="1">
      <c r="AD604" t="s">
        <v>2239</v>
      </c>
      <c r="AE604" t="s">
        <v>2240</v>
      </c>
      <c r="AF604" t="str">
        <f t="shared" si="77"/>
        <v>A679078</v>
      </c>
      <c r="AG604" t="str">
        <f>VLOOKUP(AF604,AKT!$C$4:$E$324,3,FALSE)</f>
        <v>0942</v>
      </c>
    </row>
    <row r="605" spans="30:33" hidden="1">
      <c r="AD605" t="s">
        <v>2241</v>
      </c>
      <c r="AE605" t="s">
        <v>2242</v>
      </c>
      <c r="AF605" t="str">
        <f t="shared" si="77"/>
        <v>A679078</v>
      </c>
      <c r="AG605" t="str">
        <f>VLOOKUP(AF605,AKT!$C$4:$E$324,3,FALSE)</f>
        <v>0942</v>
      </c>
    </row>
    <row r="606" spans="30:33" hidden="1">
      <c r="AD606" t="s">
        <v>2243</v>
      </c>
      <c r="AE606" t="s">
        <v>2244</v>
      </c>
      <c r="AF606" t="str">
        <f t="shared" si="77"/>
        <v>A679078</v>
      </c>
      <c r="AG606" t="str">
        <f>VLOOKUP(AF606,AKT!$C$4:$E$324,3,FALSE)</f>
        <v>0942</v>
      </c>
    </row>
    <row r="607" spans="30:33" hidden="1">
      <c r="AD607" t="s">
        <v>2245</v>
      </c>
      <c r="AE607" t="s">
        <v>2246</v>
      </c>
      <c r="AF607" t="str">
        <f t="shared" si="77"/>
        <v>A679078</v>
      </c>
      <c r="AG607" t="str">
        <f>VLOOKUP(AF607,AKT!$C$4:$E$324,3,FALSE)</f>
        <v>0942</v>
      </c>
    </row>
    <row r="608" spans="30:33" hidden="1">
      <c r="AD608" t="s">
        <v>2247</v>
      </c>
      <c r="AE608" t="s">
        <v>2248</v>
      </c>
      <c r="AF608" t="str">
        <f t="shared" si="77"/>
        <v>A679078</v>
      </c>
      <c r="AG608" t="str">
        <f>VLOOKUP(AF608,AKT!$C$4:$E$324,3,FALSE)</f>
        <v>0942</v>
      </c>
    </row>
    <row r="609" spans="30:33" hidden="1">
      <c r="AD609" t="s">
        <v>2249</v>
      </c>
      <c r="AE609" t="s">
        <v>2250</v>
      </c>
      <c r="AF609" t="str">
        <f t="shared" si="77"/>
        <v>A679078</v>
      </c>
      <c r="AG609" t="str">
        <f>VLOOKUP(AF609,AKT!$C$4:$E$324,3,FALSE)</f>
        <v>0942</v>
      </c>
    </row>
    <row r="610" spans="30:33" hidden="1">
      <c r="AD610" t="s">
        <v>2251</v>
      </c>
      <c r="AE610" t="s">
        <v>2252</v>
      </c>
      <c r="AF610" t="str">
        <f t="shared" si="77"/>
        <v>A679078</v>
      </c>
      <c r="AG610" t="str">
        <f>VLOOKUP(AF610,AKT!$C$4:$E$324,3,FALSE)</f>
        <v>0942</v>
      </c>
    </row>
    <row r="611" spans="30:33" hidden="1">
      <c r="AD611" t="s">
        <v>2253</v>
      </c>
      <c r="AE611" t="s">
        <v>2254</v>
      </c>
      <c r="AF611" t="str">
        <f t="shared" si="77"/>
        <v>A679078</v>
      </c>
      <c r="AG611" t="str">
        <f>VLOOKUP(AF611,AKT!$C$4:$E$324,3,FALSE)</f>
        <v>0942</v>
      </c>
    </row>
    <row r="612" spans="30:33" hidden="1">
      <c r="AD612" t="s">
        <v>2255</v>
      </c>
      <c r="AE612" t="s">
        <v>2256</v>
      </c>
      <c r="AF612" t="str">
        <f t="shared" si="77"/>
        <v>A679078</v>
      </c>
      <c r="AG612" t="str">
        <f>VLOOKUP(AF612,AKT!$C$4:$E$324,3,FALSE)</f>
        <v>0942</v>
      </c>
    </row>
    <row r="613" spans="30:33" hidden="1">
      <c r="AD613" t="s">
        <v>2257</v>
      </c>
      <c r="AE613" t="s">
        <v>2258</v>
      </c>
      <c r="AF613" t="str">
        <f t="shared" si="77"/>
        <v>A679078</v>
      </c>
      <c r="AG613" t="str">
        <f>VLOOKUP(AF613,AKT!$C$4:$E$324,3,FALSE)</f>
        <v>0942</v>
      </c>
    </row>
    <row r="614" spans="30:33" hidden="1">
      <c r="AD614" t="s">
        <v>2259</v>
      </c>
      <c r="AE614" t="s">
        <v>2260</v>
      </c>
      <c r="AF614" t="str">
        <f t="shared" si="77"/>
        <v>A679078</v>
      </c>
      <c r="AG614" t="str">
        <f>VLOOKUP(AF614,AKT!$C$4:$E$324,3,FALSE)</f>
        <v>0942</v>
      </c>
    </row>
    <row r="615" spans="30:33" hidden="1">
      <c r="AD615" t="s">
        <v>2261</v>
      </c>
      <c r="AE615" t="s">
        <v>2262</v>
      </c>
      <c r="AF615" t="str">
        <f t="shared" si="77"/>
        <v>A679078</v>
      </c>
      <c r="AG615" t="str">
        <f>VLOOKUP(AF615,AKT!$C$4:$E$324,3,FALSE)</f>
        <v>0942</v>
      </c>
    </row>
    <row r="616" spans="30:33" hidden="1">
      <c r="AD616" t="s">
        <v>2263</v>
      </c>
      <c r="AE616" t="s">
        <v>1447</v>
      </c>
      <c r="AF616" t="str">
        <f t="shared" si="77"/>
        <v>A679078</v>
      </c>
      <c r="AG616" t="str">
        <f>VLOOKUP(AF616,AKT!$C$4:$E$324,3,FALSE)</f>
        <v>0942</v>
      </c>
    </row>
    <row r="617" spans="30:33" hidden="1">
      <c r="AD617" t="s">
        <v>2264</v>
      </c>
      <c r="AE617" t="s">
        <v>2265</v>
      </c>
      <c r="AF617" t="str">
        <f t="shared" si="77"/>
        <v>A679078</v>
      </c>
      <c r="AG617" t="str">
        <f>VLOOKUP(AF617,AKT!$C$4:$E$324,3,FALSE)</f>
        <v>0942</v>
      </c>
    </row>
    <row r="618" spans="30:33" hidden="1">
      <c r="AD618" t="s">
        <v>2266</v>
      </c>
      <c r="AE618" t="s">
        <v>2267</v>
      </c>
      <c r="AF618" t="str">
        <f t="shared" si="77"/>
        <v>A679078</v>
      </c>
      <c r="AG618" t="str">
        <f>VLOOKUP(AF618,AKT!$C$4:$E$324,3,FALSE)</f>
        <v>0942</v>
      </c>
    </row>
    <row r="619" spans="30:33" hidden="1">
      <c r="AD619" t="s">
        <v>2268</v>
      </c>
      <c r="AE619" t="s">
        <v>2269</v>
      </c>
      <c r="AF619" t="str">
        <f t="shared" si="77"/>
        <v>A679078</v>
      </c>
      <c r="AG619" t="str">
        <f>VLOOKUP(AF619,AKT!$C$4:$E$324,3,FALSE)</f>
        <v>0942</v>
      </c>
    </row>
    <row r="620" spans="30:33" hidden="1">
      <c r="AD620" t="s">
        <v>2270</v>
      </c>
      <c r="AE620" t="s">
        <v>2271</v>
      </c>
      <c r="AF620" t="str">
        <f t="shared" si="77"/>
        <v>A679078</v>
      </c>
      <c r="AG620" t="str">
        <f>VLOOKUP(AF620,AKT!$C$4:$E$324,3,FALSE)</f>
        <v>0942</v>
      </c>
    </row>
    <row r="621" spans="30:33" hidden="1">
      <c r="AD621" t="s">
        <v>2272</v>
      </c>
      <c r="AE621" t="s">
        <v>2273</v>
      </c>
      <c r="AF621" t="str">
        <f t="shared" si="77"/>
        <v>A679078</v>
      </c>
      <c r="AG621" t="str">
        <f>VLOOKUP(AF621,AKT!$C$4:$E$324,3,FALSE)</f>
        <v>0942</v>
      </c>
    </row>
    <row r="622" spans="30:33" hidden="1">
      <c r="AD622" t="s">
        <v>2274</v>
      </c>
      <c r="AE622" t="s">
        <v>2275</v>
      </c>
      <c r="AF622" t="str">
        <f t="shared" si="77"/>
        <v>A679078</v>
      </c>
      <c r="AG622" t="str">
        <f>VLOOKUP(AF622,AKT!$C$4:$E$324,3,FALSE)</f>
        <v>0942</v>
      </c>
    </row>
    <row r="623" spans="30:33" hidden="1">
      <c r="AD623" t="s">
        <v>2276</v>
      </c>
      <c r="AE623" t="s">
        <v>2277</v>
      </c>
      <c r="AF623" t="str">
        <f t="shared" si="77"/>
        <v>A679078</v>
      </c>
      <c r="AG623" t="str">
        <f>VLOOKUP(AF623,AKT!$C$4:$E$324,3,FALSE)</f>
        <v>0942</v>
      </c>
    </row>
    <row r="624" spans="30:33" hidden="1">
      <c r="AD624" t="s">
        <v>2278</v>
      </c>
      <c r="AE624" t="s">
        <v>2279</v>
      </c>
      <c r="AF624" t="str">
        <f t="shared" si="77"/>
        <v>A679078</v>
      </c>
      <c r="AG624" t="str">
        <f>VLOOKUP(AF624,AKT!$C$4:$E$324,3,FALSE)</f>
        <v>0942</v>
      </c>
    </row>
    <row r="625" spans="30:33" hidden="1">
      <c r="AD625" t="s">
        <v>2280</v>
      </c>
      <c r="AE625" t="s">
        <v>2281</v>
      </c>
      <c r="AF625" t="str">
        <f t="shared" si="77"/>
        <v>A679078</v>
      </c>
      <c r="AG625" t="str">
        <f>VLOOKUP(AF625,AKT!$C$4:$E$324,3,FALSE)</f>
        <v>0942</v>
      </c>
    </row>
    <row r="626" spans="30:33" hidden="1">
      <c r="AD626" t="s">
        <v>2282</v>
      </c>
      <c r="AE626" t="s">
        <v>2283</v>
      </c>
      <c r="AF626" t="str">
        <f t="shared" si="77"/>
        <v>A679078</v>
      </c>
      <c r="AG626" t="str">
        <f>VLOOKUP(AF626,AKT!$C$4:$E$324,3,FALSE)</f>
        <v>0942</v>
      </c>
    </row>
    <row r="627" spans="30:33" hidden="1">
      <c r="AD627" t="s">
        <v>2284</v>
      </c>
      <c r="AE627" t="s">
        <v>2285</v>
      </c>
      <c r="AF627" t="str">
        <f t="shared" si="77"/>
        <v>A679078</v>
      </c>
      <c r="AG627" t="str">
        <f>VLOOKUP(AF627,AKT!$C$4:$E$324,3,FALSE)</f>
        <v>0942</v>
      </c>
    </row>
    <row r="628" spans="30:33" hidden="1">
      <c r="AD628" t="s">
        <v>2286</v>
      </c>
      <c r="AE628" t="s">
        <v>2287</v>
      </c>
      <c r="AF628" t="str">
        <f t="shared" si="77"/>
        <v>A679078</v>
      </c>
      <c r="AG628" t="str">
        <f>VLOOKUP(AF628,AKT!$C$4:$E$324,3,FALSE)</f>
        <v>0942</v>
      </c>
    </row>
    <row r="629" spans="30:33" hidden="1">
      <c r="AD629" t="s">
        <v>2288</v>
      </c>
      <c r="AE629" t="s">
        <v>2289</v>
      </c>
      <c r="AF629" t="str">
        <f t="shared" si="77"/>
        <v>A679078</v>
      </c>
      <c r="AG629" t="str">
        <f>VLOOKUP(AF629,AKT!$C$4:$E$324,3,FALSE)</f>
        <v>0942</v>
      </c>
    </row>
    <row r="630" spans="30:33" hidden="1">
      <c r="AD630" t="s">
        <v>2290</v>
      </c>
      <c r="AE630" t="s">
        <v>2291</v>
      </c>
      <c r="AF630" t="str">
        <f t="shared" si="77"/>
        <v>A679078</v>
      </c>
      <c r="AG630" t="str">
        <f>VLOOKUP(AF630,AKT!$C$4:$E$324,3,FALSE)</f>
        <v>0942</v>
      </c>
    </row>
    <row r="631" spans="30:33" hidden="1">
      <c r="AD631" t="s">
        <v>2292</v>
      </c>
      <c r="AE631" t="s">
        <v>2293</v>
      </c>
      <c r="AF631" t="str">
        <f t="shared" si="77"/>
        <v>A679078</v>
      </c>
      <c r="AG631" t="str">
        <f>VLOOKUP(AF631,AKT!$C$4:$E$324,3,FALSE)</f>
        <v>0942</v>
      </c>
    </row>
    <row r="632" spans="30:33" hidden="1">
      <c r="AD632" t="s">
        <v>2294</v>
      </c>
      <c r="AE632" t="s">
        <v>2295</v>
      </c>
      <c r="AF632" t="str">
        <f t="shared" si="77"/>
        <v>A679078</v>
      </c>
      <c r="AG632" t="str">
        <f>VLOOKUP(AF632,AKT!$C$4:$E$324,3,FALSE)</f>
        <v>0942</v>
      </c>
    </row>
    <row r="633" spans="30:33" hidden="1">
      <c r="AD633" t="s">
        <v>2296</v>
      </c>
      <c r="AE633" t="s">
        <v>2297</v>
      </c>
      <c r="AF633" t="str">
        <f t="shared" si="77"/>
        <v>A679078</v>
      </c>
      <c r="AG633" t="str">
        <f>VLOOKUP(AF633,AKT!$C$4:$E$324,3,FALSE)</f>
        <v>0942</v>
      </c>
    </row>
    <row r="634" spans="30:33" hidden="1">
      <c r="AD634" t="s">
        <v>2298</v>
      </c>
      <c r="AE634" t="s">
        <v>2299</v>
      </c>
      <c r="AF634" t="str">
        <f t="shared" si="77"/>
        <v>A679078</v>
      </c>
      <c r="AG634" t="str">
        <f>VLOOKUP(AF634,AKT!$C$4:$E$324,3,FALSE)</f>
        <v>0942</v>
      </c>
    </row>
    <row r="635" spans="30:33" hidden="1">
      <c r="AD635" t="s">
        <v>2300</v>
      </c>
      <c r="AE635" t="s">
        <v>2301</v>
      </c>
      <c r="AF635" t="str">
        <f t="shared" si="77"/>
        <v>A679078</v>
      </c>
      <c r="AG635" t="str">
        <f>VLOOKUP(AF635,AKT!$C$4:$E$324,3,FALSE)</f>
        <v>0942</v>
      </c>
    </row>
    <row r="636" spans="30:33" hidden="1">
      <c r="AD636" t="s">
        <v>2302</v>
      </c>
      <c r="AE636" t="s">
        <v>2303</v>
      </c>
      <c r="AF636" t="str">
        <f t="shared" si="77"/>
        <v>A679078</v>
      </c>
      <c r="AG636" t="str">
        <f>VLOOKUP(AF636,AKT!$C$4:$E$324,3,FALSE)</f>
        <v>0942</v>
      </c>
    </row>
    <row r="637" spans="30:33" hidden="1">
      <c r="AD637" t="s">
        <v>2304</v>
      </c>
      <c r="AE637" t="s">
        <v>2305</v>
      </c>
      <c r="AF637" t="str">
        <f t="shared" si="77"/>
        <v>A679078</v>
      </c>
      <c r="AG637" t="str">
        <f>VLOOKUP(AF637,AKT!$C$4:$E$324,3,FALSE)</f>
        <v>0942</v>
      </c>
    </row>
    <row r="638" spans="30:33" hidden="1">
      <c r="AD638" t="s">
        <v>2306</v>
      </c>
      <c r="AE638" t="s">
        <v>2307</v>
      </c>
      <c r="AF638" t="str">
        <f t="shared" si="77"/>
        <v>A679078</v>
      </c>
      <c r="AG638" t="str">
        <f>VLOOKUP(AF638,AKT!$C$4:$E$324,3,FALSE)</f>
        <v>0942</v>
      </c>
    </row>
    <row r="639" spans="30:33" hidden="1">
      <c r="AD639" t="s">
        <v>2308</v>
      </c>
      <c r="AE639" t="s">
        <v>2309</v>
      </c>
      <c r="AF639" t="str">
        <f t="shared" si="77"/>
        <v>A679078</v>
      </c>
      <c r="AG639" t="str">
        <f>VLOOKUP(AF639,AKT!$C$4:$E$324,3,FALSE)</f>
        <v>0942</v>
      </c>
    </row>
    <row r="640" spans="30:33" hidden="1">
      <c r="AD640" t="s">
        <v>2310</v>
      </c>
      <c r="AE640" t="s">
        <v>2311</v>
      </c>
      <c r="AF640" t="str">
        <f t="shared" si="77"/>
        <v>A679078</v>
      </c>
      <c r="AG640" t="str">
        <f>VLOOKUP(AF640,AKT!$C$4:$E$324,3,FALSE)</f>
        <v>0942</v>
      </c>
    </row>
    <row r="641" spans="30:33" hidden="1">
      <c r="AD641" t="s">
        <v>2312</v>
      </c>
      <c r="AE641" t="s">
        <v>2313</v>
      </c>
      <c r="AF641" t="str">
        <f t="shared" si="77"/>
        <v>A679078</v>
      </c>
      <c r="AG641" t="str">
        <f>VLOOKUP(AF641,AKT!$C$4:$E$324,3,FALSE)</f>
        <v>0942</v>
      </c>
    </row>
    <row r="642" spans="30:33" hidden="1">
      <c r="AD642" t="s">
        <v>2314</v>
      </c>
      <c r="AE642" t="s">
        <v>2315</v>
      </c>
      <c r="AF642" t="str">
        <f t="shared" si="77"/>
        <v>A679078</v>
      </c>
      <c r="AG642" t="str">
        <f>VLOOKUP(AF642,AKT!$C$4:$E$324,3,FALSE)</f>
        <v>0942</v>
      </c>
    </row>
    <row r="643" spans="30:33" hidden="1">
      <c r="AD643" t="s">
        <v>2316</v>
      </c>
      <c r="AE643" t="s">
        <v>2317</v>
      </c>
      <c r="AF643" t="str">
        <f t="shared" si="77"/>
        <v>A679078</v>
      </c>
      <c r="AG643" t="str">
        <f>VLOOKUP(AF643,AKT!$C$4:$E$324,3,FALSE)</f>
        <v>0942</v>
      </c>
    </row>
    <row r="644" spans="30:33" hidden="1">
      <c r="AD644" t="s">
        <v>2318</v>
      </c>
      <c r="AE644" t="s">
        <v>2319</v>
      </c>
      <c r="AF644" t="str">
        <f t="shared" si="77"/>
        <v>A679078</v>
      </c>
      <c r="AG644" t="str">
        <f>VLOOKUP(AF644,AKT!$C$4:$E$324,3,FALSE)</f>
        <v>0942</v>
      </c>
    </row>
    <row r="645" spans="30:33" hidden="1">
      <c r="AD645" t="s">
        <v>2320</v>
      </c>
      <c r="AE645" t="s">
        <v>2321</v>
      </c>
      <c r="AF645" t="str">
        <f t="shared" si="77"/>
        <v>A679078</v>
      </c>
      <c r="AG645" t="str">
        <f>VLOOKUP(AF645,AKT!$C$4:$E$324,3,FALSE)</f>
        <v>0942</v>
      </c>
    </row>
    <row r="646" spans="30:33" hidden="1">
      <c r="AD646" t="s">
        <v>2322</v>
      </c>
      <c r="AE646" t="s">
        <v>2323</v>
      </c>
      <c r="AF646" t="str">
        <f t="shared" si="77"/>
        <v>A679078</v>
      </c>
      <c r="AG646" t="str">
        <f>VLOOKUP(AF646,AKT!$C$4:$E$324,3,FALSE)</f>
        <v>0942</v>
      </c>
    </row>
    <row r="647" spans="30:33" hidden="1">
      <c r="AD647" t="s">
        <v>2324</v>
      </c>
      <c r="AE647" t="s">
        <v>2325</v>
      </c>
      <c r="AF647" t="str">
        <f t="shared" si="77"/>
        <v>A679078</v>
      </c>
      <c r="AG647" t="str">
        <f>VLOOKUP(AF647,AKT!$C$4:$E$324,3,FALSE)</f>
        <v>0942</v>
      </c>
    </row>
    <row r="648" spans="30:33" hidden="1">
      <c r="AD648" t="s">
        <v>2326</v>
      </c>
      <c r="AE648" t="s">
        <v>2327</v>
      </c>
      <c r="AF648" t="str">
        <f t="shared" ref="AF648:AF711" si="78">LEFT(AD648,7)</f>
        <v>A679078</v>
      </c>
      <c r="AG648" t="str">
        <f>VLOOKUP(AF648,AKT!$C$4:$E$324,3,FALSE)</f>
        <v>0942</v>
      </c>
    </row>
    <row r="649" spans="30:33" hidden="1">
      <c r="AD649" t="s">
        <v>2328</v>
      </c>
      <c r="AE649" t="s">
        <v>2329</v>
      </c>
      <c r="AF649" t="str">
        <f t="shared" si="78"/>
        <v>A679078</v>
      </c>
      <c r="AG649" t="str">
        <f>VLOOKUP(AF649,AKT!$C$4:$E$324,3,FALSE)</f>
        <v>0942</v>
      </c>
    </row>
    <row r="650" spans="30:33" hidden="1">
      <c r="AD650" t="s">
        <v>2330</v>
      </c>
      <c r="AE650" t="s">
        <v>2331</v>
      </c>
      <c r="AF650" t="str">
        <f t="shared" si="78"/>
        <v>A679078</v>
      </c>
      <c r="AG650" t="str">
        <f>VLOOKUP(AF650,AKT!$C$4:$E$324,3,FALSE)</f>
        <v>0942</v>
      </c>
    </row>
    <row r="651" spans="30:33" hidden="1">
      <c r="AD651" t="s">
        <v>2332</v>
      </c>
      <c r="AE651" t="s">
        <v>2333</v>
      </c>
      <c r="AF651" t="str">
        <f t="shared" si="78"/>
        <v>A679078</v>
      </c>
      <c r="AG651" t="str">
        <f>VLOOKUP(AF651,AKT!$C$4:$E$324,3,FALSE)</f>
        <v>0942</v>
      </c>
    </row>
    <row r="652" spans="30:33" hidden="1">
      <c r="AD652" t="s">
        <v>2334</v>
      </c>
      <c r="AE652" t="s">
        <v>2335</v>
      </c>
      <c r="AF652" t="str">
        <f t="shared" si="78"/>
        <v>A679078</v>
      </c>
      <c r="AG652" t="str">
        <f>VLOOKUP(AF652,AKT!$C$4:$E$324,3,FALSE)</f>
        <v>0942</v>
      </c>
    </row>
    <row r="653" spans="30:33" hidden="1">
      <c r="AD653" t="s">
        <v>2336</v>
      </c>
      <c r="AE653" t="s">
        <v>2337</v>
      </c>
      <c r="AF653" t="str">
        <f t="shared" si="78"/>
        <v>A679078</v>
      </c>
      <c r="AG653" t="str">
        <f>VLOOKUP(AF653,AKT!$C$4:$E$324,3,FALSE)</f>
        <v>0942</v>
      </c>
    </row>
    <row r="654" spans="30:33" hidden="1">
      <c r="AD654" t="s">
        <v>2338</v>
      </c>
      <c r="AE654" t="s">
        <v>2339</v>
      </c>
      <c r="AF654" t="str">
        <f t="shared" si="78"/>
        <v>A679078</v>
      </c>
      <c r="AG654" t="str">
        <f>VLOOKUP(AF654,AKT!$C$4:$E$324,3,FALSE)</f>
        <v>0942</v>
      </c>
    </row>
    <row r="655" spans="30:33" hidden="1">
      <c r="AD655" t="s">
        <v>2340</v>
      </c>
      <c r="AE655" t="s">
        <v>2341</v>
      </c>
      <c r="AF655" t="str">
        <f t="shared" si="78"/>
        <v>A679078</v>
      </c>
      <c r="AG655" t="str">
        <f>VLOOKUP(AF655,AKT!$C$4:$E$324,3,FALSE)</f>
        <v>0942</v>
      </c>
    </row>
    <row r="656" spans="30:33" hidden="1">
      <c r="AD656" t="s">
        <v>2342</v>
      </c>
      <c r="AE656" t="s">
        <v>2343</v>
      </c>
      <c r="AF656" t="str">
        <f t="shared" si="78"/>
        <v>A679078</v>
      </c>
      <c r="AG656" t="str">
        <f>VLOOKUP(AF656,AKT!$C$4:$E$324,3,FALSE)</f>
        <v>0942</v>
      </c>
    </row>
    <row r="657" spans="30:33" hidden="1">
      <c r="AD657" t="s">
        <v>2344</v>
      </c>
      <c r="AE657" t="s">
        <v>2345</v>
      </c>
      <c r="AF657" t="str">
        <f t="shared" si="78"/>
        <v>A679078</v>
      </c>
      <c r="AG657" t="str">
        <f>VLOOKUP(AF657,AKT!$C$4:$E$324,3,FALSE)</f>
        <v>0942</v>
      </c>
    </row>
    <row r="658" spans="30:33" hidden="1">
      <c r="AD658" t="s">
        <v>2346</v>
      </c>
      <c r="AE658" t="s">
        <v>2347</v>
      </c>
      <c r="AF658" t="str">
        <f t="shared" si="78"/>
        <v>A679078</v>
      </c>
      <c r="AG658" t="str">
        <f>VLOOKUP(AF658,AKT!$C$4:$E$324,3,FALSE)</f>
        <v>0942</v>
      </c>
    </row>
    <row r="659" spans="30:33" hidden="1">
      <c r="AD659" t="s">
        <v>2348</v>
      </c>
      <c r="AE659" t="s">
        <v>2349</v>
      </c>
      <c r="AF659" t="str">
        <f t="shared" si="78"/>
        <v>A679078</v>
      </c>
      <c r="AG659" t="str">
        <f>VLOOKUP(AF659,AKT!$C$4:$E$324,3,FALSE)</f>
        <v>0942</v>
      </c>
    </row>
    <row r="660" spans="30:33" hidden="1">
      <c r="AD660" t="s">
        <v>2350</v>
      </c>
      <c r="AE660" t="s">
        <v>2351</v>
      </c>
      <c r="AF660" t="str">
        <f t="shared" si="78"/>
        <v>A679078</v>
      </c>
      <c r="AG660" t="str">
        <f>VLOOKUP(AF660,AKT!$C$4:$E$324,3,FALSE)</f>
        <v>0942</v>
      </c>
    </row>
    <row r="661" spans="30:33" hidden="1">
      <c r="AD661" t="s">
        <v>2352</v>
      </c>
      <c r="AE661" t="s">
        <v>2353</v>
      </c>
      <c r="AF661" t="str">
        <f t="shared" si="78"/>
        <v>A679078</v>
      </c>
      <c r="AG661" t="str">
        <f>VLOOKUP(AF661,AKT!$C$4:$E$324,3,FALSE)</f>
        <v>0942</v>
      </c>
    </row>
    <row r="662" spans="30:33" hidden="1">
      <c r="AD662" t="s">
        <v>2354</v>
      </c>
      <c r="AE662" t="s">
        <v>2355</v>
      </c>
      <c r="AF662" t="str">
        <f t="shared" si="78"/>
        <v>A679078</v>
      </c>
      <c r="AG662" t="str">
        <f>VLOOKUP(AF662,AKT!$C$4:$E$324,3,FALSE)</f>
        <v>0942</v>
      </c>
    </row>
    <row r="663" spans="30:33" hidden="1">
      <c r="AD663" t="s">
        <v>2356</v>
      </c>
      <c r="AE663" t="s">
        <v>2357</v>
      </c>
      <c r="AF663" t="str">
        <f t="shared" si="78"/>
        <v>A679078</v>
      </c>
      <c r="AG663" t="str">
        <f>VLOOKUP(AF663,AKT!$C$4:$E$324,3,FALSE)</f>
        <v>0942</v>
      </c>
    </row>
    <row r="664" spans="30:33" hidden="1">
      <c r="AD664" t="s">
        <v>2358</v>
      </c>
      <c r="AE664" t="s">
        <v>2359</v>
      </c>
      <c r="AF664" t="str">
        <f t="shared" si="78"/>
        <v>A679078</v>
      </c>
      <c r="AG664" t="str">
        <f>VLOOKUP(AF664,AKT!$C$4:$E$324,3,FALSE)</f>
        <v>0942</v>
      </c>
    </row>
    <row r="665" spans="30:33" hidden="1">
      <c r="AD665" t="s">
        <v>2360</v>
      </c>
      <c r="AE665" t="s">
        <v>2361</v>
      </c>
      <c r="AF665" t="str">
        <f t="shared" si="78"/>
        <v>A679078</v>
      </c>
      <c r="AG665" t="str">
        <f>VLOOKUP(AF665,AKT!$C$4:$E$324,3,FALSE)</f>
        <v>0942</v>
      </c>
    </row>
    <row r="666" spans="30:33" hidden="1">
      <c r="AD666" t="s">
        <v>2362</v>
      </c>
      <c r="AE666" t="s">
        <v>2363</v>
      </c>
      <c r="AF666" t="str">
        <f t="shared" si="78"/>
        <v>A679078</v>
      </c>
      <c r="AG666" t="str">
        <f>VLOOKUP(AF666,AKT!$C$4:$E$324,3,FALSE)</f>
        <v>0942</v>
      </c>
    </row>
    <row r="667" spans="30:33" hidden="1">
      <c r="AD667" t="s">
        <v>2364</v>
      </c>
      <c r="AE667" t="s">
        <v>2365</v>
      </c>
      <c r="AF667" t="str">
        <f t="shared" si="78"/>
        <v>A679078</v>
      </c>
      <c r="AG667" t="str">
        <f>VLOOKUP(AF667,AKT!$C$4:$E$324,3,FALSE)</f>
        <v>0942</v>
      </c>
    </row>
    <row r="668" spans="30:33" hidden="1">
      <c r="AD668" t="s">
        <v>2366</v>
      </c>
      <c r="AE668" t="s">
        <v>2367</v>
      </c>
      <c r="AF668" t="str">
        <f t="shared" si="78"/>
        <v>A679078</v>
      </c>
      <c r="AG668" t="str">
        <f>VLOOKUP(AF668,AKT!$C$4:$E$324,3,FALSE)</f>
        <v>0942</v>
      </c>
    </row>
    <row r="669" spans="30:33" hidden="1">
      <c r="AD669" t="s">
        <v>2368</v>
      </c>
      <c r="AE669" t="s">
        <v>2369</v>
      </c>
      <c r="AF669" t="str">
        <f t="shared" si="78"/>
        <v>A679078</v>
      </c>
      <c r="AG669" t="str">
        <f>VLOOKUP(AF669,AKT!$C$4:$E$324,3,FALSE)</f>
        <v>0942</v>
      </c>
    </row>
    <row r="670" spans="30:33" hidden="1">
      <c r="AD670" t="s">
        <v>2370</v>
      </c>
      <c r="AE670" t="s">
        <v>2371</v>
      </c>
      <c r="AF670" t="str">
        <f t="shared" si="78"/>
        <v>A679078</v>
      </c>
      <c r="AG670" t="str">
        <f>VLOOKUP(AF670,AKT!$C$4:$E$324,3,FALSE)</f>
        <v>0942</v>
      </c>
    </row>
    <row r="671" spans="30:33" hidden="1">
      <c r="AD671" t="s">
        <v>2372</v>
      </c>
      <c r="AE671" t="s">
        <v>2373</v>
      </c>
      <c r="AF671" t="str">
        <f t="shared" si="78"/>
        <v>A679078</v>
      </c>
      <c r="AG671" t="str">
        <f>VLOOKUP(AF671,AKT!$C$4:$E$324,3,FALSE)</f>
        <v>0942</v>
      </c>
    </row>
    <row r="672" spans="30:33" hidden="1">
      <c r="AD672" t="s">
        <v>2374</v>
      </c>
      <c r="AE672" t="s">
        <v>2375</v>
      </c>
      <c r="AF672" t="str">
        <f t="shared" si="78"/>
        <v>A679078</v>
      </c>
      <c r="AG672" t="str">
        <f>VLOOKUP(AF672,AKT!$C$4:$E$324,3,FALSE)</f>
        <v>0942</v>
      </c>
    </row>
    <row r="673" spans="30:33" hidden="1">
      <c r="AD673" t="s">
        <v>2376</v>
      </c>
      <c r="AE673" t="s">
        <v>2377</v>
      </c>
      <c r="AF673" t="str">
        <f t="shared" si="78"/>
        <v>A679078</v>
      </c>
      <c r="AG673" t="str">
        <f>VLOOKUP(AF673,AKT!$C$4:$E$324,3,FALSE)</f>
        <v>0942</v>
      </c>
    </row>
    <row r="674" spans="30:33" hidden="1">
      <c r="AD674" t="s">
        <v>2378</v>
      </c>
      <c r="AE674" t="s">
        <v>2379</v>
      </c>
      <c r="AF674" t="str">
        <f t="shared" si="78"/>
        <v>A679078</v>
      </c>
      <c r="AG674" t="str">
        <f>VLOOKUP(AF674,AKT!$C$4:$E$324,3,FALSE)</f>
        <v>0942</v>
      </c>
    </row>
    <row r="675" spans="30:33" hidden="1">
      <c r="AD675" t="s">
        <v>2380</v>
      </c>
      <c r="AE675" t="s">
        <v>2381</v>
      </c>
      <c r="AF675" t="str">
        <f t="shared" si="78"/>
        <v>A679078</v>
      </c>
      <c r="AG675" t="str">
        <f>VLOOKUP(AF675,AKT!$C$4:$E$324,3,FALSE)</f>
        <v>0942</v>
      </c>
    </row>
    <row r="676" spans="30:33" hidden="1">
      <c r="AD676" t="s">
        <v>2382</v>
      </c>
      <c r="AE676" t="s">
        <v>2383</v>
      </c>
      <c r="AF676" t="str">
        <f t="shared" si="78"/>
        <v>A679078</v>
      </c>
      <c r="AG676" t="str">
        <f>VLOOKUP(AF676,AKT!$C$4:$E$324,3,FALSE)</f>
        <v>0942</v>
      </c>
    </row>
    <row r="677" spans="30:33" hidden="1">
      <c r="AD677" t="s">
        <v>2384</v>
      </c>
      <c r="AE677" t="s">
        <v>2385</v>
      </c>
      <c r="AF677" t="str">
        <f t="shared" si="78"/>
        <v>A679078</v>
      </c>
      <c r="AG677" t="str">
        <f>VLOOKUP(AF677,AKT!$C$4:$E$324,3,FALSE)</f>
        <v>0942</v>
      </c>
    </row>
    <row r="678" spans="30:33" hidden="1">
      <c r="AD678" t="s">
        <v>2386</v>
      </c>
      <c r="AE678" t="s">
        <v>2387</v>
      </c>
      <c r="AF678" t="str">
        <f t="shared" si="78"/>
        <v>A679078</v>
      </c>
      <c r="AG678" t="str">
        <f>VLOOKUP(AF678,AKT!$C$4:$E$324,3,FALSE)</f>
        <v>0942</v>
      </c>
    </row>
    <row r="679" spans="30:33" hidden="1">
      <c r="AD679" t="s">
        <v>2388</v>
      </c>
      <c r="AE679" t="s">
        <v>2389</v>
      </c>
      <c r="AF679" t="str">
        <f t="shared" si="78"/>
        <v>A679078</v>
      </c>
      <c r="AG679" t="str">
        <f>VLOOKUP(AF679,AKT!$C$4:$E$324,3,FALSE)</f>
        <v>0942</v>
      </c>
    </row>
    <row r="680" spans="30:33" hidden="1">
      <c r="AD680" t="s">
        <v>2390</v>
      </c>
      <c r="AE680" t="s">
        <v>2391</v>
      </c>
      <c r="AF680" t="str">
        <f t="shared" si="78"/>
        <v>A679078</v>
      </c>
      <c r="AG680" t="str">
        <f>VLOOKUP(AF680,AKT!$C$4:$E$324,3,FALSE)</f>
        <v>0942</v>
      </c>
    </row>
    <row r="681" spans="30:33" hidden="1">
      <c r="AD681" t="s">
        <v>2392</v>
      </c>
      <c r="AE681" t="s">
        <v>2393</v>
      </c>
      <c r="AF681" t="str">
        <f t="shared" si="78"/>
        <v>A679078</v>
      </c>
      <c r="AG681" t="str">
        <f>VLOOKUP(AF681,AKT!$C$4:$E$324,3,FALSE)</f>
        <v>0942</v>
      </c>
    </row>
    <row r="682" spans="30:33" hidden="1">
      <c r="AD682" t="s">
        <v>2394</v>
      </c>
      <c r="AE682" t="s">
        <v>2395</v>
      </c>
      <c r="AF682" t="str">
        <f t="shared" si="78"/>
        <v>A679078</v>
      </c>
      <c r="AG682" t="str">
        <f>VLOOKUP(AF682,AKT!$C$4:$E$324,3,FALSE)</f>
        <v>0942</v>
      </c>
    </row>
    <row r="683" spans="30:33" hidden="1">
      <c r="AD683" t="s">
        <v>2396</v>
      </c>
      <c r="AE683" t="s">
        <v>2397</v>
      </c>
      <c r="AF683" t="str">
        <f t="shared" si="78"/>
        <v>A679078</v>
      </c>
      <c r="AG683" t="str">
        <f>VLOOKUP(AF683,AKT!$C$4:$E$324,3,FALSE)</f>
        <v>0942</v>
      </c>
    </row>
    <row r="684" spans="30:33" hidden="1">
      <c r="AD684" t="s">
        <v>2398</v>
      </c>
      <c r="AE684" t="s">
        <v>2399</v>
      </c>
      <c r="AF684" t="str">
        <f t="shared" si="78"/>
        <v>A679078</v>
      </c>
      <c r="AG684" t="str">
        <f>VLOOKUP(AF684,AKT!$C$4:$E$324,3,FALSE)</f>
        <v>0942</v>
      </c>
    </row>
    <row r="685" spans="30:33" hidden="1">
      <c r="AD685" t="s">
        <v>2400</v>
      </c>
      <c r="AE685" t="s">
        <v>2401</v>
      </c>
      <c r="AF685" t="str">
        <f t="shared" si="78"/>
        <v>A679078</v>
      </c>
      <c r="AG685" t="str">
        <f>VLOOKUP(AF685,AKT!$C$4:$E$324,3,FALSE)</f>
        <v>0942</v>
      </c>
    </row>
    <row r="686" spans="30:33" hidden="1">
      <c r="AD686" t="s">
        <v>2402</v>
      </c>
      <c r="AE686" t="s">
        <v>2403</v>
      </c>
      <c r="AF686" t="str">
        <f t="shared" si="78"/>
        <v>A679078</v>
      </c>
      <c r="AG686" t="str">
        <f>VLOOKUP(AF686,AKT!$C$4:$E$324,3,FALSE)</f>
        <v>0942</v>
      </c>
    </row>
    <row r="687" spans="30:33" hidden="1">
      <c r="AD687" t="s">
        <v>2404</v>
      </c>
      <c r="AE687" t="s">
        <v>2405</v>
      </c>
      <c r="AF687" t="str">
        <f t="shared" si="78"/>
        <v>A679078</v>
      </c>
      <c r="AG687" t="str">
        <f>VLOOKUP(AF687,AKT!$C$4:$E$324,3,FALSE)</f>
        <v>0942</v>
      </c>
    </row>
    <row r="688" spans="30:33" hidden="1">
      <c r="AD688" t="s">
        <v>2406</v>
      </c>
      <c r="AE688" t="s">
        <v>2407</v>
      </c>
      <c r="AF688" t="str">
        <f t="shared" si="78"/>
        <v>A679078</v>
      </c>
      <c r="AG688" t="str">
        <f>VLOOKUP(AF688,AKT!$C$4:$E$324,3,FALSE)</f>
        <v>0942</v>
      </c>
    </row>
    <row r="689" spans="30:33" hidden="1">
      <c r="AD689" t="s">
        <v>2408</v>
      </c>
      <c r="AE689" t="s">
        <v>2409</v>
      </c>
      <c r="AF689" t="str">
        <f t="shared" si="78"/>
        <v>A679078</v>
      </c>
      <c r="AG689" t="str">
        <f>VLOOKUP(AF689,AKT!$C$4:$E$324,3,FALSE)</f>
        <v>0942</v>
      </c>
    </row>
    <row r="690" spans="30:33" hidden="1">
      <c r="AD690" t="s">
        <v>2410</v>
      </c>
      <c r="AE690" t="s">
        <v>2411</v>
      </c>
      <c r="AF690" t="str">
        <f t="shared" si="78"/>
        <v>A679078</v>
      </c>
      <c r="AG690" t="str">
        <f>VLOOKUP(AF690,AKT!$C$4:$E$324,3,FALSE)</f>
        <v>0942</v>
      </c>
    </row>
    <row r="691" spans="30:33" hidden="1">
      <c r="AD691" t="s">
        <v>2412</v>
      </c>
      <c r="AE691" t="s">
        <v>2413</v>
      </c>
      <c r="AF691" t="str">
        <f t="shared" si="78"/>
        <v>A679078</v>
      </c>
      <c r="AG691" t="str">
        <f>VLOOKUP(AF691,AKT!$C$4:$E$324,3,FALSE)</f>
        <v>0942</v>
      </c>
    </row>
    <row r="692" spans="30:33" hidden="1">
      <c r="AD692" t="s">
        <v>2414</v>
      </c>
      <c r="AE692" t="s">
        <v>2415</v>
      </c>
      <c r="AF692" t="str">
        <f t="shared" si="78"/>
        <v>A679078</v>
      </c>
      <c r="AG692" t="str">
        <f>VLOOKUP(AF692,AKT!$C$4:$E$324,3,FALSE)</f>
        <v>0942</v>
      </c>
    </row>
    <row r="693" spans="30:33" hidden="1">
      <c r="AD693" t="s">
        <v>2416</v>
      </c>
      <c r="AE693" t="s">
        <v>2417</v>
      </c>
      <c r="AF693" t="str">
        <f t="shared" si="78"/>
        <v>A679078</v>
      </c>
      <c r="AG693" t="str">
        <f>VLOOKUP(AF693,AKT!$C$4:$E$324,3,FALSE)</f>
        <v>0942</v>
      </c>
    </row>
    <row r="694" spans="30:33" hidden="1">
      <c r="AD694" t="s">
        <v>2418</v>
      </c>
      <c r="AE694" t="s">
        <v>2419</v>
      </c>
      <c r="AF694" t="str">
        <f t="shared" si="78"/>
        <v>A679078</v>
      </c>
      <c r="AG694" t="str">
        <f>VLOOKUP(AF694,AKT!$C$4:$E$324,3,FALSE)</f>
        <v>0942</v>
      </c>
    </row>
    <row r="695" spans="30:33" hidden="1">
      <c r="AD695" t="s">
        <v>2420</v>
      </c>
      <c r="AE695" t="s">
        <v>2421</v>
      </c>
      <c r="AF695" t="str">
        <f t="shared" si="78"/>
        <v>A679078</v>
      </c>
      <c r="AG695" t="str">
        <f>VLOOKUP(AF695,AKT!$C$4:$E$324,3,FALSE)</f>
        <v>0942</v>
      </c>
    </row>
    <row r="696" spans="30:33" hidden="1">
      <c r="AD696" t="s">
        <v>2422</v>
      </c>
      <c r="AE696" t="s">
        <v>2423</v>
      </c>
      <c r="AF696" t="str">
        <f t="shared" si="78"/>
        <v>A679078</v>
      </c>
      <c r="AG696" t="str">
        <f>VLOOKUP(AF696,AKT!$C$4:$E$324,3,FALSE)</f>
        <v>0942</v>
      </c>
    </row>
    <row r="697" spans="30:33" hidden="1">
      <c r="AD697" t="s">
        <v>2424</v>
      </c>
      <c r="AE697" t="s">
        <v>2425</v>
      </c>
      <c r="AF697" t="str">
        <f t="shared" si="78"/>
        <v>A679078</v>
      </c>
      <c r="AG697" t="str">
        <f>VLOOKUP(AF697,AKT!$C$4:$E$324,3,FALSE)</f>
        <v>0942</v>
      </c>
    </row>
    <row r="698" spans="30:33" hidden="1">
      <c r="AD698" t="s">
        <v>2426</v>
      </c>
      <c r="AE698" t="s">
        <v>2427</v>
      </c>
      <c r="AF698" t="str">
        <f t="shared" si="78"/>
        <v>A679078</v>
      </c>
      <c r="AG698" t="str">
        <f>VLOOKUP(AF698,AKT!$C$4:$E$324,3,FALSE)</f>
        <v>0942</v>
      </c>
    </row>
    <row r="699" spans="30:33" hidden="1">
      <c r="AD699" t="s">
        <v>2428</v>
      </c>
      <c r="AE699" t="s">
        <v>2429</v>
      </c>
      <c r="AF699" t="str">
        <f t="shared" si="78"/>
        <v>A679078</v>
      </c>
      <c r="AG699" t="str">
        <f>VLOOKUP(AF699,AKT!$C$4:$E$324,3,FALSE)</f>
        <v>0942</v>
      </c>
    </row>
    <row r="700" spans="30:33" hidden="1">
      <c r="AD700" t="s">
        <v>2430</v>
      </c>
      <c r="AE700" t="s">
        <v>2431</v>
      </c>
      <c r="AF700" t="str">
        <f t="shared" si="78"/>
        <v>A679078</v>
      </c>
      <c r="AG700" t="str">
        <f>VLOOKUP(AF700,AKT!$C$4:$E$324,3,FALSE)</f>
        <v>0942</v>
      </c>
    </row>
    <row r="701" spans="30:33" hidden="1">
      <c r="AD701" t="s">
        <v>2432</v>
      </c>
      <c r="AE701" t="s">
        <v>2433</v>
      </c>
      <c r="AF701" t="str">
        <f t="shared" si="78"/>
        <v>A679078</v>
      </c>
      <c r="AG701" t="str">
        <f>VLOOKUP(AF701,AKT!$C$4:$E$324,3,FALSE)</f>
        <v>0942</v>
      </c>
    </row>
    <row r="702" spans="30:33" hidden="1">
      <c r="AD702" t="s">
        <v>2434</v>
      </c>
      <c r="AE702" t="s">
        <v>2435</v>
      </c>
      <c r="AF702" t="str">
        <f t="shared" si="78"/>
        <v>A679078</v>
      </c>
      <c r="AG702" t="str">
        <f>VLOOKUP(AF702,AKT!$C$4:$E$324,3,FALSE)</f>
        <v>0942</v>
      </c>
    </row>
    <row r="703" spans="30:33" hidden="1">
      <c r="AD703" t="s">
        <v>2436</v>
      </c>
      <c r="AE703" t="s">
        <v>2437</v>
      </c>
      <c r="AF703" t="str">
        <f t="shared" si="78"/>
        <v>A679078</v>
      </c>
      <c r="AG703" t="str">
        <f>VLOOKUP(AF703,AKT!$C$4:$E$324,3,FALSE)</f>
        <v>0942</v>
      </c>
    </row>
    <row r="704" spans="30:33" hidden="1">
      <c r="AD704" t="s">
        <v>2438</v>
      </c>
      <c r="AE704" t="s">
        <v>2439</v>
      </c>
      <c r="AF704" t="str">
        <f t="shared" si="78"/>
        <v>A679078</v>
      </c>
      <c r="AG704" t="str">
        <f>VLOOKUP(AF704,AKT!$C$4:$E$324,3,FALSE)</f>
        <v>0942</v>
      </c>
    </row>
    <row r="705" spans="30:33" hidden="1">
      <c r="AD705" t="s">
        <v>2440</v>
      </c>
      <c r="AE705" t="s">
        <v>2441</v>
      </c>
      <c r="AF705" t="str">
        <f t="shared" si="78"/>
        <v>A679078</v>
      </c>
      <c r="AG705" t="str">
        <f>VLOOKUP(AF705,AKT!$C$4:$E$324,3,FALSE)</f>
        <v>0942</v>
      </c>
    </row>
    <row r="706" spans="30:33" hidden="1">
      <c r="AD706" t="s">
        <v>2442</v>
      </c>
      <c r="AE706" t="s">
        <v>2443</v>
      </c>
      <c r="AF706" t="str">
        <f t="shared" si="78"/>
        <v>A679078</v>
      </c>
      <c r="AG706" t="str">
        <f>VLOOKUP(AF706,AKT!$C$4:$E$324,3,FALSE)</f>
        <v>0942</v>
      </c>
    </row>
    <row r="707" spans="30:33" hidden="1">
      <c r="AD707" t="s">
        <v>2444</v>
      </c>
      <c r="AE707" t="s">
        <v>2445</v>
      </c>
      <c r="AF707" t="str">
        <f t="shared" si="78"/>
        <v>A679078</v>
      </c>
      <c r="AG707" t="str">
        <f>VLOOKUP(AF707,AKT!$C$4:$E$324,3,FALSE)</f>
        <v>0942</v>
      </c>
    </row>
    <row r="708" spans="30:33" hidden="1">
      <c r="AD708" t="s">
        <v>2446</v>
      </c>
      <c r="AE708" t="s">
        <v>2447</v>
      </c>
      <c r="AF708" t="str">
        <f t="shared" si="78"/>
        <v>A679078</v>
      </c>
      <c r="AG708" t="str">
        <f>VLOOKUP(AF708,AKT!$C$4:$E$324,3,FALSE)</f>
        <v>0942</v>
      </c>
    </row>
    <row r="709" spans="30:33" hidden="1">
      <c r="AD709" t="s">
        <v>2448</v>
      </c>
      <c r="AE709" t="s">
        <v>2449</v>
      </c>
      <c r="AF709" t="str">
        <f t="shared" si="78"/>
        <v>A679078</v>
      </c>
      <c r="AG709" t="str">
        <f>VLOOKUP(AF709,AKT!$C$4:$E$324,3,FALSE)</f>
        <v>0942</v>
      </c>
    </row>
    <row r="710" spans="30:33" hidden="1">
      <c r="AD710" t="s">
        <v>2450</v>
      </c>
      <c r="AE710" t="s">
        <v>2451</v>
      </c>
      <c r="AF710" t="str">
        <f t="shared" si="78"/>
        <v>A679078</v>
      </c>
      <c r="AG710" t="str">
        <f>VLOOKUP(AF710,AKT!$C$4:$E$324,3,FALSE)</f>
        <v>0942</v>
      </c>
    </row>
    <row r="711" spans="30:33" hidden="1">
      <c r="AD711" t="s">
        <v>2452</v>
      </c>
      <c r="AE711" t="s">
        <v>2453</v>
      </c>
      <c r="AF711" t="str">
        <f t="shared" si="78"/>
        <v>A679078</v>
      </c>
      <c r="AG711" t="str">
        <f>VLOOKUP(AF711,AKT!$C$4:$E$324,3,FALSE)</f>
        <v>0942</v>
      </c>
    </row>
    <row r="712" spans="30:33" hidden="1">
      <c r="AD712" t="s">
        <v>2454</v>
      </c>
      <c r="AE712" t="s">
        <v>2455</v>
      </c>
      <c r="AF712" t="str">
        <f t="shared" ref="AF712:AF775" si="79">LEFT(AD712,7)</f>
        <v>A679078</v>
      </c>
      <c r="AG712" t="str">
        <f>VLOOKUP(AF712,AKT!$C$4:$E$324,3,FALSE)</f>
        <v>0942</v>
      </c>
    </row>
    <row r="713" spans="30:33" hidden="1">
      <c r="AD713" t="s">
        <v>2456</v>
      </c>
      <c r="AE713" t="s">
        <v>2457</v>
      </c>
      <c r="AF713" t="str">
        <f t="shared" si="79"/>
        <v>A679078</v>
      </c>
      <c r="AG713" t="str">
        <f>VLOOKUP(AF713,AKT!$C$4:$E$324,3,FALSE)</f>
        <v>0942</v>
      </c>
    </row>
    <row r="714" spans="30:33" hidden="1">
      <c r="AD714" t="s">
        <v>2458</v>
      </c>
      <c r="AE714" t="s">
        <v>2459</v>
      </c>
      <c r="AF714" t="str">
        <f t="shared" si="79"/>
        <v>A679078</v>
      </c>
      <c r="AG714" t="str">
        <f>VLOOKUP(AF714,AKT!$C$4:$E$324,3,FALSE)</f>
        <v>0942</v>
      </c>
    </row>
    <row r="715" spans="30:33" hidden="1">
      <c r="AD715" t="s">
        <v>2460</v>
      </c>
      <c r="AE715" t="s">
        <v>2461</v>
      </c>
      <c r="AF715" t="str">
        <f t="shared" si="79"/>
        <v>A679078</v>
      </c>
      <c r="AG715" t="str">
        <f>VLOOKUP(AF715,AKT!$C$4:$E$324,3,FALSE)</f>
        <v>0942</v>
      </c>
    </row>
    <row r="716" spans="30:33" hidden="1">
      <c r="AD716" t="s">
        <v>2462</v>
      </c>
      <c r="AE716" t="s">
        <v>2463</v>
      </c>
      <c r="AF716" t="str">
        <f t="shared" si="79"/>
        <v>A679078</v>
      </c>
      <c r="AG716" t="str">
        <f>VLOOKUP(AF716,AKT!$C$4:$E$324,3,FALSE)</f>
        <v>0942</v>
      </c>
    </row>
    <row r="717" spans="30:33" hidden="1">
      <c r="AD717" t="s">
        <v>2464</v>
      </c>
      <c r="AE717" t="s">
        <v>2465</v>
      </c>
      <c r="AF717" t="str">
        <f t="shared" si="79"/>
        <v>A679078</v>
      </c>
      <c r="AG717" t="str">
        <f>VLOOKUP(AF717,AKT!$C$4:$E$324,3,FALSE)</f>
        <v>0942</v>
      </c>
    </row>
    <row r="718" spans="30:33" hidden="1">
      <c r="AD718" t="s">
        <v>2466</v>
      </c>
      <c r="AE718" t="s">
        <v>2467</v>
      </c>
      <c r="AF718" t="str">
        <f t="shared" si="79"/>
        <v>A679078</v>
      </c>
      <c r="AG718" t="str">
        <f>VLOOKUP(AF718,AKT!$C$4:$E$324,3,FALSE)</f>
        <v>0942</v>
      </c>
    </row>
    <row r="719" spans="30:33" hidden="1">
      <c r="AD719" t="s">
        <v>2468</v>
      </c>
      <c r="AE719" t="s">
        <v>2469</v>
      </c>
      <c r="AF719" t="str">
        <f t="shared" si="79"/>
        <v>A679078</v>
      </c>
      <c r="AG719" t="str">
        <f>VLOOKUP(AF719,AKT!$C$4:$E$324,3,FALSE)</f>
        <v>0942</v>
      </c>
    </row>
    <row r="720" spans="30:33" hidden="1">
      <c r="AD720" t="s">
        <v>2470</v>
      </c>
      <c r="AE720" t="s">
        <v>2471</v>
      </c>
      <c r="AF720" t="str">
        <f t="shared" si="79"/>
        <v>A679078</v>
      </c>
      <c r="AG720" t="str">
        <f>VLOOKUP(AF720,AKT!$C$4:$E$324,3,FALSE)</f>
        <v>0942</v>
      </c>
    </row>
    <row r="721" spans="30:33" hidden="1">
      <c r="AD721" t="s">
        <v>2472</v>
      </c>
      <c r="AE721" t="s">
        <v>2473</v>
      </c>
      <c r="AF721" t="str">
        <f t="shared" si="79"/>
        <v>A679078</v>
      </c>
      <c r="AG721" t="str">
        <f>VLOOKUP(AF721,AKT!$C$4:$E$324,3,FALSE)</f>
        <v>0942</v>
      </c>
    </row>
    <row r="722" spans="30:33" hidden="1">
      <c r="AD722" t="s">
        <v>2474</v>
      </c>
      <c r="AE722" t="s">
        <v>2475</v>
      </c>
      <c r="AF722" t="str">
        <f t="shared" si="79"/>
        <v>A679078</v>
      </c>
      <c r="AG722" t="str">
        <f>VLOOKUP(AF722,AKT!$C$4:$E$324,3,FALSE)</f>
        <v>0942</v>
      </c>
    </row>
    <row r="723" spans="30:33" hidden="1">
      <c r="AD723" t="s">
        <v>2476</v>
      </c>
      <c r="AE723" t="s">
        <v>2477</v>
      </c>
      <c r="AF723" t="str">
        <f t="shared" si="79"/>
        <v>A679078</v>
      </c>
      <c r="AG723" t="str">
        <f>VLOOKUP(AF723,AKT!$C$4:$E$324,3,FALSE)</f>
        <v>0942</v>
      </c>
    </row>
    <row r="724" spans="30:33" hidden="1">
      <c r="AD724" t="s">
        <v>2478</v>
      </c>
      <c r="AE724" t="s">
        <v>2479</v>
      </c>
      <c r="AF724" t="str">
        <f t="shared" si="79"/>
        <v>A679078</v>
      </c>
      <c r="AG724" t="str">
        <f>VLOOKUP(AF724,AKT!$C$4:$E$324,3,FALSE)</f>
        <v>0942</v>
      </c>
    </row>
    <row r="725" spans="30:33" hidden="1">
      <c r="AD725" t="s">
        <v>2480</v>
      </c>
      <c r="AE725" t="s">
        <v>2481</v>
      </c>
      <c r="AF725" t="str">
        <f t="shared" si="79"/>
        <v>A679078</v>
      </c>
      <c r="AG725" t="str">
        <f>VLOOKUP(AF725,AKT!$C$4:$E$324,3,FALSE)</f>
        <v>0942</v>
      </c>
    </row>
    <row r="726" spans="30:33" hidden="1">
      <c r="AD726" t="s">
        <v>2482</v>
      </c>
      <c r="AE726" t="s">
        <v>2483</v>
      </c>
      <c r="AF726" t="str">
        <f t="shared" si="79"/>
        <v>A679078</v>
      </c>
      <c r="AG726" t="str">
        <f>VLOOKUP(AF726,AKT!$C$4:$E$324,3,FALSE)</f>
        <v>0942</v>
      </c>
    </row>
    <row r="727" spans="30:33" hidden="1">
      <c r="AD727" t="s">
        <v>2484</v>
      </c>
      <c r="AE727" t="s">
        <v>2485</v>
      </c>
      <c r="AF727" t="str">
        <f t="shared" si="79"/>
        <v>A679078</v>
      </c>
      <c r="AG727" t="str">
        <f>VLOOKUP(AF727,AKT!$C$4:$E$324,3,FALSE)</f>
        <v>0942</v>
      </c>
    </row>
    <row r="728" spans="30:33" hidden="1">
      <c r="AD728" t="s">
        <v>2486</v>
      </c>
      <c r="AE728" t="s">
        <v>2487</v>
      </c>
      <c r="AF728" t="str">
        <f t="shared" si="79"/>
        <v>A679078</v>
      </c>
      <c r="AG728" t="str">
        <f>VLOOKUP(AF728,AKT!$C$4:$E$324,3,FALSE)</f>
        <v>0942</v>
      </c>
    </row>
    <row r="729" spans="30:33" hidden="1">
      <c r="AD729" t="s">
        <v>2488</v>
      </c>
      <c r="AE729" t="s">
        <v>2489</v>
      </c>
      <c r="AF729" t="str">
        <f t="shared" si="79"/>
        <v>A679078</v>
      </c>
      <c r="AG729" t="str">
        <f>VLOOKUP(AF729,AKT!$C$4:$E$324,3,FALSE)</f>
        <v>0942</v>
      </c>
    </row>
    <row r="730" spans="30:33" hidden="1">
      <c r="AD730" t="s">
        <v>2490</v>
      </c>
      <c r="AE730" t="s">
        <v>2491</v>
      </c>
      <c r="AF730" t="str">
        <f t="shared" si="79"/>
        <v>A679078</v>
      </c>
      <c r="AG730" t="str">
        <f>VLOOKUP(AF730,AKT!$C$4:$E$324,3,FALSE)</f>
        <v>0942</v>
      </c>
    </row>
    <row r="731" spans="30:33" hidden="1">
      <c r="AD731" t="s">
        <v>2492</v>
      </c>
      <c r="AE731" t="s">
        <v>2493</v>
      </c>
      <c r="AF731" t="str">
        <f t="shared" si="79"/>
        <v>A679078</v>
      </c>
      <c r="AG731" t="str">
        <f>VLOOKUP(AF731,AKT!$C$4:$E$324,3,FALSE)</f>
        <v>0942</v>
      </c>
    </row>
    <row r="732" spans="30:33" hidden="1">
      <c r="AD732" t="s">
        <v>2494</v>
      </c>
      <c r="AE732" t="s">
        <v>2495</v>
      </c>
      <c r="AF732" t="str">
        <f t="shared" si="79"/>
        <v>A679078</v>
      </c>
      <c r="AG732" t="str">
        <f>VLOOKUP(AF732,AKT!$C$4:$E$324,3,FALSE)</f>
        <v>0942</v>
      </c>
    </row>
    <row r="733" spans="30:33" hidden="1">
      <c r="AD733" t="s">
        <v>2496</v>
      </c>
      <c r="AE733" t="s">
        <v>2497</v>
      </c>
      <c r="AF733" t="str">
        <f t="shared" si="79"/>
        <v>A679078</v>
      </c>
      <c r="AG733" t="str">
        <f>VLOOKUP(AF733,AKT!$C$4:$E$324,3,FALSE)</f>
        <v>0942</v>
      </c>
    </row>
    <row r="734" spans="30:33" hidden="1">
      <c r="AD734" t="s">
        <v>2498</v>
      </c>
      <c r="AE734" t="s">
        <v>2499</v>
      </c>
      <c r="AF734" t="str">
        <f t="shared" si="79"/>
        <v>A679078</v>
      </c>
      <c r="AG734" t="str">
        <f>VLOOKUP(AF734,AKT!$C$4:$E$324,3,FALSE)</f>
        <v>0942</v>
      </c>
    </row>
    <row r="735" spans="30:33" hidden="1">
      <c r="AD735" t="s">
        <v>2500</v>
      </c>
      <c r="AE735" t="s">
        <v>2501</v>
      </c>
      <c r="AF735" t="str">
        <f t="shared" si="79"/>
        <v>A679078</v>
      </c>
      <c r="AG735" t="str">
        <f>VLOOKUP(AF735,AKT!$C$4:$E$324,3,FALSE)</f>
        <v>0942</v>
      </c>
    </row>
    <row r="736" spans="30:33" hidden="1">
      <c r="AD736" t="s">
        <v>2502</v>
      </c>
      <c r="AE736" t="s">
        <v>2503</v>
      </c>
      <c r="AF736" t="str">
        <f t="shared" si="79"/>
        <v>A679078</v>
      </c>
      <c r="AG736" t="str">
        <f>VLOOKUP(AF736,AKT!$C$4:$E$324,3,FALSE)</f>
        <v>0942</v>
      </c>
    </row>
    <row r="737" spans="30:33" hidden="1">
      <c r="AD737" t="s">
        <v>2504</v>
      </c>
      <c r="AE737" t="s">
        <v>2505</v>
      </c>
      <c r="AF737" t="str">
        <f t="shared" si="79"/>
        <v>A679078</v>
      </c>
      <c r="AG737" t="str">
        <f>VLOOKUP(AF737,AKT!$C$4:$E$324,3,FALSE)</f>
        <v>0942</v>
      </c>
    </row>
    <row r="738" spans="30:33" hidden="1">
      <c r="AD738" t="s">
        <v>2506</v>
      </c>
      <c r="AE738" t="s">
        <v>1765</v>
      </c>
      <c r="AF738" t="str">
        <f t="shared" si="79"/>
        <v>A679078</v>
      </c>
      <c r="AG738" t="str">
        <f>VLOOKUP(AF738,AKT!$C$4:$E$324,3,FALSE)</f>
        <v>0942</v>
      </c>
    </row>
    <row r="739" spans="30:33" hidden="1">
      <c r="AD739" t="s">
        <v>2507</v>
      </c>
      <c r="AE739" t="s">
        <v>2508</v>
      </c>
      <c r="AF739" t="str">
        <f t="shared" si="79"/>
        <v>A679078</v>
      </c>
      <c r="AG739" t="str">
        <f>VLOOKUP(AF739,AKT!$C$4:$E$324,3,FALSE)</f>
        <v>0942</v>
      </c>
    </row>
    <row r="740" spans="30:33" hidden="1">
      <c r="AD740" t="s">
        <v>2509</v>
      </c>
      <c r="AE740" t="s">
        <v>2510</v>
      </c>
      <c r="AF740" t="str">
        <f t="shared" si="79"/>
        <v>A679078</v>
      </c>
      <c r="AG740" t="str">
        <f>VLOOKUP(AF740,AKT!$C$4:$E$324,3,FALSE)</f>
        <v>0942</v>
      </c>
    </row>
    <row r="741" spans="30:33" hidden="1">
      <c r="AD741" t="s">
        <v>2511</v>
      </c>
      <c r="AE741" t="s">
        <v>2512</v>
      </c>
      <c r="AF741" t="str">
        <f t="shared" si="79"/>
        <v>A679078</v>
      </c>
      <c r="AG741" t="str">
        <f>VLOOKUP(AF741,AKT!$C$4:$E$324,3,FALSE)</f>
        <v>0942</v>
      </c>
    </row>
    <row r="742" spans="30:33" hidden="1">
      <c r="AD742" t="s">
        <v>2513</v>
      </c>
      <c r="AE742" t="s">
        <v>2514</v>
      </c>
      <c r="AF742" t="str">
        <f t="shared" si="79"/>
        <v>A679078</v>
      </c>
      <c r="AG742" t="str">
        <f>VLOOKUP(AF742,AKT!$C$4:$E$324,3,FALSE)</f>
        <v>0942</v>
      </c>
    </row>
    <row r="743" spans="30:33" hidden="1">
      <c r="AD743" t="s">
        <v>2515</v>
      </c>
      <c r="AE743" t="s">
        <v>2516</v>
      </c>
      <c r="AF743" t="str">
        <f t="shared" si="79"/>
        <v>A679078</v>
      </c>
      <c r="AG743" t="str">
        <f>VLOOKUP(AF743,AKT!$C$4:$E$324,3,FALSE)</f>
        <v>0942</v>
      </c>
    </row>
    <row r="744" spans="30:33" hidden="1">
      <c r="AD744" t="s">
        <v>2517</v>
      </c>
      <c r="AE744" t="s">
        <v>2518</v>
      </c>
      <c r="AF744" t="str">
        <f t="shared" si="79"/>
        <v>A679078</v>
      </c>
      <c r="AG744" t="str">
        <f>VLOOKUP(AF744,AKT!$C$4:$E$324,3,FALSE)</f>
        <v>0942</v>
      </c>
    </row>
    <row r="745" spans="30:33" hidden="1">
      <c r="AD745" t="s">
        <v>2519</v>
      </c>
      <c r="AE745" t="s">
        <v>2520</v>
      </c>
      <c r="AF745" t="str">
        <f t="shared" si="79"/>
        <v>A679078</v>
      </c>
      <c r="AG745" t="str">
        <f>VLOOKUP(AF745,AKT!$C$4:$E$324,3,FALSE)</f>
        <v>0942</v>
      </c>
    </row>
    <row r="746" spans="30:33" hidden="1">
      <c r="AD746" t="s">
        <v>2521</v>
      </c>
      <c r="AE746" t="s">
        <v>2522</v>
      </c>
      <c r="AF746" t="str">
        <f t="shared" si="79"/>
        <v>A679078</v>
      </c>
      <c r="AG746" t="str">
        <f>VLOOKUP(AF746,AKT!$C$4:$E$324,3,FALSE)</f>
        <v>0942</v>
      </c>
    </row>
    <row r="747" spans="30:33" hidden="1">
      <c r="AD747" t="s">
        <v>2523</v>
      </c>
      <c r="AE747" t="s">
        <v>2524</v>
      </c>
      <c r="AF747" t="str">
        <f t="shared" si="79"/>
        <v>A679078</v>
      </c>
      <c r="AG747" t="str">
        <f>VLOOKUP(AF747,AKT!$C$4:$E$324,3,FALSE)</f>
        <v>0942</v>
      </c>
    </row>
    <row r="748" spans="30:33" hidden="1">
      <c r="AD748" t="s">
        <v>2525</v>
      </c>
      <c r="AE748" t="s">
        <v>2526</v>
      </c>
      <c r="AF748" t="str">
        <f t="shared" si="79"/>
        <v>A679078</v>
      </c>
      <c r="AG748" t="str">
        <f>VLOOKUP(AF748,AKT!$C$4:$E$324,3,FALSE)</f>
        <v>0942</v>
      </c>
    </row>
    <row r="749" spans="30:33" hidden="1">
      <c r="AD749" t="s">
        <v>2527</v>
      </c>
      <c r="AE749" t="s">
        <v>2528</v>
      </c>
      <c r="AF749" t="str">
        <f t="shared" si="79"/>
        <v>A679078</v>
      </c>
      <c r="AG749" t="str">
        <f>VLOOKUP(AF749,AKT!$C$4:$E$324,3,FALSE)</f>
        <v>0942</v>
      </c>
    </row>
    <row r="750" spans="30:33" hidden="1">
      <c r="AD750" t="s">
        <v>2529</v>
      </c>
      <c r="AE750" t="s">
        <v>2530</v>
      </c>
      <c r="AF750" t="str">
        <f t="shared" si="79"/>
        <v>A679078</v>
      </c>
      <c r="AG750" t="str">
        <f>VLOOKUP(AF750,AKT!$C$4:$E$324,3,FALSE)</f>
        <v>0942</v>
      </c>
    </row>
    <row r="751" spans="30:33" hidden="1">
      <c r="AD751" t="s">
        <v>2531</v>
      </c>
      <c r="AE751" t="s">
        <v>2532</v>
      </c>
      <c r="AF751" t="str">
        <f t="shared" si="79"/>
        <v>A679078</v>
      </c>
      <c r="AG751" t="str">
        <f>VLOOKUP(AF751,AKT!$C$4:$E$324,3,FALSE)</f>
        <v>0942</v>
      </c>
    </row>
    <row r="752" spans="30:33" hidden="1">
      <c r="AD752" t="s">
        <v>2533</v>
      </c>
      <c r="AE752" t="s">
        <v>2534</v>
      </c>
      <c r="AF752" t="str">
        <f t="shared" si="79"/>
        <v>A679078</v>
      </c>
      <c r="AG752" t="str">
        <f>VLOOKUP(AF752,AKT!$C$4:$E$324,3,FALSE)</f>
        <v>0942</v>
      </c>
    </row>
    <row r="753" spans="30:33" hidden="1">
      <c r="AD753" t="s">
        <v>2535</v>
      </c>
      <c r="AE753" t="s">
        <v>2536</v>
      </c>
      <c r="AF753" t="str">
        <f t="shared" si="79"/>
        <v>A679078</v>
      </c>
      <c r="AG753" t="str">
        <f>VLOOKUP(AF753,AKT!$C$4:$E$324,3,FALSE)</f>
        <v>0942</v>
      </c>
    </row>
    <row r="754" spans="30:33" hidden="1">
      <c r="AD754" t="s">
        <v>2537</v>
      </c>
      <c r="AE754" t="s">
        <v>2538</v>
      </c>
      <c r="AF754" t="str">
        <f t="shared" si="79"/>
        <v>A679078</v>
      </c>
      <c r="AG754" t="str">
        <f>VLOOKUP(AF754,AKT!$C$4:$E$324,3,FALSE)</f>
        <v>0942</v>
      </c>
    </row>
    <row r="755" spans="30:33" hidden="1">
      <c r="AD755" t="s">
        <v>2539</v>
      </c>
      <c r="AE755" t="s">
        <v>2540</v>
      </c>
      <c r="AF755" t="str">
        <f t="shared" si="79"/>
        <v>A679078</v>
      </c>
      <c r="AG755" t="str">
        <f>VLOOKUP(AF755,AKT!$C$4:$E$324,3,FALSE)</f>
        <v>0942</v>
      </c>
    </row>
    <row r="756" spans="30:33" hidden="1">
      <c r="AD756" t="s">
        <v>2541</v>
      </c>
      <c r="AE756" t="s">
        <v>2542</v>
      </c>
      <c r="AF756" t="str">
        <f t="shared" si="79"/>
        <v>A679078</v>
      </c>
      <c r="AG756" t="str">
        <f>VLOOKUP(AF756,AKT!$C$4:$E$324,3,FALSE)</f>
        <v>0942</v>
      </c>
    </row>
    <row r="757" spans="30:33" hidden="1">
      <c r="AD757" t="s">
        <v>2543</v>
      </c>
      <c r="AE757" t="s">
        <v>2544</v>
      </c>
      <c r="AF757" t="str">
        <f t="shared" si="79"/>
        <v>A679078</v>
      </c>
      <c r="AG757" t="str">
        <f>VLOOKUP(AF757,AKT!$C$4:$E$324,3,FALSE)</f>
        <v>0942</v>
      </c>
    </row>
    <row r="758" spans="30:33" hidden="1">
      <c r="AD758" t="s">
        <v>2545</v>
      </c>
      <c r="AE758" t="s">
        <v>2546</v>
      </c>
      <c r="AF758" t="str">
        <f t="shared" si="79"/>
        <v>A679078</v>
      </c>
      <c r="AG758" t="str">
        <f>VLOOKUP(AF758,AKT!$C$4:$E$324,3,FALSE)</f>
        <v>0942</v>
      </c>
    </row>
    <row r="759" spans="30:33" hidden="1">
      <c r="AD759" t="s">
        <v>2547</v>
      </c>
      <c r="AE759" t="s">
        <v>2548</v>
      </c>
      <c r="AF759" t="str">
        <f t="shared" si="79"/>
        <v>A679078</v>
      </c>
      <c r="AG759" t="str">
        <f>VLOOKUP(AF759,AKT!$C$4:$E$324,3,FALSE)</f>
        <v>0942</v>
      </c>
    </row>
    <row r="760" spans="30:33" hidden="1">
      <c r="AD760" t="s">
        <v>2549</v>
      </c>
      <c r="AE760" t="s">
        <v>2550</v>
      </c>
      <c r="AF760" t="str">
        <f t="shared" si="79"/>
        <v>A679078</v>
      </c>
      <c r="AG760" t="str">
        <f>VLOOKUP(AF760,AKT!$C$4:$E$324,3,FALSE)</f>
        <v>0942</v>
      </c>
    </row>
    <row r="761" spans="30:33" hidden="1">
      <c r="AD761" t="s">
        <v>2551</v>
      </c>
      <c r="AE761" t="s">
        <v>2552</v>
      </c>
      <c r="AF761" t="str">
        <f t="shared" si="79"/>
        <v>A679078</v>
      </c>
      <c r="AG761" t="str">
        <f>VLOOKUP(AF761,AKT!$C$4:$E$324,3,FALSE)</f>
        <v>0942</v>
      </c>
    </row>
    <row r="762" spans="30:33" hidden="1">
      <c r="AD762" t="s">
        <v>2553</v>
      </c>
      <c r="AE762" t="s">
        <v>2554</v>
      </c>
      <c r="AF762" t="str">
        <f t="shared" si="79"/>
        <v>A679078</v>
      </c>
      <c r="AG762" t="str">
        <f>VLOOKUP(AF762,AKT!$C$4:$E$324,3,FALSE)</f>
        <v>0942</v>
      </c>
    </row>
    <row r="763" spans="30:33" hidden="1">
      <c r="AD763" t="s">
        <v>2555</v>
      </c>
      <c r="AE763" t="s">
        <v>2556</v>
      </c>
      <c r="AF763" t="str">
        <f t="shared" si="79"/>
        <v>A679078</v>
      </c>
      <c r="AG763" t="str">
        <f>VLOOKUP(AF763,AKT!$C$4:$E$324,3,FALSE)</f>
        <v>0942</v>
      </c>
    </row>
    <row r="764" spans="30:33" hidden="1">
      <c r="AD764" t="s">
        <v>2557</v>
      </c>
      <c r="AE764" t="s">
        <v>2558</v>
      </c>
      <c r="AF764" t="str">
        <f t="shared" si="79"/>
        <v>A679078</v>
      </c>
      <c r="AG764" t="str">
        <f>VLOOKUP(AF764,AKT!$C$4:$E$324,3,FALSE)</f>
        <v>0942</v>
      </c>
    </row>
    <row r="765" spans="30:33" hidden="1">
      <c r="AD765" t="s">
        <v>2559</v>
      </c>
      <c r="AE765" t="s">
        <v>2560</v>
      </c>
      <c r="AF765" t="str">
        <f t="shared" si="79"/>
        <v>A679078</v>
      </c>
      <c r="AG765" t="str">
        <f>VLOOKUP(AF765,AKT!$C$4:$E$324,3,FALSE)</f>
        <v>0942</v>
      </c>
    </row>
    <row r="766" spans="30:33" hidden="1">
      <c r="AD766" t="s">
        <v>2561</v>
      </c>
      <c r="AE766" t="s">
        <v>2562</v>
      </c>
      <c r="AF766" t="str">
        <f t="shared" si="79"/>
        <v>A679078</v>
      </c>
      <c r="AG766" t="str">
        <f>VLOOKUP(AF766,AKT!$C$4:$E$324,3,FALSE)</f>
        <v>0942</v>
      </c>
    </row>
    <row r="767" spans="30:33" hidden="1">
      <c r="AD767" t="s">
        <v>2563</v>
      </c>
      <c r="AE767" t="s">
        <v>2564</v>
      </c>
      <c r="AF767" t="str">
        <f t="shared" si="79"/>
        <v>A679078</v>
      </c>
      <c r="AG767" t="str">
        <f>VLOOKUP(AF767,AKT!$C$4:$E$324,3,FALSE)</f>
        <v>0942</v>
      </c>
    </row>
    <row r="768" spans="30:33" hidden="1">
      <c r="AD768" t="s">
        <v>2565</v>
      </c>
      <c r="AE768" t="s">
        <v>2566</v>
      </c>
      <c r="AF768" t="str">
        <f t="shared" si="79"/>
        <v>A679078</v>
      </c>
      <c r="AG768" t="str">
        <f>VLOOKUP(AF768,AKT!$C$4:$E$324,3,FALSE)</f>
        <v>0942</v>
      </c>
    </row>
    <row r="769" spans="30:33" hidden="1">
      <c r="AD769" t="s">
        <v>2567</v>
      </c>
      <c r="AE769" t="s">
        <v>2568</v>
      </c>
      <c r="AF769" t="str">
        <f t="shared" si="79"/>
        <v>A679078</v>
      </c>
      <c r="AG769" t="str">
        <f>VLOOKUP(AF769,AKT!$C$4:$E$324,3,FALSE)</f>
        <v>0942</v>
      </c>
    </row>
    <row r="770" spans="30:33" hidden="1">
      <c r="AD770" t="s">
        <v>2569</v>
      </c>
      <c r="AE770" t="s">
        <v>2570</v>
      </c>
      <c r="AF770" t="str">
        <f t="shared" si="79"/>
        <v>A679078</v>
      </c>
      <c r="AG770" t="str">
        <f>VLOOKUP(AF770,AKT!$C$4:$E$324,3,FALSE)</f>
        <v>0942</v>
      </c>
    </row>
    <row r="771" spans="30:33" hidden="1">
      <c r="AD771" t="s">
        <v>2571</v>
      </c>
      <c r="AE771" t="s">
        <v>2572</v>
      </c>
      <c r="AF771" t="str">
        <f t="shared" si="79"/>
        <v>A679078</v>
      </c>
      <c r="AG771" t="str">
        <f>VLOOKUP(AF771,AKT!$C$4:$E$324,3,FALSE)</f>
        <v>0942</v>
      </c>
    </row>
    <row r="772" spans="30:33" hidden="1">
      <c r="AD772" t="s">
        <v>2573</v>
      </c>
      <c r="AE772" t="s">
        <v>2516</v>
      </c>
      <c r="AF772" t="str">
        <f t="shared" si="79"/>
        <v>A679078</v>
      </c>
      <c r="AG772" t="str">
        <f>VLOOKUP(AF772,AKT!$C$4:$E$324,3,FALSE)</f>
        <v>0942</v>
      </c>
    </row>
    <row r="773" spans="30:33" hidden="1">
      <c r="AD773" t="s">
        <v>2574</v>
      </c>
      <c r="AE773" t="s">
        <v>2522</v>
      </c>
      <c r="AF773" t="str">
        <f t="shared" si="79"/>
        <v>A679078</v>
      </c>
      <c r="AG773" t="str">
        <f>VLOOKUP(AF773,AKT!$C$4:$E$324,3,FALSE)</f>
        <v>0942</v>
      </c>
    </row>
    <row r="774" spans="30:33" hidden="1">
      <c r="AD774" t="s">
        <v>2575</v>
      </c>
      <c r="AE774" t="s">
        <v>2576</v>
      </c>
      <c r="AF774" t="str">
        <f t="shared" si="79"/>
        <v>A679078</v>
      </c>
      <c r="AG774" t="str">
        <f>VLOOKUP(AF774,AKT!$C$4:$E$324,3,FALSE)</f>
        <v>0942</v>
      </c>
    </row>
    <row r="775" spans="30:33" hidden="1">
      <c r="AD775" t="s">
        <v>2577</v>
      </c>
      <c r="AE775" t="s">
        <v>2578</v>
      </c>
      <c r="AF775" t="str">
        <f t="shared" si="79"/>
        <v>A679078</v>
      </c>
      <c r="AG775" t="str">
        <f>VLOOKUP(AF775,AKT!$C$4:$E$324,3,FALSE)</f>
        <v>0942</v>
      </c>
    </row>
    <row r="776" spans="30:33" hidden="1">
      <c r="AD776" t="s">
        <v>2579</v>
      </c>
      <c r="AE776" t="s">
        <v>2580</v>
      </c>
      <c r="AF776" t="str">
        <f t="shared" ref="AF776:AF839" si="80">LEFT(AD776,7)</f>
        <v>A679078</v>
      </c>
      <c r="AG776" t="str">
        <f>VLOOKUP(AF776,AKT!$C$4:$E$324,3,FALSE)</f>
        <v>0942</v>
      </c>
    </row>
    <row r="777" spans="30:33" hidden="1">
      <c r="AD777" t="s">
        <v>2581</v>
      </c>
      <c r="AE777" t="s">
        <v>2582</v>
      </c>
      <c r="AF777" t="str">
        <f t="shared" si="80"/>
        <v>A679078</v>
      </c>
      <c r="AG777" t="str">
        <f>VLOOKUP(AF777,AKT!$C$4:$E$324,3,FALSE)</f>
        <v>0942</v>
      </c>
    </row>
    <row r="778" spans="30:33" hidden="1">
      <c r="AD778" t="s">
        <v>2583</v>
      </c>
      <c r="AE778" t="s">
        <v>2584</v>
      </c>
      <c r="AF778" t="str">
        <f t="shared" si="80"/>
        <v>A679078</v>
      </c>
      <c r="AG778" t="str">
        <f>VLOOKUP(AF778,AKT!$C$4:$E$324,3,FALSE)</f>
        <v>0942</v>
      </c>
    </row>
    <row r="779" spans="30:33" hidden="1">
      <c r="AD779" t="s">
        <v>2585</v>
      </c>
      <c r="AE779" t="s">
        <v>2586</v>
      </c>
      <c r="AF779" t="str">
        <f t="shared" si="80"/>
        <v>A679078</v>
      </c>
      <c r="AG779" t="str">
        <f>VLOOKUP(AF779,AKT!$C$4:$E$324,3,FALSE)</f>
        <v>0942</v>
      </c>
    </row>
    <row r="780" spans="30:33" hidden="1">
      <c r="AD780" t="s">
        <v>2587</v>
      </c>
      <c r="AE780" t="s">
        <v>2588</v>
      </c>
      <c r="AF780" t="str">
        <f t="shared" si="80"/>
        <v>A679078</v>
      </c>
      <c r="AG780" t="str">
        <f>VLOOKUP(AF780,AKT!$C$4:$E$324,3,FALSE)</f>
        <v>0942</v>
      </c>
    </row>
    <row r="781" spans="30:33" hidden="1">
      <c r="AD781" t="s">
        <v>2589</v>
      </c>
      <c r="AE781" t="s">
        <v>2590</v>
      </c>
      <c r="AF781" t="str">
        <f t="shared" si="80"/>
        <v>A679078</v>
      </c>
      <c r="AG781" t="str">
        <f>VLOOKUP(AF781,AKT!$C$4:$E$324,3,FALSE)</f>
        <v>0942</v>
      </c>
    </row>
    <row r="782" spans="30:33" hidden="1">
      <c r="AD782" t="s">
        <v>2591</v>
      </c>
      <c r="AE782" t="s">
        <v>2592</v>
      </c>
      <c r="AF782" t="str">
        <f t="shared" si="80"/>
        <v>A679078</v>
      </c>
      <c r="AG782" t="str">
        <f>VLOOKUP(AF782,AKT!$C$4:$E$324,3,FALSE)</f>
        <v>0942</v>
      </c>
    </row>
    <row r="783" spans="30:33" hidden="1">
      <c r="AD783" t="s">
        <v>2593</v>
      </c>
      <c r="AE783" t="s">
        <v>2594</v>
      </c>
      <c r="AF783" t="str">
        <f t="shared" si="80"/>
        <v>A679078</v>
      </c>
      <c r="AG783" t="str">
        <f>VLOOKUP(AF783,AKT!$C$4:$E$324,3,FALSE)</f>
        <v>0942</v>
      </c>
    </row>
    <row r="784" spans="30:33" hidden="1">
      <c r="AD784" t="s">
        <v>2595</v>
      </c>
      <c r="AE784" t="s">
        <v>2596</v>
      </c>
      <c r="AF784" t="str">
        <f t="shared" si="80"/>
        <v>A679078</v>
      </c>
      <c r="AG784" t="str">
        <f>VLOOKUP(AF784,AKT!$C$4:$E$324,3,FALSE)</f>
        <v>0942</v>
      </c>
    </row>
    <row r="785" spans="30:33" hidden="1">
      <c r="AD785" t="s">
        <v>2597</v>
      </c>
      <c r="AE785" t="s">
        <v>2598</v>
      </c>
      <c r="AF785" t="str">
        <f t="shared" si="80"/>
        <v>A679078</v>
      </c>
      <c r="AG785" t="str">
        <f>VLOOKUP(AF785,AKT!$C$4:$E$324,3,FALSE)</f>
        <v>0942</v>
      </c>
    </row>
    <row r="786" spans="30:33" hidden="1">
      <c r="AD786" t="s">
        <v>2599</v>
      </c>
      <c r="AE786" t="s">
        <v>2600</v>
      </c>
      <c r="AF786" t="str">
        <f t="shared" si="80"/>
        <v>A679078</v>
      </c>
      <c r="AG786" t="str">
        <f>VLOOKUP(AF786,AKT!$C$4:$E$324,3,FALSE)</f>
        <v>0942</v>
      </c>
    </row>
    <row r="787" spans="30:33" hidden="1">
      <c r="AD787" t="s">
        <v>2601</v>
      </c>
      <c r="AE787" t="s">
        <v>2602</v>
      </c>
      <c r="AF787" t="str">
        <f t="shared" si="80"/>
        <v>A679078</v>
      </c>
      <c r="AG787" t="str">
        <f>VLOOKUP(AF787,AKT!$C$4:$E$324,3,FALSE)</f>
        <v>0942</v>
      </c>
    </row>
    <row r="788" spans="30:33" hidden="1">
      <c r="AD788" t="s">
        <v>2603</v>
      </c>
      <c r="AE788" t="s">
        <v>2604</v>
      </c>
      <c r="AF788" t="str">
        <f t="shared" si="80"/>
        <v>A679078</v>
      </c>
      <c r="AG788" t="str">
        <f>VLOOKUP(AF788,AKT!$C$4:$E$324,3,FALSE)</f>
        <v>0942</v>
      </c>
    </row>
    <row r="789" spans="30:33" hidden="1">
      <c r="AD789" t="s">
        <v>2605</v>
      </c>
      <c r="AE789" t="s">
        <v>2606</v>
      </c>
      <c r="AF789" t="str">
        <f t="shared" si="80"/>
        <v>A679078</v>
      </c>
      <c r="AG789" t="str">
        <f>VLOOKUP(AF789,AKT!$C$4:$E$324,3,FALSE)</f>
        <v>0942</v>
      </c>
    </row>
    <row r="790" spans="30:33" hidden="1">
      <c r="AD790" t="s">
        <v>2607</v>
      </c>
      <c r="AE790" t="s">
        <v>2608</v>
      </c>
      <c r="AF790" t="str">
        <f t="shared" si="80"/>
        <v>A679078</v>
      </c>
      <c r="AG790" t="str">
        <f>VLOOKUP(AF790,AKT!$C$4:$E$324,3,FALSE)</f>
        <v>0942</v>
      </c>
    </row>
    <row r="791" spans="30:33" hidden="1">
      <c r="AD791" t="s">
        <v>2609</v>
      </c>
      <c r="AE791" t="s">
        <v>2610</v>
      </c>
      <c r="AF791" t="str">
        <f t="shared" si="80"/>
        <v>A679078</v>
      </c>
      <c r="AG791" t="str">
        <f>VLOOKUP(AF791,AKT!$C$4:$E$324,3,FALSE)</f>
        <v>0942</v>
      </c>
    </row>
    <row r="792" spans="30:33" hidden="1">
      <c r="AD792" t="s">
        <v>2611</v>
      </c>
      <c r="AE792" t="s">
        <v>2612</v>
      </c>
      <c r="AF792" t="str">
        <f t="shared" si="80"/>
        <v>A679078</v>
      </c>
      <c r="AG792" t="str">
        <f>VLOOKUP(AF792,AKT!$C$4:$E$324,3,FALSE)</f>
        <v>0942</v>
      </c>
    </row>
    <row r="793" spans="30:33" hidden="1">
      <c r="AD793" t="s">
        <v>2613</v>
      </c>
      <c r="AE793" t="s">
        <v>2614</v>
      </c>
      <c r="AF793" t="str">
        <f t="shared" si="80"/>
        <v>A679078</v>
      </c>
      <c r="AG793" t="str">
        <f>VLOOKUP(AF793,AKT!$C$4:$E$324,3,FALSE)</f>
        <v>0942</v>
      </c>
    </row>
    <row r="794" spans="30:33" hidden="1">
      <c r="AD794" t="s">
        <v>2615</v>
      </c>
      <c r="AE794" t="s">
        <v>2616</v>
      </c>
      <c r="AF794" t="str">
        <f t="shared" si="80"/>
        <v>A679078</v>
      </c>
      <c r="AG794" t="str">
        <f>VLOOKUP(AF794,AKT!$C$4:$E$324,3,FALSE)</f>
        <v>0942</v>
      </c>
    </row>
    <row r="795" spans="30:33" hidden="1">
      <c r="AD795" t="s">
        <v>2617</v>
      </c>
      <c r="AE795" t="s">
        <v>2618</v>
      </c>
      <c r="AF795" t="str">
        <f t="shared" si="80"/>
        <v>A679078</v>
      </c>
      <c r="AG795" t="str">
        <f>VLOOKUP(AF795,AKT!$C$4:$E$324,3,FALSE)</f>
        <v>0942</v>
      </c>
    </row>
    <row r="796" spans="30:33" hidden="1">
      <c r="AD796" t="s">
        <v>2619</v>
      </c>
      <c r="AE796" t="s">
        <v>2620</v>
      </c>
      <c r="AF796" t="str">
        <f t="shared" si="80"/>
        <v>A679078</v>
      </c>
      <c r="AG796" t="str">
        <f>VLOOKUP(AF796,AKT!$C$4:$E$324,3,FALSE)</f>
        <v>0942</v>
      </c>
    </row>
    <row r="797" spans="30:33" hidden="1">
      <c r="AD797" t="s">
        <v>2621</v>
      </c>
      <c r="AE797" t="s">
        <v>2622</v>
      </c>
      <c r="AF797" t="str">
        <f t="shared" si="80"/>
        <v>A679078</v>
      </c>
      <c r="AG797" t="str">
        <f>VLOOKUP(AF797,AKT!$C$4:$E$324,3,FALSE)</f>
        <v>0942</v>
      </c>
    </row>
    <row r="798" spans="30:33" hidden="1">
      <c r="AD798" t="s">
        <v>2623</v>
      </c>
      <c r="AE798" t="s">
        <v>2624</v>
      </c>
      <c r="AF798" t="str">
        <f t="shared" si="80"/>
        <v>A679078</v>
      </c>
      <c r="AG798" t="str">
        <f>VLOOKUP(AF798,AKT!$C$4:$E$324,3,FALSE)</f>
        <v>0942</v>
      </c>
    </row>
    <row r="799" spans="30:33" hidden="1">
      <c r="AD799" t="s">
        <v>2625</v>
      </c>
      <c r="AE799" t="s">
        <v>2626</v>
      </c>
      <c r="AF799" t="str">
        <f t="shared" si="80"/>
        <v>A679078</v>
      </c>
      <c r="AG799" t="str">
        <f>VLOOKUP(AF799,AKT!$C$4:$E$324,3,FALSE)</f>
        <v>0942</v>
      </c>
    </row>
    <row r="800" spans="30:33" hidden="1">
      <c r="AD800" t="s">
        <v>2627</v>
      </c>
      <c r="AE800" t="s">
        <v>2628</v>
      </c>
      <c r="AF800" t="str">
        <f t="shared" si="80"/>
        <v>A679078</v>
      </c>
      <c r="AG800" t="str">
        <f>VLOOKUP(AF800,AKT!$C$4:$E$324,3,FALSE)</f>
        <v>0942</v>
      </c>
    </row>
    <row r="801" spans="30:33" hidden="1">
      <c r="AD801" t="s">
        <v>2629</v>
      </c>
      <c r="AE801" t="s">
        <v>2630</v>
      </c>
      <c r="AF801" t="str">
        <f t="shared" si="80"/>
        <v>A679078</v>
      </c>
      <c r="AG801" t="str">
        <f>VLOOKUP(AF801,AKT!$C$4:$E$324,3,FALSE)</f>
        <v>0942</v>
      </c>
    </row>
    <row r="802" spans="30:33" hidden="1">
      <c r="AD802" t="s">
        <v>2631</v>
      </c>
      <c r="AE802" t="s">
        <v>2632</v>
      </c>
      <c r="AF802" t="str">
        <f t="shared" si="80"/>
        <v>A679078</v>
      </c>
      <c r="AG802" t="str">
        <f>VLOOKUP(AF802,AKT!$C$4:$E$324,3,FALSE)</f>
        <v>0942</v>
      </c>
    </row>
    <row r="803" spans="30:33" hidden="1">
      <c r="AD803" t="s">
        <v>2633</v>
      </c>
      <c r="AE803" t="s">
        <v>2634</v>
      </c>
      <c r="AF803" t="str">
        <f t="shared" si="80"/>
        <v>A679078</v>
      </c>
      <c r="AG803" t="str">
        <f>VLOOKUP(AF803,AKT!$C$4:$E$324,3,FALSE)</f>
        <v>0942</v>
      </c>
    </row>
    <row r="804" spans="30:33" hidden="1">
      <c r="AD804" t="s">
        <v>2635</v>
      </c>
      <c r="AE804" t="s">
        <v>2636</v>
      </c>
      <c r="AF804" t="str">
        <f t="shared" si="80"/>
        <v>A679078</v>
      </c>
      <c r="AG804" t="str">
        <f>VLOOKUP(AF804,AKT!$C$4:$E$324,3,FALSE)</f>
        <v>0942</v>
      </c>
    </row>
    <row r="805" spans="30:33" hidden="1">
      <c r="AD805" t="s">
        <v>2637</v>
      </c>
      <c r="AE805" t="s">
        <v>2638</v>
      </c>
      <c r="AF805" t="str">
        <f t="shared" si="80"/>
        <v>A679078</v>
      </c>
      <c r="AG805" t="str">
        <f>VLOOKUP(AF805,AKT!$C$4:$E$324,3,FALSE)</f>
        <v>0942</v>
      </c>
    </row>
    <row r="806" spans="30:33" hidden="1">
      <c r="AD806" t="s">
        <v>2639</v>
      </c>
      <c r="AE806" t="s">
        <v>2640</v>
      </c>
      <c r="AF806" t="str">
        <f t="shared" si="80"/>
        <v>A679078</v>
      </c>
      <c r="AG806" t="str">
        <f>VLOOKUP(AF806,AKT!$C$4:$E$324,3,FALSE)</f>
        <v>0942</v>
      </c>
    </row>
    <row r="807" spans="30:33" hidden="1">
      <c r="AD807" t="s">
        <v>2641</v>
      </c>
      <c r="AE807" t="s">
        <v>2397</v>
      </c>
      <c r="AF807" t="str">
        <f t="shared" si="80"/>
        <v>A679078</v>
      </c>
      <c r="AG807" t="str">
        <f>VLOOKUP(AF807,AKT!$C$4:$E$324,3,FALSE)</f>
        <v>0942</v>
      </c>
    </row>
    <row r="808" spans="30:33" hidden="1">
      <c r="AD808" t="s">
        <v>2642</v>
      </c>
      <c r="AE808" t="s">
        <v>2643</v>
      </c>
      <c r="AF808" t="str">
        <f t="shared" si="80"/>
        <v>A679078</v>
      </c>
      <c r="AG808" t="str">
        <f>VLOOKUP(AF808,AKT!$C$4:$E$324,3,FALSE)</f>
        <v>0942</v>
      </c>
    </row>
    <row r="809" spans="30:33" hidden="1">
      <c r="AD809" t="s">
        <v>2644</v>
      </c>
      <c r="AE809" t="s">
        <v>2645</v>
      </c>
      <c r="AF809" t="str">
        <f t="shared" si="80"/>
        <v>A679078</v>
      </c>
      <c r="AG809" t="str">
        <f>VLOOKUP(AF809,AKT!$C$4:$E$324,3,FALSE)</f>
        <v>0942</v>
      </c>
    </row>
    <row r="810" spans="30:33" hidden="1">
      <c r="AD810" t="s">
        <v>2646</v>
      </c>
      <c r="AE810" t="s">
        <v>2647</v>
      </c>
      <c r="AF810" t="str">
        <f t="shared" si="80"/>
        <v>A679078</v>
      </c>
      <c r="AG810" t="str">
        <f>VLOOKUP(AF810,AKT!$C$4:$E$324,3,FALSE)</f>
        <v>0942</v>
      </c>
    </row>
    <row r="811" spans="30:33" hidden="1">
      <c r="AD811" t="s">
        <v>2648</v>
      </c>
      <c r="AE811" t="s">
        <v>2649</v>
      </c>
      <c r="AF811" t="str">
        <f t="shared" si="80"/>
        <v>A679078</v>
      </c>
      <c r="AG811" t="str">
        <f>VLOOKUP(AF811,AKT!$C$4:$E$324,3,FALSE)</f>
        <v>0942</v>
      </c>
    </row>
    <row r="812" spans="30:33" hidden="1">
      <c r="AD812" t="s">
        <v>2650</v>
      </c>
      <c r="AE812" t="s">
        <v>2651</v>
      </c>
      <c r="AF812" t="str">
        <f t="shared" si="80"/>
        <v>A679078</v>
      </c>
      <c r="AG812" t="str">
        <f>VLOOKUP(AF812,AKT!$C$4:$E$324,3,FALSE)</f>
        <v>0942</v>
      </c>
    </row>
    <row r="813" spans="30:33" hidden="1">
      <c r="AD813" t="s">
        <v>2652</v>
      </c>
      <c r="AE813" t="s">
        <v>2653</v>
      </c>
      <c r="AF813" t="str">
        <f t="shared" si="80"/>
        <v>A679078</v>
      </c>
      <c r="AG813" t="str">
        <f>VLOOKUP(AF813,AKT!$C$4:$E$324,3,FALSE)</f>
        <v>0942</v>
      </c>
    </row>
    <row r="814" spans="30:33" hidden="1">
      <c r="AD814" t="s">
        <v>2654</v>
      </c>
      <c r="AE814" t="s">
        <v>2655</v>
      </c>
      <c r="AF814" t="str">
        <f t="shared" si="80"/>
        <v>A679078</v>
      </c>
      <c r="AG814" t="str">
        <f>VLOOKUP(AF814,AKT!$C$4:$E$324,3,FALSE)</f>
        <v>0942</v>
      </c>
    </row>
    <row r="815" spans="30:33" hidden="1">
      <c r="AD815" t="s">
        <v>2656</v>
      </c>
      <c r="AE815" t="s">
        <v>2657</v>
      </c>
      <c r="AF815" t="str">
        <f t="shared" si="80"/>
        <v>A679078</v>
      </c>
      <c r="AG815" t="str">
        <f>VLOOKUP(AF815,AKT!$C$4:$E$324,3,FALSE)</f>
        <v>0942</v>
      </c>
    </row>
    <row r="816" spans="30:33" hidden="1">
      <c r="AD816" t="s">
        <v>2658</v>
      </c>
      <c r="AE816" t="s">
        <v>2659</v>
      </c>
      <c r="AF816" t="str">
        <f t="shared" si="80"/>
        <v>A679078</v>
      </c>
      <c r="AG816" t="str">
        <f>VLOOKUP(AF816,AKT!$C$4:$E$324,3,FALSE)</f>
        <v>0942</v>
      </c>
    </row>
    <row r="817" spans="30:33" hidden="1">
      <c r="AD817" t="s">
        <v>2660</v>
      </c>
      <c r="AE817" t="s">
        <v>2661</v>
      </c>
      <c r="AF817" t="str">
        <f t="shared" si="80"/>
        <v>A679078</v>
      </c>
      <c r="AG817" t="str">
        <f>VLOOKUP(AF817,AKT!$C$4:$E$324,3,FALSE)</f>
        <v>0942</v>
      </c>
    </row>
    <row r="818" spans="30:33" hidden="1">
      <c r="AD818" t="s">
        <v>2662</v>
      </c>
      <c r="AE818" t="s">
        <v>2663</v>
      </c>
      <c r="AF818" t="str">
        <f t="shared" si="80"/>
        <v>A679078</v>
      </c>
      <c r="AG818" t="str">
        <f>VLOOKUP(AF818,AKT!$C$4:$E$324,3,FALSE)</f>
        <v>0942</v>
      </c>
    </row>
    <row r="819" spans="30:33" hidden="1">
      <c r="AD819" t="s">
        <v>2664</v>
      </c>
      <c r="AE819" t="s">
        <v>2665</v>
      </c>
      <c r="AF819" t="str">
        <f t="shared" si="80"/>
        <v>A679078</v>
      </c>
      <c r="AG819" t="str">
        <f>VLOOKUP(AF819,AKT!$C$4:$E$324,3,FALSE)</f>
        <v>0942</v>
      </c>
    </row>
    <row r="820" spans="30:33" hidden="1">
      <c r="AD820" t="s">
        <v>2666</v>
      </c>
      <c r="AE820" t="s">
        <v>2667</v>
      </c>
      <c r="AF820" t="str">
        <f t="shared" si="80"/>
        <v>A679078</v>
      </c>
      <c r="AG820" t="str">
        <f>VLOOKUP(AF820,AKT!$C$4:$E$324,3,FALSE)</f>
        <v>0942</v>
      </c>
    </row>
    <row r="821" spans="30:33" hidden="1">
      <c r="AD821" t="s">
        <v>2668</v>
      </c>
      <c r="AE821" t="s">
        <v>2669</v>
      </c>
      <c r="AF821" t="str">
        <f t="shared" si="80"/>
        <v>A679078</v>
      </c>
      <c r="AG821" t="str">
        <f>VLOOKUP(AF821,AKT!$C$4:$E$324,3,FALSE)</f>
        <v>0942</v>
      </c>
    </row>
    <row r="822" spans="30:33" hidden="1">
      <c r="AD822" t="s">
        <v>2670</v>
      </c>
      <c r="AE822" t="s">
        <v>2671</v>
      </c>
      <c r="AF822" t="str">
        <f t="shared" si="80"/>
        <v>A679078</v>
      </c>
      <c r="AG822" t="str">
        <f>VLOOKUP(AF822,AKT!$C$4:$E$324,3,FALSE)</f>
        <v>0942</v>
      </c>
    </row>
    <row r="823" spans="30:33" hidden="1">
      <c r="AD823" t="s">
        <v>2672</v>
      </c>
      <c r="AE823" t="s">
        <v>2673</v>
      </c>
      <c r="AF823" t="str">
        <f t="shared" si="80"/>
        <v>A679078</v>
      </c>
      <c r="AG823" t="str">
        <f>VLOOKUP(AF823,AKT!$C$4:$E$324,3,FALSE)</f>
        <v>0942</v>
      </c>
    </row>
    <row r="824" spans="30:33" hidden="1">
      <c r="AD824" t="s">
        <v>2674</v>
      </c>
      <c r="AE824" t="s">
        <v>2675</v>
      </c>
      <c r="AF824" t="str">
        <f t="shared" si="80"/>
        <v>A679078</v>
      </c>
      <c r="AG824" t="str">
        <f>VLOOKUP(AF824,AKT!$C$4:$E$324,3,FALSE)</f>
        <v>0942</v>
      </c>
    </row>
    <row r="825" spans="30:33" hidden="1">
      <c r="AD825" t="s">
        <v>2676</v>
      </c>
      <c r="AE825" t="s">
        <v>2677</v>
      </c>
      <c r="AF825" t="str">
        <f t="shared" si="80"/>
        <v>A679078</v>
      </c>
      <c r="AG825" t="str">
        <f>VLOOKUP(AF825,AKT!$C$4:$E$324,3,FALSE)</f>
        <v>0942</v>
      </c>
    </row>
    <row r="826" spans="30:33" hidden="1">
      <c r="AD826" t="s">
        <v>2678</v>
      </c>
      <c r="AE826" t="s">
        <v>2679</v>
      </c>
      <c r="AF826" t="str">
        <f t="shared" si="80"/>
        <v>A679078</v>
      </c>
      <c r="AG826" t="str">
        <f>VLOOKUP(AF826,AKT!$C$4:$E$324,3,FALSE)</f>
        <v>0942</v>
      </c>
    </row>
    <row r="827" spans="30:33" hidden="1">
      <c r="AD827" t="s">
        <v>2680</v>
      </c>
      <c r="AE827" t="s">
        <v>2681</v>
      </c>
      <c r="AF827" t="str">
        <f t="shared" si="80"/>
        <v>A679078</v>
      </c>
      <c r="AG827" t="str">
        <f>VLOOKUP(AF827,AKT!$C$4:$E$324,3,FALSE)</f>
        <v>0942</v>
      </c>
    </row>
    <row r="828" spans="30:33" hidden="1">
      <c r="AD828" t="s">
        <v>2682</v>
      </c>
      <c r="AE828" t="s">
        <v>2683</v>
      </c>
      <c r="AF828" t="str">
        <f t="shared" si="80"/>
        <v>A679078</v>
      </c>
      <c r="AG828" t="str">
        <f>VLOOKUP(AF828,AKT!$C$4:$E$324,3,FALSE)</f>
        <v>0942</v>
      </c>
    </row>
    <row r="829" spans="30:33" hidden="1">
      <c r="AD829" t="s">
        <v>2684</v>
      </c>
      <c r="AE829" t="s">
        <v>2685</v>
      </c>
      <c r="AF829" t="str">
        <f t="shared" si="80"/>
        <v>A679078</v>
      </c>
      <c r="AG829" t="str">
        <f>VLOOKUP(AF829,AKT!$C$4:$E$324,3,FALSE)</f>
        <v>0942</v>
      </c>
    </row>
    <row r="830" spans="30:33" hidden="1">
      <c r="AD830" t="s">
        <v>2686</v>
      </c>
      <c r="AE830" t="s">
        <v>2687</v>
      </c>
      <c r="AF830" t="str">
        <f t="shared" si="80"/>
        <v>A679078</v>
      </c>
      <c r="AG830" t="str">
        <f>VLOOKUP(AF830,AKT!$C$4:$E$324,3,FALSE)</f>
        <v>0942</v>
      </c>
    </row>
    <row r="831" spans="30:33" hidden="1">
      <c r="AD831" t="s">
        <v>2688</v>
      </c>
      <c r="AE831" t="s">
        <v>2689</v>
      </c>
      <c r="AF831" t="str">
        <f t="shared" si="80"/>
        <v>A679078</v>
      </c>
      <c r="AG831" t="str">
        <f>VLOOKUP(AF831,AKT!$C$4:$E$324,3,FALSE)</f>
        <v>0942</v>
      </c>
    </row>
    <row r="832" spans="30:33" hidden="1">
      <c r="AD832" t="s">
        <v>2690</v>
      </c>
      <c r="AE832" t="s">
        <v>2691</v>
      </c>
      <c r="AF832" t="str">
        <f t="shared" si="80"/>
        <v>A679078</v>
      </c>
      <c r="AG832" t="str">
        <f>VLOOKUP(AF832,AKT!$C$4:$E$324,3,FALSE)</f>
        <v>0942</v>
      </c>
    </row>
    <row r="833" spans="30:33" hidden="1">
      <c r="AD833" t="s">
        <v>2692</v>
      </c>
      <c r="AE833" t="s">
        <v>2693</v>
      </c>
      <c r="AF833" t="str">
        <f t="shared" si="80"/>
        <v>A679078</v>
      </c>
      <c r="AG833" t="str">
        <f>VLOOKUP(AF833,AKT!$C$4:$E$324,3,FALSE)</f>
        <v>0942</v>
      </c>
    </row>
    <row r="834" spans="30:33" hidden="1">
      <c r="AD834" t="s">
        <v>2694</v>
      </c>
      <c r="AE834" t="s">
        <v>2695</v>
      </c>
      <c r="AF834" t="str">
        <f t="shared" si="80"/>
        <v>A679078</v>
      </c>
      <c r="AG834" t="str">
        <f>VLOOKUP(AF834,AKT!$C$4:$E$324,3,FALSE)</f>
        <v>0942</v>
      </c>
    </row>
    <row r="835" spans="30:33" hidden="1">
      <c r="AD835" t="s">
        <v>2696</v>
      </c>
      <c r="AE835" t="s">
        <v>2697</v>
      </c>
      <c r="AF835" t="str">
        <f t="shared" si="80"/>
        <v>A679078</v>
      </c>
      <c r="AG835" t="str">
        <f>VLOOKUP(AF835,AKT!$C$4:$E$324,3,FALSE)</f>
        <v>0942</v>
      </c>
    </row>
    <row r="836" spans="30:33" hidden="1">
      <c r="AD836" t="s">
        <v>2698</v>
      </c>
      <c r="AE836" t="s">
        <v>2699</v>
      </c>
      <c r="AF836" t="str">
        <f t="shared" si="80"/>
        <v>A679078</v>
      </c>
      <c r="AG836" t="str">
        <f>VLOOKUP(AF836,AKT!$C$4:$E$324,3,FALSE)</f>
        <v>0942</v>
      </c>
    </row>
    <row r="837" spans="30:33" hidden="1">
      <c r="AD837" t="s">
        <v>2700</v>
      </c>
      <c r="AE837" t="s">
        <v>2558</v>
      </c>
      <c r="AF837" t="str">
        <f t="shared" si="80"/>
        <v>A679078</v>
      </c>
      <c r="AG837" t="str">
        <f>VLOOKUP(AF837,AKT!$C$4:$E$324,3,FALSE)</f>
        <v>0942</v>
      </c>
    </row>
    <row r="838" spans="30:33" hidden="1">
      <c r="AD838" t="s">
        <v>2701</v>
      </c>
      <c r="AE838" t="s">
        <v>1594</v>
      </c>
      <c r="AF838" t="str">
        <f t="shared" si="80"/>
        <v>A679078</v>
      </c>
      <c r="AG838" t="str">
        <f>VLOOKUP(AF838,AKT!$C$4:$E$324,3,FALSE)</f>
        <v>0942</v>
      </c>
    </row>
    <row r="839" spans="30:33" hidden="1">
      <c r="AD839" t="s">
        <v>2702</v>
      </c>
      <c r="AE839" t="s">
        <v>2703</v>
      </c>
      <c r="AF839" t="str">
        <f t="shared" si="80"/>
        <v>A679078</v>
      </c>
      <c r="AG839" t="str">
        <f>VLOOKUP(AF839,AKT!$C$4:$E$324,3,FALSE)</f>
        <v>0942</v>
      </c>
    </row>
    <row r="840" spans="30:33" hidden="1">
      <c r="AD840" t="s">
        <v>2704</v>
      </c>
      <c r="AE840" t="s">
        <v>2705</v>
      </c>
      <c r="AF840" t="str">
        <f t="shared" ref="AF840:AF903" si="81">LEFT(AD840,7)</f>
        <v>A679078</v>
      </c>
      <c r="AG840" t="str">
        <f>VLOOKUP(AF840,AKT!$C$4:$E$324,3,FALSE)</f>
        <v>0942</v>
      </c>
    </row>
    <row r="841" spans="30:33" hidden="1">
      <c r="AD841" t="s">
        <v>2706</v>
      </c>
      <c r="AE841" t="s">
        <v>2707</v>
      </c>
      <c r="AF841" t="str">
        <f t="shared" si="81"/>
        <v>A679078</v>
      </c>
      <c r="AG841" t="str">
        <f>VLOOKUP(AF841,AKT!$C$4:$E$324,3,FALSE)</f>
        <v>0942</v>
      </c>
    </row>
    <row r="842" spans="30:33" hidden="1">
      <c r="AD842" t="s">
        <v>2708</v>
      </c>
      <c r="AE842" t="s">
        <v>2709</v>
      </c>
      <c r="AF842" t="str">
        <f t="shared" si="81"/>
        <v>A679078</v>
      </c>
      <c r="AG842" t="str">
        <f>VLOOKUP(AF842,AKT!$C$4:$E$324,3,FALSE)</f>
        <v>0942</v>
      </c>
    </row>
    <row r="843" spans="30:33" hidden="1">
      <c r="AD843" t="s">
        <v>2710</v>
      </c>
      <c r="AE843" t="s">
        <v>2711</v>
      </c>
      <c r="AF843" t="str">
        <f t="shared" si="81"/>
        <v>A679078</v>
      </c>
      <c r="AG843" t="str">
        <f>VLOOKUP(AF843,AKT!$C$4:$E$324,3,FALSE)</f>
        <v>0942</v>
      </c>
    </row>
    <row r="844" spans="30:33" hidden="1">
      <c r="AD844" t="s">
        <v>2712</v>
      </c>
      <c r="AE844" t="s">
        <v>2713</v>
      </c>
      <c r="AF844" t="str">
        <f t="shared" si="81"/>
        <v>A679078</v>
      </c>
      <c r="AG844" t="str">
        <f>VLOOKUP(AF844,AKT!$C$4:$E$324,3,FALSE)</f>
        <v>0942</v>
      </c>
    </row>
    <row r="845" spans="30:33" hidden="1">
      <c r="AD845" t="s">
        <v>2714</v>
      </c>
      <c r="AE845" t="s">
        <v>2230</v>
      </c>
      <c r="AF845" t="str">
        <f t="shared" si="81"/>
        <v>A679078</v>
      </c>
      <c r="AG845" t="str">
        <f>VLOOKUP(AF845,AKT!$C$4:$E$324,3,FALSE)</f>
        <v>0942</v>
      </c>
    </row>
    <row r="846" spans="30:33" hidden="1">
      <c r="AD846" t="s">
        <v>2715</v>
      </c>
      <c r="AE846" t="s">
        <v>2716</v>
      </c>
      <c r="AF846" t="str">
        <f t="shared" si="81"/>
        <v>A679078</v>
      </c>
      <c r="AG846" t="str">
        <f>VLOOKUP(AF846,AKT!$C$4:$E$324,3,FALSE)</f>
        <v>0942</v>
      </c>
    </row>
    <row r="847" spans="30:33" hidden="1">
      <c r="AD847" t="s">
        <v>2717</v>
      </c>
      <c r="AE847" t="s">
        <v>2718</v>
      </c>
      <c r="AF847" t="str">
        <f t="shared" si="81"/>
        <v>A679078</v>
      </c>
      <c r="AG847" t="str">
        <f>VLOOKUP(AF847,AKT!$C$4:$E$324,3,FALSE)</f>
        <v>0942</v>
      </c>
    </row>
    <row r="848" spans="30:33" hidden="1">
      <c r="AD848" t="s">
        <v>2719</v>
      </c>
      <c r="AE848" t="s">
        <v>2720</v>
      </c>
      <c r="AF848" t="str">
        <f t="shared" si="81"/>
        <v>A679078</v>
      </c>
      <c r="AG848" t="str">
        <f>VLOOKUP(AF848,AKT!$C$4:$E$324,3,FALSE)</f>
        <v>0942</v>
      </c>
    </row>
    <row r="849" spans="30:33" hidden="1">
      <c r="AD849" t="s">
        <v>2721</v>
      </c>
      <c r="AE849" t="s">
        <v>2722</v>
      </c>
      <c r="AF849" t="str">
        <f t="shared" si="81"/>
        <v>A679078</v>
      </c>
      <c r="AG849" t="str">
        <f>VLOOKUP(AF849,AKT!$C$4:$E$324,3,FALSE)</f>
        <v>0942</v>
      </c>
    </row>
    <row r="850" spans="30:33" hidden="1">
      <c r="AD850" t="s">
        <v>2723</v>
      </c>
      <c r="AE850" t="s">
        <v>2724</v>
      </c>
      <c r="AF850" t="str">
        <f t="shared" si="81"/>
        <v>A679078</v>
      </c>
      <c r="AG850" t="str">
        <f>VLOOKUP(AF850,AKT!$C$4:$E$324,3,FALSE)</f>
        <v>0942</v>
      </c>
    </row>
    <row r="851" spans="30:33" hidden="1">
      <c r="AD851" t="s">
        <v>2725</v>
      </c>
      <c r="AE851" t="s">
        <v>2726</v>
      </c>
      <c r="AF851" t="str">
        <f t="shared" si="81"/>
        <v>A679078</v>
      </c>
      <c r="AG851" t="str">
        <f>VLOOKUP(AF851,AKT!$C$4:$E$324,3,FALSE)</f>
        <v>0942</v>
      </c>
    </row>
    <row r="852" spans="30:33" hidden="1">
      <c r="AD852" t="s">
        <v>2727</v>
      </c>
      <c r="AE852" t="s">
        <v>2728</v>
      </c>
      <c r="AF852" t="str">
        <f t="shared" si="81"/>
        <v>A679078</v>
      </c>
      <c r="AG852" t="str">
        <f>VLOOKUP(AF852,AKT!$C$4:$E$324,3,FALSE)</f>
        <v>0942</v>
      </c>
    </row>
    <row r="853" spans="30:33" hidden="1">
      <c r="AD853" t="s">
        <v>2729</v>
      </c>
      <c r="AE853" t="s">
        <v>2730</v>
      </c>
      <c r="AF853" t="str">
        <f t="shared" si="81"/>
        <v>A679078</v>
      </c>
      <c r="AG853" t="str">
        <f>VLOOKUP(AF853,AKT!$C$4:$E$324,3,FALSE)</f>
        <v>0942</v>
      </c>
    </row>
    <row r="854" spans="30:33" hidden="1">
      <c r="AD854" t="s">
        <v>2731</v>
      </c>
      <c r="AE854" t="s">
        <v>2732</v>
      </c>
      <c r="AF854" t="str">
        <f t="shared" si="81"/>
        <v>A679078</v>
      </c>
      <c r="AG854" t="str">
        <f>VLOOKUP(AF854,AKT!$C$4:$E$324,3,FALSE)</f>
        <v>0942</v>
      </c>
    </row>
    <row r="855" spans="30:33" hidden="1">
      <c r="AD855" t="s">
        <v>2733</v>
      </c>
      <c r="AE855" t="s">
        <v>2734</v>
      </c>
      <c r="AF855" t="str">
        <f t="shared" si="81"/>
        <v>A679078</v>
      </c>
      <c r="AG855" t="str">
        <f>VLOOKUP(AF855,AKT!$C$4:$E$324,3,FALSE)</f>
        <v>0942</v>
      </c>
    </row>
    <row r="856" spans="30:33" hidden="1">
      <c r="AD856" t="s">
        <v>2735</v>
      </c>
      <c r="AE856" t="s">
        <v>2736</v>
      </c>
      <c r="AF856" t="str">
        <f t="shared" si="81"/>
        <v>A679078</v>
      </c>
      <c r="AG856" t="str">
        <f>VLOOKUP(AF856,AKT!$C$4:$E$324,3,FALSE)</f>
        <v>0942</v>
      </c>
    </row>
    <row r="857" spans="30:33" hidden="1">
      <c r="AD857" t="s">
        <v>2737</v>
      </c>
      <c r="AE857" t="s">
        <v>2738</v>
      </c>
      <c r="AF857" t="str">
        <f t="shared" si="81"/>
        <v>A679078</v>
      </c>
      <c r="AG857" t="str">
        <f>VLOOKUP(AF857,AKT!$C$4:$E$324,3,FALSE)</f>
        <v>0942</v>
      </c>
    </row>
    <row r="858" spans="30:33" hidden="1">
      <c r="AD858" t="s">
        <v>2739</v>
      </c>
      <c r="AE858" t="s">
        <v>2740</v>
      </c>
      <c r="AF858" t="str">
        <f t="shared" si="81"/>
        <v>A679078</v>
      </c>
      <c r="AG858" t="str">
        <f>VLOOKUP(AF858,AKT!$C$4:$E$324,3,FALSE)</f>
        <v>0942</v>
      </c>
    </row>
    <row r="859" spans="30:33" hidden="1">
      <c r="AD859" t="s">
        <v>2741</v>
      </c>
      <c r="AE859" t="s">
        <v>2742</v>
      </c>
      <c r="AF859" t="str">
        <f t="shared" si="81"/>
        <v>A679078</v>
      </c>
      <c r="AG859" t="str">
        <f>VLOOKUP(AF859,AKT!$C$4:$E$324,3,FALSE)</f>
        <v>0942</v>
      </c>
    </row>
    <row r="860" spans="30:33" hidden="1">
      <c r="AD860" t="s">
        <v>2743</v>
      </c>
      <c r="AE860" t="s">
        <v>2744</v>
      </c>
      <c r="AF860" t="str">
        <f t="shared" si="81"/>
        <v>A679078</v>
      </c>
      <c r="AG860" t="str">
        <f>VLOOKUP(AF860,AKT!$C$4:$E$324,3,FALSE)</f>
        <v>0942</v>
      </c>
    </row>
    <row r="861" spans="30:33" hidden="1">
      <c r="AD861" t="s">
        <v>2745</v>
      </c>
      <c r="AE861" t="s">
        <v>2746</v>
      </c>
      <c r="AF861" t="str">
        <f t="shared" si="81"/>
        <v>A679078</v>
      </c>
      <c r="AG861" t="str">
        <f>VLOOKUP(AF861,AKT!$C$4:$E$324,3,FALSE)</f>
        <v>0942</v>
      </c>
    </row>
    <row r="862" spans="30:33" hidden="1">
      <c r="AD862" t="s">
        <v>2747</v>
      </c>
      <c r="AE862" t="s">
        <v>2748</v>
      </c>
      <c r="AF862" t="str">
        <f t="shared" si="81"/>
        <v>A679078</v>
      </c>
      <c r="AG862" t="str">
        <f>VLOOKUP(AF862,AKT!$C$4:$E$324,3,FALSE)</f>
        <v>0942</v>
      </c>
    </row>
    <row r="863" spans="30:33" hidden="1">
      <c r="AD863" t="s">
        <v>2749</v>
      </c>
      <c r="AE863" t="s">
        <v>2750</v>
      </c>
      <c r="AF863" t="str">
        <f t="shared" si="81"/>
        <v>A679078</v>
      </c>
      <c r="AG863" t="str">
        <f>VLOOKUP(AF863,AKT!$C$4:$E$324,3,FALSE)</f>
        <v>0942</v>
      </c>
    </row>
    <row r="864" spans="30:33" hidden="1">
      <c r="AD864" t="s">
        <v>2751</v>
      </c>
      <c r="AE864" t="s">
        <v>2752</v>
      </c>
      <c r="AF864" t="str">
        <f t="shared" si="81"/>
        <v>A679078</v>
      </c>
      <c r="AG864" t="str">
        <f>VLOOKUP(AF864,AKT!$C$4:$E$324,3,FALSE)</f>
        <v>0942</v>
      </c>
    </row>
    <row r="865" spans="30:33" hidden="1">
      <c r="AD865" t="s">
        <v>2753</v>
      </c>
      <c r="AE865" t="s">
        <v>2754</v>
      </c>
      <c r="AF865" t="str">
        <f t="shared" si="81"/>
        <v>A679078</v>
      </c>
      <c r="AG865" t="str">
        <f>VLOOKUP(AF865,AKT!$C$4:$E$324,3,FALSE)</f>
        <v>0942</v>
      </c>
    </row>
    <row r="866" spans="30:33" hidden="1">
      <c r="AD866" t="s">
        <v>2755</v>
      </c>
      <c r="AE866" t="s">
        <v>2756</v>
      </c>
      <c r="AF866" t="str">
        <f t="shared" si="81"/>
        <v>A679078</v>
      </c>
      <c r="AG866" t="str">
        <f>VLOOKUP(AF866,AKT!$C$4:$E$324,3,FALSE)</f>
        <v>0942</v>
      </c>
    </row>
    <row r="867" spans="30:33" hidden="1">
      <c r="AD867" t="s">
        <v>2757</v>
      </c>
      <c r="AE867" t="s">
        <v>2758</v>
      </c>
      <c r="AF867" t="str">
        <f t="shared" si="81"/>
        <v>A679078</v>
      </c>
      <c r="AG867" t="str">
        <f>VLOOKUP(AF867,AKT!$C$4:$E$324,3,FALSE)</f>
        <v>0942</v>
      </c>
    </row>
    <row r="868" spans="30:33" hidden="1">
      <c r="AD868" t="s">
        <v>2759</v>
      </c>
      <c r="AE868" t="s">
        <v>2760</v>
      </c>
      <c r="AF868" t="str">
        <f t="shared" si="81"/>
        <v>A679078</v>
      </c>
      <c r="AG868" t="str">
        <f>VLOOKUP(AF868,AKT!$C$4:$E$324,3,FALSE)</f>
        <v>0942</v>
      </c>
    </row>
    <row r="869" spans="30:33" hidden="1">
      <c r="AD869" t="s">
        <v>2761</v>
      </c>
      <c r="AE869" t="s">
        <v>2762</v>
      </c>
      <c r="AF869" t="str">
        <f t="shared" si="81"/>
        <v>A679078</v>
      </c>
      <c r="AG869" t="str">
        <f>VLOOKUP(AF869,AKT!$C$4:$E$324,3,FALSE)</f>
        <v>0942</v>
      </c>
    </row>
    <row r="870" spans="30:33" hidden="1">
      <c r="AD870" t="s">
        <v>2763</v>
      </c>
      <c r="AE870" t="s">
        <v>2764</v>
      </c>
      <c r="AF870" t="str">
        <f t="shared" si="81"/>
        <v>A679078</v>
      </c>
      <c r="AG870" t="str">
        <f>VLOOKUP(AF870,AKT!$C$4:$E$324,3,FALSE)</f>
        <v>0942</v>
      </c>
    </row>
    <row r="871" spans="30:33" hidden="1">
      <c r="AD871" t="s">
        <v>2765</v>
      </c>
      <c r="AE871" t="s">
        <v>2766</v>
      </c>
      <c r="AF871" t="str">
        <f t="shared" si="81"/>
        <v>A679078</v>
      </c>
      <c r="AG871" t="str">
        <f>VLOOKUP(AF871,AKT!$C$4:$E$324,3,FALSE)</f>
        <v>0942</v>
      </c>
    </row>
    <row r="872" spans="30:33" hidden="1">
      <c r="AD872" t="s">
        <v>2767</v>
      </c>
      <c r="AE872" t="s">
        <v>2768</v>
      </c>
      <c r="AF872" t="str">
        <f t="shared" si="81"/>
        <v>A679078</v>
      </c>
      <c r="AG872" t="str">
        <f>VLOOKUP(AF872,AKT!$C$4:$E$324,3,FALSE)</f>
        <v>0942</v>
      </c>
    </row>
    <row r="873" spans="30:33" hidden="1">
      <c r="AD873" t="s">
        <v>2769</v>
      </c>
      <c r="AE873" t="s">
        <v>2770</v>
      </c>
      <c r="AF873" t="str">
        <f t="shared" si="81"/>
        <v>A679078</v>
      </c>
      <c r="AG873" t="str">
        <f>VLOOKUP(AF873,AKT!$C$4:$E$324,3,FALSE)</f>
        <v>0942</v>
      </c>
    </row>
    <row r="874" spans="30:33" hidden="1">
      <c r="AD874" t="s">
        <v>2771</v>
      </c>
      <c r="AE874" t="s">
        <v>2772</v>
      </c>
      <c r="AF874" t="str">
        <f t="shared" si="81"/>
        <v>A679078</v>
      </c>
      <c r="AG874" t="str">
        <f>VLOOKUP(AF874,AKT!$C$4:$E$324,3,FALSE)</f>
        <v>0942</v>
      </c>
    </row>
    <row r="875" spans="30:33" hidden="1">
      <c r="AD875" t="s">
        <v>2773</v>
      </c>
      <c r="AE875" t="s">
        <v>2774</v>
      </c>
      <c r="AF875" t="str">
        <f t="shared" si="81"/>
        <v>A679078</v>
      </c>
      <c r="AG875" t="str">
        <f>VLOOKUP(AF875,AKT!$C$4:$E$324,3,FALSE)</f>
        <v>0942</v>
      </c>
    </row>
    <row r="876" spans="30:33" hidden="1">
      <c r="AD876" t="s">
        <v>2775</v>
      </c>
      <c r="AE876" t="s">
        <v>2776</v>
      </c>
      <c r="AF876" t="str">
        <f t="shared" si="81"/>
        <v>A679078</v>
      </c>
      <c r="AG876" t="str">
        <f>VLOOKUP(AF876,AKT!$C$4:$E$324,3,FALSE)</f>
        <v>0942</v>
      </c>
    </row>
    <row r="877" spans="30:33" hidden="1">
      <c r="AD877" t="s">
        <v>2777</v>
      </c>
      <c r="AE877" t="s">
        <v>2778</v>
      </c>
      <c r="AF877" t="str">
        <f t="shared" si="81"/>
        <v>A679078</v>
      </c>
      <c r="AG877" t="str">
        <f>VLOOKUP(AF877,AKT!$C$4:$E$324,3,FALSE)</f>
        <v>0942</v>
      </c>
    </row>
    <row r="878" spans="30:33" hidden="1">
      <c r="AD878" t="s">
        <v>2779</v>
      </c>
      <c r="AE878" t="s">
        <v>2780</v>
      </c>
      <c r="AF878" t="str">
        <f t="shared" si="81"/>
        <v>A679078</v>
      </c>
      <c r="AG878" t="str">
        <f>VLOOKUP(AF878,AKT!$C$4:$E$324,3,FALSE)</f>
        <v>0942</v>
      </c>
    </row>
    <row r="879" spans="30:33" hidden="1">
      <c r="AD879" t="s">
        <v>2781</v>
      </c>
      <c r="AE879" t="s">
        <v>2782</v>
      </c>
      <c r="AF879" t="str">
        <f t="shared" si="81"/>
        <v>A679078</v>
      </c>
      <c r="AG879" t="str">
        <f>VLOOKUP(AF879,AKT!$C$4:$E$324,3,FALSE)</f>
        <v>0942</v>
      </c>
    </row>
    <row r="880" spans="30:33" hidden="1">
      <c r="AD880" t="s">
        <v>2783</v>
      </c>
      <c r="AE880" t="s">
        <v>2784</v>
      </c>
      <c r="AF880" t="str">
        <f t="shared" si="81"/>
        <v>A679078</v>
      </c>
      <c r="AG880" t="str">
        <f>VLOOKUP(AF880,AKT!$C$4:$E$324,3,FALSE)</f>
        <v>0942</v>
      </c>
    </row>
    <row r="881" spans="30:33" hidden="1">
      <c r="AD881" t="s">
        <v>2785</v>
      </c>
      <c r="AE881" t="s">
        <v>2786</v>
      </c>
      <c r="AF881" t="str">
        <f t="shared" si="81"/>
        <v>A679078</v>
      </c>
      <c r="AG881" t="str">
        <f>VLOOKUP(AF881,AKT!$C$4:$E$324,3,FALSE)</f>
        <v>0942</v>
      </c>
    </row>
    <row r="882" spans="30:33" hidden="1">
      <c r="AD882" t="s">
        <v>2787</v>
      </c>
      <c r="AE882" t="s">
        <v>2788</v>
      </c>
      <c r="AF882" t="str">
        <f t="shared" si="81"/>
        <v>A679078</v>
      </c>
      <c r="AG882" t="str">
        <f>VLOOKUP(AF882,AKT!$C$4:$E$324,3,FALSE)</f>
        <v>0942</v>
      </c>
    </row>
    <row r="883" spans="30:33" hidden="1">
      <c r="AD883" t="s">
        <v>2789</v>
      </c>
      <c r="AE883" t="s">
        <v>2790</v>
      </c>
      <c r="AF883" t="str">
        <f t="shared" si="81"/>
        <v>A679078</v>
      </c>
      <c r="AG883" t="str">
        <f>VLOOKUP(AF883,AKT!$C$4:$E$324,3,FALSE)</f>
        <v>0942</v>
      </c>
    </row>
    <row r="884" spans="30:33" hidden="1">
      <c r="AD884" t="s">
        <v>2791</v>
      </c>
      <c r="AE884" t="s">
        <v>2792</v>
      </c>
      <c r="AF884" t="str">
        <f t="shared" si="81"/>
        <v>A679078</v>
      </c>
      <c r="AG884" t="str">
        <f>VLOOKUP(AF884,AKT!$C$4:$E$324,3,FALSE)</f>
        <v>0942</v>
      </c>
    </row>
    <row r="885" spans="30:33" hidden="1">
      <c r="AD885" t="s">
        <v>2793</v>
      </c>
      <c r="AE885" t="s">
        <v>2794</v>
      </c>
      <c r="AF885" t="str">
        <f t="shared" si="81"/>
        <v>A679078</v>
      </c>
      <c r="AG885" t="str">
        <f>VLOOKUP(AF885,AKT!$C$4:$E$324,3,FALSE)</f>
        <v>0942</v>
      </c>
    </row>
    <row r="886" spans="30:33" hidden="1">
      <c r="AD886" t="s">
        <v>2795</v>
      </c>
      <c r="AE886" t="s">
        <v>2796</v>
      </c>
      <c r="AF886" t="str">
        <f t="shared" si="81"/>
        <v>A679078</v>
      </c>
      <c r="AG886" t="str">
        <f>VLOOKUP(AF886,AKT!$C$4:$E$324,3,FALSE)</f>
        <v>0942</v>
      </c>
    </row>
    <row r="887" spans="30:33" hidden="1">
      <c r="AD887" t="s">
        <v>2797</v>
      </c>
      <c r="AE887" t="s">
        <v>2798</v>
      </c>
      <c r="AF887" t="str">
        <f t="shared" si="81"/>
        <v>A679078</v>
      </c>
      <c r="AG887" t="str">
        <f>VLOOKUP(AF887,AKT!$C$4:$E$324,3,FALSE)</f>
        <v>0942</v>
      </c>
    </row>
    <row r="888" spans="30:33" hidden="1">
      <c r="AD888" t="s">
        <v>2799</v>
      </c>
      <c r="AE888" t="s">
        <v>2800</v>
      </c>
      <c r="AF888" t="str">
        <f t="shared" si="81"/>
        <v>A679078</v>
      </c>
      <c r="AG888" t="str">
        <f>VLOOKUP(AF888,AKT!$C$4:$E$324,3,FALSE)</f>
        <v>0942</v>
      </c>
    </row>
    <row r="889" spans="30:33" hidden="1">
      <c r="AD889" t="s">
        <v>2801</v>
      </c>
      <c r="AE889" t="s">
        <v>2802</v>
      </c>
      <c r="AF889" t="str">
        <f t="shared" si="81"/>
        <v>A679078</v>
      </c>
      <c r="AG889" t="str">
        <f>VLOOKUP(AF889,AKT!$C$4:$E$324,3,FALSE)</f>
        <v>0942</v>
      </c>
    </row>
    <row r="890" spans="30:33" hidden="1">
      <c r="AD890" t="s">
        <v>2803</v>
      </c>
      <c r="AE890" t="s">
        <v>2804</v>
      </c>
      <c r="AF890" t="str">
        <f t="shared" si="81"/>
        <v>A679078</v>
      </c>
      <c r="AG890" t="str">
        <f>VLOOKUP(AF890,AKT!$C$4:$E$324,3,FALSE)</f>
        <v>0942</v>
      </c>
    </row>
    <row r="891" spans="30:33" hidden="1">
      <c r="AD891" t="s">
        <v>2805</v>
      </c>
      <c r="AE891" t="s">
        <v>2806</v>
      </c>
      <c r="AF891" t="str">
        <f t="shared" si="81"/>
        <v>A679078</v>
      </c>
      <c r="AG891" t="str">
        <f>VLOOKUP(AF891,AKT!$C$4:$E$324,3,FALSE)</f>
        <v>0942</v>
      </c>
    </row>
    <row r="892" spans="30:33" hidden="1">
      <c r="AD892" t="s">
        <v>2807</v>
      </c>
      <c r="AE892" t="s">
        <v>2808</v>
      </c>
      <c r="AF892" t="str">
        <f t="shared" si="81"/>
        <v>A679078</v>
      </c>
      <c r="AG892" t="str">
        <f>VLOOKUP(AF892,AKT!$C$4:$E$324,3,FALSE)</f>
        <v>0942</v>
      </c>
    </row>
    <row r="893" spans="30:33" hidden="1">
      <c r="AD893" t="s">
        <v>2809</v>
      </c>
      <c r="AE893" t="s">
        <v>2810</v>
      </c>
      <c r="AF893" t="str">
        <f t="shared" si="81"/>
        <v>A679078</v>
      </c>
      <c r="AG893" t="str">
        <f>VLOOKUP(AF893,AKT!$C$4:$E$324,3,FALSE)</f>
        <v>0942</v>
      </c>
    </row>
    <row r="894" spans="30:33" hidden="1">
      <c r="AD894" t="s">
        <v>2811</v>
      </c>
      <c r="AE894" t="s">
        <v>2812</v>
      </c>
      <c r="AF894" t="str">
        <f t="shared" si="81"/>
        <v>A679078</v>
      </c>
      <c r="AG894" t="str">
        <f>VLOOKUP(AF894,AKT!$C$4:$E$324,3,FALSE)</f>
        <v>0942</v>
      </c>
    </row>
    <row r="895" spans="30:33" hidden="1">
      <c r="AD895" t="s">
        <v>2813</v>
      </c>
      <c r="AE895" t="s">
        <v>2814</v>
      </c>
      <c r="AF895" t="str">
        <f t="shared" si="81"/>
        <v>A679078</v>
      </c>
      <c r="AG895" t="str">
        <f>VLOOKUP(AF895,AKT!$C$4:$E$324,3,FALSE)</f>
        <v>0942</v>
      </c>
    </row>
    <row r="896" spans="30:33" hidden="1">
      <c r="AD896" t="s">
        <v>2815</v>
      </c>
      <c r="AE896" t="s">
        <v>2816</v>
      </c>
      <c r="AF896" t="str">
        <f t="shared" si="81"/>
        <v>A679078</v>
      </c>
      <c r="AG896" t="str">
        <f>VLOOKUP(AF896,AKT!$C$4:$E$324,3,FALSE)</f>
        <v>0942</v>
      </c>
    </row>
    <row r="897" spans="30:33" hidden="1">
      <c r="AD897" t="s">
        <v>2817</v>
      </c>
      <c r="AE897" t="s">
        <v>2818</v>
      </c>
      <c r="AF897" t="str">
        <f t="shared" si="81"/>
        <v>A679078</v>
      </c>
      <c r="AG897" t="str">
        <f>VLOOKUP(AF897,AKT!$C$4:$E$324,3,FALSE)</f>
        <v>0942</v>
      </c>
    </row>
    <row r="898" spans="30:33" hidden="1">
      <c r="AD898" t="s">
        <v>2819</v>
      </c>
      <c r="AE898" t="s">
        <v>2820</v>
      </c>
      <c r="AF898" t="str">
        <f t="shared" si="81"/>
        <v>A679078</v>
      </c>
      <c r="AG898" t="str">
        <f>VLOOKUP(AF898,AKT!$C$4:$E$324,3,FALSE)</f>
        <v>0942</v>
      </c>
    </row>
    <row r="899" spans="30:33" hidden="1">
      <c r="AD899" t="s">
        <v>2821</v>
      </c>
      <c r="AE899" t="s">
        <v>2822</v>
      </c>
      <c r="AF899" t="str">
        <f t="shared" si="81"/>
        <v>A679078</v>
      </c>
      <c r="AG899" t="str">
        <f>VLOOKUP(AF899,AKT!$C$4:$E$324,3,FALSE)</f>
        <v>0942</v>
      </c>
    </row>
    <row r="900" spans="30:33" hidden="1">
      <c r="AD900" t="s">
        <v>2823</v>
      </c>
      <c r="AE900" t="s">
        <v>2824</v>
      </c>
      <c r="AF900" t="str">
        <f t="shared" si="81"/>
        <v>A679078</v>
      </c>
      <c r="AG900" t="str">
        <f>VLOOKUP(AF900,AKT!$C$4:$E$324,3,FALSE)</f>
        <v>0942</v>
      </c>
    </row>
    <row r="901" spans="30:33" hidden="1">
      <c r="AD901" t="s">
        <v>2825</v>
      </c>
      <c r="AE901" t="s">
        <v>2826</v>
      </c>
      <c r="AF901" t="str">
        <f t="shared" si="81"/>
        <v>A679078</v>
      </c>
      <c r="AG901" t="str">
        <f>VLOOKUP(AF901,AKT!$C$4:$E$324,3,FALSE)</f>
        <v>0942</v>
      </c>
    </row>
    <row r="902" spans="30:33" hidden="1">
      <c r="AD902" t="s">
        <v>2827</v>
      </c>
      <c r="AE902" t="s">
        <v>1268</v>
      </c>
      <c r="AF902" t="str">
        <f t="shared" si="81"/>
        <v>A679078</v>
      </c>
      <c r="AG902" t="str">
        <f>VLOOKUP(AF902,AKT!$C$4:$E$324,3,FALSE)</f>
        <v>0942</v>
      </c>
    </row>
    <row r="903" spans="30:33" hidden="1">
      <c r="AD903" t="s">
        <v>2828</v>
      </c>
      <c r="AE903" t="s">
        <v>1189</v>
      </c>
      <c r="AF903" t="str">
        <f t="shared" si="81"/>
        <v>A679078</v>
      </c>
      <c r="AG903" t="str">
        <f>VLOOKUP(AF903,AKT!$C$4:$E$324,3,FALSE)</f>
        <v>0942</v>
      </c>
    </row>
    <row r="904" spans="30:33" hidden="1">
      <c r="AD904" t="s">
        <v>2829</v>
      </c>
      <c r="AE904" t="s">
        <v>2830</v>
      </c>
      <c r="AF904" t="str">
        <f t="shared" ref="AF904:AF967" si="82">LEFT(AD904,7)</f>
        <v>A679078</v>
      </c>
      <c r="AG904" t="str">
        <f>VLOOKUP(AF904,AKT!$C$4:$E$324,3,FALSE)</f>
        <v>0942</v>
      </c>
    </row>
    <row r="905" spans="30:33" hidden="1">
      <c r="AD905" t="s">
        <v>2831</v>
      </c>
      <c r="AE905" t="s">
        <v>2832</v>
      </c>
      <c r="AF905" t="str">
        <f t="shared" si="82"/>
        <v>A679078</v>
      </c>
      <c r="AG905" t="str">
        <f>VLOOKUP(AF905,AKT!$C$4:$E$324,3,FALSE)</f>
        <v>0942</v>
      </c>
    </row>
    <row r="906" spans="30:33" hidden="1">
      <c r="AD906" t="s">
        <v>2833</v>
      </c>
      <c r="AE906" t="s">
        <v>1036</v>
      </c>
      <c r="AF906" t="str">
        <f t="shared" si="82"/>
        <v>A679078</v>
      </c>
      <c r="AG906" t="str">
        <f>VLOOKUP(AF906,AKT!$C$4:$E$324,3,FALSE)</f>
        <v>0942</v>
      </c>
    </row>
    <row r="907" spans="30:33" hidden="1">
      <c r="AD907" t="s">
        <v>2834</v>
      </c>
      <c r="AE907" t="s">
        <v>1153</v>
      </c>
      <c r="AF907" t="str">
        <f t="shared" si="82"/>
        <v>A679078</v>
      </c>
      <c r="AG907" t="str">
        <f>VLOOKUP(AF907,AKT!$C$4:$E$324,3,FALSE)</f>
        <v>0942</v>
      </c>
    </row>
    <row r="908" spans="30:33" hidden="1">
      <c r="AD908" t="s">
        <v>2835</v>
      </c>
      <c r="AE908" t="s">
        <v>2836</v>
      </c>
      <c r="AF908" t="str">
        <f t="shared" si="82"/>
        <v>A679078</v>
      </c>
      <c r="AG908" t="str">
        <f>VLOOKUP(AF908,AKT!$C$4:$E$324,3,FALSE)</f>
        <v>0942</v>
      </c>
    </row>
    <row r="909" spans="30:33" hidden="1">
      <c r="AD909" t="s">
        <v>2837</v>
      </c>
      <c r="AE909" t="s">
        <v>2838</v>
      </c>
      <c r="AF909" t="str">
        <f t="shared" si="82"/>
        <v>A679078</v>
      </c>
      <c r="AG909" t="str">
        <f>VLOOKUP(AF909,AKT!$C$4:$E$324,3,FALSE)</f>
        <v>0942</v>
      </c>
    </row>
    <row r="910" spans="30:33" hidden="1">
      <c r="AD910" t="s">
        <v>2839</v>
      </c>
      <c r="AE910" t="s">
        <v>2840</v>
      </c>
      <c r="AF910" t="str">
        <f t="shared" si="82"/>
        <v>A679081</v>
      </c>
      <c r="AG910" t="str">
        <f>VLOOKUP(AF910,AKT!$C$4:$E$324,3,FALSE)</f>
        <v>0942</v>
      </c>
    </row>
    <row r="911" spans="30:33" hidden="1">
      <c r="AD911" t="s">
        <v>2841</v>
      </c>
      <c r="AE911" t="s">
        <v>2842</v>
      </c>
      <c r="AF911" t="str">
        <f t="shared" si="82"/>
        <v>A679081</v>
      </c>
      <c r="AG911" t="str">
        <f>VLOOKUP(AF911,AKT!$C$4:$E$324,3,FALSE)</f>
        <v>0942</v>
      </c>
    </row>
    <row r="912" spans="30:33" hidden="1">
      <c r="AD912" t="s">
        <v>2843</v>
      </c>
      <c r="AE912" t="s">
        <v>2844</v>
      </c>
      <c r="AF912" t="str">
        <f t="shared" si="82"/>
        <v>A679081</v>
      </c>
      <c r="AG912" t="str">
        <f>VLOOKUP(AF912,AKT!$C$4:$E$324,3,FALSE)</f>
        <v>0942</v>
      </c>
    </row>
    <row r="913" spans="30:33" hidden="1">
      <c r="AD913" t="s">
        <v>2845</v>
      </c>
      <c r="AE913" t="s">
        <v>2846</v>
      </c>
      <c r="AF913" t="str">
        <f t="shared" si="82"/>
        <v>A679081</v>
      </c>
      <c r="AG913" t="str">
        <f>VLOOKUP(AF913,AKT!$C$4:$E$324,3,FALSE)</f>
        <v>0942</v>
      </c>
    </row>
    <row r="914" spans="30:33" hidden="1">
      <c r="AD914" t="s">
        <v>2847</v>
      </c>
      <c r="AE914" t="s">
        <v>2848</v>
      </c>
      <c r="AF914" t="str">
        <f t="shared" si="82"/>
        <v>A679081</v>
      </c>
      <c r="AG914" t="str">
        <f>VLOOKUP(AF914,AKT!$C$4:$E$324,3,FALSE)</f>
        <v>0942</v>
      </c>
    </row>
    <row r="915" spans="30:33" hidden="1">
      <c r="AD915" t="s">
        <v>2849</v>
      </c>
      <c r="AE915" t="s">
        <v>2850</v>
      </c>
      <c r="AF915" t="str">
        <f t="shared" si="82"/>
        <v>A679081</v>
      </c>
      <c r="AG915" t="str">
        <f>VLOOKUP(AF915,AKT!$C$4:$E$324,3,FALSE)</f>
        <v>0942</v>
      </c>
    </row>
    <row r="916" spans="30:33" hidden="1">
      <c r="AD916" t="s">
        <v>2851</v>
      </c>
      <c r="AE916" t="s">
        <v>2685</v>
      </c>
      <c r="AF916" t="str">
        <f t="shared" si="82"/>
        <v>A679081</v>
      </c>
      <c r="AG916" t="str">
        <f>VLOOKUP(AF916,AKT!$C$4:$E$324,3,FALSE)</f>
        <v>0942</v>
      </c>
    </row>
    <row r="917" spans="30:33" hidden="1">
      <c r="AD917" t="s">
        <v>2852</v>
      </c>
      <c r="AE917" t="s">
        <v>2853</v>
      </c>
      <c r="AF917" t="str">
        <f t="shared" si="82"/>
        <v>A679081</v>
      </c>
      <c r="AG917" t="str">
        <f>VLOOKUP(AF917,AKT!$C$4:$E$324,3,FALSE)</f>
        <v>0942</v>
      </c>
    </row>
    <row r="918" spans="30:33" hidden="1">
      <c r="AD918" t="s">
        <v>2854</v>
      </c>
      <c r="AE918" t="s">
        <v>2855</v>
      </c>
      <c r="AF918" t="str">
        <f t="shared" si="82"/>
        <v>A679081</v>
      </c>
      <c r="AG918" t="str">
        <f>VLOOKUP(AF918,AKT!$C$4:$E$324,3,FALSE)</f>
        <v>0942</v>
      </c>
    </row>
    <row r="919" spans="30:33" hidden="1">
      <c r="AD919" t="s">
        <v>2856</v>
      </c>
      <c r="AE919" t="s">
        <v>2857</v>
      </c>
      <c r="AF919" t="str">
        <f t="shared" si="82"/>
        <v>A679081</v>
      </c>
      <c r="AG919" t="str">
        <f>VLOOKUP(AF919,AKT!$C$4:$E$324,3,FALSE)</f>
        <v>0942</v>
      </c>
    </row>
    <row r="920" spans="30:33" hidden="1">
      <c r="AD920" t="s">
        <v>2858</v>
      </c>
      <c r="AE920" t="s">
        <v>2859</v>
      </c>
      <c r="AF920" t="str">
        <f t="shared" si="82"/>
        <v>A679081</v>
      </c>
      <c r="AG920" t="str">
        <f>VLOOKUP(AF920,AKT!$C$4:$E$324,3,FALSE)</f>
        <v>0942</v>
      </c>
    </row>
    <row r="921" spans="30:33" hidden="1">
      <c r="AD921" t="s">
        <v>2860</v>
      </c>
      <c r="AE921" t="s">
        <v>2861</v>
      </c>
      <c r="AF921" t="str">
        <f t="shared" si="82"/>
        <v>A679115</v>
      </c>
      <c r="AG921" t="str">
        <f>VLOOKUP(AF921,AKT!$C$4:$E$324,3,FALSE)</f>
        <v>0942</v>
      </c>
    </row>
    <row r="922" spans="30:33" hidden="1">
      <c r="AD922" t="s">
        <v>2862</v>
      </c>
      <c r="AE922" t="s">
        <v>2863</v>
      </c>
      <c r="AF922" t="str">
        <f t="shared" si="82"/>
        <v>A679115</v>
      </c>
      <c r="AG922" t="str">
        <f>VLOOKUP(AF922,AKT!$C$4:$E$324,3,FALSE)</f>
        <v>0942</v>
      </c>
    </row>
    <row r="923" spans="30:33" hidden="1">
      <c r="AD923" t="s">
        <v>2864</v>
      </c>
      <c r="AE923" t="s">
        <v>2865</v>
      </c>
      <c r="AF923" t="str">
        <f t="shared" si="82"/>
        <v>A679115</v>
      </c>
      <c r="AG923" t="str">
        <f>VLOOKUP(AF923,AKT!$C$4:$E$324,3,FALSE)</f>
        <v>0942</v>
      </c>
    </row>
    <row r="924" spans="30:33" hidden="1">
      <c r="AD924" t="s">
        <v>2866</v>
      </c>
      <c r="AE924" t="s">
        <v>2867</v>
      </c>
      <c r="AF924" t="str">
        <f t="shared" si="82"/>
        <v>A679115</v>
      </c>
      <c r="AG924" t="str">
        <f>VLOOKUP(AF924,AKT!$C$4:$E$324,3,FALSE)</f>
        <v>0942</v>
      </c>
    </row>
    <row r="925" spans="30:33" hidden="1">
      <c r="AD925" t="s">
        <v>2868</v>
      </c>
      <c r="AE925" t="s">
        <v>2869</v>
      </c>
      <c r="AF925" t="str">
        <f t="shared" si="82"/>
        <v>A679115</v>
      </c>
      <c r="AG925" t="str">
        <f>VLOOKUP(AF925,AKT!$C$4:$E$324,3,FALSE)</f>
        <v>0942</v>
      </c>
    </row>
    <row r="926" spans="30:33" hidden="1">
      <c r="AD926" t="s">
        <v>2870</v>
      </c>
      <c r="AE926" t="s">
        <v>2871</v>
      </c>
      <c r="AF926" t="str">
        <f t="shared" si="82"/>
        <v>A679115</v>
      </c>
      <c r="AG926" t="str">
        <f>VLOOKUP(AF926,AKT!$C$4:$E$324,3,FALSE)</f>
        <v>0942</v>
      </c>
    </row>
    <row r="927" spans="30:33" hidden="1">
      <c r="AD927" t="s">
        <v>2872</v>
      </c>
      <c r="AE927" t="s">
        <v>2873</v>
      </c>
      <c r="AF927" t="str">
        <f t="shared" si="82"/>
        <v>A679115</v>
      </c>
      <c r="AG927" t="str">
        <f>VLOOKUP(AF927,AKT!$C$4:$E$324,3,FALSE)</f>
        <v>0942</v>
      </c>
    </row>
    <row r="928" spans="30:33" hidden="1">
      <c r="AD928" t="s">
        <v>2874</v>
      </c>
      <c r="AE928" t="s">
        <v>2875</v>
      </c>
      <c r="AF928" t="str">
        <f t="shared" si="82"/>
        <v>A679115</v>
      </c>
      <c r="AG928" t="str">
        <f>VLOOKUP(AF928,AKT!$C$4:$E$324,3,FALSE)</f>
        <v>0942</v>
      </c>
    </row>
    <row r="929" spans="30:33" hidden="1">
      <c r="AD929" t="s">
        <v>2876</v>
      </c>
      <c r="AE929" t="s">
        <v>2877</v>
      </c>
      <c r="AF929" t="str">
        <f t="shared" si="82"/>
        <v>K679084</v>
      </c>
      <c r="AG929" t="str">
        <f>VLOOKUP(AF929,AKT!$C$4:$E$324,3,FALSE)</f>
        <v>0942</v>
      </c>
    </row>
    <row r="930" spans="30:33" hidden="1">
      <c r="AD930" t="s">
        <v>2878</v>
      </c>
      <c r="AE930" t="s">
        <v>1044</v>
      </c>
      <c r="AF930" t="str">
        <f t="shared" si="82"/>
        <v>K679084</v>
      </c>
      <c r="AG930" t="str">
        <f>VLOOKUP(AF930,AKT!$C$4:$E$324,3,FALSE)</f>
        <v>0942</v>
      </c>
    </row>
    <row r="931" spans="30:33" hidden="1">
      <c r="AD931" t="s">
        <v>2879</v>
      </c>
      <c r="AE931" t="s">
        <v>2880</v>
      </c>
      <c r="AF931" t="str">
        <f t="shared" si="82"/>
        <v>K679084</v>
      </c>
      <c r="AG931" t="str">
        <f>VLOOKUP(AF931,AKT!$C$4:$E$324,3,FALSE)</f>
        <v>0942</v>
      </c>
    </row>
    <row r="932" spans="30:33" hidden="1">
      <c r="AD932" t="s">
        <v>2881</v>
      </c>
      <c r="AE932" t="s">
        <v>2882</v>
      </c>
      <c r="AF932" t="str">
        <f t="shared" si="82"/>
        <v>K679084</v>
      </c>
      <c r="AG932" t="str">
        <f>VLOOKUP(AF932,AKT!$C$4:$E$324,3,FALSE)</f>
        <v>0942</v>
      </c>
    </row>
    <row r="933" spans="30:33" hidden="1">
      <c r="AD933" t="s">
        <v>2883</v>
      </c>
      <c r="AE933" t="s">
        <v>1038</v>
      </c>
      <c r="AF933" t="str">
        <f t="shared" si="82"/>
        <v>K679084</v>
      </c>
      <c r="AG933" t="str">
        <f>VLOOKUP(AF933,AKT!$C$4:$E$324,3,FALSE)</f>
        <v>0942</v>
      </c>
    </row>
    <row r="934" spans="30:33" hidden="1">
      <c r="AD934" t="s">
        <v>2884</v>
      </c>
      <c r="AE934" t="s">
        <v>2832</v>
      </c>
      <c r="AF934" t="str">
        <f t="shared" si="82"/>
        <v>K679084</v>
      </c>
      <c r="AG934" t="str">
        <f>VLOOKUP(AF934,AKT!$C$4:$E$324,3,FALSE)</f>
        <v>0942</v>
      </c>
    </row>
    <row r="935" spans="30:33" hidden="1">
      <c r="AD935" t="s">
        <v>2885</v>
      </c>
      <c r="AE935" t="s">
        <v>1048</v>
      </c>
      <c r="AF935" t="str">
        <f t="shared" si="82"/>
        <v>K679084</v>
      </c>
      <c r="AG935" t="str">
        <f>VLOOKUP(AF935,AKT!$C$4:$E$324,3,FALSE)</f>
        <v>0942</v>
      </c>
    </row>
    <row r="936" spans="30:33" hidden="1">
      <c r="AD936" t="s">
        <v>2886</v>
      </c>
      <c r="AE936" t="s">
        <v>1068</v>
      </c>
      <c r="AF936" t="str">
        <f t="shared" si="82"/>
        <v>K679106</v>
      </c>
      <c r="AG936" t="str">
        <f>VLOOKUP(AF936,AKT!$C$4:$E$324,3,FALSE)</f>
        <v>0942</v>
      </c>
    </row>
    <row r="937" spans="30:33" hidden="1">
      <c r="AD937" t="s">
        <v>2887</v>
      </c>
      <c r="AE937" t="s">
        <v>1070</v>
      </c>
      <c r="AF937" t="str">
        <f t="shared" si="82"/>
        <v>K679106</v>
      </c>
      <c r="AG937" t="str">
        <f>VLOOKUP(AF937,AKT!$C$4:$E$324,3,FALSE)</f>
        <v>0942</v>
      </c>
    </row>
    <row r="938" spans="30:33" hidden="1">
      <c r="AD938" t="s">
        <v>1094</v>
      </c>
      <c r="AE938" t="s">
        <v>1072</v>
      </c>
      <c r="AF938" t="str">
        <f t="shared" si="82"/>
        <v>K679106</v>
      </c>
      <c r="AG938" t="str">
        <f>VLOOKUP(AF938,AKT!$C$4:$E$324,3,FALSE)</f>
        <v>0942</v>
      </c>
    </row>
    <row r="939" spans="30:33" hidden="1">
      <c r="AD939" t="s">
        <v>2888</v>
      </c>
      <c r="AE939" t="s">
        <v>2889</v>
      </c>
      <c r="AF939" t="str">
        <f t="shared" si="82"/>
        <v>K679106</v>
      </c>
      <c r="AG939" t="str">
        <f>VLOOKUP(AF939,AKT!$C$4:$E$324,3,FALSE)</f>
        <v>0942</v>
      </c>
    </row>
    <row r="940" spans="30:33" hidden="1">
      <c r="AD940" t="s">
        <v>2890</v>
      </c>
      <c r="AE940" t="s">
        <v>2891</v>
      </c>
      <c r="AF940" t="str">
        <f t="shared" si="82"/>
        <v>K679106</v>
      </c>
      <c r="AG940" t="str">
        <f>VLOOKUP(AF940,AKT!$C$4:$E$324,3,FALSE)</f>
        <v>0942</v>
      </c>
    </row>
    <row r="941" spans="30:33" hidden="1">
      <c r="AD941" t="s">
        <v>2892</v>
      </c>
      <c r="AE941" t="s">
        <v>2893</v>
      </c>
      <c r="AF941" t="str">
        <f>LEFT(AD941,7)</f>
        <v>K679111</v>
      </c>
      <c r="AG941" t="str">
        <f>IFERROR(VLOOKUP(AF941,AKT!$C$4:$E$324,3,FALSE),"0942")</f>
        <v>0942</v>
      </c>
    </row>
    <row r="942" spans="30:33" hidden="1">
      <c r="AD942" t="s">
        <v>2894</v>
      </c>
      <c r="AE942" t="s">
        <v>2895</v>
      </c>
      <c r="AF942" t="str">
        <f t="shared" si="82"/>
        <v>A622125</v>
      </c>
      <c r="AG942" t="str">
        <f>VLOOKUP(AF942,AKT!$C$4:$E$324,3,FALSE)</f>
        <v>0150</v>
      </c>
    </row>
    <row r="943" spans="30:33" hidden="1">
      <c r="AD943" t="s">
        <v>2896</v>
      </c>
      <c r="AE943" t="s">
        <v>2895</v>
      </c>
      <c r="AF943" t="str">
        <f t="shared" si="82"/>
        <v>A622125</v>
      </c>
      <c r="AG943" t="str">
        <f>VLOOKUP(AF943,AKT!$C$4:$E$324,3,FALSE)</f>
        <v>0150</v>
      </c>
    </row>
    <row r="944" spans="30:33" hidden="1">
      <c r="AD944" t="s">
        <v>2897</v>
      </c>
      <c r="AE944" t="s">
        <v>2898</v>
      </c>
      <c r="AF944" t="str">
        <f t="shared" si="82"/>
        <v>A622125</v>
      </c>
      <c r="AG944" t="str">
        <f>VLOOKUP(AF944,AKT!$C$4:$E$324,3,FALSE)</f>
        <v>0150</v>
      </c>
    </row>
    <row r="945" spans="30:33" hidden="1">
      <c r="AD945" t="s">
        <v>2899</v>
      </c>
      <c r="AE945" t="s">
        <v>2900</v>
      </c>
      <c r="AF945" t="str">
        <f t="shared" si="82"/>
        <v>A622125</v>
      </c>
      <c r="AG945" t="str">
        <f>VLOOKUP(AF945,AKT!$C$4:$E$324,3,FALSE)</f>
        <v>0150</v>
      </c>
    </row>
    <row r="946" spans="30:33" hidden="1">
      <c r="AD946" t="s">
        <v>2901</v>
      </c>
      <c r="AE946" t="s">
        <v>2902</v>
      </c>
      <c r="AF946" t="str">
        <f t="shared" si="82"/>
        <v>A622125</v>
      </c>
      <c r="AG946" t="str">
        <f>VLOOKUP(AF946,AKT!$C$4:$E$324,3,FALSE)</f>
        <v>0150</v>
      </c>
    </row>
    <row r="947" spans="30:33" hidden="1">
      <c r="AD947" t="s">
        <v>2903</v>
      </c>
      <c r="AE947" t="s">
        <v>2904</v>
      </c>
      <c r="AF947" t="str">
        <f t="shared" si="82"/>
        <v>A622125</v>
      </c>
      <c r="AG947" t="str">
        <f>VLOOKUP(AF947,AKT!$C$4:$E$324,3,FALSE)</f>
        <v>0150</v>
      </c>
    </row>
    <row r="948" spans="30:33" hidden="1">
      <c r="AD948" t="s">
        <v>2905</v>
      </c>
      <c r="AE948" t="s">
        <v>2906</v>
      </c>
      <c r="AF948" t="str">
        <f t="shared" si="82"/>
        <v>A622125</v>
      </c>
      <c r="AG948" t="str">
        <f>VLOOKUP(AF948,AKT!$C$4:$E$324,3,FALSE)</f>
        <v>0150</v>
      </c>
    </row>
    <row r="949" spans="30:33" hidden="1">
      <c r="AD949" t="s">
        <v>2907</v>
      </c>
      <c r="AE949" t="s">
        <v>2908</v>
      </c>
      <c r="AF949" t="str">
        <f t="shared" si="82"/>
        <v>A622125</v>
      </c>
      <c r="AG949" t="str">
        <f>VLOOKUP(AF949,AKT!$C$4:$E$324,3,FALSE)</f>
        <v>0150</v>
      </c>
    </row>
    <row r="950" spans="30:33" hidden="1">
      <c r="AD950" t="s">
        <v>2909</v>
      </c>
      <c r="AE950" t="s">
        <v>2910</v>
      </c>
      <c r="AF950" t="str">
        <f t="shared" si="82"/>
        <v>A622125</v>
      </c>
      <c r="AG950" t="str">
        <f>VLOOKUP(AF950,AKT!$C$4:$E$324,3,FALSE)</f>
        <v>0150</v>
      </c>
    </row>
    <row r="951" spans="30:33" hidden="1">
      <c r="AD951" t="s">
        <v>2911</v>
      </c>
      <c r="AE951" t="s">
        <v>2912</v>
      </c>
      <c r="AF951" t="str">
        <f t="shared" si="82"/>
        <v>A622125</v>
      </c>
      <c r="AG951" t="str">
        <f>VLOOKUP(AF951,AKT!$C$4:$E$324,3,FALSE)</f>
        <v>0150</v>
      </c>
    </row>
    <row r="952" spans="30:33" hidden="1">
      <c r="AD952" t="s">
        <v>2913</v>
      </c>
      <c r="AE952" t="s">
        <v>2914</v>
      </c>
      <c r="AF952" t="str">
        <f t="shared" si="82"/>
        <v>A622125</v>
      </c>
      <c r="AG952" t="str">
        <f>VLOOKUP(AF952,AKT!$C$4:$E$324,3,FALSE)</f>
        <v>0150</v>
      </c>
    </row>
    <row r="953" spans="30:33" hidden="1">
      <c r="AD953" t="s">
        <v>2915</v>
      </c>
      <c r="AE953" t="s">
        <v>2916</v>
      </c>
      <c r="AF953" t="str">
        <f t="shared" si="82"/>
        <v>A622125</v>
      </c>
      <c r="AG953" t="str">
        <f>VLOOKUP(AF953,AKT!$C$4:$E$324,3,FALSE)</f>
        <v>0150</v>
      </c>
    </row>
    <row r="954" spans="30:33" hidden="1">
      <c r="AD954" t="s">
        <v>2917</v>
      </c>
      <c r="AE954" t="s">
        <v>2918</v>
      </c>
      <c r="AF954" t="str">
        <f t="shared" si="82"/>
        <v>A622125</v>
      </c>
      <c r="AG954" t="str">
        <f>VLOOKUP(AF954,AKT!$C$4:$E$324,3,FALSE)</f>
        <v>0150</v>
      </c>
    </row>
    <row r="955" spans="30:33" hidden="1">
      <c r="AD955" t="s">
        <v>2919</v>
      </c>
      <c r="AE955" t="s">
        <v>2920</v>
      </c>
      <c r="AF955" t="str">
        <f t="shared" si="82"/>
        <v>A622125</v>
      </c>
      <c r="AG955" t="str">
        <f>VLOOKUP(AF955,AKT!$C$4:$E$324,3,FALSE)</f>
        <v>0150</v>
      </c>
    </row>
    <row r="956" spans="30:33" hidden="1">
      <c r="AD956" t="s">
        <v>2921</v>
      </c>
      <c r="AE956" t="s">
        <v>2922</v>
      </c>
      <c r="AF956" t="str">
        <f t="shared" si="82"/>
        <v>A622125</v>
      </c>
      <c r="AG956" t="str">
        <f>VLOOKUP(AF956,AKT!$C$4:$E$324,3,FALSE)</f>
        <v>0150</v>
      </c>
    </row>
    <row r="957" spans="30:33" hidden="1">
      <c r="AD957" t="s">
        <v>2923</v>
      </c>
      <c r="AE957" t="s">
        <v>2924</v>
      </c>
      <c r="AF957" t="str">
        <f t="shared" si="82"/>
        <v>A622125</v>
      </c>
      <c r="AG957" t="str">
        <f>VLOOKUP(AF957,AKT!$C$4:$E$324,3,FALSE)</f>
        <v>0150</v>
      </c>
    </row>
    <row r="958" spans="30:33" hidden="1">
      <c r="AD958" t="s">
        <v>2925</v>
      </c>
      <c r="AE958" t="s">
        <v>2926</v>
      </c>
      <c r="AF958" t="str">
        <f t="shared" si="82"/>
        <v>A622125</v>
      </c>
      <c r="AG958" t="str">
        <f>VLOOKUP(AF958,AKT!$C$4:$E$324,3,FALSE)</f>
        <v>0150</v>
      </c>
    </row>
    <row r="959" spans="30:33" hidden="1">
      <c r="AD959" t="s">
        <v>2927</v>
      </c>
      <c r="AE959" t="s">
        <v>2928</v>
      </c>
      <c r="AF959" t="str">
        <f t="shared" si="82"/>
        <v>A622125</v>
      </c>
      <c r="AG959" t="str">
        <f>VLOOKUP(AF959,AKT!$C$4:$E$324,3,FALSE)</f>
        <v>0150</v>
      </c>
    </row>
    <row r="960" spans="30:33" hidden="1">
      <c r="AD960" t="s">
        <v>2929</v>
      </c>
      <c r="AE960" t="s">
        <v>2930</v>
      </c>
      <c r="AF960" t="str">
        <f t="shared" si="82"/>
        <v>A622125</v>
      </c>
      <c r="AG960" t="str">
        <f>VLOOKUP(AF960,AKT!$C$4:$E$324,3,FALSE)</f>
        <v>0150</v>
      </c>
    </row>
    <row r="961" spans="30:33" hidden="1">
      <c r="AD961" t="s">
        <v>2931</v>
      </c>
      <c r="AE961" t="s">
        <v>2932</v>
      </c>
      <c r="AF961" t="str">
        <f t="shared" si="82"/>
        <v>A622125</v>
      </c>
      <c r="AG961" t="str">
        <f>VLOOKUP(AF961,AKT!$C$4:$E$324,3,FALSE)</f>
        <v>0150</v>
      </c>
    </row>
    <row r="962" spans="30:33" hidden="1">
      <c r="AD962" t="s">
        <v>2933</v>
      </c>
      <c r="AE962" t="s">
        <v>2934</v>
      </c>
      <c r="AF962" t="str">
        <f t="shared" si="82"/>
        <v>A622125</v>
      </c>
      <c r="AG962" t="str">
        <f>VLOOKUP(AF962,AKT!$C$4:$E$324,3,FALSE)</f>
        <v>0150</v>
      </c>
    </row>
    <row r="963" spans="30:33" hidden="1">
      <c r="AD963" t="s">
        <v>2935</v>
      </c>
      <c r="AE963" t="s">
        <v>2936</v>
      </c>
      <c r="AF963" t="str">
        <f t="shared" si="82"/>
        <v>A622125</v>
      </c>
      <c r="AG963" t="str">
        <f>VLOOKUP(AF963,AKT!$C$4:$E$324,3,FALSE)</f>
        <v>0150</v>
      </c>
    </row>
    <row r="964" spans="30:33" hidden="1">
      <c r="AD964" t="s">
        <v>2937</v>
      </c>
      <c r="AE964" t="s">
        <v>2938</v>
      </c>
      <c r="AF964" t="str">
        <f t="shared" si="82"/>
        <v>A622125</v>
      </c>
      <c r="AG964" t="str">
        <f>VLOOKUP(AF964,AKT!$C$4:$E$324,3,FALSE)</f>
        <v>0150</v>
      </c>
    </row>
    <row r="965" spans="30:33" hidden="1">
      <c r="AD965" t="s">
        <v>2939</v>
      </c>
      <c r="AE965" t="s">
        <v>2940</v>
      </c>
      <c r="AF965" t="str">
        <f t="shared" si="82"/>
        <v>A622125</v>
      </c>
      <c r="AG965" t="str">
        <f>VLOOKUP(AF965,AKT!$C$4:$E$324,3,FALSE)</f>
        <v>0150</v>
      </c>
    </row>
    <row r="966" spans="30:33" hidden="1">
      <c r="AD966" t="s">
        <v>2941</v>
      </c>
      <c r="AE966" t="s">
        <v>2942</v>
      </c>
      <c r="AF966" t="str">
        <f t="shared" si="82"/>
        <v>A622125</v>
      </c>
      <c r="AG966" t="str">
        <f>VLOOKUP(AF966,AKT!$C$4:$E$324,3,FALSE)</f>
        <v>0150</v>
      </c>
    </row>
    <row r="967" spans="30:33" hidden="1">
      <c r="AD967" t="s">
        <v>2943</v>
      </c>
      <c r="AE967" t="s">
        <v>2944</v>
      </c>
      <c r="AF967" t="str">
        <f t="shared" si="82"/>
        <v>A622125</v>
      </c>
      <c r="AG967" t="str">
        <f>VLOOKUP(AF967,AKT!$C$4:$E$324,3,FALSE)</f>
        <v>0150</v>
      </c>
    </row>
    <row r="968" spans="30:33" hidden="1">
      <c r="AD968" t="s">
        <v>2945</v>
      </c>
      <c r="AE968" t="s">
        <v>2946</v>
      </c>
      <c r="AF968" t="str">
        <f t="shared" ref="AF968:AF1031" si="83">LEFT(AD968,7)</f>
        <v>A622125</v>
      </c>
      <c r="AG968" t="str">
        <f>VLOOKUP(AF968,AKT!$C$4:$E$324,3,FALSE)</f>
        <v>0150</v>
      </c>
    </row>
    <row r="969" spans="30:33" hidden="1">
      <c r="AD969" t="s">
        <v>2947</v>
      </c>
      <c r="AE969" t="s">
        <v>2948</v>
      </c>
      <c r="AF969" t="str">
        <f t="shared" si="83"/>
        <v>A622125</v>
      </c>
      <c r="AG969" t="str">
        <f>VLOOKUP(AF969,AKT!$C$4:$E$324,3,FALSE)</f>
        <v>0150</v>
      </c>
    </row>
    <row r="970" spans="30:33" hidden="1">
      <c r="AD970" t="s">
        <v>2949</v>
      </c>
      <c r="AE970" t="s">
        <v>2950</v>
      </c>
      <c r="AF970" t="str">
        <f t="shared" si="83"/>
        <v>A622125</v>
      </c>
      <c r="AG970" t="str">
        <f>VLOOKUP(AF970,AKT!$C$4:$E$324,3,FALSE)</f>
        <v>0150</v>
      </c>
    </row>
    <row r="971" spans="30:33" hidden="1">
      <c r="AD971" t="s">
        <v>2951</v>
      </c>
      <c r="AE971" t="s">
        <v>2952</v>
      </c>
      <c r="AF971" t="str">
        <f t="shared" si="83"/>
        <v>A622125</v>
      </c>
      <c r="AG971" t="str">
        <f>VLOOKUP(AF971,AKT!$C$4:$E$324,3,FALSE)</f>
        <v>0150</v>
      </c>
    </row>
    <row r="972" spans="30:33" hidden="1">
      <c r="AD972" t="s">
        <v>2953</v>
      </c>
      <c r="AE972" t="s">
        <v>2954</v>
      </c>
      <c r="AF972" t="str">
        <f t="shared" si="83"/>
        <v>A622125</v>
      </c>
      <c r="AG972" t="str">
        <f>VLOOKUP(AF972,AKT!$C$4:$E$324,3,FALSE)</f>
        <v>0150</v>
      </c>
    </row>
    <row r="973" spans="30:33" hidden="1">
      <c r="AD973" t="s">
        <v>2955</v>
      </c>
      <c r="AE973" t="s">
        <v>2956</v>
      </c>
      <c r="AF973" t="str">
        <f t="shared" si="83"/>
        <v>A622125</v>
      </c>
      <c r="AG973" t="str">
        <f>VLOOKUP(AF973,AKT!$C$4:$E$324,3,FALSE)</f>
        <v>0150</v>
      </c>
    </row>
    <row r="974" spans="30:33" hidden="1">
      <c r="AD974" t="s">
        <v>2957</v>
      </c>
      <c r="AE974" t="s">
        <v>2958</v>
      </c>
      <c r="AF974" t="str">
        <f t="shared" si="83"/>
        <v>A622125</v>
      </c>
      <c r="AG974" t="str">
        <f>VLOOKUP(AF974,AKT!$C$4:$E$324,3,FALSE)</f>
        <v>0150</v>
      </c>
    </row>
    <row r="975" spans="30:33" hidden="1">
      <c r="AD975" t="s">
        <v>2959</v>
      </c>
      <c r="AE975" t="s">
        <v>2960</v>
      </c>
      <c r="AF975" t="str">
        <f t="shared" si="83"/>
        <v>A622125</v>
      </c>
      <c r="AG975" t="str">
        <f>VLOOKUP(AF975,AKT!$C$4:$E$324,3,FALSE)</f>
        <v>0150</v>
      </c>
    </row>
    <row r="976" spans="30:33" hidden="1">
      <c r="AD976" t="s">
        <v>2961</v>
      </c>
      <c r="AE976" t="s">
        <v>2962</v>
      </c>
      <c r="AF976" t="str">
        <f t="shared" si="83"/>
        <v>A622125</v>
      </c>
      <c r="AG976" t="str">
        <f>VLOOKUP(AF976,AKT!$C$4:$E$324,3,FALSE)</f>
        <v>0150</v>
      </c>
    </row>
    <row r="977" spans="30:33" hidden="1">
      <c r="AD977" t="s">
        <v>2963</v>
      </c>
      <c r="AE977" t="s">
        <v>2964</v>
      </c>
      <c r="AF977" t="str">
        <f t="shared" si="83"/>
        <v>A622125</v>
      </c>
      <c r="AG977" t="str">
        <f>VLOOKUP(AF977,AKT!$C$4:$E$324,3,FALSE)</f>
        <v>0150</v>
      </c>
    </row>
    <row r="978" spans="30:33" hidden="1">
      <c r="AD978" t="s">
        <v>2965</v>
      </c>
      <c r="AE978" t="s">
        <v>2966</v>
      </c>
      <c r="AF978" t="str">
        <f t="shared" si="83"/>
        <v>A622125</v>
      </c>
      <c r="AG978" t="str">
        <f>VLOOKUP(AF978,AKT!$C$4:$E$324,3,FALSE)</f>
        <v>0150</v>
      </c>
    </row>
    <row r="979" spans="30:33" hidden="1">
      <c r="AD979" t="s">
        <v>2967</v>
      </c>
      <c r="AE979" t="s">
        <v>2968</v>
      </c>
      <c r="AF979" t="str">
        <f t="shared" si="83"/>
        <v>A622125</v>
      </c>
      <c r="AG979" t="str">
        <f>VLOOKUP(AF979,AKT!$C$4:$E$324,3,FALSE)</f>
        <v>0150</v>
      </c>
    </row>
    <row r="980" spans="30:33" hidden="1">
      <c r="AD980" t="s">
        <v>2969</v>
      </c>
      <c r="AE980" t="s">
        <v>2970</v>
      </c>
      <c r="AF980" t="str">
        <f t="shared" si="83"/>
        <v>A622125</v>
      </c>
      <c r="AG980" t="str">
        <f>VLOOKUP(AF980,AKT!$C$4:$E$324,3,FALSE)</f>
        <v>0150</v>
      </c>
    </row>
    <row r="981" spans="30:33" hidden="1">
      <c r="AD981" t="s">
        <v>2971</v>
      </c>
      <c r="AE981" t="s">
        <v>2972</v>
      </c>
      <c r="AF981" t="str">
        <f t="shared" si="83"/>
        <v>A622125</v>
      </c>
      <c r="AG981" t="str">
        <f>VLOOKUP(AF981,AKT!$C$4:$E$324,3,FALSE)</f>
        <v>0150</v>
      </c>
    </row>
    <row r="982" spans="30:33" hidden="1">
      <c r="AD982" t="s">
        <v>2973</v>
      </c>
      <c r="AE982" t="s">
        <v>2974</v>
      </c>
      <c r="AF982" t="str">
        <f t="shared" si="83"/>
        <v>A622125</v>
      </c>
      <c r="AG982" t="str">
        <f>VLOOKUP(AF982,AKT!$C$4:$E$324,3,FALSE)</f>
        <v>0150</v>
      </c>
    </row>
    <row r="983" spans="30:33" hidden="1">
      <c r="AD983" t="s">
        <v>2975</v>
      </c>
      <c r="AE983" t="s">
        <v>2976</v>
      </c>
      <c r="AF983" t="str">
        <f t="shared" si="83"/>
        <v>A622125</v>
      </c>
      <c r="AG983" t="str">
        <f>VLOOKUP(AF983,AKT!$C$4:$E$324,3,FALSE)</f>
        <v>0150</v>
      </c>
    </row>
    <row r="984" spans="30:33" hidden="1">
      <c r="AD984" t="s">
        <v>2977</v>
      </c>
      <c r="AE984" t="s">
        <v>2978</v>
      </c>
      <c r="AF984" t="str">
        <f t="shared" si="83"/>
        <v>A622125</v>
      </c>
      <c r="AG984" t="str">
        <f>VLOOKUP(AF984,AKT!$C$4:$E$324,3,FALSE)</f>
        <v>0150</v>
      </c>
    </row>
    <row r="985" spans="30:33" hidden="1">
      <c r="AD985" t="s">
        <v>2979</v>
      </c>
      <c r="AE985" t="s">
        <v>2980</v>
      </c>
      <c r="AF985" t="str">
        <f t="shared" si="83"/>
        <v>A622125</v>
      </c>
      <c r="AG985" t="str">
        <f>VLOOKUP(AF985,AKT!$C$4:$E$324,3,FALSE)</f>
        <v>0150</v>
      </c>
    </row>
    <row r="986" spans="30:33" hidden="1">
      <c r="AD986" t="s">
        <v>2981</v>
      </c>
      <c r="AE986" t="s">
        <v>2982</v>
      </c>
      <c r="AF986" t="str">
        <f t="shared" si="83"/>
        <v>A622125</v>
      </c>
      <c r="AG986" t="str">
        <f>VLOOKUP(AF986,AKT!$C$4:$E$324,3,FALSE)</f>
        <v>0150</v>
      </c>
    </row>
    <row r="987" spans="30:33" hidden="1">
      <c r="AD987" t="s">
        <v>2983</v>
      </c>
      <c r="AE987" t="s">
        <v>2984</v>
      </c>
      <c r="AF987" t="str">
        <f t="shared" si="83"/>
        <v>A622125</v>
      </c>
      <c r="AG987" t="str">
        <f>VLOOKUP(AF987,AKT!$C$4:$E$324,3,FALSE)</f>
        <v>0150</v>
      </c>
    </row>
    <row r="988" spans="30:33" hidden="1">
      <c r="AD988" t="s">
        <v>2985</v>
      </c>
      <c r="AE988" t="s">
        <v>2986</v>
      </c>
      <c r="AF988" t="str">
        <f t="shared" si="83"/>
        <v>A622125</v>
      </c>
      <c r="AG988" t="str">
        <f>VLOOKUP(AF988,AKT!$C$4:$E$324,3,FALSE)</f>
        <v>0150</v>
      </c>
    </row>
    <row r="989" spans="30:33" hidden="1">
      <c r="AD989" t="s">
        <v>2987</v>
      </c>
      <c r="AE989" t="s">
        <v>2988</v>
      </c>
      <c r="AF989" t="str">
        <f t="shared" si="83"/>
        <v>A622125</v>
      </c>
      <c r="AG989" t="str">
        <f>VLOOKUP(AF989,AKT!$C$4:$E$324,3,FALSE)</f>
        <v>0150</v>
      </c>
    </row>
    <row r="990" spans="30:33" hidden="1">
      <c r="AD990" t="s">
        <v>2989</v>
      </c>
      <c r="AE990" t="s">
        <v>2990</v>
      </c>
      <c r="AF990" t="str">
        <f t="shared" si="83"/>
        <v>A622125</v>
      </c>
      <c r="AG990" t="str">
        <f>VLOOKUP(AF990,AKT!$C$4:$E$324,3,FALSE)</f>
        <v>0150</v>
      </c>
    </row>
    <row r="991" spans="30:33" hidden="1">
      <c r="AD991" t="s">
        <v>2991</v>
      </c>
      <c r="AE991" t="s">
        <v>2992</v>
      </c>
      <c r="AF991" t="str">
        <f t="shared" si="83"/>
        <v>A622125</v>
      </c>
      <c r="AG991" t="str">
        <f>VLOOKUP(AF991,AKT!$C$4:$E$324,3,FALSE)</f>
        <v>0150</v>
      </c>
    </row>
    <row r="992" spans="30:33" hidden="1">
      <c r="AD992" t="s">
        <v>2993</v>
      </c>
      <c r="AE992" t="s">
        <v>2994</v>
      </c>
      <c r="AF992" t="str">
        <f t="shared" si="83"/>
        <v>A622125</v>
      </c>
      <c r="AG992" t="str">
        <f>VLOOKUP(AF992,AKT!$C$4:$E$324,3,FALSE)</f>
        <v>0150</v>
      </c>
    </row>
    <row r="993" spans="30:33" hidden="1">
      <c r="AD993" t="s">
        <v>2995</v>
      </c>
      <c r="AE993" t="s">
        <v>2996</v>
      </c>
      <c r="AF993" t="str">
        <f t="shared" si="83"/>
        <v>A622125</v>
      </c>
      <c r="AG993" t="str">
        <f>VLOOKUP(AF993,AKT!$C$4:$E$324,3,FALSE)</f>
        <v>0150</v>
      </c>
    </row>
    <row r="994" spans="30:33" hidden="1">
      <c r="AD994" t="s">
        <v>2997</v>
      </c>
      <c r="AE994" t="s">
        <v>2998</v>
      </c>
      <c r="AF994" t="str">
        <f t="shared" si="83"/>
        <v>A622125</v>
      </c>
      <c r="AG994" t="str">
        <f>VLOOKUP(AF994,AKT!$C$4:$E$324,3,FALSE)</f>
        <v>0150</v>
      </c>
    </row>
    <row r="995" spans="30:33" hidden="1">
      <c r="AD995" t="s">
        <v>2999</v>
      </c>
      <c r="AE995" t="s">
        <v>3000</v>
      </c>
      <c r="AF995" t="str">
        <f t="shared" si="83"/>
        <v>A622125</v>
      </c>
      <c r="AG995" t="str">
        <f>VLOOKUP(AF995,AKT!$C$4:$E$324,3,FALSE)</f>
        <v>0150</v>
      </c>
    </row>
    <row r="996" spans="30:33" hidden="1">
      <c r="AD996" t="s">
        <v>3001</v>
      </c>
      <c r="AE996" t="s">
        <v>3002</v>
      </c>
      <c r="AF996" t="str">
        <f t="shared" si="83"/>
        <v>A622125</v>
      </c>
      <c r="AG996" t="str">
        <f>VLOOKUP(AF996,AKT!$C$4:$E$324,3,FALSE)</f>
        <v>0150</v>
      </c>
    </row>
    <row r="997" spans="30:33" hidden="1">
      <c r="AD997" t="s">
        <v>3003</v>
      </c>
      <c r="AE997" t="s">
        <v>3004</v>
      </c>
      <c r="AF997" t="str">
        <f t="shared" si="83"/>
        <v>A622125</v>
      </c>
      <c r="AG997" t="str">
        <f>VLOOKUP(AF997,AKT!$C$4:$E$324,3,FALSE)</f>
        <v>0150</v>
      </c>
    </row>
    <row r="998" spans="30:33" hidden="1">
      <c r="AD998" t="s">
        <v>3005</v>
      </c>
      <c r="AE998" t="s">
        <v>3006</v>
      </c>
      <c r="AF998" t="str">
        <f t="shared" si="83"/>
        <v>A622125</v>
      </c>
      <c r="AG998" t="str">
        <f>VLOOKUP(AF998,AKT!$C$4:$E$324,3,FALSE)</f>
        <v>0150</v>
      </c>
    </row>
    <row r="999" spans="30:33" hidden="1">
      <c r="AD999" t="s">
        <v>3007</v>
      </c>
      <c r="AE999" t="s">
        <v>3008</v>
      </c>
      <c r="AF999" t="str">
        <f t="shared" si="83"/>
        <v>A622125</v>
      </c>
      <c r="AG999" t="str">
        <f>VLOOKUP(AF999,AKT!$C$4:$E$324,3,FALSE)</f>
        <v>0150</v>
      </c>
    </row>
    <row r="1000" spans="30:33" hidden="1">
      <c r="AD1000" t="s">
        <v>3009</v>
      </c>
      <c r="AE1000" t="s">
        <v>3010</v>
      </c>
      <c r="AF1000" t="str">
        <f t="shared" si="83"/>
        <v>A622125</v>
      </c>
      <c r="AG1000" t="str">
        <f>VLOOKUP(AF1000,AKT!$C$4:$E$324,3,FALSE)</f>
        <v>0150</v>
      </c>
    </row>
    <row r="1001" spans="30:33" hidden="1">
      <c r="AD1001" t="s">
        <v>3011</v>
      </c>
      <c r="AE1001" t="s">
        <v>3012</v>
      </c>
      <c r="AF1001" t="str">
        <f t="shared" si="83"/>
        <v>A622125</v>
      </c>
      <c r="AG1001" t="str">
        <f>VLOOKUP(AF1001,AKT!$C$4:$E$324,3,FALSE)</f>
        <v>0150</v>
      </c>
    </row>
    <row r="1002" spans="30:33" hidden="1">
      <c r="AD1002" t="s">
        <v>3013</v>
      </c>
      <c r="AE1002" t="s">
        <v>3014</v>
      </c>
      <c r="AF1002" t="str">
        <f t="shared" si="83"/>
        <v>A622125</v>
      </c>
      <c r="AG1002" t="str">
        <f>VLOOKUP(AF1002,AKT!$C$4:$E$324,3,FALSE)</f>
        <v>0150</v>
      </c>
    </row>
    <row r="1003" spans="30:33" hidden="1">
      <c r="AD1003" t="s">
        <v>3015</v>
      </c>
      <c r="AE1003" t="s">
        <v>3016</v>
      </c>
      <c r="AF1003" t="str">
        <f t="shared" si="83"/>
        <v>A622125</v>
      </c>
      <c r="AG1003" t="str">
        <f>VLOOKUP(AF1003,AKT!$C$4:$E$324,3,FALSE)</f>
        <v>0150</v>
      </c>
    </row>
    <row r="1004" spans="30:33" hidden="1">
      <c r="AD1004" t="s">
        <v>3017</v>
      </c>
      <c r="AE1004" t="s">
        <v>3018</v>
      </c>
      <c r="AF1004" t="str">
        <f t="shared" si="83"/>
        <v>A622125</v>
      </c>
      <c r="AG1004" t="str">
        <f>VLOOKUP(AF1004,AKT!$C$4:$E$324,3,FALSE)</f>
        <v>0150</v>
      </c>
    </row>
    <row r="1005" spans="30:33" hidden="1">
      <c r="AD1005" t="s">
        <v>3019</v>
      </c>
      <c r="AE1005" t="s">
        <v>3020</v>
      </c>
      <c r="AF1005" t="str">
        <f t="shared" si="83"/>
        <v>A622125</v>
      </c>
      <c r="AG1005" t="str">
        <f>VLOOKUP(AF1005,AKT!$C$4:$E$324,3,FALSE)</f>
        <v>0150</v>
      </c>
    </row>
    <row r="1006" spans="30:33" hidden="1">
      <c r="AD1006" t="s">
        <v>3021</v>
      </c>
      <c r="AE1006" t="s">
        <v>3022</v>
      </c>
      <c r="AF1006" t="str">
        <f t="shared" si="83"/>
        <v>A622125</v>
      </c>
      <c r="AG1006" t="str">
        <f>VLOOKUP(AF1006,AKT!$C$4:$E$324,3,FALSE)</f>
        <v>0150</v>
      </c>
    </row>
    <row r="1007" spans="30:33" hidden="1">
      <c r="AD1007" t="s">
        <v>3023</v>
      </c>
      <c r="AE1007" t="s">
        <v>3024</v>
      </c>
      <c r="AF1007" t="str">
        <f t="shared" si="83"/>
        <v>A622125</v>
      </c>
      <c r="AG1007" t="str">
        <f>VLOOKUP(AF1007,AKT!$C$4:$E$324,3,FALSE)</f>
        <v>0150</v>
      </c>
    </row>
    <row r="1008" spans="30:33" hidden="1">
      <c r="AD1008" t="s">
        <v>3025</v>
      </c>
      <c r="AE1008" t="s">
        <v>3026</v>
      </c>
      <c r="AF1008" t="str">
        <f t="shared" si="83"/>
        <v>A622125</v>
      </c>
      <c r="AG1008" t="str">
        <f>VLOOKUP(AF1008,AKT!$C$4:$E$324,3,FALSE)</f>
        <v>0150</v>
      </c>
    </row>
    <row r="1009" spans="30:33" hidden="1">
      <c r="AD1009" t="s">
        <v>3027</v>
      </c>
      <c r="AE1009" t="s">
        <v>3028</v>
      </c>
      <c r="AF1009" t="str">
        <f t="shared" si="83"/>
        <v>A622125</v>
      </c>
      <c r="AG1009" t="str">
        <f>VLOOKUP(AF1009,AKT!$C$4:$E$324,3,FALSE)</f>
        <v>0150</v>
      </c>
    </row>
    <row r="1010" spans="30:33" hidden="1">
      <c r="AD1010" t="s">
        <v>3029</v>
      </c>
      <c r="AE1010" t="s">
        <v>3030</v>
      </c>
      <c r="AF1010" t="str">
        <f t="shared" si="83"/>
        <v>A622125</v>
      </c>
      <c r="AG1010" t="str">
        <f>VLOOKUP(AF1010,AKT!$C$4:$E$324,3,FALSE)</f>
        <v>0150</v>
      </c>
    </row>
    <row r="1011" spans="30:33" hidden="1">
      <c r="AD1011" t="s">
        <v>3031</v>
      </c>
      <c r="AE1011" t="s">
        <v>3032</v>
      </c>
      <c r="AF1011" t="str">
        <f t="shared" si="83"/>
        <v>A622125</v>
      </c>
      <c r="AG1011" t="str">
        <f>VLOOKUP(AF1011,AKT!$C$4:$E$324,3,FALSE)</f>
        <v>0150</v>
      </c>
    </row>
    <row r="1012" spans="30:33" hidden="1">
      <c r="AD1012" t="s">
        <v>3033</v>
      </c>
      <c r="AE1012" t="s">
        <v>3034</v>
      </c>
      <c r="AF1012" t="str">
        <f t="shared" si="83"/>
        <v>A622125</v>
      </c>
      <c r="AG1012" t="str">
        <f>VLOOKUP(AF1012,AKT!$C$4:$E$324,3,FALSE)</f>
        <v>0150</v>
      </c>
    </row>
    <row r="1013" spans="30:33" hidden="1">
      <c r="AD1013" t="s">
        <v>3035</v>
      </c>
      <c r="AE1013" t="s">
        <v>3036</v>
      </c>
      <c r="AF1013" t="str">
        <f t="shared" si="83"/>
        <v>A622125</v>
      </c>
      <c r="AG1013" t="str">
        <f>VLOOKUP(AF1013,AKT!$C$4:$E$324,3,FALSE)</f>
        <v>0150</v>
      </c>
    </row>
    <row r="1014" spans="30:33" hidden="1">
      <c r="AD1014" t="s">
        <v>3037</v>
      </c>
      <c r="AE1014" t="s">
        <v>3038</v>
      </c>
      <c r="AF1014" t="str">
        <f t="shared" si="83"/>
        <v>A622125</v>
      </c>
      <c r="AG1014" t="str">
        <f>VLOOKUP(AF1014,AKT!$C$4:$E$324,3,FALSE)</f>
        <v>0150</v>
      </c>
    </row>
    <row r="1015" spans="30:33" hidden="1">
      <c r="AD1015" t="s">
        <v>3039</v>
      </c>
      <c r="AE1015" t="s">
        <v>3040</v>
      </c>
      <c r="AF1015" t="str">
        <f t="shared" si="83"/>
        <v>A622125</v>
      </c>
      <c r="AG1015" t="str">
        <f>VLOOKUP(AF1015,AKT!$C$4:$E$324,3,FALSE)</f>
        <v>0150</v>
      </c>
    </row>
    <row r="1016" spans="30:33" hidden="1">
      <c r="AD1016" t="s">
        <v>3041</v>
      </c>
      <c r="AE1016" t="s">
        <v>3042</v>
      </c>
      <c r="AF1016" t="str">
        <f t="shared" si="83"/>
        <v>A622125</v>
      </c>
      <c r="AG1016" t="str">
        <f>VLOOKUP(AF1016,AKT!$C$4:$E$324,3,FALSE)</f>
        <v>0150</v>
      </c>
    </row>
    <row r="1017" spans="30:33" hidden="1">
      <c r="AD1017" t="s">
        <v>3043</v>
      </c>
      <c r="AE1017" t="s">
        <v>3044</v>
      </c>
      <c r="AF1017" t="str">
        <f t="shared" si="83"/>
        <v>A622125</v>
      </c>
      <c r="AG1017" t="str">
        <f>VLOOKUP(AF1017,AKT!$C$4:$E$324,3,FALSE)</f>
        <v>0150</v>
      </c>
    </row>
    <row r="1018" spans="30:33" hidden="1">
      <c r="AD1018" t="s">
        <v>3045</v>
      </c>
      <c r="AE1018" t="s">
        <v>3046</v>
      </c>
      <c r="AF1018" t="str">
        <f t="shared" si="83"/>
        <v>A622125</v>
      </c>
      <c r="AG1018" t="str">
        <f>VLOOKUP(AF1018,AKT!$C$4:$E$324,3,FALSE)</f>
        <v>0150</v>
      </c>
    </row>
    <row r="1019" spans="30:33" hidden="1">
      <c r="AD1019" t="s">
        <v>3047</v>
      </c>
      <c r="AE1019" t="s">
        <v>3048</v>
      </c>
      <c r="AF1019" t="str">
        <f t="shared" si="83"/>
        <v>A622125</v>
      </c>
      <c r="AG1019" t="str">
        <f>VLOOKUP(AF1019,AKT!$C$4:$E$324,3,FALSE)</f>
        <v>0150</v>
      </c>
    </row>
    <row r="1020" spans="30:33" hidden="1">
      <c r="AD1020" t="s">
        <v>3049</v>
      </c>
      <c r="AE1020" t="s">
        <v>3050</v>
      </c>
      <c r="AF1020" t="str">
        <f t="shared" si="83"/>
        <v>A622125</v>
      </c>
      <c r="AG1020" t="str">
        <f>VLOOKUP(AF1020,AKT!$C$4:$E$324,3,FALSE)</f>
        <v>0150</v>
      </c>
    </row>
    <row r="1021" spans="30:33" hidden="1">
      <c r="AD1021" t="s">
        <v>3051</v>
      </c>
      <c r="AE1021" t="s">
        <v>2968</v>
      </c>
      <c r="AF1021" t="str">
        <f t="shared" si="83"/>
        <v>A622125</v>
      </c>
      <c r="AG1021" t="str">
        <f>VLOOKUP(AF1021,AKT!$C$4:$E$324,3,FALSE)</f>
        <v>0150</v>
      </c>
    </row>
    <row r="1022" spans="30:33" hidden="1">
      <c r="AD1022" t="s">
        <v>3052</v>
      </c>
      <c r="AE1022" t="s">
        <v>3053</v>
      </c>
      <c r="AF1022" t="str">
        <f t="shared" si="83"/>
        <v>A622125</v>
      </c>
      <c r="AG1022" t="str">
        <f>VLOOKUP(AF1022,AKT!$C$4:$E$324,3,FALSE)</f>
        <v>0150</v>
      </c>
    </row>
    <row r="1023" spans="30:33" hidden="1">
      <c r="AD1023" t="s">
        <v>3054</v>
      </c>
      <c r="AE1023" t="s">
        <v>3055</v>
      </c>
      <c r="AF1023" t="str">
        <f t="shared" si="83"/>
        <v>A622125</v>
      </c>
      <c r="AG1023" t="str">
        <f>VLOOKUP(AF1023,AKT!$C$4:$E$324,3,FALSE)</f>
        <v>0150</v>
      </c>
    </row>
    <row r="1024" spans="30:33" hidden="1">
      <c r="AD1024" t="s">
        <v>3056</v>
      </c>
      <c r="AE1024" t="s">
        <v>3057</v>
      </c>
      <c r="AF1024" t="str">
        <f t="shared" si="83"/>
        <v>A622125</v>
      </c>
      <c r="AG1024" t="str">
        <f>VLOOKUP(AF1024,AKT!$C$4:$E$324,3,FALSE)</f>
        <v>0150</v>
      </c>
    </row>
    <row r="1025" spans="30:33" hidden="1">
      <c r="AD1025" t="s">
        <v>3058</v>
      </c>
      <c r="AE1025" t="s">
        <v>3046</v>
      </c>
      <c r="AF1025" t="str">
        <f t="shared" si="83"/>
        <v>A622125</v>
      </c>
      <c r="AG1025" t="str">
        <f>VLOOKUP(AF1025,AKT!$C$4:$E$324,3,FALSE)</f>
        <v>0150</v>
      </c>
    </row>
    <row r="1026" spans="30:33" hidden="1">
      <c r="AD1026" t="s">
        <v>3059</v>
      </c>
      <c r="AE1026" t="s">
        <v>3060</v>
      </c>
      <c r="AF1026" t="str">
        <f t="shared" si="83"/>
        <v>A622125</v>
      </c>
      <c r="AG1026" t="str">
        <f>VLOOKUP(AF1026,AKT!$C$4:$E$324,3,FALSE)</f>
        <v>0150</v>
      </c>
    </row>
    <row r="1027" spans="30:33" hidden="1">
      <c r="AD1027" t="s">
        <v>3061</v>
      </c>
      <c r="AE1027" t="s">
        <v>3062</v>
      </c>
      <c r="AF1027" t="str">
        <f t="shared" si="83"/>
        <v>A622125</v>
      </c>
      <c r="AG1027" t="str">
        <f>VLOOKUP(AF1027,AKT!$C$4:$E$324,3,FALSE)</f>
        <v>0150</v>
      </c>
    </row>
    <row r="1028" spans="30:33" hidden="1">
      <c r="AD1028" t="s">
        <v>3063</v>
      </c>
      <c r="AE1028" t="s">
        <v>3064</v>
      </c>
      <c r="AF1028" t="str">
        <f t="shared" si="83"/>
        <v>A622125</v>
      </c>
      <c r="AG1028" t="str">
        <f>VLOOKUP(AF1028,AKT!$C$4:$E$324,3,FALSE)</f>
        <v>0150</v>
      </c>
    </row>
    <row r="1029" spans="30:33" hidden="1">
      <c r="AD1029" t="s">
        <v>3065</v>
      </c>
      <c r="AE1029" t="s">
        <v>3066</v>
      </c>
      <c r="AF1029" t="str">
        <f t="shared" si="83"/>
        <v>A622125</v>
      </c>
      <c r="AG1029" t="str">
        <f>VLOOKUP(AF1029,AKT!$C$4:$E$324,3,FALSE)</f>
        <v>0150</v>
      </c>
    </row>
    <row r="1030" spans="30:33" hidden="1">
      <c r="AD1030" t="s">
        <v>3067</v>
      </c>
      <c r="AE1030" t="s">
        <v>3068</v>
      </c>
      <c r="AF1030" t="str">
        <f t="shared" si="83"/>
        <v>A622125</v>
      </c>
      <c r="AG1030" t="str">
        <f>VLOOKUP(AF1030,AKT!$C$4:$E$324,3,FALSE)</f>
        <v>0150</v>
      </c>
    </row>
    <row r="1031" spans="30:33" hidden="1">
      <c r="AD1031" t="s">
        <v>3069</v>
      </c>
      <c r="AE1031" t="s">
        <v>3070</v>
      </c>
      <c r="AF1031" t="str">
        <f t="shared" si="83"/>
        <v>A622125</v>
      </c>
      <c r="AG1031" t="str">
        <f>VLOOKUP(AF1031,AKT!$C$4:$E$324,3,FALSE)</f>
        <v>0150</v>
      </c>
    </row>
    <row r="1032" spans="30:33" hidden="1">
      <c r="AD1032" t="s">
        <v>3071</v>
      </c>
      <c r="AE1032" t="s">
        <v>3072</v>
      </c>
      <c r="AF1032" t="str">
        <f t="shared" ref="AF1032:AF1090" si="84">LEFT(AD1032,7)</f>
        <v>A622125</v>
      </c>
      <c r="AG1032" t="str">
        <f>VLOOKUP(AF1032,AKT!$C$4:$E$324,3,FALSE)</f>
        <v>0150</v>
      </c>
    </row>
    <row r="1033" spans="30:33" hidden="1">
      <c r="AD1033" t="s">
        <v>3073</v>
      </c>
      <c r="AE1033" t="s">
        <v>3074</v>
      </c>
      <c r="AF1033" t="str">
        <f t="shared" si="84"/>
        <v>A622125</v>
      </c>
      <c r="AG1033" t="str">
        <f>VLOOKUP(AF1033,AKT!$C$4:$E$324,3,FALSE)</f>
        <v>0150</v>
      </c>
    </row>
    <row r="1034" spans="30:33" hidden="1">
      <c r="AD1034" t="s">
        <v>3075</v>
      </c>
      <c r="AE1034" t="s">
        <v>3076</v>
      </c>
      <c r="AF1034" t="str">
        <f t="shared" si="84"/>
        <v>A622125</v>
      </c>
      <c r="AG1034" t="str">
        <f>VLOOKUP(AF1034,AKT!$C$4:$E$324,3,FALSE)</f>
        <v>0150</v>
      </c>
    </row>
    <row r="1035" spans="30:33" hidden="1">
      <c r="AD1035" t="s">
        <v>3077</v>
      </c>
      <c r="AE1035" t="s">
        <v>3078</v>
      </c>
      <c r="AF1035" t="str">
        <f t="shared" si="84"/>
        <v>A622125</v>
      </c>
      <c r="AG1035" t="str">
        <f>VLOOKUP(AF1035,AKT!$C$4:$E$324,3,FALSE)</f>
        <v>0150</v>
      </c>
    </row>
    <row r="1036" spans="30:33" hidden="1">
      <c r="AD1036" t="s">
        <v>3079</v>
      </c>
      <c r="AE1036" t="s">
        <v>3080</v>
      </c>
      <c r="AF1036" t="str">
        <f t="shared" si="84"/>
        <v>A622125</v>
      </c>
      <c r="AG1036" t="str">
        <f>VLOOKUP(AF1036,AKT!$C$4:$E$324,3,FALSE)</f>
        <v>0150</v>
      </c>
    </row>
    <row r="1037" spans="30:33" hidden="1">
      <c r="AD1037" t="s">
        <v>3081</v>
      </c>
      <c r="AE1037" t="s">
        <v>3082</v>
      </c>
      <c r="AF1037" t="str">
        <f t="shared" si="84"/>
        <v>A622125</v>
      </c>
      <c r="AG1037" t="str">
        <f>VLOOKUP(AF1037,AKT!$C$4:$E$324,3,FALSE)</f>
        <v>0150</v>
      </c>
    </row>
    <row r="1038" spans="30:33" hidden="1">
      <c r="AD1038" t="s">
        <v>3083</v>
      </c>
      <c r="AE1038" t="s">
        <v>3084</v>
      </c>
      <c r="AF1038" t="str">
        <f t="shared" si="84"/>
        <v>A622125</v>
      </c>
      <c r="AG1038" t="str">
        <f>VLOOKUP(AF1038,AKT!$C$4:$E$324,3,FALSE)</f>
        <v>0150</v>
      </c>
    </row>
    <row r="1039" spans="30:33" hidden="1">
      <c r="AD1039" t="s">
        <v>3085</v>
      </c>
      <c r="AE1039" t="s">
        <v>3086</v>
      </c>
      <c r="AF1039" t="str">
        <f t="shared" si="84"/>
        <v>A622125</v>
      </c>
      <c r="AG1039" t="str">
        <f>VLOOKUP(AF1039,AKT!$C$4:$E$324,3,FALSE)</f>
        <v>0150</v>
      </c>
    </row>
    <row r="1040" spans="30:33" hidden="1">
      <c r="AD1040" t="s">
        <v>3087</v>
      </c>
      <c r="AE1040" t="s">
        <v>3088</v>
      </c>
      <c r="AF1040" t="str">
        <f t="shared" si="84"/>
        <v>A622125</v>
      </c>
      <c r="AG1040" t="str">
        <f>VLOOKUP(AF1040,AKT!$C$4:$E$324,3,FALSE)</f>
        <v>0150</v>
      </c>
    </row>
    <row r="1041" spans="30:33" hidden="1">
      <c r="AD1041" t="s">
        <v>3089</v>
      </c>
      <c r="AE1041" t="s">
        <v>3090</v>
      </c>
      <c r="AF1041" t="str">
        <f t="shared" si="84"/>
        <v>A622125</v>
      </c>
      <c r="AG1041" t="str">
        <f>VLOOKUP(AF1041,AKT!$C$4:$E$324,3,FALSE)</f>
        <v>0150</v>
      </c>
    </row>
    <row r="1042" spans="30:33" hidden="1">
      <c r="AD1042" t="s">
        <v>3091</v>
      </c>
      <c r="AE1042" t="s">
        <v>3092</v>
      </c>
      <c r="AF1042" t="str">
        <f t="shared" si="84"/>
        <v>A622125</v>
      </c>
      <c r="AG1042" t="str">
        <f>VLOOKUP(AF1042,AKT!$C$4:$E$324,3,FALSE)</f>
        <v>0150</v>
      </c>
    </row>
    <row r="1043" spans="30:33" hidden="1">
      <c r="AD1043" t="s">
        <v>3093</v>
      </c>
      <c r="AE1043" t="s">
        <v>2558</v>
      </c>
      <c r="AF1043" t="str">
        <f t="shared" si="84"/>
        <v>A622125</v>
      </c>
      <c r="AG1043" t="str">
        <f>VLOOKUP(AF1043,AKT!$C$4:$E$324,3,FALSE)</f>
        <v>0150</v>
      </c>
    </row>
    <row r="1044" spans="30:33" hidden="1">
      <c r="AD1044" t="s">
        <v>3094</v>
      </c>
      <c r="AE1044" t="s">
        <v>3095</v>
      </c>
      <c r="AF1044" t="str">
        <f t="shared" si="84"/>
        <v>A622125</v>
      </c>
      <c r="AG1044" t="str">
        <f>VLOOKUP(AF1044,AKT!$C$4:$E$324,3,FALSE)</f>
        <v>0150</v>
      </c>
    </row>
    <row r="1045" spans="30:33" hidden="1">
      <c r="AD1045" t="s">
        <v>3096</v>
      </c>
      <c r="AE1045" t="s">
        <v>3097</v>
      </c>
      <c r="AF1045" t="str">
        <f t="shared" si="84"/>
        <v>A622125</v>
      </c>
      <c r="AG1045" t="str">
        <f>VLOOKUP(AF1045,AKT!$C$4:$E$324,3,FALSE)</f>
        <v>0150</v>
      </c>
    </row>
    <row r="1046" spans="30:33" hidden="1">
      <c r="AD1046" t="s">
        <v>3098</v>
      </c>
      <c r="AE1046" t="s">
        <v>3099</v>
      </c>
      <c r="AF1046" t="str">
        <f t="shared" si="84"/>
        <v>A622125</v>
      </c>
      <c r="AG1046" t="str">
        <f>VLOOKUP(AF1046,AKT!$C$4:$E$324,3,FALSE)</f>
        <v>0150</v>
      </c>
    </row>
    <row r="1047" spans="30:33" hidden="1">
      <c r="AD1047" t="s">
        <v>3100</v>
      </c>
      <c r="AE1047" t="s">
        <v>3101</v>
      </c>
      <c r="AF1047" t="str">
        <f t="shared" si="84"/>
        <v>A622125</v>
      </c>
      <c r="AG1047" t="str">
        <f>VLOOKUP(AF1047,AKT!$C$4:$E$324,3,FALSE)</f>
        <v>0150</v>
      </c>
    </row>
    <row r="1048" spans="30:33" hidden="1">
      <c r="AD1048" t="s">
        <v>3102</v>
      </c>
      <c r="AE1048" t="s">
        <v>3103</v>
      </c>
      <c r="AF1048" t="str">
        <f t="shared" si="84"/>
        <v>A622125</v>
      </c>
      <c r="AG1048" t="str">
        <f>VLOOKUP(AF1048,AKT!$C$4:$E$324,3,FALSE)</f>
        <v>0150</v>
      </c>
    </row>
    <row r="1049" spans="30:33" hidden="1">
      <c r="AD1049" t="s">
        <v>3104</v>
      </c>
      <c r="AE1049" t="s">
        <v>1155</v>
      </c>
      <c r="AF1049" t="str">
        <f t="shared" si="84"/>
        <v>A622125</v>
      </c>
      <c r="AG1049" t="str">
        <f>VLOOKUP(AF1049,AKT!$C$4:$E$324,3,FALSE)</f>
        <v>0150</v>
      </c>
    </row>
    <row r="1050" spans="30:33" hidden="1">
      <c r="AD1050" t="s">
        <v>3105</v>
      </c>
      <c r="AE1050" t="s">
        <v>3106</v>
      </c>
      <c r="AF1050" t="str">
        <f t="shared" si="84"/>
        <v>A622125</v>
      </c>
      <c r="AG1050" t="str">
        <f>VLOOKUP(AF1050,AKT!$C$4:$E$324,3,FALSE)</f>
        <v>0150</v>
      </c>
    </row>
    <row r="1051" spans="30:33" hidden="1">
      <c r="AD1051" t="s">
        <v>3107</v>
      </c>
      <c r="AE1051" t="s">
        <v>3108</v>
      </c>
      <c r="AF1051" t="str">
        <f t="shared" si="84"/>
        <v>A622125</v>
      </c>
      <c r="AG1051" t="str">
        <f>VLOOKUP(AF1051,AKT!$C$4:$E$324,3,FALSE)</f>
        <v>0150</v>
      </c>
    </row>
    <row r="1052" spans="30:33" hidden="1">
      <c r="AD1052" t="s">
        <v>3109</v>
      </c>
      <c r="AE1052" t="s">
        <v>3110</v>
      </c>
      <c r="AF1052" t="str">
        <f t="shared" si="84"/>
        <v>A622125</v>
      </c>
      <c r="AG1052" t="str">
        <f>VLOOKUP(AF1052,AKT!$C$4:$E$324,3,FALSE)</f>
        <v>0150</v>
      </c>
    </row>
    <row r="1053" spans="30:33" hidden="1">
      <c r="AD1053" t="s">
        <v>3111</v>
      </c>
      <c r="AE1053" t="s">
        <v>3112</v>
      </c>
      <c r="AF1053" t="str">
        <f t="shared" si="84"/>
        <v>A622125</v>
      </c>
      <c r="AG1053" t="str">
        <f>VLOOKUP(AF1053,AKT!$C$4:$E$324,3,FALSE)</f>
        <v>0150</v>
      </c>
    </row>
    <row r="1054" spans="30:33" hidden="1">
      <c r="AD1054" t="s">
        <v>3113</v>
      </c>
      <c r="AE1054" t="s">
        <v>3114</v>
      </c>
      <c r="AF1054" t="str">
        <f t="shared" si="84"/>
        <v>A622125</v>
      </c>
      <c r="AG1054" t="str">
        <f>VLOOKUP(AF1054,AKT!$C$4:$E$324,3,FALSE)</f>
        <v>0150</v>
      </c>
    </row>
    <row r="1055" spans="30:33" hidden="1">
      <c r="AD1055" t="s">
        <v>3115</v>
      </c>
      <c r="AE1055" t="s">
        <v>3116</v>
      </c>
      <c r="AF1055" t="str">
        <f t="shared" si="84"/>
        <v>A622125</v>
      </c>
      <c r="AG1055" t="str">
        <f>VLOOKUP(AF1055,AKT!$C$4:$E$324,3,FALSE)</f>
        <v>0150</v>
      </c>
    </row>
    <row r="1056" spans="30:33" hidden="1">
      <c r="AD1056" t="s">
        <v>3117</v>
      </c>
      <c r="AE1056" t="s">
        <v>3118</v>
      </c>
      <c r="AF1056" t="str">
        <f t="shared" si="84"/>
        <v>A622125</v>
      </c>
      <c r="AG1056" t="str">
        <f>VLOOKUP(AF1056,AKT!$C$4:$E$324,3,FALSE)</f>
        <v>0150</v>
      </c>
    </row>
    <row r="1057" spans="30:33" hidden="1">
      <c r="AD1057" t="s">
        <v>3119</v>
      </c>
      <c r="AE1057" t="s">
        <v>3120</v>
      </c>
      <c r="AF1057" t="str">
        <f t="shared" si="84"/>
        <v>A622125</v>
      </c>
      <c r="AG1057" t="str">
        <f>VLOOKUP(AF1057,AKT!$C$4:$E$324,3,FALSE)</f>
        <v>0150</v>
      </c>
    </row>
    <row r="1058" spans="30:33" hidden="1">
      <c r="AD1058" t="s">
        <v>3121</v>
      </c>
      <c r="AE1058" t="s">
        <v>3122</v>
      </c>
      <c r="AF1058" t="str">
        <f t="shared" si="84"/>
        <v>A622125</v>
      </c>
      <c r="AG1058" t="str">
        <f>VLOOKUP(AF1058,AKT!$C$4:$E$324,3,FALSE)</f>
        <v>0150</v>
      </c>
    </row>
    <row r="1059" spans="30:33" hidden="1">
      <c r="AD1059" t="s">
        <v>3123</v>
      </c>
      <c r="AE1059" t="s">
        <v>2736</v>
      </c>
      <c r="AF1059" t="str">
        <f t="shared" si="84"/>
        <v>A622125</v>
      </c>
      <c r="AG1059" t="str">
        <f>VLOOKUP(AF1059,AKT!$C$4:$E$324,3,FALSE)</f>
        <v>0150</v>
      </c>
    </row>
    <row r="1060" spans="30:33" hidden="1">
      <c r="AD1060" t="s">
        <v>3124</v>
      </c>
      <c r="AE1060" t="s">
        <v>3125</v>
      </c>
      <c r="AF1060" t="str">
        <f t="shared" si="84"/>
        <v>A622125</v>
      </c>
      <c r="AG1060" t="str">
        <f>VLOOKUP(AF1060,AKT!$C$4:$E$324,3,FALSE)</f>
        <v>0150</v>
      </c>
    </row>
    <row r="1061" spans="30:33" hidden="1">
      <c r="AD1061" t="s">
        <v>3126</v>
      </c>
      <c r="AE1061" t="s">
        <v>3127</v>
      </c>
      <c r="AF1061" t="str">
        <f t="shared" si="84"/>
        <v>A622125</v>
      </c>
      <c r="AG1061" t="str">
        <f>VLOOKUP(AF1061,AKT!$C$4:$E$324,3,FALSE)</f>
        <v>0150</v>
      </c>
    </row>
    <row r="1062" spans="30:33" hidden="1">
      <c r="AD1062" t="s">
        <v>3128</v>
      </c>
      <c r="AE1062" t="s">
        <v>3129</v>
      </c>
      <c r="AF1062" t="str">
        <f t="shared" si="84"/>
        <v>A622125</v>
      </c>
      <c r="AG1062" t="str">
        <f>VLOOKUP(AF1062,AKT!$C$4:$E$324,3,FALSE)</f>
        <v>0150</v>
      </c>
    </row>
    <row r="1063" spans="30:33" hidden="1">
      <c r="AD1063" t="s">
        <v>3130</v>
      </c>
      <c r="AE1063" t="s">
        <v>3131</v>
      </c>
      <c r="AF1063" t="str">
        <f t="shared" si="84"/>
        <v>A622125</v>
      </c>
      <c r="AG1063" t="str">
        <f>VLOOKUP(AF1063,AKT!$C$4:$E$324,3,FALSE)</f>
        <v>0150</v>
      </c>
    </row>
    <row r="1064" spans="30:33" hidden="1">
      <c r="AD1064" t="s">
        <v>3132</v>
      </c>
      <c r="AE1064" t="s">
        <v>3133</v>
      </c>
      <c r="AF1064" t="str">
        <f t="shared" si="84"/>
        <v>A622125</v>
      </c>
      <c r="AG1064" t="str">
        <f>VLOOKUP(AF1064,AKT!$C$4:$E$324,3,FALSE)</f>
        <v>0150</v>
      </c>
    </row>
    <row r="1065" spans="30:33" hidden="1">
      <c r="AD1065" t="s">
        <v>3134</v>
      </c>
      <c r="AE1065" t="s">
        <v>3135</v>
      </c>
      <c r="AF1065" t="str">
        <f t="shared" si="84"/>
        <v>A622125</v>
      </c>
      <c r="AG1065" t="str">
        <f>VLOOKUP(AF1065,AKT!$C$4:$E$324,3,FALSE)</f>
        <v>0150</v>
      </c>
    </row>
    <row r="1066" spans="30:33" hidden="1">
      <c r="AD1066" t="s">
        <v>3136</v>
      </c>
      <c r="AE1066" t="s">
        <v>1709</v>
      </c>
      <c r="AF1066" t="str">
        <f t="shared" si="84"/>
        <v>A622125</v>
      </c>
      <c r="AG1066" t="str">
        <f>VLOOKUP(AF1066,AKT!$C$4:$E$324,3,FALSE)</f>
        <v>0150</v>
      </c>
    </row>
    <row r="1067" spans="30:33" hidden="1">
      <c r="AD1067" t="s">
        <v>3137</v>
      </c>
      <c r="AE1067" t="s">
        <v>3138</v>
      </c>
      <c r="AF1067" t="str">
        <f t="shared" si="84"/>
        <v>A622125</v>
      </c>
      <c r="AG1067" t="str">
        <f>VLOOKUP(AF1067,AKT!$C$4:$E$324,3,FALSE)</f>
        <v>0150</v>
      </c>
    </row>
    <row r="1068" spans="30:33" hidden="1">
      <c r="AD1068" t="s">
        <v>3139</v>
      </c>
      <c r="AE1068" t="s">
        <v>2877</v>
      </c>
      <c r="AF1068" t="str">
        <f t="shared" si="84"/>
        <v>K622128</v>
      </c>
      <c r="AG1068" t="str">
        <f>VLOOKUP(AF1068,AKT!$C$4:$E$324,3,FALSE)</f>
        <v>0150</v>
      </c>
    </row>
    <row r="1069" spans="30:33" hidden="1">
      <c r="AD1069" t="s">
        <v>3140</v>
      </c>
      <c r="AE1069" t="s">
        <v>1044</v>
      </c>
      <c r="AF1069" t="str">
        <f t="shared" si="84"/>
        <v>K622128</v>
      </c>
      <c r="AG1069" t="str">
        <f>VLOOKUP(AF1069,AKT!$C$4:$E$324,3,FALSE)</f>
        <v>0150</v>
      </c>
    </row>
    <row r="1070" spans="30:33" hidden="1">
      <c r="AD1070" t="s">
        <v>3141</v>
      </c>
      <c r="AE1070" t="s">
        <v>3142</v>
      </c>
      <c r="AF1070" t="str">
        <f t="shared" si="84"/>
        <v>K622128</v>
      </c>
      <c r="AG1070" t="str">
        <f>VLOOKUP(AF1070,AKT!$C$4:$E$324,3,FALSE)</f>
        <v>0150</v>
      </c>
    </row>
    <row r="1071" spans="30:33" hidden="1">
      <c r="AD1071" t="s">
        <v>3143</v>
      </c>
      <c r="AE1071" t="s">
        <v>2880</v>
      </c>
      <c r="AF1071" t="str">
        <f t="shared" si="84"/>
        <v>K622128</v>
      </c>
      <c r="AG1071" t="str">
        <f>VLOOKUP(AF1071,AKT!$C$4:$E$324,3,FALSE)</f>
        <v>0150</v>
      </c>
    </row>
    <row r="1072" spans="30:33" hidden="1">
      <c r="AD1072" t="s">
        <v>3144</v>
      </c>
      <c r="AE1072" t="s">
        <v>3145</v>
      </c>
      <c r="AF1072" t="str">
        <f t="shared" si="84"/>
        <v>K622128</v>
      </c>
      <c r="AG1072" t="str">
        <f>VLOOKUP(AF1072,AKT!$C$4:$E$324,3,FALSE)</f>
        <v>0150</v>
      </c>
    </row>
    <row r="1073" spans="30:33" hidden="1">
      <c r="AD1073" t="s">
        <v>3146</v>
      </c>
      <c r="AE1073" t="s">
        <v>1038</v>
      </c>
      <c r="AF1073" t="str">
        <f t="shared" si="84"/>
        <v>K622128</v>
      </c>
      <c r="AG1073" t="str">
        <f>VLOOKUP(AF1073,AKT!$C$4:$E$324,3,FALSE)</f>
        <v>0150</v>
      </c>
    </row>
    <row r="1074" spans="30:33" hidden="1">
      <c r="AD1074" t="s">
        <v>3147</v>
      </c>
      <c r="AE1074" t="s">
        <v>2832</v>
      </c>
      <c r="AF1074" t="str">
        <f t="shared" si="84"/>
        <v>K622128</v>
      </c>
      <c r="AG1074" t="str">
        <f>VLOOKUP(AF1074,AKT!$C$4:$E$324,3,FALSE)</f>
        <v>0150</v>
      </c>
    </row>
    <row r="1075" spans="30:33" hidden="1">
      <c r="AD1075" t="s">
        <v>3148</v>
      </c>
      <c r="AE1075" t="s">
        <v>1048</v>
      </c>
      <c r="AF1075" t="str">
        <f t="shared" si="84"/>
        <v>K622128</v>
      </c>
      <c r="AG1075" t="str">
        <f>VLOOKUP(AF1075,AKT!$C$4:$E$324,3,FALSE)</f>
        <v>0150</v>
      </c>
    </row>
    <row r="1076" spans="30:33" hidden="1">
      <c r="AD1076" t="s">
        <v>3149</v>
      </c>
      <c r="AE1076" t="s">
        <v>3150</v>
      </c>
      <c r="AF1076" t="str">
        <f t="shared" si="84"/>
        <v>K628080</v>
      </c>
      <c r="AG1076" t="str">
        <f>VLOOKUP(AF1076,AKT!$C$4:$E$324,3,FALSE)</f>
        <v>0970</v>
      </c>
    </row>
    <row r="1077" spans="30:33" hidden="1">
      <c r="AD1077" t="s">
        <v>3151</v>
      </c>
      <c r="AE1077" t="s">
        <v>3152</v>
      </c>
      <c r="AF1077" t="str">
        <f t="shared" si="84"/>
        <v>K628080</v>
      </c>
      <c r="AG1077" t="str">
        <f>VLOOKUP(AF1077,AKT!$C$4:$E$324,3,FALSE)</f>
        <v>0970</v>
      </c>
    </row>
    <row r="1078" spans="30:33" hidden="1">
      <c r="AD1078" t="s">
        <v>3153</v>
      </c>
      <c r="AE1078" t="s">
        <v>3154</v>
      </c>
      <c r="AF1078" t="str">
        <f t="shared" si="84"/>
        <v>K628081</v>
      </c>
      <c r="AG1078" t="str">
        <f>VLOOKUP(AF1078,AKT!$C$4:$E$324,3,FALSE)</f>
        <v>0970</v>
      </c>
    </row>
    <row r="1079" spans="30:33" hidden="1">
      <c r="AD1079" t="s">
        <v>3155</v>
      </c>
      <c r="AE1079" t="s">
        <v>1113</v>
      </c>
      <c r="AF1079" t="str">
        <f t="shared" si="84"/>
        <v>K628081</v>
      </c>
      <c r="AG1079" t="str">
        <f>VLOOKUP(AF1079,AKT!$C$4:$E$324,3,FALSE)</f>
        <v>0970</v>
      </c>
    </row>
    <row r="1080" spans="30:33" hidden="1">
      <c r="AD1080" t="s">
        <v>3156</v>
      </c>
      <c r="AE1080" t="s">
        <v>3152</v>
      </c>
      <c r="AF1080" t="str">
        <f t="shared" si="84"/>
        <v>K628081</v>
      </c>
      <c r="AG1080" t="str">
        <f>VLOOKUP(AF1080,AKT!$C$4:$E$324,3,FALSE)</f>
        <v>0970</v>
      </c>
    </row>
    <row r="1081" spans="30:33" hidden="1">
      <c r="AD1081" t="s">
        <v>3157</v>
      </c>
      <c r="AE1081" t="s">
        <v>3158</v>
      </c>
      <c r="AF1081" t="str">
        <f t="shared" si="84"/>
        <v>K628087</v>
      </c>
      <c r="AG1081" t="str">
        <f>VLOOKUP(AF1081,AKT!$C$4:$E$324,3,FALSE)</f>
        <v>0133</v>
      </c>
    </row>
    <row r="1082" spans="30:33" hidden="1">
      <c r="AD1082" t="s">
        <v>3159</v>
      </c>
      <c r="AE1082" t="s">
        <v>3160</v>
      </c>
      <c r="AF1082" t="str">
        <f t="shared" si="84"/>
        <v>K628087</v>
      </c>
      <c r="AG1082" t="str">
        <f>VLOOKUP(AF1082,AKT!$C$4:$E$324,3,FALSE)</f>
        <v>0133</v>
      </c>
    </row>
    <row r="1083" spans="30:33" hidden="1">
      <c r="AD1083" t="s">
        <v>3161</v>
      </c>
      <c r="AE1083" t="s">
        <v>3162</v>
      </c>
      <c r="AF1083" t="str">
        <f t="shared" si="84"/>
        <v>K848038</v>
      </c>
      <c r="AG1083" t="str">
        <f>VLOOKUP(AF1083,AKT!$C$4:$E$324,3,FALSE)</f>
        <v>0950</v>
      </c>
    </row>
    <row r="1084" spans="30:33" hidden="1">
      <c r="AD1084" t="s">
        <v>3163</v>
      </c>
      <c r="AE1084" t="s">
        <v>3164</v>
      </c>
      <c r="AF1084" t="str">
        <f t="shared" si="84"/>
        <v>K848038</v>
      </c>
      <c r="AG1084" t="str">
        <f>VLOOKUP(AF1084,AKT!$C$4:$E$324,3,FALSE)</f>
        <v>0950</v>
      </c>
    </row>
    <row r="1085" spans="30:33" hidden="1">
      <c r="AD1085" t="s">
        <v>3165</v>
      </c>
      <c r="AE1085" t="s">
        <v>3166</v>
      </c>
      <c r="AF1085" t="str">
        <f t="shared" si="84"/>
        <v>K848038</v>
      </c>
      <c r="AG1085" t="str">
        <f>VLOOKUP(AF1085,AKT!$C$4:$E$324,3,FALSE)</f>
        <v>0950</v>
      </c>
    </row>
    <row r="1086" spans="30:33" hidden="1">
      <c r="AD1086" t="s">
        <v>3167</v>
      </c>
      <c r="AE1086" t="s">
        <v>3168</v>
      </c>
      <c r="AF1086" t="str">
        <f t="shared" si="84"/>
        <v>K848038</v>
      </c>
      <c r="AG1086" t="str">
        <f>VLOOKUP(AF1086,AKT!$C$4:$E$324,3,FALSE)</f>
        <v>0950</v>
      </c>
    </row>
    <row r="1087" spans="30:33" hidden="1">
      <c r="AD1087" t="s">
        <v>3169</v>
      </c>
      <c r="AE1087" t="s">
        <v>3170</v>
      </c>
      <c r="AF1087" t="str">
        <f t="shared" si="84"/>
        <v>K848038</v>
      </c>
      <c r="AG1087" t="str">
        <f>VLOOKUP(AF1087,AKT!$C$4:$E$324,3,FALSE)</f>
        <v>0950</v>
      </c>
    </row>
    <row r="1088" spans="30:33" hidden="1">
      <c r="AD1088" t="s">
        <v>3171</v>
      </c>
      <c r="AE1088" t="s">
        <v>3172</v>
      </c>
      <c r="AF1088" t="str">
        <f t="shared" si="84"/>
        <v>K848038</v>
      </c>
      <c r="AG1088" t="str">
        <f>VLOOKUP(AF1088,AKT!$C$4:$E$324,3,FALSE)</f>
        <v>0950</v>
      </c>
    </row>
    <row r="1089" spans="30:33" hidden="1">
      <c r="AD1089" t="s">
        <v>3173</v>
      </c>
      <c r="AE1089" t="s">
        <v>1091</v>
      </c>
      <c r="AF1089" t="str">
        <f t="shared" si="84"/>
        <v>K733069</v>
      </c>
      <c r="AG1089" t="str">
        <f>VLOOKUP(AF1089,AKT!$C$4:$E$324,3,FALSE)</f>
        <v>0150</v>
      </c>
    </row>
    <row r="1090" spans="30:33" hidden="1">
      <c r="AD1090" t="s">
        <v>3174</v>
      </c>
      <c r="AE1090" t="s">
        <v>1093</v>
      </c>
      <c r="AF1090" t="str">
        <f t="shared" si="84"/>
        <v>K733069</v>
      </c>
      <c r="AG1090" t="str">
        <f>VLOOKUP(AF1090,AKT!$C$4:$E$324,3,FALSE)</f>
        <v>0150</v>
      </c>
    </row>
  </sheetData>
  <sheetProtection algorithmName="SHA-512" hashValue="v0Gl/pBbeYDMRvTR+41HqyakOh/+3JBxcv5iMtGukA4tQOKDy7nmg8Fi5gP+lJoTZtvtC22zWwC01J1q/A1M0Q==" saltValue="PZG0jCUbe4ElxBdmMt1Lhw==" spinCount="100000" sheet="1" objects="1" scenarios="1"/>
  <mergeCells count="1">
    <mergeCell ref="A1:B1"/>
  </mergeCells>
  <conditionalFormatting sqref="P3:P501">
    <cfRule type="expression" dxfId="0" priority="1">
      <formula>IF(OR(C3=3691,C3=3692,C3=3693,C3=3694),1,0)</formula>
    </cfRule>
  </conditionalFormatting>
  <dataValidations count="4">
    <dataValidation type="list" allowBlank="1" showInputMessage="1" showErrorMessage="1" errorTitle="GREŠKA" error="U ovo polje je dozvoljen unos samo brojčanih vrijednosti (bez decimala!)" prompt="Molimo odaberite vrijednost iz padajućeg izbornika!" sqref="E3:E501" xr:uid="{C4E94ECA-A762-4F16-9492-3A17224492F7}">
      <formula1>$AD$6:$AD$1090</formula1>
    </dataValidation>
    <dataValidation type="list" allowBlank="1" showInputMessage="1" showErrorMessage="1" errorTitle="GREŠKA" error="Za unos odaberite vrijednost iz padajućeg izbornika!" prompt="Molimo odaberite vrijednost iz padajućeg izbornika!" sqref="A3:A501" xr:uid="{00731B61-0C06-4086-B47B-A5109BE0CDD5}">
      <formula1>$U$6:$U$23</formula1>
    </dataValidation>
    <dataValidation type="whole" allowBlank="1" showInputMessage="1" showErrorMessage="1" errorTitle="GREŠKA" error="U ovo polje je dozvoljen unos samo brojčanih vrijednosti (bez decimala!)" sqref="H3:J501" xr:uid="{63B838E7-13FA-4816-82BD-C3DCD39ECE4A}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C3:C501" xr:uid="{8CC80803-896A-4CF8-B2D9-2E8B8F7E447C}">
      <formula1>$X$5:$X$129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9AA2EF9-71F8-48B2-A369-8B3472D7A082}">
          <x14:formula1>
            <xm:f>'KORISNICI DP'!$D$4:$D$614</xm:f>
          </x14:formula1>
          <xm:sqref>P3:P502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1CED2-377D-4CE5-8790-E5F959281FEC}">
  <sheetPr codeName="Sheet5">
    <pageSetUpPr fitToPage="1"/>
  </sheetPr>
  <dimension ref="A1:Y38"/>
  <sheetViews>
    <sheetView showGridLines="0" topLeftCell="A7" workbookViewId="0">
      <selection activeCell="E15" sqref="E15"/>
    </sheetView>
  </sheetViews>
  <sheetFormatPr defaultColWidth="0" defaultRowHeight="13.8" zeroHeight="1"/>
  <cols>
    <col min="1" max="1" width="7.109375" style="108" customWidth="1"/>
    <col min="2" max="2" width="4.88671875" style="108" customWidth="1"/>
    <col min="3" max="3" width="43.109375" style="108" customWidth="1"/>
    <col min="4" max="4" width="14.88671875" style="108" customWidth="1"/>
    <col min="5" max="8" width="13.88671875" style="108" customWidth="1"/>
    <col min="9" max="9" width="13.88671875" style="144" customWidth="1"/>
    <col min="10" max="23" width="13.88671875" style="108" customWidth="1"/>
    <col min="24" max="24" width="7.88671875" style="108" customWidth="1"/>
    <col min="25" max="25" width="11.44140625" style="108" customWidth="1"/>
    <col min="26" max="16384" width="11.44140625" style="108" hidden="1"/>
  </cols>
  <sheetData>
    <row r="1" spans="1:23" ht="15.6" customHeight="1"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</row>
    <row r="2" spans="1:23" ht="21" customHeight="1">
      <c r="B2" s="307" t="s">
        <v>3175</v>
      </c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</row>
    <row r="3" spans="1:23" s="110" customFormat="1" ht="14.4">
      <c r="B3" s="111"/>
      <c r="C3" s="111"/>
      <c r="D3" s="111"/>
      <c r="S3" s="112"/>
      <c r="W3" s="23" t="s">
        <v>38</v>
      </c>
    </row>
    <row r="4" spans="1:23" s="110" customFormat="1" ht="96.6">
      <c r="A4" s="113" t="s">
        <v>3176</v>
      </c>
      <c r="B4" s="114" t="s">
        <v>3177</v>
      </c>
      <c r="C4" s="114" t="s">
        <v>3178</v>
      </c>
      <c r="D4" s="115" t="s">
        <v>3179</v>
      </c>
      <c r="E4" s="116" t="s">
        <v>3180</v>
      </c>
      <c r="F4" s="116" t="s">
        <v>3181</v>
      </c>
      <c r="G4" s="116" t="s">
        <v>3182</v>
      </c>
      <c r="H4" s="116" t="s">
        <v>3183</v>
      </c>
      <c r="I4" s="116" t="s">
        <v>3184</v>
      </c>
      <c r="J4" s="116" t="s">
        <v>3185</v>
      </c>
      <c r="K4" s="116" t="s">
        <v>3186</v>
      </c>
      <c r="L4" s="116" t="s">
        <v>3187</v>
      </c>
      <c r="M4" s="116" t="s">
        <v>3188</v>
      </c>
      <c r="N4" s="116" t="s">
        <v>3189</v>
      </c>
      <c r="O4" s="116" t="s">
        <v>3190</v>
      </c>
      <c r="P4" s="116" t="s">
        <v>3191</v>
      </c>
      <c r="Q4" s="116" t="s">
        <v>3192</v>
      </c>
      <c r="R4" s="116" t="s">
        <v>3193</v>
      </c>
      <c r="S4" s="117" t="s">
        <v>3194</v>
      </c>
      <c r="T4" s="116" t="s">
        <v>3195</v>
      </c>
      <c r="U4" s="117" t="s">
        <v>3196</v>
      </c>
      <c r="V4" s="117" t="s">
        <v>3197</v>
      </c>
      <c r="W4" s="117" t="s">
        <v>3198</v>
      </c>
    </row>
    <row r="5" spans="1:23" s="110" customFormat="1" ht="19.5" customHeight="1">
      <c r="A5" s="118">
        <v>2023</v>
      </c>
      <c r="B5" s="119"/>
      <c r="C5" s="120" t="s">
        <v>97</v>
      </c>
      <c r="D5" s="121">
        <f t="shared" ref="D5:D10" si="0">SUM(E5:W5)</f>
        <v>1568633</v>
      </c>
      <c r="E5" s="135">
        <v>6353</v>
      </c>
      <c r="F5" s="135">
        <v>17491</v>
      </c>
      <c r="G5" s="135">
        <v>359443</v>
      </c>
      <c r="H5" s="135"/>
      <c r="I5" s="135">
        <v>94237</v>
      </c>
      <c r="J5" s="135">
        <v>860475</v>
      </c>
      <c r="K5" s="135">
        <v>44166</v>
      </c>
      <c r="L5" s="135"/>
      <c r="M5" s="135"/>
      <c r="N5" s="135">
        <v>99119</v>
      </c>
      <c r="O5" s="135"/>
      <c r="P5" s="135"/>
      <c r="Q5" s="135"/>
      <c r="R5" s="135"/>
      <c r="S5" s="135"/>
      <c r="T5" s="135">
        <v>87349</v>
      </c>
      <c r="U5" s="135"/>
      <c r="V5" s="135"/>
      <c r="W5" s="135"/>
    </row>
    <row r="6" spans="1:23" s="110" customFormat="1">
      <c r="A6" s="118">
        <v>2023</v>
      </c>
      <c r="B6" s="123"/>
      <c r="C6" s="124" t="s">
        <v>3199</v>
      </c>
      <c r="D6" s="121">
        <f t="shared" si="0"/>
        <v>6468826</v>
      </c>
      <c r="E6" s="125">
        <f>+'A.1 PRIHODI'!E8</f>
        <v>4058907</v>
      </c>
      <c r="F6" s="125">
        <f>+'A.1 PRIHODI'!F8</f>
        <v>2903</v>
      </c>
      <c r="G6" s="125">
        <f>+'A.1 PRIHODI'!G8</f>
        <v>800053</v>
      </c>
      <c r="H6" s="125">
        <f>+'A.1 PRIHODI'!H8</f>
        <v>0</v>
      </c>
      <c r="I6" s="125">
        <f>+'A.1 PRIHODI'!I8+'B. RAČUN FIN'!I6</f>
        <v>864955</v>
      </c>
      <c r="J6" s="125">
        <f>+'A.1 PRIHODI'!J8</f>
        <v>530891</v>
      </c>
      <c r="K6" s="125">
        <f>+'A.1 PRIHODI'!K8</f>
        <v>150967</v>
      </c>
      <c r="L6" s="125">
        <f>+'A.1 PRIHODI'!L8</f>
        <v>0</v>
      </c>
      <c r="M6" s="125">
        <f>+'A.1 PRIHODI'!M8</f>
        <v>0</v>
      </c>
      <c r="N6" s="125">
        <f>+'A.1 PRIHODI'!N8</f>
        <v>18874</v>
      </c>
      <c r="O6" s="125">
        <f>+'A.1 PRIHODI'!O8</f>
        <v>0</v>
      </c>
      <c r="P6" s="125">
        <f>+'A.1 PRIHODI'!P8</f>
        <v>0</v>
      </c>
      <c r="Q6" s="125">
        <f>+'A.1 PRIHODI'!Q8</f>
        <v>0</v>
      </c>
      <c r="R6" s="125">
        <f>+'A.1 PRIHODI'!R8</f>
        <v>0</v>
      </c>
      <c r="S6" s="125">
        <f>+'A.1 PRIHODI'!S8</f>
        <v>0</v>
      </c>
      <c r="T6" s="125">
        <f>+'A.1 PRIHODI'!T8</f>
        <v>40480</v>
      </c>
      <c r="U6" s="125">
        <f>+'A.1 PRIHODI'!U8</f>
        <v>0</v>
      </c>
      <c r="V6" s="125">
        <f>+'A.1 PRIHODI'!V8</f>
        <v>796</v>
      </c>
      <c r="W6" s="125">
        <f>+'A.1 PRIHODI'!W8+'B. RAČUN FIN'!W6</f>
        <v>0</v>
      </c>
    </row>
    <row r="7" spans="1:23" s="110" customFormat="1" ht="21.75" customHeight="1">
      <c r="A7" s="118">
        <v>2023</v>
      </c>
      <c r="B7" s="126"/>
      <c r="C7" s="120" t="s">
        <v>3200</v>
      </c>
      <c r="D7" s="121">
        <f t="shared" si="0"/>
        <v>-1776676</v>
      </c>
      <c r="E7" s="294">
        <v>-6353</v>
      </c>
      <c r="F7" s="294">
        <v>-1472</v>
      </c>
      <c r="G7" s="294">
        <v>-318361</v>
      </c>
      <c r="H7" s="294"/>
      <c r="I7" s="294">
        <v>-208394</v>
      </c>
      <c r="J7" s="294">
        <v>-1038854</v>
      </c>
      <c r="K7" s="294">
        <v>-72856</v>
      </c>
      <c r="L7" s="294"/>
      <c r="M7" s="294"/>
      <c r="N7" s="294">
        <v>-10769</v>
      </c>
      <c r="O7" s="294"/>
      <c r="P7" s="294"/>
      <c r="Q7" s="294"/>
      <c r="R7" s="294"/>
      <c r="S7" s="294"/>
      <c r="T7" s="294">
        <v>-119617</v>
      </c>
      <c r="U7" s="294"/>
      <c r="V7" s="294"/>
      <c r="W7" s="294"/>
    </row>
    <row r="8" spans="1:23" s="110" customFormat="1">
      <c r="A8" s="118">
        <v>2023</v>
      </c>
      <c r="B8" s="123"/>
      <c r="C8" s="124" t="s">
        <v>3201</v>
      </c>
      <c r="D8" s="121">
        <f t="shared" si="0"/>
        <v>6260783</v>
      </c>
      <c r="E8" s="125">
        <f>+E5+E6+E7</f>
        <v>4058907</v>
      </c>
      <c r="F8" s="125">
        <f t="shared" ref="F8:W8" si="1">+F5+F6+F7</f>
        <v>18922</v>
      </c>
      <c r="G8" s="125">
        <f t="shared" si="1"/>
        <v>841135</v>
      </c>
      <c r="H8" s="125">
        <f t="shared" si="1"/>
        <v>0</v>
      </c>
      <c r="I8" s="125">
        <f t="shared" si="1"/>
        <v>750798</v>
      </c>
      <c r="J8" s="125">
        <f t="shared" si="1"/>
        <v>352512</v>
      </c>
      <c r="K8" s="125">
        <f t="shared" si="1"/>
        <v>122277</v>
      </c>
      <c r="L8" s="125">
        <f t="shared" si="1"/>
        <v>0</v>
      </c>
      <c r="M8" s="125">
        <f t="shared" si="1"/>
        <v>0</v>
      </c>
      <c r="N8" s="125">
        <f t="shared" si="1"/>
        <v>107224</v>
      </c>
      <c r="O8" s="125">
        <f t="shared" si="1"/>
        <v>0</v>
      </c>
      <c r="P8" s="125">
        <f t="shared" si="1"/>
        <v>0</v>
      </c>
      <c r="Q8" s="125">
        <f t="shared" si="1"/>
        <v>0</v>
      </c>
      <c r="R8" s="125">
        <f t="shared" si="1"/>
        <v>0</v>
      </c>
      <c r="S8" s="125">
        <f t="shared" si="1"/>
        <v>0</v>
      </c>
      <c r="T8" s="125">
        <f t="shared" si="1"/>
        <v>8212</v>
      </c>
      <c r="U8" s="125">
        <f t="shared" si="1"/>
        <v>0</v>
      </c>
      <c r="V8" s="125">
        <f t="shared" si="1"/>
        <v>796</v>
      </c>
      <c r="W8" s="125">
        <f t="shared" si="1"/>
        <v>0</v>
      </c>
    </row>
    <row r="9" spans="1:23" s="110" customFormat="1">
      <c r="A9" s="118">
        <v>2023</v>
      </c>
      <c r="B9" s="127"/>
      <c r="C9" s="128" t="s">
        <v>3202</v>
      </c>
      <c r="D9" s="121">
        <f t="shared" si="0"/>
        <v>6260783</v>
      </c>
      <c r="E9" s="129">
        <f>'A.2 RASHODI'!E4+'B. RAČUN FIN'!E11</f>
        <v>4058907</v>
      </c>
      <c r="F9" s="129">
        <f>'A.2 RASHODI'!F4+'B. RAČUN FIN'!F11</f>
        <v>18922</v>
      </c>
      <c r="G9" s="129">
        <f>'A.2 RASHODI'!G4+'B. RAČUN FIN'!G11</f>
        <v>841135</v>
      </c>
      <c r="H9" s="129">
        <f>'A.2 RASHODI'!H4+'B. RAČUN FIN'!H11</f>
        <v>0</v>
      </c>
      <c r="I9" s="129">
        <f>'A.2 RASHODI'!I4+'B. RAČUN FIN'!I11</f>
        <v>750798</v>
      </c>
      <c r="J9" s="129">
        <f>'A.2 RASHODI'!J4+'B. RAČUN FIN'!J11</f>
        <v>352512</v>
      </c>
      <c r="K9" s="129">
        <f>'A.2 RASHODI'!K4+'B. RAČUN FIN'!K11</f>
        <v>122277</v>
      </c>
      <c r="L9" s="129">
        <f>'A.2 RASHODI'!L4+'B. RAČUN FIN'!L11</f>
        <v>0</v>
      </c>
      <c r="M9" s="129">
        <f>'A.2 RASHODI'!M4+'B. RAČUN FIN'!M11</f>
        <v>0</v>
      </c>
      <c r="N9" s="129">
        <f>'A.2 RASHODI'!N4+'B. RAČUN FIN'!N11</f>
        <v>107224</v>
      </c>
      <c r="O9" s="129">
        <f>'A.2 RASHODI'!O4+'B. RAČUN FIN'!O11</f>
        <v>0</v>
      </c>
      <c r="P9" s="129">
        <f>'A.2 RASHODI'!P4+'B. RAČUN FIN'!P11</f>
        <v>0</v>
      </c>
      <c r="Q9" s="129">
        <f>'A.2 RASHODI'!Q4+'B. RAČUN FIN'!Q11</f>
        <v>0</v>
      </c>
      <c r="R9" s="129">
        <f>'A.2 RASHODI'!R4+'B. RAČUN FIN'!R11</f>
        <v>0</v>
      </c>
      <c r="S9" s="129">
        <f>'A.2 RASHODI'!S4+'B. RAČUN FIN'!S11</f>
        <v>0</v>
      </c>
      <c r="T9" s="129">
        <f>'A.2 RASHODI'!T4+'B. RAČUN FIN'!T11</f>
        <v>8212</v>
      </c>
      <c r="U9" s="129">
        <f>'A.2 RASHODI'!U4+'B. RAČUN FIN'!U11</f>
        <v>0</v>
      </c>
      <c r="V9" s="129">
        <f>'A.2 RASHODI'!V4+'B. RAČUN FIN'!V11</f>
        <v>796</v>
      </c>
      <c r="W9" s="129">
        <f>'A.2 RASHODI'!W4+'B. RAČUN FIN'!W11</f>
        <v>0</v>
      </c>
    </row>
    <row r="10" spans="1:23" s="110" customFormat="1" ht="20.25" customHeight="1">
      <c r="A10" s="118">
        <v>2023</v>
      </c>
      <c r="B10" s="130"/>
      <c r="C10" s="130" t="s">
        <v>3203</v>
      </c>
      <c r="D10" s="121">
        <f t="shared" si="0"/>
        <v>0</v>
      </c>
      <c r="E10" s="131">
        <f>+E8-E9</f>
        <v>0</v>
      </c>
      <c r="F10" s="131">
        <f t="shared" ref="F10:W10" si="2">+F8-F9</f>
        <v>0</v>
      </c>
      <c r="G10" s="131">
        <f t="shared" si="2"/>
        <v>0</v>
      </c>
      <c r="H10" s="131">
        <f t="shared" si="2"/>
        <v>0</v>
      </c>
      <c r="I10" s="131">
        <f t="shared" si="2"/>
        <v>0</v>
      </c>
      <c r="J10" s="131">
        <f t="shared" si="2"/>
        <v>0</v>
      </c>
      <c r="K10" s="131">
        <f t="shared" si="2"/>
        <v>0</v>
      </c>
      <c r="L10" s="131">
        <f t="shared" si="2"/>
        <v>0</v>
      </c>
      <c r="M10" s="131">
        <f t="shared" si="2"/>
        <v>0</v>
      </c>
      <c r="N10" s="131">
        <f t="shared" si="2"/>
        <v>0</v>
      </c>
      <c r="O10" s="131">
        <f t="shared" si="2"/>
        <v>0</v>
      </c>
      <c r="P10" s="131">
        <f t="shared" si="2"/>
        <v>0</v>
      </c>
      <c r="Q10" s="131">
        <f t="shared" si="2"/>
        <v>0</v>
      </c>
      <c r="R10" s="131">
        <f t="shared" si="2"/>
        <v>0</v>
      </c>
      <c r="S10" s="131">
        <f t="shared" si="2"/>
        <v>0</v>
      </c>
      <c r="T10" s="131">
        <f t="shared" si="2"/>
        <v>0</v>
      </c>
      <c r="U10" s="131">
        <f t="shared" si="2"/>
        <v>0</v>
      </c>
      <c r="V10" s="131">
        <f t="shared" si="2"/>
        <v>0</v>
      </c>
      <c r="W10" s="131">
        <f t="shared" si="2"/>
        <v>0</v>
      </c>
    </row>
    <row r="11" spans="1:23">
      <c r="B11" s="132"/>
      <c r="C11" s="132"/>
      <c r="D11" s="132"/>
      <c r="E11" s="132"/>
      <c r="F11" s="132"/>
      <c r="G11" s="132"/>
      <c r="H11" s="132"/>
      <c r="I11" s="133"/>
      <c r="J11" s="134"/>
      <c r="K11" s="134"/>
      <c r="L11" s="134"/>
      <c r="M11" s="134"/>
      <c r="N11" s="134"/>
      <c r="O11" s="134"/>
      <c r="P11" s="134"/>
      <c r="Q11" s="134"/>
      <c r="R11" s="134"/>
      <c r="S11" s="112"/>
      <c r="W11" s="112"/>
    </row>
    <row r="12" spans="1:23" s="110" customFormat="1" ht="96.6">
      <c r="A12" s="113" t="s">
        <v>3176</v>
      </c>
      <c r="B12" s="114" t="s">
        <v>3177</v>
      </c>
      <c r="C12" s="114" t="s">
        <v>3178</v>
      </c>
      <c r="D12" s="115" t="s">
        <v>3204</v>
      </c>
      <c r="E12" s="116" t="s">
        <v>3180</v>
      </c>
      <c r="F12" s="116" t="s">
        <v>3181</v>
      </c>
      <c r="G12" s="116" t="s">
        <v>3182</v>
      </c>
      <c r="H12" s="116" t="s">
        <v>3183</v>
      </c>
      <c r="I12" s="116" t="s">
        <v>3184</v>
      </c>
      <c r="J12" s="116" t="s">
        <v>3185</v>
      </c>
      <c r="K12" s="116" t="s">
        <v>3186</v>
      </c>
      <c r="L12" s="116" t="s">
        <v>3187</v>
      </c>
      <c r="M12" s="116" t="s">
        <v>3188</v>
      </c>
      <c r="N12" s="116" t="s">
        <v>3189</v>
      </c>
      <c r="O12" s="116" t="s">
        <v>3190</v>
      </c>
      <c r="P12" s="116" t="s">
        <v>3191</v>
      </c>
      <c r="Q12" s="116" t="s">
        <v>3192</v>
      </c>
      <c r="R12" s="116" t="s">
        <v>3193</v>
      </c>
      <c r="S12" s="117" t="s">
        <v>3194</v>
      </c>
      <c r="T12" s="116" t="s">
        <v>3195</v>
      </c>
      <c r="U12" s="117" t="s">
        <v>3196</v>
      </c>
      <c r="V12" s="117" t="s">
        <v>3197</v>
      </c>
      <c r="W12" s="117" t="s">
        <v>3198</v>
      </c>
    </row>
    <row r="13" spans="1:23" s="110" customFormat="1">
      <c r="A13" s="118">
        <v>2023</v>
      </c>
      <c r="B13" s="119"/>
      <c r="C13" s="120" t="s">
        <v>97</v>
      </c>
      <c r="D13" s="121">
        <f t="shared" ref="D13:D18" si="3">SUM(E13:W13)</f>
        <v>1394178</v>
      </c>
      <c r="E13" s="122">
        <v>6329</v>
      </c>
      <c r="F13" s="122"/>
      <c r="G13" s="122">
        <v>339167</v>
      </c>
      <c r="H13" s="122"/>
      <c r="I13" s="122">
        <v>164850</v>
      </c>
      <c r="J13" s="122">
        <v>790259</v>
      </c>
      <c r="K13" s="122">
        <v>43088</v>
      </c>
      <c r="L13" s="122"/>
      <c r="M13" s="122"/>
      <c r="N13" s="122"/>
      <c r="O13" s="122"/>
      <c r="P13" s="122"/>
      <c r="Q13" s="122"/>
      <c r="R13" s="122"/>
      <c r="S13" s="122"/>
      <c r="T13" s="122">
        <v>50485</v>
      </c>
      <c r="U13" s="122"/>
      <c r="V13" s="122"/>
      <c r="W13" s="122"/>
    </row>
    <row r="14" spans="1:23" s="110" customFormat="1">
      <c r="A14" s="118">
        <v>2023</v>
      </c>
      <c r="B14" s="123"/>
      <c r="C14" s="124" t="s">
        <v>3199</v>
      </c>
      <c r="D14" s="121">
        <f t="shared" si="3"/>
        <v>6301398</v>
      </c>
      <c r="E14" s="125">
        <f>+'A.1 PRIHODI'!E22</f>
        <v>3758066</v>
      </c>
      <c r="F14" s="125">
        <f>+'A.1 PRIHODI'!F22</f>
        <v>19147</v>
      </c>
      <c r="G14" s="125">
        <f>+'A.1 PRIHODI'!G22</f>
        <v>901100</v>
      </c>
      <c r="H14" s="125">
        <f>+'A.1 PRIHODI'!H22</f>
        <v>0</v>
      </c>
      <c r="I14" s="125">
        <f>+'A.1 PRIHODI'!I22+'B. RAČUN FIN'!I17</f>
        <v>705400</v>
      </c>
      <c r="J14" s="125">
        <f>+'A.1 PRIHODI'!J22</f>
        <v>600000</v>
      </c>
      <c r="K14" s="125">
        <f>+'A.1 PRIHODI'!K22</f>
        <v>142966</v>
      </c>
      <c r="L14" s="125">
        <f>+'A.1 PRIHODI'!L22</f>
        <v>0</v>
      </c>
      <c r="M14" s="125">
        <f>+'A.1 PRIHODI'!M22</f>
        <v>0</v>
      </c>
      <c r="N14" s="125">
        <f>+'A.1 PRIHODI'!N22</f>
        <v>108497</v>
      </c>
      <c r="O14" s="125">
        <f>+'A.1 PRIHODI'!O22</f>
        <v>0</v>
      </c>
      <c r="P14" s="125">
        <f>+'A.1 PRIHODI'!P22</f>
        <v>0</v>
      </c>
      <c r="Q14" s="125">
        <f>+'A.1 PRIHODI'!Q22</f>
        <v>0</v>
      </c>
      <c r="R14" s="125">
        <f>+'A.1 PRIHODI'!R22</f>
        <v>0</v>
      </c>
      <c r="S14" s="125">
        <f>+'A.1 PRIHODI'!S22</f>
        <v>0</v>
      </c>
      <c r="T14" s="125">
        <f>+'A.1 PRIHODI'!T22</f>
        <v>65500</v>
      </c>
      <c r="U14" s="125">
        <f>+'A.1 PRIHODI'!U22</f>
        <v>0</v>
      </c>
      <c r="V14" s="125">
        <f>+'A.1 PRIHODI'!V22</f>
        <v>722</v>
      </c>
      <c r="W14" s="125">
        <f>+'A.1 PRIHODI'!W22+'B. RAČUN FIN'!W17</f>
        <v>0</v>
      </c>
    </row>
    <row r="15" spans="1:23" s="110" customFormat="1">
      <c r="A15" s="118">
        <v>2023</v>
      </c>
      <c r="B15" s="119"/>
      <c r="C15" s="120" t="s">
        <v>3200</v>
      </c>
      <c r="D15" s="121">
        <f t="shared" si="3"/>
        <v>-1275313</v>
      </c>
      <c r="E15" s="122">
        <v>-2497</v>
      </c>
      <c r="F15" s="122">
        <v>-4902</v>
      </c>
      <c r="G15" s="122">
        <v>-355577</v>
      </c>
      <c r="H15" s="122"/>
      <c r="I15" s="122">
        <v>-70168</v>
      </c>
      <c r="J15" s="122">
        <v>-718991</v>
      </c>
      <c r="K15" s="122"/>
      <c r="L15" s="122"/>
      <c r="M15" s="122"/>
      <c r="N15" s="122">
        <v>-27780</v>
      </c>
      <c r="O15" s="122"/>
      <c r="P15" s="122"/>
      <c r="Q15" s="122"/>
      <c r="R15" s="122"/>
      <c r="S15" s="122"/>
      <c r="T15" s="122">
        <v>-95398</v>
      </c>
      <c r="U15" s="122"/>
      <c r="V15" s="122"/>
      <c r="W15" s="122"/>
    </row>
    <row r="16" spans="1:23" s="110" customFormat="1">
      <c r="A16" s="118">
        <v>2023</v>
      </c>
      <c r="B16" s="123"/>
      <c r="C16" s="124" t="s">
        <v>3201</v>
      </c>
      <c r="D16" s="121">
        <f t="shared" si="3"/>
        <v>6420263</v>
      </c>
      <c r="E16" s="125">
        <f>+E13+E14+E15</f>
        <v>3761898</v>
      </c>
      <c r="F16" s="125">
        <f t="shared" ref="F16" si="4">+F13+F14+F15</f>
        <v>14245</v>
      </c>
      <c r="G16" s="125">
        <f t="shared" ref="G16" si="5">+G13+G14+G15</f>
        <v>884690</v>
      </c>
      <c r="H16" s="125">
        <f t="shared" ref="H16" si="6">+H13+H14+H15</f>
        <v>0</v>
      </c>
      <c r="I16" s="125">
        <f t="shared" ref="I16" si="7">+I13+I14+I15</f>
        <v>800082</v>
      </c>
      <c r="J16" s="125">
        <f t="shared" ref="J16" si="8">+J13+J14+J15</f>
        <v>671268</v>
      </c>
      <c r="K16" s="125">
        <f t="shared" ref="K16" si="9">+K13+K14+K15</f>
        <v>186054</v>
      </c>
      <c r="L16" s="125">
        <f t="shared" ref="L16" si="10">+L13+L14+L15</f>
        <v>0</v>
      </c>
      <c r="M16" s="125">
        <f t="shared" ref="M16" si="11">+M13+M14+M15</f>
        <v>0</v>
      </c>
      <c r="N16" s="125">
        <f t="shared" ref="N16" si="12">+N13+N14+N15</f>
        <v>80717</v>
      </c>
      <c r="O16" s="125">
        <f t="shared" ref="O16" si="13">+O13+O14+O15</f>
        <v>0</v>
      </c>
      <c r="P16" s="125">
        <f t="shared" ref="P16" si="14">+P13+P14+P15</f>
        <v>0</v>
      </c>
      <c r="Q16" s="125">
        <f t="shared" ref="Q16" si="15">+Q13+Q14+Q15</f>
        <v>0</v>
      </c>
      <c r="R16" s="125">
        <f t="shared" ref="R16" si="16">+R13+R14+R15</f>
        <v>0</v>
      </c>
      <c r="S16" s="125">
        <f t="shared" ref="S16" si="17">+S13+S14+S15</f>
        <v>0</v>
      </c>
      <c r="T16" s="125">
        <f t="shared" ref="T16" si="18">+T13+T14+T15</f>
        <v>20587</v>
      </c>
      <c r="U16" s="125">
        <f t="shared" ref="U16" si="19">+U13+U14+U15</f>
        <v>0</v>
      </c>
      <c r="V16" s="125">
        <f t="shared" ref="V16" si="20">+V13+V14+V15</f>
        <v>722</v>
      </c>
      <c r="W16" s="125">
        <f t="shared" ref="W16" si="21">+W13+W14+W15</f>
        <v>0</v>
      </c>
    </row>
    <row r="17" spans="1:23" s="110" customFormat="1">
      <c r="A17" s="118">
        <v>2023</v>
      </c>
      <c r="B17" s="127"/>
      <c r="C17" s="128" t="s">
        <v>3202</v>
      </c>
      <c r="D17" s="121">
        <f t="shared" si="3"/>
        <v>6420263</v>
      </c>
      <c r="E17" s="129">
        <f>'A.2 RASHODI'!E21+'B. RAČUN FIN'!E22</f>
        <v>3761898</v>
      </c>
      <c r="F17" s="129">
        <f>'A.2 RASHODI'!F21+'B. RAČUN FIN'!F22</f>
        <v>14245</v>
      </c>
      <c r="G17" s="129">
        <f>'A.2 RASHODI'!G21+'B. RAČUN FIN'!G22</f>
        <v>884690</v>
      </c>
      <c r="H17" s="129">
        <f>'A.2 RASHODI'!H21+'B. RAČUN FIN'!H22</f>
        <v>0</v>
      </c>
      <c r="I17" s="129">
        <f>'A.2 RASHODI'!I21+'B. RAČUN FIN'!I22</f>
        <v>800082</v>
      </c>
      <c r="J17" s="129">
        <f>'A.2 RASHODI'!J21+'B. RAČUN FIN'!J22</f>
        <v>671268</v>
      </c>
      <c r="K17" s="129">
        <f>'A.2 RASHODI'!K21+'B. RAČUN FIN'!K22</f>
        <v>186054</v>
      </c>
      <c r="L17" s="129">
        <f>'A.2 RASHODI'!L21+'B. RAČUN FIN'!L22</f>
        <v>0</v>
      </c>
      <c r="M17" s="129">
        <f>'A.2 RASHODI'!M21+'B. RAČUN FIN'!M22</f>
        <v>0</v>
      </c>
      <c r="N17" s="129">
        <f>'A.2 RASHODI'!N21+'B. RAČUN FIN'!N22</f>
        <v>80717</v>
      </c>
      <c r="O17" s="129">
        <f>'A.2 RASHODI'!O21+'B. RAČUN FIN'!O22</f>
        <v>0</v>
      </c>
      <c r="P17" s="129">
        <f>'A.2 RASHODI'!P21+'B. RAČUN FIN'!P22</f>
        <v>0</v>
      </c>
      <c r="Q17" s="129">
        <f>'A.2 RASHODI'!Q21+'B. RAČUN FIN'!Q22</f>
        <v>0</v>
      </c>
      <c r="R17" s="129">
        <f>'A.2 RASHODI'!R21+'B. RAČUN FIN'!R22</f>
        <v>0</v>
      </c>
      <c r="S17" s="129">
        <f>'A.2 RASHODI'!S21+'B. RAČUN FIN'!S22</f>
        <v>0</v>
      </c>
      <c r="T17" s="129">
        <f>'A.2 RASHODI'!T21+'B. RAČUN FIN'!T22</f>
        <v>20587</v>
      </c>
      <c r="U17" s="129">
        <f>'A.2 RASHODI'!U21+'B. RAČUN FIN'!U22</f>
        <v>0</v>
      </c>
      <c r="V17" s="129">
        <f>'A.2 RASHODI'!V21+'B. RAČUN FIN'!V22</f>
        <v>722</v>
      </c>
      <c r="W17" s="129">
        <f>'A.2 RASHODI'!W21+'B. RAČUN FIN'!W22</f>
        <v>0</v>
      </c>
    </row>
    <row r="18" spans="1:23" s="110" customFormat="1" ht="20.25" customHeight="1">
      <c r="A18" s="118">
        <v>2023</v>
      </c>
      <c r="B18" s="130"/>
      <c r="C18" s="130" t="s">
        <v>3205</v>
      </c>
      <c r="D18" s="131">
        <f t="shared" si="3"/>
        <v>0</v>
      </c>
      <c r="E18" s="131">
        <f>+E16-E17</f>
        <v>0</v>
      </c>
      <c r="F18" s="131">
        <f t="shared" ref="F18" si="22">+F16-F17</f>
        <v>0</v>
      </c>
      <c r="G18" s="131">
        <f t="shared" ref="G18" si="23">+G16-G17</f>
        <v>0</v>
      </c>
      <c r="H18" s="131">
        <f t="shared" ref="H18" si="24">+H16-H17</f>
        <v>0</v>
      </c>
      <c r="I18" s="131">
        <f t="shared" ref="I18" si="25">+I16-I17</f>
        <v>0</v>
      </c>
      <c r="J18" s="131">
        <f t="shared" ref="J18" si="26">+J16-J17</f>
        <v>0</v>
      </c>
      <c r="K18" s="131">
        <f t="shared" ref="K18" si="27">+K16-K17</f>
        <v>0</v>
      </c>
      <c r="L18" s="131">
        <f t="shared" ref="L18" si="28">+L16-L17</f>
        <v>0</v>
      </c>
      <c r="M18" s="131">
        <f t="shared" ref="M18" si="29">+M16-M17</f>
        <v>0</v>
      </c>
      <c r="N18" s="131">
        <f t="shared" ref="N18" si="30">+N16-N17</f>
        <v>0</v>
      </c>
      <c r="O18" s="131">
        <f t="shared" ref="O18" si="31">+O16-O17</f>
        <v>0</v>
      </c>
      <c r="P18" s="131">
        <f t="shared" ref="P18" si="32">+P16-P17</f>
        <v>0</v>
      </c>
      <c r="Q18" s="131">
        <f t="shared" ref="Q18" si="33">+Q16-Q17</f>
        <v>0</v>
      </c>
      <c r="R18" s="131">
        <f t="shared" ref="R18" si="34">+R16-R17</f>
        <v>0</v>
      </c>
      <c r="S18" s="131">
        <f t="shared" ref="S18" si="35">+S16-S17</f>
        <v>0</v>
      </c>
      <c r="T18" s="131">
        <f t="shared" ref="T18" si="36">+T16-T17</f>
        <v>0</v>
      </c>
      <c r="U18" s="131">
        <f t="shared" ref="U18" si="37">+U16-U17</f>
        <v>0</v>
      </c>
      <c r="V18" s="131">
        <f t="shared" ref="V18" si="38">+V16-V17</f>
        <v>0</v>
      </c>
      <c r="W18" s="131">
        <f t="shared" ref="W18" si="39">+W16-W17</f>
        <v>0</v>
      </c>
    </row>
    <row r="19" spans="1:23">
      <c r="B19" s="132"/>
      <c r="C19" s="132"/>
      <c r="D19" s="132"/>
      <c r="E19" s="132"/>
      <c r="F19" s="132"/>
      <c r="G19" s="132"/>
      <c r="H19" s="132"/>
      <c r="I19" s="133"/>
      <c r="J19" s="134"/>
      <c r="K19" s="134"/>
      <c r="L19" s="134"/>
      <c r="M19" s="134"/>
      <c r="N19" s="134"/>
      <c r="O19" s="134"/>
      <c r="P19" s="134"/>
      <c r="Q19" s="134"/>
      <c r="R19" s="134"/>
      <c r="S19" s="112"/>
      <c r="W19" s="112"/>
    </row>
    <row r="20" spans="1:23" s="110" customFormat="1" ht="96.6">
      <c r="A20" s="113" t="s">
        <v>3176</v>
      </c>
      <c r="B20" s="114" t="s">
        <v>3177</v>
      </c>
      <c r="C20" s="114" t="s">
        <v>3178</v>
      </c>
      <c r="D20" s="115" t="s">
        <v>3206</v>
      </c>
      <c r="E20" s="137" t="s">
        <v>3180</v>
      </c>
      <c r="F20" s="137" t="s">
        <v>3181</v>
      </c>
      <c r="G20" s="137" t="s">
        <v>3182</v>
      </c>
      <c r="H20" s="137" t="s">
        <v>3183</v>
      </c>
      <c r="I20" s="137" t="s">
        <v>3184</v>
      </c>
      <c r="J20" s="137" t="s">
        <v>3185</v>
      </c>
      <c r="K20" s="137" t="s">
        <v>3186</v>
      </c>
      <c r="L20" s="137" t="s">
        <v>3187</v>
      </c>
      <c r="M20" s="137" t="s">
        <v>3188</v>
      </c>
      <c r="N20" s="137" t="s">
        <v>3189</v>
      </c>
      <c r="O20" s="137" t="s">
        <v>3190</v>
      </c>
      <c r="P20" s="137" t="s">
        <v>3191</v>
      </c>
      <c r="Q20" s="137" t="s">
        <v>3192</v>
      </c>
      <c r="R20" s="137" t="s">
        <v>3193</v>
      </c>
      <c r="S20" s="117" t="s">
        <v>3194</v>
      </c>
      <c r="T20" s="117" t="s">
        <v>3195</v>
      </c>
      <c r="U20" s="117" t="s">
        <v>3196</v>
      </c>
      <c r="V20" s="117" t="s">
        <v>3197</v>
      </c>
      <c r="W20" s="117" t="s">
        <v>3198</v>
      </c>
    </row>
    <row r="21" spans="1:23" s="110" customFormat="1">
      <c r="A21" s="118">
        <v>2023</v>
      </c>
      <c r="B21" s="119"/>
      <c r="C21" s="120" t="s">
        <v>97</v>
      </c>
      <c r="D21" s="121">
        <f t="shared" ref="D21:D26" si="40">SUM(E21:W21)</f>
        <v>-174455</v>
      </c>
      <c r="E21" s="135">
        <f>E13-E5</f>
        <v>-24</v>
      </c>
      <c r="F21" s="135">
        <f t="shared" ref="F21:W21" si="41">F13-F5</f>
        <v>-17491</v>
      </c>
      <c r="G21" s="135">
        <f t="shared" si="41"/>
        <v>-20276</v>
      </c>
      <c r="H21" s="135">
        <f t="shared" si="41"/>
        <v>0</v>
      </c>
      <c r="I21" s="135">
        <f t="shared" si="41"/>
        <v>70613</v>
      </c>
      <c r="J21" s="135">
        <f t="shared" si="41"/>
        <v>-70216</v>
      </c>
      <c r="K21" s="135">
        <f t="shared" si="41"/>
        <v>-1078</v>
      </c>
      <c r="L21" s="135">
        <f t="shared" si="41"/>
        <v>0</v>
      </c>
      <c r="M21" s="135">
        <f t="shared" si="41"/>
        <v>0</v>
      </c>
      <c r="N21" s="135">
        <f t="shared" si="41"/>
        <v>-99119</v>
      </c>
      <c r="O21" s="135">
        <f t="shared" si="41"/>
        <v>0</v>
      </c>
      <c r="P21" s="135">
        <f t="shared" si="41"/>
        <v>0</v>
      </c>
      <c r="Q21" s="135">
        <f t="shared" si="41"/>
        <v>0</v>
      </c>
      <c r="R21" s="135">
        <f t="shared" si="41"/>
        <v>0</v>
      </c>
      <c r="S21" s="135">
        <f t="shared" si="41"/>
        <v>0</v>
      </c>
      <c r="T21" s="135">
        <f t="shared" si="41"/>
        <v>-36864</v>
      </c>
      <c r="U21" s="135">
        <f t="shared" si="41"/>
        <v>0</v>
      </c>
      <c r="V21" s="135">
        <f t="shared" si="41"/>
        <v>0</v>
      </c>
      <c r="W21" s="135">
        <f t="shared" si="41"/>
        <v>0</v>
      </c>
    </row>
    <row r="22" spans="1:23" s="110" customFormat="1">
      <c r="A22" s="118">
        <v>2023</v>
      </c>
      <c r="B22" s="123"/>
      <c r="C22" s="124" t="s">
        <v>3199</v>
      </c>
      <c r="D22" s="121">
        <f t="shared" si="40"/>
        <v>-167428</v>
      </c>
      <c r="E22" s="125">
        <f>'A.1 PRIHODI'!E36</f>
        <v>-300841</v>
      </c>
      <c r="F22" s="125">
        <f>'A.1 PRIHODI'!F36</f>
        <v>16244</v>
      </c>
      <c r="G22" s="125">
        <f>'A.1 PRIHODI'!G36</f>
        <v>101047</v>
      </c>
      <c r="H22" s="125">
        <f>'A.1 PRIHODI'!H36</f>
        <v>0</v>
      </c>
      <c r="I22" s="125">
        <f>'A.1 PRIHODI'!I36+'B. RAČUN FIN'!I28</f>
        <v>-159555</v>
      </c>
      <c r="J22" s="125">
        <f>'A.1 PRIHODI'!J36</f>
        <v>69109</v>
      </c>
      <c r="K22" s="125">
        <f>'A.1 PRIHODI'!K36</f>
        <v>-8001</v>
      </c>
      <c r="L22" s="125">
        <f>'A.1 PRIHODI'!L36</f>
        <v>0</v>
      </c>
      <c r="M22" s="125">
        <f>'A.1 PRIHODI'!M36</f>
        <v>0</v>
      </c>
      <c r="N22" s="125">
        <f>'A.1 PRIHODI'!N36</f>
        <v>89623</v>
      </c>
      <c r="O22" s="125">
        <f>'A.1 PRIHODI'!O36</f>
        <v>0</v>
      </c>
      <c r="P22" s="125">
        <f>'A.1 PRIHODI'!P36</f>
        <v>0</v>
      </c>
      <c r="Q22" s="125">
        <f>'A.1 PRIHODI'!Q36</f>
        <v>0</v>
      </c>
      <c r="R22" s="125">
        <f>'A.1 PRIHODI'!R36</f>
        <v>0</v>
      </c>
      <c r="S22" s="125">
        <f>'A.1 PRIHODI'!S36</f>
        <v>0</v>
      </c>
      <c r="T22" s="125">
        <f>'A.1 PRIHODI'!T36</f>
        <v>25020</v>
      </c>
      <c r="U22" s="125">
        <f>'A.1 PRIHODI'!U36</f>
        <v>0</v>
      </c>
      <c r="V22" s="125">
        <f>'A.1 PRIHODI'!V36</f>
        <v>-74</v>
      </c>
      <c r="W22" s="125">
        <f>'A.1 PRIHODI'!W36+'B. RAČUN FIN'!W28</f>
        <v>0</v>
      </c>
    </row>
    <row r="23" spans="1:23" s="110" customFormat="1">
      <c r="A23" s="118">
        <v>2023</v>
      </c>
      <c r="B23" s="119"/>
      <c r="C23" s="120" t="s">
        <v>3200</v>
      </c>
      <c r="D23" s="121">
        <f t="shared" si="40"/>
        <v>501363</v>
      </c>
      <c r="E23" s="136">
        <f>(E15-(E7))</f>
        <v>3856</v>
      </c>
      <c r="F23" s="136">
        <f t="shared" ref="F23:W23" si="42">(F15-(F7))</f>
        <v>-3430</v>
      </c>
      <c r="G23" s="136">
        <f t="shared" si="42"/>
        <v>-37216</v>
      </c>
      <c r="H23" s="136">
        <f t="shared" si="42"/>
        <v>0</v>
      </c>
      <c r="I23" s="136">
        <f t="shared" si="42"/>
        <v>138226</v>
      </c>
      <c r="J23" s="136">
        <f t="shared" si="42"/>
        <v>319863</v>
      </c>
      <c r="K23" s="136">
        <f t="shared" si="42"/>
        <v>72856</v>
      </c>
      <c r="L23" s="136">
        <f t="shared" si="42"/>
        <v>0</v>
      </c>
      <c r="M23" s="136">
        <f t="shared" si="42"/>
        <v>0</v>
      </c>
      <c r="N23" s="136">
        <f t="shared" si="42"/>
        <v>-17011</v>
      </c>
      <c r="O23" s="136">
        <f t="shared" si="42"/>
        <v>0</v>
      </c>
      <c r="P23" s="136">
        <f t="shared" si="42"/>
        <v>0</v>
      </c>
      <c r="Q23" s="136">
        <f t="shared" si="42"/>
        <v>0</v>
      </c>
      <c r="R23" s="136">
        <f t="shared" si="42"/>
        <v>0</v>
      </c>
      <c r="S23" s="136">
        <f t="shared" si="42"/>
        <v>0</v>
      </c>
      <c r="T23" s="136">
        <f t="shared" si="42"/>
        <v>24219</v>
      </c>
      <c r="U23" s="136">
        <f t="shared" si="42"/>
        <v>0</v>
      </c>
      <c r="V23" s="136">
        <f t="shared" si="42"/>
        <v>0</v>
      </c>
      <c r="W23" s="136">
        <f t="shared" si="42"/>
        <v>0</v>
      </c>
    </row>
    <row r="24" spans="1:23" s="110" customFormat="1">
      <c r="A24" s="118">
        <v>2023</v>
      </c>
      <c r="B24" s="123"/>
      <c r="C24" s="124" t="s">
        <v>3201</v>
      </c>
      <c r="D24" s="121">
        <f t="shared" si="40"/>
        <v>159480</v>
      </c>
      <c r="E24" s="125">
        <f t="shared" ref="E24:W24" si="43">+E21+E22+E23</f>
        <v>-297009</v>
      </c>
      <c r="F24" s="125">
        <f t="shared" si="43"/>
        <v>-4677</v>
      </c>
      <c r="G24" s="125">
        <f t="shared" si="43"/>
        <v>43555</v>
      </c>
      <c r="H24" s="125">
        <f t="shared" si="43"/>
        <v>0</v>
      </c>
      <c r="I24" s="125">
        <f t="shared" si="43"/>
        <v>49284</v>
      </c>
      <c r="J24" s="125">
        <f t="shared" si="43"/>
        <v>318756</v>
      </c>
      <c r="K24" s="125">
        <f t="shared" si="43"/>
        <v>63777</v>
      </c>
      <c r="L24" s="125">
        <f t="shared" si="43"/>
        <v>0</v>
      </c>
      <c r="M24" s="125">
        <f t="shared" si="43"/>
        <v>0</v>
      </c>
      <c r="N24" s="125">
        <f t="shared" si="43"/>
        <v>-26507</v>
      </c>
      <c r="O24" s="125">
        <f t="shared" si="43"/>
        <v>0</v>
      </c>
      <c r="P24" s="125">
        <f t="shared" si="43"/>
        <v>0</v>
      </c>
      <c r="Q24" s="125">
        <f t="shared" si="43"/>
        <v>0</v>
      </c>
      <c r="R24" s="125">
        <f t="shared" si="43"/>
        <v>0</v>
      </c>
      <c r="S24" s="125">
        <f t="shared" si="43"/>
        <v>0</v>
      </c>
      <c r="T24" s="125">
        <f t="shared" si="43"/>
        <v>12375</v>
      </c>
      <c r="U24" s="125">
        <f t="shared" si="43"/>
        <v>0</v>
      </c>
      <c r="V24" s="125">
        <f t="shared" si="43"/>
        <v>-74</v>
      </c>
      <c r="W24" s="125">
        <f t="shared" si="43"/>
        <v>0</v>
      </c>
    </row>
    <row r="25" spans="1:23" s="110" customFormat="1">
      <c r="A25" s="118">
        <v>2023</v>
      </c>
      <c r="B25" s="127"/>
      <c r="C25" s="128" t="s">
        <v>3202</v>
      </c>
      <c r="D25" s="121">
        <f t="shared" si="40"/>
        <v>159480</v>
      </c>
      <c r="E25" s="129">
        <f>'A.2 RASHODI'!E38+'B. RAČUN FIN'!E33</f>
        <v>-297009</v>
      </c>
      <c r="F25" s="129">
        <f>'A.2 RASHODI'!F38+'B. RAČUN FIN'!F33</f>
        <v>-4677</v>
      </c>
      <c r="G25" s="129">
        <f>'A.2 RASHODI'!G38+'B. RAČUN FIN'!G33</f>
        <v>43555</v>
      </c>
      <c r="H25" s="129">
        <f>'A.2 RASHODI'!H38+'B. RAČUN FIN'!H33</f>
        <v>0</v>
      </c>
      <c r="I25" s="129">
        <f>'A.2 RASHODI'!I38+'B. RAČUN FIN'!I33</f>
        <v>49284</v>
      </c>
      <c r="J25" s="129">
        <f>'A.2 RASHODI'!J38+'B. RAČUN FIN'!J33</f>
        <v>318756</v>
      </c>
      <c r="K25" s="129">
        <f>'A.2 RASHODI'!K38+'B. RAČUN FIN'!K33</f>
        <v>63777</v>
      </c>
      <c r="L25" s="129">
        <f>'A.2 RASHODI'!L38+'B. RAČUN FIN'!L33</f>
        <v>0</v>
      </c>
      <c r="M25" s="129">
        <f>'A.2 RASHODI'!M38+'B. RAČUN FIN'!M33</f>
        <v>0</v>
      </c>
      <c r="N25" s="129">
        <f>'A.2 RASHODI'!N38+'B. RAČUN FIN'!N33</f>
        <v>-26507</v>
      </c>
      <c r="O25" s="129">
        <f>'A.2 RASHODI'!O38+'B. RAČUN FIN'!O33</f>
        <v>0</v>
      </c>
      <c r="P25" s="129">
        <f>'A.2 RASHODI'!P38+'B. RAČUN FIN'!P33</f>
        <v>0</v>
      </c>
      <c r="Q25" s="129">
        <f>'A.2 RASHODI'!Q38+'B. RAČUN FIN'!Q33</f>
        <v>0</v>
      </c>
      <c r="R25" s="129">
        <f>'A.2 RASHODI'!R38+'B. RAČUN FIN'!R33</f>
        <v>0</v>
      </c>
      <c r="S25" s="129">
        <f>'A.2 RASHODI'!S38+'B. RAČUN FIN'!S33</f>
        <v>0</v>
      </c>
      <c r="T25" s="129">
        <f>'A.2 RASHODI'!T38+'B. RAČUN FIN'!T33</f>
        <v>12375</v>
      </c>
      <c r="U25" s="129">
        <f>'A.2 RASHODI'!U38+'B. RAČUN FIN'!U33</f>
        <v>0</v>
      </c>
      <c r="V25" s="129">
        <f>'A.2 RASHODI'!V38+'B. RAČUN FIN'!V33</f>
        <v>-74</v>
      </c>
      <c r="W25" s="129">
        <f>'A.2 RASHODI'!W38+'B. RAČUN FIN'!W33</f>
        <v>0</v>
      </c>
    </row>
    <row r="26" spans="1:23" s="110" customFormat="1" ht="20.25" customHeight="1">
      <c r="A26" s="118">
        <v>2023</v>
      </c>
      <c r="B26" s="130"/>
      <c r="C26" s="130" t="s">
        <v>3205</v>
      </c>
      <c r="D26" s="131">
        <f t="shared" si="40"/>
        <v>0</v>
      </c>
      <c r="E26" s="131">
        <f>+E24-E25</f>
        <v>0</v>
      </c>
      <c r="F26" s="131">
        <f t="shared" ref="F26:W26" si="44">+F24-F25</f>
        <v>0</v>
      </c>
      <c r="G26" s="131">
        <f t="shared" si="44"/>
        <v>0</v>
      </c>
      <c r="H26" s="131">
        <f t="shared" si="44"/>
        <v>0</v>
      </c>
      <c r="I26" s="131">
        <f t="shared" si="44"/>
        <v>0</v>
      </c>
      <c r="J26" s="131">
        <f t="shared" si="44"/>
        <v>0</v>
      </c>
      <c r="K26" s="131">
        <f t="shared" si="44"/>
        <v>0</v>
      </c>
      <c r="L26" s="131">
        <f t="shared" si="44"/>
        <v>0</v>
      </c>
      <c r="M26" s="131">
        <f t="shared" si="44"/>
        <v>0</v>
      </c>
      <c r="N26" s="131">
        <f t="shared" si="44"/>
        <v>0</v>
      </c>
      <c r="O26" s="131">
        <f t="shared" si="44"/>
        <v>0</v>
      </c>
      <c r="P26" s="131">
        <f t="shared" si="44"/>
        <v>0</v>
      </c>
      <c r="Q26" s="131">
        <f t="shared" si="44"/>
        <v>0</v>
      </c>
      <c r="R26" s="131">
        <f t="shared" si="44"/>
        <v>0</v>
      </c>
      <c r="S26" s="131">
        <f t="shared" si="44"/>
        <v>0</v>
      </c>
      <c r="T26" s="131">
        <f t="shared" si="44"/>
        <v>0</v>
      </c>
      <c r="U26" s="131">
        <f t="shared" si="44"/>
        <v>0</v>
      </c>
      <c r="V26" s="131">
        <f t="shared" si="44"/>
        <v>0</v>
      </c>
      <c r="W26" s="131">
        <f t="shared" si="44"/>
        <v>0</v>
      </c>
    </row>
    <row r="27" spans="1:23">
      <c r="B27" s="132"/>
      <c r="C27" s="132"/>
      <c r="D27" s="132"/>
      <c r="E27" s="132"/>
      <c r="F27" s="132"/>
      <c r="G27" s="132"/>
      <c r="H27" s="132"/>
      <c r="I27" s="133"/>
      <c r="J27" s="134"/>
      <c r="K27" s="134"/>
      <c r="L27" s="134"/>
      <c r="M27" s="134"/>
      <c r="N27" s="134"/>
      <c r="O27" s="134"/>
      <c r="P27" s="134"/>
      <c r="Q27" s="134"/>
      <c r="R27" s="134"/>
      <c r="S27" s="112"/>
      <c r="W27" s="112"/>
    </row>
    <row r="28" spans="1:23">
      <c r="G28" s="138"/>
      <c r="H28" s="138"/>
      <c r="I28" s="139"/>
      <c r="J28" s="140"/>
      <c r="K28" s="140"/>
      <c r="L28" s="140"/>
      <c r="M28" s="140"/>
      <c r="N28" s="140"/>
      <c r="O28" s="140"/>
      <c r="P28" s="140"/>
      <c r="Q28" s="140"/>
      <c r="R28" s="140"/>
    </row>
    <row r="29" spans="1:23">
      <c r="G29" s="138"/>
      <c r="H29" s="138"/>
      <c r="I29" s="141"/>
      <c r="J29" s="142"/>
      <c r="K29" s="142"/>
      <c r="L29" s="142"/>
      <c r="M29" s="142"/>
      <c r="N29" s="142"/>
      <c r="O29" s="142"/>
      <c r="P29" s="142"/>
      <c r="Q29" s="142"/>
      <c r="R29" s="142"/>
    </row>
    <row r="30" spans="1:23" hidden="1">
      <c r="B30" s="138"/>
      <c r="C30" s="138"/>
      <c r="D30" s="138"/>
      <c r="E30" s="138"/>
      <c r="F30" s="138"/>
      <c r="G30" s="138"/>
      <c r="H30" s="138"/>
      <c r="I30" s="143"/>
      <c r="J30" s="138"/>
      <c r="K30" s="138"/>
      <c r="L30" s="138"/>
      <c r="M30" s="138"/>
      <c r="N30" s="138"/>
      <c r="O30" s="138"/>
      <c r="P30" s="138"/>
      <c r="Q30" s="138"/>
      <c r="R30" s="138"/>
    </row>
    <row r="31" spans="1:23" hidden="1">
      <c r="B31" s="138"/>
      <c r="C31" s="138"/>
      <c r="D31" s="138"/>
      <c r="E31" s="138"/>
      <c r="F31" s="138"/>
      <c r="G31" s="138"/>
      <c r="H31" s="138"/>
      <c r="I31" s="143"/>
      <c r="J31" s="138"/>
      <c r="K31" s="138"/>
      <c r="L31" s="138"/>
      <c r="M31" s="138"/>
      <c r="N31" s="138"/>
      <c r="O31" s="138"/>
      <c r="P31" s="138"/>
      <c r="Q31" s="138"/>
      <c r="R31" s="138"/>
    </row>
    <row r="32" spans="1:23" hidden="1">
      <c r="B32" s="138"/>
      <c r="C32" s="138"/>
      <c r="D32" s="138"/>
      <c r="E32" s="138"/>
      <c r="F32" s="138"/>
      <c r="G32" s="138"/>
      <c r="H32" s="138"/>
      <c r="I32" s="143"/>
      <c r="J32" s="138"/>
      <c r="K32" s="138"/>
      <c r="L32" s="138"/>
      <c r="M32" s="138"/>
      <c r="N32" s="138"/>
      <c r="O32" s="138"/>
      <c r="P32" s="138"/>
      <c r="Q32" s="138"/>
      <c r="R32" s="138"/>
    </row>
    <row r="33" spans="2:18" hidden="1">
      <c r="B33" s="138"/>
      <c r="C33" s="138"/>
      <c r="D33" s="138"/>
      <c r="E33" s="138"/>
      <c r="F33" s="138"/>
      <c r="G33" s="138"/>
      <c r="H33" s="138"/>
    </row>
    <row r="34" spans="2:18" hidden="1">
      <c r="B34" s="138"/>
      <c r="C34" s="138"/>
      <c r="D34" s="138"/>
      <c r="E34" s="138"/>
      <c r="F34" s="138"/>
      <c r="G34" s="138"/>
      <c r="H34" s="138"/>
      <c r="I34" s="143"/>
      <c r="J34" s="138"/>
      <c r="K34" s="138"/>
      <c r="L34" s="138"/>
      <c r="M34" s="138"/>
      <c r="N34" s="138"/>
      <c r="O34" s="138"/>
      <c r="P34" s="138"/>
      <c r="Q34" s="138"/>
      <c r="R34" s="138"/>
    </row>
    <row r="35" spans="2:18" hidden="1">
      <c r="B35" s="138"/>
      <c r="C35" s="138"/>
      <c r="D35" s="138"/>
      <c r="E35" s="138"/>
      <c r="F35" s="138"/>
      <c r="G35" s="138"/>
      <c r="H35" s="138"/>
      <c r="I35" s="143"/>
      <c r="J35" s="145"/>
      <c r="K35" s="145"/>
      <c r="L35" s="145"/>
      <c r="M35" s="145"/>
      <c r="N35" s="145"/>
      <c r="O35" s="145"/>
      <c r="P35" s="145"/>
      <c r="Q35" s="145"/>
      <c r="R35" s="145"/>
    </row>
    <row r="36" spans="2:18" hidden="1">
      <c r="B36" s="138"/>
      <c r="C36" s="138"/>
      <c r="D36" s="138"/>
      <c r="E36" s="138"/>
      <c r="F36" s="138"/>
      <c r="G36" s="138"/>
      <c r="H36" s="138"/>
      <c r="I36" s="143"/>
      <c r="J36" s="138"/>
      <c r="K36" s="138"/>
      <c r="L36" s="138"/>
      <c r="M36" s="138"/>
      <c r="N36" s="138"/>
      <c r="O36" s="138"/>
      <c r="P36" s="138"/>
      <c r="Q36" s="138"/>
      <c r="R36" s="138"/>
    </row>
    <row r="37" spans="2:18" hidden="1">
      <c r="B37" s="138"/>
      <c r="C37" s="138"/>
      <c r="D37" s="138"/>
      <c r="E37" s="138"/>
      <c r="F37" s="138"/>
      <c r="G37" s="138"/>
      <c r="H37" s="138"/>
      <c r="I37" s="143"/>
      <c r="J37" s="146"/>
      <c r="K37" s="146"/>
      <c r="L37" s="146"/>
      <c r="M37" s="146"/>
      <c r="N37" s="146"/>
      <c r="O37" s="146"/>
      <c r="P37" s="146"/>
      <c r="Q37" s="146"/>
      <c r="R37" s="146"/>
    </row>
    <row r="38" spans="2:18" hidden="1">
      <c r="I38" s="141"/>
      <c r="J38" s="147"/>
      <c r="K38" s="147"/>
      <c r="L38" s="147"/>
      <c r="M38" s="147"/>
      <c r="N38" s="147"/>
      <c r="O38" s="147"/>
      <c r="P38" s="147"/>
      <c r="Q38" s="147"/>
      <c r="R38" s="147"/>
    </row>
  </sheetData>
  <sheetProtection algorithmName="SHA-512" hashValue="QkEF0fRBKvWMxqEAA/KKEDLiuCvOjGmsj5bPcAytGQLephFMLjH/SSJaTAA8YEe4T1jNH5L0YqZfbJSZStb47g==" saltValue="Vhpna/nFuMsumfuSqEIQXw==" spinCount="100000" sheet="1" objects="1" scenarios="1"/>
  <mergeCells count="2">
    <mergeCell ref="B1:V1"/>
    <mergeCell ref="B2:V2"/>
  </mergeCells>
  <dataValidations count="2">
    <dataValidation type="whole" allowBlank="1" showInputMessage="1" showErrorMessage="1" errorTitle="GREŠKA" error="U ovo polje je dozvoljen unos samo brojčanih vrijednosti!" prompt="Molimo unos brojčane vrijednosti!" sqref="E5:W5" xr:uid="{6A767941-E242-4C23-B98B-F3AE22A4AE49}">
      <formula1>0</formula1>
      <formula2>500000000</formula2>
    </dataValidation>
    <dataValidation type="whole" allowBlank="1" showInputMessage="1" showErrorMessage="1" error="Dozvoljen je unos samo negativnih vrijednosti (cijeli broj)" sqref="E23:W23 E15:W15 E7:W7" xr:uid="{5123F6A3-49F0-4C2E-BF47-6E05DD699E0E}">
      <formula1>-10000000000</formula1>
      <formula2>0</formula2>
    </dataValidation>
  </dataValidations>
  <pageMargins left="0.7" right="0.7" top="0.75" bottom="0.75" header="0.3" footer="0.3"/>
  <pageSetup paperSize="9" scale="3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6DFA4-2844-4559-A672-0387DA3A5742}">
  <sheetPr codeName="Sheet7">
    <pageSetUpPr fitToPage="1"/>
  </sheetPr>
  <dimension ref="A1:W59"/>
  <sheetViews>
    <sheetView showGridLines="0" tabSelected="1" workbookViewId="0">
      <selection activeCell="A51" sqref="A51:XFD1048576"/>
    </sheetView>
  </sheetViews>
  <sheetFormatPr defaultColWidth="0" defaultRowHeight="13.8" zeroHeight="1"/>
  <cols>
    <col min="1" max="1" width="7.109375" style="108" customWidth="1"/>
    <col min="2" max="2" width="8.33203125" style="108" customWidth="1"/>
    <col min="3" max="3" width="59" style="108" customWidth="1"/>
    <col min="4" max="4" width="14.88671875" style="108" customWidth="1"/>
    <col min="5" max="8" width="13.88671875" style="108" customWidth="1"/>
    <col min="9" max="9" width="13.88671875" style="144" customWidth="1"/>
    <col min="10" max="22" width="13.88671875" style="108" customWidth="1"/>
    <col min="23" max="23" width="7.88671875" style="108" customWidth="1"/>
    <col min="24" max="16384" width="11.44140625" style="108" hidden="1"/>
  </cols>
  <sheetData>
    <row r="1" spans="1:22" ht="15.6" customHeight="1">
      <c r="B1" s="307" t="s">
        <v>3207</v>
      </c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</row>
    <row r="2" spans="1:22" ht="15.6" customHeight="1"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</row>
    <row r="3" spans="1:22" ht="15.6" customHeight="1">
      <c r="B3" s="307" t="s">
        <v>3208</v>
      </c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</row>
    <row r="4" spans="1:22" ht="15.6" customHeight="1"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</row>
    <row r="5" spans="1:22" ht="15.6" customHeight="1">
      <c r="B5" s="307" t="s">
        <v>3209</v>
      </c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</row>
    <row r="6" spans="1:22" s="110" customFormat="1" ht="14.4">
      <c r="B6" s="111"/>
      <c r="C6" s="111"/>
      <c r="D6" s="111"/>
      <c r="S6" s="112"/>
      <c r="V6" s="23" t="s">
        <v>38</v>
      </c>
    </row>
    <row r="7" spans="1:22" s="110" customFormat="1" ht="96.6">
      <c r="A7" s="113" t="s">
        <v>3176</v>
      </c>
      <c r="B7" s="114" t="s">
        <v>3177</v>
      </c>
      <c r="C7" s="114" t="s">
        <v>3178</v>
      </c>
      <c r="D7" s="115" t="s">
        <v>3179</v>
      </c>
      <c r="E7" s="116" t="s">
        <v>3180</v>
      </c>
      <c r="F7" s="116" t="s">
        <v>3181</v>
      </c>
      <c r="G7" s="116" t="s">
        <v>3182</v>
      </c>
      <c r="H7" s="116" t="s">
        <v>3183</v>
      </c>
      <c r="I7" s="116" t="s">
        <v>3184</v>
      </c>
      <c r="J7" s="116" t="s">
        <v>3185</v>
      </c>
      <c r="K7" s="116" t="s">
        <v>3186</v>
      </c>
      <c r="L7" s="116" t="s">
        <v>3187</v>
      </c>
      <c r="M7" s="116" t="s">
        <v>3188</v>
      </c>
      <c r="N7" s="116" t="s">
        <v>3189</v>
      </c>
      <c r="O7" s="116" t="s">
        <v>3190</v>
      </c>
      <c r="P7" s="116" t="s">
        <v>3191</v>
      </c>
      <c r="Q7" s="116" t="s">
        <v>3192</v>
      </c>
      <c r="R7" s="116" t="s">
        <v>3193</v>
      </c>
      <c r="S7" s="117" t="s">
        <v>3194</v>
      </c>
      <c r="T7" s="116" t="s">
        <v>3195</v>
      </c>
      <c r="U7" s="117" t="s">
        <v>3196</v>
      </c>
      <c r="V7" s="117" t="s">
        <v>3197</v>
      </c>
    </row>
    <row r="8" spans="1:22" s="110" customFormat="1" ht="20.25" customHeight="1">
      <c r="A8" s="118">
        <v>2023</v>
      </c>
      <c r="B8" s="130">
        <v>2023</v>
      </c>
      <c r="C8" s="130" t="s">
        <v>3210</v>
      </c>
      <c r="D8" s="131">
        <f>SUM(E8:V8)</f>
        <v>6468826</v>
      </c>
      <c r="E8" s="131">
        <f>+E19+E16</f>
        <v>4058907</v>
      </c>
      <c r="F8" s="131">
        <f>+F19+F16</f>
        <v>2903</v>
      </c>
      <c r="G8" s="131">
        <f>+G19+G16</f>
        <v>800053</v>
      </c>
      <c r="H8" s="131">
        <f t="shared" ref="H8:V8" si="0">+H19+H16</f>
        <v>0</v>
      </c>
      <c r="I8" s="131">
        <f t="shared" si="0"/>
        <v>864955</v>
      </c>
      <c r="J8" s="131">
        <f>+J19+J16</f>
        <v>530891</v>
      </c>
      <c r="K8" s="131">
        <f t="shared" si="0"/>
        <v>150967</v>
      </c>
      <c r="L8" s="131">
        <f t="shared" si="0"/>
        <v>0</v>
      </c>
      <c r="M8" s="131">
        <f t="shared" si="0"/>
        <v>0</v>
      </c>
      <c r="N8" s="131">
        <f t="shared" si="0"/>
        <v>18874</v>
      </c>
      <c r="O8" s="131">
        <f t="shared" si="0"/>
        <v>0</v>
      </c>
      <c r="P8" s="131">
        <f t="shared" si="0"/>
        <v>0</v>
      </c>
      <c r="Q8" s="131">
        <f t="shared" si="0"/>
        <v>0</v>
      </c>
      <c r="R8" s="131">
        <f t="shared" si="0"/>
        <v>0</v>
      </c>
      <c r="S8" s="131">
        <f t="shared" si="0"/>
        <v>0</v>
      </c>
      <c r="T8" s="131">
        <f t="shared" si="0"/>
        <v>40480</v>
      </c>
      <c r="U8" s="131">
        <f t="shared" si="0"/>
        <v>0</v>
      </c>
      <c r="V8" s="131">
        <f t="shared" si="0"/>
        <v>796</v>
      </c>
    </row>
    <row r="9" spans="1:22" s="110" customFormat="1">
      <c r="A9" s="118">
        <v>2023</v>
      </c>
      <c r="B9" s="148" t="s">
        <v>3211</v>
      </c>
      <c r="C9" s="149" t="s">
        <v>3212</v>
      </c>
      <c r="D9" s="121">
        <f t="shared" ref="D9:D18" si="1">SUM(E9:V9)</f>
        <v>0</v>
      </c>
      <c r="E9" s="150">
        <f>SUMIFS('Unos prihoda i primitaka'!$G$3:$G$501,'Unos prihoda i primitaka'!$C$3:$C$501,"=11",'Unos prihoda i primitaka'!$L$3:$L$501,"=61")</f>
        <v>0</v>
      </c>
      <c r="F9" s="150">
        <f>SUMIFS('Unos prihoda i primitaka'!$G$3:$G$501,'Unos prihoda i primitaka'!$C$3:$C$501,"=12",'Unos prihoda i primitaka'!$L$3:$L$501,"=61")</f>
        <v>0</v>
      </c>
      <c r="G9" s="150">
        <f>SUMIFS('Unos prihoda i primitaka'!$G$3:$G$501,'Unos prihoda i primitaka'!$C$3:$C$501,"=31",'Unos prihoda i primitaka'!$L$3:$L$501,"=61")</f>
        <v>0</v>
      </c>
      <c r="H9" s="150">
        <f>SUMIFS('Unos prihoda i primitaka'!$G$3:$G$501,'Unos prihoda i primitaka'!$C$3:$C$501,"=41",'Unos prihoda i primitaka'!$L$3:$L$501,"=61")</f>
        <v>0</v>
      </c>
      <c r="I9" s="150">
        <f>SUMIFS('Unos prihoda i primitaka'!$G$3:$G$501,'Unos prihoda i primitaka'!$C$3:$C$501,"=43",'Unos prihoda i primitaka'!$L$3:$L$501,"=61")</f>
        <v>0</v>
      </c>
      <c r="J9" s="150">
        <f>SUMIFS('Unos prihoda i primitaka'!$G$3:$G$501,'Unos prihoda i primitaka'!$C$3:$C$501,"=51",'Unos prihoda i primitaka'!$L$3:$L$501,"=61")</f>
        <v>0</v>
      </c>
      <c r="K9" s="150">
        <f>SUMIFS('Unos prihoda i primitaka'!$G$3:$G$501,'Unos prihoda i primitaka'!$C$3:$C$501,"=52",'Unos prihoda i primitaka'!$L$3:$L$501,"=61")</f>
        <v>0</v>
      </c>
      <c r="L9" s="150">
        <f>SUMIFS('Unos prihoda i primitaka'!$G$3:$G$501,'Unos prihoda i primitaka'!$C$3:$C$501,"=552",'Unos prihoda i primitaka'!$L$3:$L$501,"=61")</f>
        <v>0</v>
      </c>
      <c r="M9" s="150">
        <f>SUMIFS('Unos prihoda i primitaka'!$G$3:$G$501,'Unos prihoda i primitaka'!$C$3:$C$501,"=559",'Unos prihoda i primitaka'!$L$3:$L$501,"=61")</f>
        <v>0</v>
      </c>
      <c r="N9" s="150">
        <f>SUMIFS('Unos prihoda i primitaka'!$G$3:$G$501,'Unos prihoda i primitaka'!$C$3:$C$501,"=561",'Unos prihoda i primitaka'!$L$3:$L$501,"=61")</f>
        <v>0</v>
      </c>
      <c r="O9" s="150">
        <f>SUMIFS('Unos prihoda i primitaka'!$G$3:$G$501,'Unos prihoda i primitaka'!$C$3:$C$501,"=563",'Unos prihoda i primitaka'!$L$3:$L$501,"=61")</f>
        <v>0</v>
      </c>
      <c r="P9" s="150">
        <f>SUMIFS('Unos prihoda i primitaka'!$G$3:$G$501,'Unos prihoda i primitaka'!$C$3:$C$501,"=573",'Unos prihoda i primitaka'!$L$3:$L$501,"=61")</f>
        <v>0</v>
      </c>
      <c r="Q9" s="150">
        <f>SUMIFS('Unos prihoda i primitaka'!$G$3:$G$501,'Unos prihoda i primitaka'!$C$3:$C$501,"=575",'Unos prihoda i primitaka'!$L$3:$L$501,"=61")</f>
        <v>0</v>
      </c>
      <c r="R9" s="150">
        <f>SUMIFS('Unos prihoda i primitaka'!$G$3:$G$501,'Unos prihoda i primitaka'!$C$3:$C$501,"=576",'Unos prihoda i primitaka'!$L$3:$L$501,"=61")</f>
        <v>0</v>
      </c>
      <c r="S9" s="150">
        <f>SUMIFS('Unos prihoda i primitaka'!$G$3:$G$501,'Unos prihoda i primitaka'!$C$3:$C$501,"=581",'Unos prihoda i primitaka'!$L$3:$L$501,"=61")</f>
        <v>0</v>
      </c>
      <c r="T9" s="150">
        <f>SUMIFS('Unos prihoda i primitaka'!$G$3:$G$501,'Unos prihoda i primitaka'!$C$3:$C$501,"=61",'Unos prihoda i primitaka'!$L$3:$L$501,"=61")</f>
        <v>0</v>
      </c>
      <c r="U9" s="150">
        <f>SUMIFS('Unos prihoda i primitaka'!$G$3:$G$501,'Unos prihoda i primitaka'!$C$3:$C$501,"=63",'Unos prihoda i primitaka'!$L$3:$L$501,"=61")</f>
        <v>0</v>
      </c>
      <c r="V9" s="150">
        <f>SUMIFS('Unos prihoda i primitaka'!$G$3:$G$501,'Unos prihoda i primitaka'!$C$3:$C$501,"=71",'Unos prihoda i primitaka'!$L$3:$L$501,"=61")</f>
        <v>0</v>
      </c>
    </row>
    <row r="10" spans="1:22" s="110" customFormat="1" ht="12.75" customHeight="1">
      <c r="A10" s="118">
        <v>2023</v>
      </c>
      <c r="B10" s="148" t="s">
        <v>3213</v>
      </c>
      <c r="C10" s="149" t="s">
        <v>3214</v>
      </c>
      <c r="D10" s="121">
        <f t="shared" si="1"/>
        <v>700732</v>
      </c>
      <c r="E10" s="150">
        <f>SUMIFS('Unos prihoda i primitaka'!$G$3:$G$501,'Unos prihoda i primitaka'!$C$3:$C$501,"=11",'Unos prihoda i primitaka'!$L$3:$L$501,"=63")</f>
        <v>0</v>
      </c>
      <c r="F10" s="150">
        <f>SUMIFS('Unos prihoda i primitaka'!$G$3:$G$501,'Unos prihoda i primitaka'!$C$3:$C$501,"=12",'Unos prihoda i primitaka'!$L$3:$L$501,"=63")</f>
        <v>0</v>
      </c>
      <c r="G10" s="150">
        <f>SUMIFS('Unos prihoda i primitaka'!$G$3:$G$501,'Unos prihoda i primitaka'!$C$3:$C$501,"=31",'Unos prihoda i primitaka'!$L$3:$L$501,"=63")</f>
        <v>0</v>
      </c>
      <c r="H10" s="150">
        <f>SUMIFS('Unos prihoda i primitaka'!$G$3:$G$501,'Unos prihoda i primitaka'!$C$3:$C$501,"=41",'Unos prihoda i primitaka'!$L$3:$L$501,"=63")</f>
        <v>0</v>
      </c>
      <c r="I10" s="150">
        <f>SUMIFS('Unos prihoda i primitaka'!$G$3:$G$501,'Unos prihoda i primitaka'!$C$3:$C$501,"=43",'Unos prihoda i primitaka'!$L$3:$L$501,"=63")</f>
        <v>0</v>
      </c>
      <c r="J10" s="150">
        <f>SUMIFS('Unos prihoda i primitaka'!$G$3:$G$501,'Unos prihoda i primitaka'!$C$3:$C$501,"=51",'Unos prihoda i primitaka'!$L$3:$L$501,"=63")</f>
        <v>530891</v>
      </c>
      <c r="K10" s="150">
        <f>SUMIFS('Unos prihoda i primitaka'!$G$3:$G$501,'Unos prihoda i primitaka'!$C$3:$C$501,"=52",'Unos prihoda i primitaka'!$L$3:$L$501,"=63")</f>
        <v>150967</v>
      </c>
      <c r="L10" s="150">
        <f>SUMIFS('Unos prihoda i primitaka'!$G$3:$G$501,'Unos prihoda i primitaka'!$C$3:$C$501,"=552",'Unos prihoda i primitaka'!$L$3:$L$501,"=63")</f>
        <v>0</v>
      </c>
      <c r="M10" s="150">
        <f>SUMIFS('Unos prihoda i primitaka'!$G$3:$G$501,'Unos prihoda i primitaka'!$C$3:$C$501,"=559",'Unos prihoda i primitaka'!$L$3:$L$501,"=63")</f>
        <v>0</v>
      </c>
      <c r="N10" s="150">
        <f>SUMIFS('Unos prihoda i primitaka'!$G$3:$G$501,'Unos prihoda i primitaka'!$C$3:$C$501,"=561",'Unos prihoda i primitaka'!$L$3:$L$501,"=63")</f>
        <v>18874</v>
      </c>
      <c r="O10" s="150">
        <f>SUMIFS('Unos prihoda i primitaka'!$G$3:$G$501,'Unos prihoda i primitaka'!$C$3:$C$501,"=563",'Unos prihoda i primitaka'!$L$3:$L$501,"=63")</f>
        <v>0</v>
      </c>
      <c r="P10" s="150">
        <f>SUMIFS('Unos prihoda i primitaka'!$G$3:$G$501,'Unos prihoda i primitaka'!$C$3:$C$501,"=573",'Unos prihoda i primitaka'!$L$3:$L$501,"=63")</f>
        <v>0</v>
      </c>
      <c r="Q10" s="150">
        <f>SUMIFS('Unos prihoda i primitaka'!$G$3:$G$501,'Unos prihoda i primitaka'!$C$3:$C$501,"=575",'Unos prihoda i primitaka'!$L$3:$L$501,"=63")</f>
        <v>0</v>
      </c>
      <c r="R10" s="150">
        <f>SUMIFS('Unos prihoda i primitaka'!$G$3:$G$501,'Unos prihoda i primitaka'!$C$3:$C$501,"=576",'Unos prihoda i primitaka'!$L$3:$L$501,"=63")</f>
        <v>0</v>
      </c>
      <c r="S10" s="150">
        <f>SUMIFS('Unos prihoda i primitaka'!$G$3:$G$501,'Unos prihoda i primitaka'!$C$3:$C$501,"=581",'Unos prihoda i primitaka'!$L$3:$L$501,"=63")</f>
        <v>0</v>
      </c>
      <c r="T10" s="150">
        <f>SUMIFS('Unos prihoda i primitaka'!$G$3:$G$501,'Unos prihoda i primitaka'!$C$3:$C$501,"=61",'Unos prihoda i primitaka'!$L$3:$L$501,"=63")</f>
        <v>0</v>
      </c>
      <c r="U10" s="150">
        <f>SUMIFS('Unos prihoda i primitaka'!$G$3:$G$501,'Unos prihoda i primitaka'!$C$3:$C$501,"=63",'Unos prihoda i primitaka'!$L$3:$L$501,"=63")</f>
        <v>0</v>
      </c>
      <c r="V10" s="150">
        <f>SUMIFS('Unos prihoda i primitaka'!$G$3:$G$501,'Unos prihoda i primitaka'!$C$3:$C$501,"=71",'Unos prihoda i primitaka'!$L$3:$L$501,"=63")</f>
        <v>0</v>
      </c>
    </row>
    <row r="11" spans="1:22" s="110" customFormat="1">
      <c r="A11" s="118">
        <v>2023</v>
      </c>
      <c r="B11" s="119" t="s">
        <v>3215</v>
      </c>
      <c r="C11" s="120" t="s">
        <v>3216</v>
      </c>
      <c r="D11" s="121">
        <f t="shared" si="1"/>
        <v>0</v>
      </c>
      <c r="E11" s="150">
        <f>SUMIFS('Unos prihoda i primitaka'!$G$3:$G$501,'Unos prihoda i primitaka'!$C$3:$C$501,"=11",'Unos prihoda i primitaka'!$L$3:$L$501,"=64")</f>
        <v>0</v>
      </c>
      <c r="F11" s="150">
        <f>SUMIFS('Unos prihoda i primitaka'!$G$3:$G$501,'Unos prihoda i primitaka'!$C$3:$C$501,"=12",'Unos prihoda i primitaka'!$L$3:$L$501,"=64")</f>
        <v>0</v>
      </c>
      <c r="G11" s="150">
        <f>SUMIFS('Unos prihoda i primitaka'!$G$3:$G$501,'Unos prihoda i primitaka'!$C$3:$C$501,"=31",'Unos prihoda i primitaka'!$L$3:$L$501,"=64")</f>
        <v>0</v>
      </c>
      <c r="H11" s="150">
        <f>SUMIFS('Unos prihoda i primitaka'!$G$3:$G$501,'Unos prihoda i primitaka'!$C$3:$C$501,"=41",'Unos prihoda i primitaka'!$L$3:$L$501,"=64")</f>
        <v>0</v>
      </c>
      <c r="I11" s="150">
        <f>SUMIFS('Unos prihoda i primitaka'!$G$3:$G$501,'Unos prihoda i primitaka'!$C$3:$C$501,"=43",'Unos prihoda i primitaka'!$L$3:$L$501,"=64")</f>
        <v>0</v>
      </c>
      <c r="J11" s="150">
        <f>SUMIFS('Unos prihoda i primitaka'!$G$3:$G$501,'Unos prihoda i primitaka'!$C$3:$C$501,"=51",'Unos prihoda i primitaka'!$L$3:$L$501,"=64")</f>
        <v>0</v>
      </c>
      <c r="K11" s="150">
        <f>SUMIFS('Unos prihoda i primitaka'!$G$3:$G$501,'Unos prihoda i primitaka'!$C$3:$C$501,"=52",'Unos prihoda i primitaka'!$L$3:$L$501,"=64")</f>
        <v>0</v>
      </c>
      <c r="L11" s="150">
        <f>SUMIFS('Unos prihoda i primitaka'!$G$3:$G$501,'Unos prihoda i primitaka'!$C$3:$C$501,"=552",'Unos prihoda i primitaka'!$L$3:$L$501,"=64")</f>
        <v>0</v>
      </c>
      <c r="M11" s="150">
        <f>SUMIFS('Unos prihoda i primitaka'!$G$3:$G$501,'Unos prihoda i primitaka'!$C$3:$C$501,"=559",'Unos prihoda i primitaka'!$L$3:$L$501,"=64")</f>
        <v>0</v>
      </c>
      <c r="N11" s="150">
        <f>SUMIFS('Unos prihoda i primitaka'!$G$3:$G$501,'Unos prihoda i primitaka'!$C$3:$C$501,"=561",'Unos prihoda i primitaka'!$L$3:$L$501,"=64")</f>
        <v>0</v>
      </c>
      <c r="O11" s="150">
        <f>SUMIFS('Unos prihoda i primitaka'!$G$3:$G$501,'Unos prihoda i primitaka'!$C$3:$C$501,"=563",'Unos prihoda i primitaka'!$L$3:$L$501,"=64")</f>
        <v>0</v>
      </c>
      <c r="P11" s="150">
        <f>SUMIFS('Unos prihoda i primitaka'!$G$3:$G$501,'Unos prihoda i primitaka'!$C$3:$C$501,"=573",'Unos prihoda i primitaka'!$L$3:$L$501,"=64")</f>
        <v>0</v>
      </c>
      <c r="Q11" s="150">
        <f>SUMIFS('Unos prihoda i primitaka'!$G$3:$G$501,'Unos prihoda i primitaka'!$C$3:$C$501,"=575",'Unos prihoda i primitaka'!$L$3:$L$501,"=64")</f>
        <v>0</v>
      </c>
      <c r="R11" s="150">
        <f>SUMIFS('Unos prihoda i primitaka'!$G$3:$G$501,'Unos prihoda i primitaka'!$C$3:$C$501,"=576",'Unos prihoda i primitaka'!$L$3:$L$501,"=64")</f>
        <v>0</v>
      </c>
      <c r="S11" s="150">
        <f>SUMIFS('Unos prihoda i primitaka'!$G$3:$G$501,'Unos prihoda i primitaka'!$C$3:$C$501,"=581",'Unos prihoda i primitaka'!$L$3:$L$501,"=64")</f>
        <v>0</v>
      </c>
      <c r="T11" s="150">
        <f>SUMIFS('Unos prihoda i primitaka'!$G$3:$G$501,'Unos prihoda i primitaka'!$C$3:$C$501,"=61",'Unos prihoda i primitaka'!$L$3:$L$501,"=64")</f>
        <v>0</v>
      </c>
      <c r="U11" s="150">
        <f>SUMIFS('Unos prihoda i primitaka'!$G$3:$G$501,'Unos prihoda i primitaka'!$C$3:$C$501,"=63",'Unos prihoda i primitaka'!$L$3:$L$501,"=64")</f>
        <v>0</v>
      </c>
      <c r="V11" s="150">
        <f>SUMIFS('Unos prihoda i primitaka'!$G$3:$G$501,'Unos prihoda i primitaka'!$C$3:$C$501,"=71",'Unos prihoda i primitaka'!$L$3:$L$501,"=64")</f>
        <v>0</v>
      </c>
    </row>
    <row r="12" spans="1:22" s="110" customFormat="1" ht="27.6">
      <c r="A12" s="118">
        <v>2023</v>
      </c>
      <c r="B12" s="119" t="s">
        <v>3217</v>
      </c>
      <c r="C12" s="120" t="s">
        <v>3218</v>
      </c>
      <c r="D12" s="121">
        <f t="shared" si="1"/>
        <v>862698</v>
      </c>
      <c r="E12" s="150">
        <f>SUMIFS('Unos prihoda i primitaka'!$G$3:$G$501,'Unos prihoda i primitaka'!$C$3:$C$501,"=11",'Unos prihoda i primitaka'!$L$3:$L$501,"=65")</f>
        <v>0</v>
      </c>
      <c r="F12" s="150">
        <f>SUMIFS('Unos prihoda i primitaka'!$G$3:$G$501,'Unos prihoda i primitaka'!$C$3:$C$501,"=12",'Unos prihoda i primitaka'!$L$3:$L$501,"=65")</f>
        <v>0</v>
      </c>
      <c r="G12" s="150">
        <f>SUMIFS('Unos prihoda i primitaka'!$G$3:$G$501,'Unos prihoda i primitaka'!$C$3:$C$501,"=31",'Unos prihoda i primitaka'!$L$3:$L$501,"=65")</f>
        <v>0</v>
      </c>
      <c r="H12" s="150">
        <f>SUMIFS('Unos prihoda i primitaka'!$G$3:$G$501,'Unos prihoda i primitaka'!$C$3:$C$501,"=41",'Unos prihoda i primitaka'!$L$3:$L$501,"=65")</f>
        <v>0</v>
      </c>
      <c r="I12" s="150">
        <f>SUMIFS('Unos prihoda i primitaka'!$G$3:$G$501,'Unos prihoda i primitaka'!$C$3:$C$501,"=43",'Unos prihoda i primitaka'!$L$3:$L$501,"=65")</f>
        <v>862698</v>
      </c>
      <c r="J12" s="150">
        <f>SUMIFS('Unos prihoda i primitaka'!$G$3:$G$501,'Unos prihoda i primitaka'!$C$3:$C$501,"=51",'Unos prihoda i primitaka'!$L$3:$L$501,"=65")</f>
        <v>0</v>
      </c>
      <c r="K12" s="150">
        <f>SUMIFS('Unos prihoda i primitaka'!$G$3:$G$501,'Unos prihoda i primitaka'!$C$3:$C$501,"=52",'Unos prihoda i primitaka'!$L$3:$L$501,"=65")</f>
        <v>0</v>
      </c>
      <c r="L12" s="150">
        <f>SUMIFS('Unos prihoda i primitaka'!$G$3:$G$501,'Unos prihoda i primitaka'!$C$3:$C$501,"=552",'Unos prihoda i primitaka'!$L$3:$L$501,"=65")</f>
        <v>0</v>
      </c>
      <c r="M12" s="150">
        <f>SUMIFS('Unos prihoda i primitaka'!$G$3:$G$501,'Unos prihoda i primitaka'!$C$3:$C$501,"=559",'Unos prihoda i primitaka'!$L$3:$L$501,"=65")</f>
        <v>0</v>
      </c>
      <c r="N12" s="150">
        <f>SUMIFS('Unos prihoda i primitaka'!$G$3:$G$501,'Unos prihoda i primitaka'!$C$3:$C$501,"=561",'Unos prihoda i primitaka'!$L$3:$L$501,"=65")</f>
        <v>0</v>
      </c>
      <c r="O12" s="150">
        <f>SUMIFS('Unos prihoda i primitaka'!$G$3:$G$501,'Unos prihoda i primitaka'!$C$3:$C$501,"=563",'Unos prihoda i primitaka'!$L$3:$L$501,"=65")</f>
        <v>0</v>
      </c>
      <c r="P12" s="150">
        <f>SUMIFS('Unos prihoda i primitaka'!$G$3:$G$501,'Unos prihoda i primitaka'!$C$3:$C$501,"=573",'Unos prihoda i primitaka'!$L$3:$L$501,"=65")</f>
        <v>0</v>
      </c>
      <c r="Q12" s="150">
        <f>SUMIFS('Unos prihoda i primitaka'!$G$3:$G$501,'Unos prihoda i primitaka'!$C$3:$C$501,"=575",'Unos prihoda i primitaka'!$L$3:$L$501,"=65")</f>
        <v>0</v>
      </c>
      <c r="R12" s="150">
        <f>SUMIFS('Unos prihoda i primitaka'!$G$3:$G$501,'Unos prihoda i primitaka'!$C$3:$C$501,"=576",'Unos prihoda i primitaka'!$L$3:$L$501,"=65")</f>
        <v>0</v>
      </c>
      <c r="S12" s="150">
        <f>SUMIFS('Unos prihoda i primitaka'!$G$3:$G$501,'Unos prihoda i primitaka'!$C$3:$C$501,"=581",'Unos prihoda i primitaka'!$L$3:$L$501,"=65")</f>
        <v>0</v>
      </c>
      <c r="T12" s="150">
        <f>SUMIFS('Unos prihoda i primitaka'!$G$3:$G$501,'Unos prihoda i primitaka'!$C$3:$C$501,"=61",'Unos prihoda i primitaka'!$L$3:$L$501,"=65")</f>
        <v>0</v>
      </c>
      <c r="U12" s="150">
        <f>SUMIFS('Unos prihoda i primitaka'!$G$3:$G$501,'Unos prihoda i primitaka'!$C$3:$C$501,"=63",'Unos prihoda i primitaka'!$L$3:$L$501,"=65")</f>
        <v>0</v>
      </c>
      <c r="V12" s="150">
        <f>SUMIFS('Unos prihoda i primitaka'!$G$3:$G$501,'Unos prihoda i primitaka'!$C$3:$C$501,"=71",'Unos prihoda i primitaka'!$L$3:$L$501,"=65")</f>
        <v>0</v>
      </c>
    </row>
    <row r="13" spans="1:22" s="110" customFormat="1" ht="27.6">
      <c r="A13" s="118">
        <v>2023</v>
      </c>
      <c r="B13" s="126" t="s">
        <v>3219</v>
      </c>
      <c r="C13" s="120" t="s">
        <v>3220</v>
      </c>
      <c r="D13" s="121">
        <f t="shared" si="1"/>
        <v>840533</v>
      </c>
      <c r="E13" s="150">
        <f>SUMIFS('Unos prihoda i primitaka'!$G$3:$G$501,'Unos prihoda i primitaka'!$C$3:$C$501,"=11",'Unos prihoda i primitaka'!$L$3:$L$501,"=66")</f>
        <v>0</v>
      </c>
      <c r="F13" s="150">
        <f>SUMIFS('Unos prihoda i primitaka'!$G$3:$G$501,'Unos prihoda i primitaka'!$C$3:$C$501,"=12",'Unos prihoda i primitaka'!$L$3:$L$501,"=66")</f>
        <v>0</v>
      </c>
      <c r="G13" s="150">
        <f>SUMIFS('Unos prihoda i primitaka'!$G$3:$G$501,'Unos prihoda i primitaka'!$C$3:$C$501,"=31",'Unos prihoda i primitaka'!$L$3:$L$501,"=66")</f>
        <v>800053</v>
      </c>
      <c r="H13" s="150">
        <f>SUMIFS('Unos prihoda i primitaka'!$G$3:$G$501,'Unos prihoda i primitaka'!$C$3:$C$501,"=41",'Unos prihoda i primitaka'!$L$3:$L$501,"=66")</f>
        <v>0</v>
      </c>
      <c r="I13" s="150">
        <f>SUMIFS('Unos prihoda i primitaka'!$G$3:$G$501,'Unos prihoda i primitaka'!$C$3:$C$501,"=43",'Unos prihoda i primitaka'!$L$3:$L$501,"=66")</f>
        <v>0</v>
      </c>
      <c r="J13" s="150">
        <f>SUMIFS('Unos prihoda i primitaka'!$G$3:$G$501,'Unos prihoda i primitaka'!$C$3:$C$501,"=51",'Unos prihoda i primitaka'!$L$3:$L$501,"=66")</f>
        <v>0</v>
      </c>
      <c r="K13" s="150">
        <f>SUMIFS('Unos prihoda i primitaka'!$G$3:$G$501,'Unos prihoda i primitaka'!$C$3:$C$501,"=52",'Unos prihoda i primitaka'!$L$3:$L$501,"=66")</f>
        <v>0</v>
      </c>
      <c r="L13" s="150">
        <f>SUMIFS('Unos prihoda i primitaka'!$G$3:$G$501,'Unos prihoda i primitaka'!$C$3:$C$501,"=552",'Unos prihoda i primitaka'!$L$3:$L$501,"=66")</f>
        <v>0</v>
      </c>
      <c r="M13" s="150">
        <f>SUMIFS('Unos prihoda i primitaka'!$G$3:$G$501,'Unos prihoda i primitaka'!$C$3:$C$501,"=559",'Unos prihoda i primitaka'!$L$3:$L$501,"=66")</f>
        <v>0</v>
      </c>
      <c r="N13" s="150">
        <f>SUMIFS('Unos prihoda i primitaka'!$G$3:$G$501,'Unos prihoda i primitaka'!$C$3:$C$501,"=561",'Unos prihoda i primitaka'!$L$3:$L$501,"=66")</f>
        <v>0</v>
      </c>
      <c r="O13" s="150">
        <f>SUMIFS('Unos prihoda i primitaka'!$G$3:$G$501,'Unos prihoda i primitaka'!$C$3:$C$501,"=563",'Unos prihoda i primitaka'!$L$3:$L$501,"=66")</f>
        <v>0</v>
      </c>
      <c r="P13" s="150">
        <f>SUMIFS('Unos prihoda i primitaka'!$G$3:$G$501,'Unos prihoda i primitaka'!$C$3:$C$501,"=573",'Unos prihoda i primitaka'!$L$3:$L$501,"=66")</f>
        <v>0</v>
      </c>
      <c r="Q13" s="150">
        <f>SUMIFS('Unos prihoda i primitaka'!$G$3:$G$501,'Unos prihoda i primitaka'!$C$3:$C$501,"=575",'Unos prihoda i primitaka'!$L$3:$L$501,"=66")</f>
        <v>0</v>
      </c>
      <c r="R13" s="150">
        <f>SUMIFS('Unos prihoda i primitaka'!$G$3:$G$501,'Unos prihoda i primitaka'!$C$3:$C$501,"=576",'Unos prihoda i primitaka'!$L$3:$L$501,"=66")</f>
        <v>0</v>
      </c>
      <c r="S13" s="150">
        <f>SUMIFS('Unos prihoda i primitaka'!$G$3:$G$501,'Unos prihoda i primitaka'!$C$3:$C$501,"=581",'Unos prihoda i primitaka'!$L$3:$L$501,"=66")</f>
        <v>0</v>
      </c>
      <c r="T13" s="150">
        <f>SUMIFS('Unos prihoda i primitaka'!$G$3:$G$501,'Unos prihoda i primitaka'!$C$3:$C$501,"=61",'Unos prihoda i primitaka'!$L$3:$L$501,"=66")</f>
        <v>40480</v>
      </c>
      <c r="U13" s="150">
        <f>SUMIFS('Unos prihoda i primitaka'!$G$3:$G$501,'Unos prihoda i primitaka'!$C$3:$C$501,"=63",'Unos prihoda i primitaka'!$L$3:$L$501,"=66")</f>
        <v>0</v>
      </c>
      <c r="V13" s="150">
        <f>SUMIFS('Unos prihoda i primitaka'!$G$3:$G$501,'Unos prihoda i primitaka'!$C$3:$C$501,"=71",'Unos prihoda i primitaka'!$L$3:$L$501,"=66")</f>
        <v>0</v>
      </c>
    </row>
    <row r="14" spans="1:22" s="110" customFormat="1">
      <c r="A14" s="118">
        <v>2023</v>
      </c>
      <c r="B14" s="119" t="s">
        <v>3221</v>
      </c>
      <c r="C14" s="120" t="s">
        <v>3222</v>
      </c>
      <c r="D14" s="121">
        <f t="shared" si="1"/>
        <v>4061810</v>
      </c>
      <c r="E14" s="150">
        <f>SUMIFS('Unos prihoda i primitaka'!$G$3:$G$501,'Unos prihoda i primitaka'!$C$3:$C$501,"=11",'Unos prihoda i primitaka'!$L$3:$L$501,"=67")</f>
        <v>4058907</v>
      </c>
      <c r="F14" s="150">
        <f>SUMIFS('Unos prihoda i primitaka'!$G$3:$G$501,'Unos prihoda i primitaka'!$C$3:$C$501,"=12",'Unos prihoda i primitaka'!$L$3:$L$501,"=67")</f>
        <v>2903</v>
      </c>
      <c r="G14" s="150">
        <f>SUMIFS('Unos prihoda i primitaka'!$G$3:$G$501,'Unos prihoda i primitaka'!$C$3:$C$501,"=31",'Unos prihoda i primitaka'!$L$3:$L$501,"=67")</f>
        <v>0</v>
      </c>
      <c r="H14" s="150">
        <f>SUMIFS('Unos prihoda i primitaka'!$G$3:$G$501,'Unos prihoda i primitaka'!$C$3:$C$501,"=41",'Unos prihoda i primitaka'!$L$3:$L$501,"=67")</f>
        <v>0</v>
      </c>
      <c r="I14" s="150">
        <f>SUMIFS('Unos prihoda i primitaka'!$G$3:$G$501,'Unos prihoda i primitaka'!$C$3:$C$501,"=43",'Unos prihoda i primitaka'!$L$3:$L$501,"=67")</f>
        <v>0</v>
      </c>
      <c r="J14" s="150">
        <f>SUMIFS('Unos prihoda i primitaka'!$G$3:$G$501,'Unos prihoda i primitaka'!$C$3:$C$501,"=51",'Unos prihoda i primitaka'!$L$3:$L$501,"=67")</f>
        <v>0</v>
      </c>
      <c r="K14" s="150">
        <f>SUMIFS('Unos prihoda i primitaka'!$G$3:$G$501,'Unos prihoda i primitaka'!$C$3:$C$501,"=52",'Unos prihoda i primitaka'!$L$3:$L$501,"=67")</f>
        <v>0</v>
      </c>
      <c r="L14" s="150">
        <f>SUMIFS('Unos prihoda i primitaka'!$G$3:$G$501,'Unos prihoda i primitaka'!$C$3:$C$501,"=552",'Unos prihoda i primitaka'!$L$3:$L$501,"=67")</f>
        <v>0</v>
      </c>
      <c r="M14" s="150">
        <f>SUMIFS('Unos prihoda i primitaka'!$G$3:$G$501,'Unos prihoda i primitaka'!$C$3:$C$501,"=559",'Unos prihoda i primitaka'!$L$3:$L$501,"=67")</f>
        <v>0</v>
      </c>
      <c r="N14" s="150">
        <f>SUMIFS('Unos prihoda i primitaka'!$G$3:$G$501,'Unos prihoda i primitaka'!$C$3:$C$501,"=561",'Unos prihoda i primitaka'!$L$3:$L$501,"=67")</f>
        <v>0</v>
      </c>
      <c r="O14" s="150">
        <f>SUMIFS('Unos prihoda i primitaka'!$G$3:$G$501,'Unos prihoda i primitaka'!$C$3:$C$501,"=563",'Unos prihoda i primitaka'!$L$3:$L$501,"=67")</f>
        <v>0</v>
      </c>
      <c r="P14" s="150">
        <f>SUMIFS('Unos prihoda i primitaka'!$G$3:$G$501,'Unos prihoda i primitaka'!$C$3:$C$501,"=573",'Unos prihoda i primitaka'!$L$3:$L$501,"=67")</f>
        <v>0</v>
      </c>
      <c r="Q14" s="150">
        <f>SUMIFS('Unos prihoda i primitaka'!$G$3:$G$501,'Unos prihoda i primitaka'!$C$3:$C$501,"=575",'Unos prihoda i primitaka'!$L$3:$L$501,"=67")</f>
        <v>0</v>
      </c>
      <c r="R14" s="150">
        <f>SUMIFS('Unos prihoda i primitaka'!$G$3:$G$501,'Unos prihoda i primitaka'!$C$3:$C$501,"=576",'Unos prihoda i primitaka'!$L$3:$L$501,"=67")</f>
        <v>0</v>
      </c>
      <c r="S14" s="150">
        <f>SUMIFS('Unos prihoda i primitaka'!$G$3:$G$501,'Unos prihoda i primitaka'!$C$3:$C$501,"=581",'Unos prihoda i primitaka'!$L$3:$L$501,"=67")</f>
        <v>0</v>
      </c>
      <c r="T14" s="150">
        <f>SUMIFS('Unos prihoda i primitaka'!$G$3:$G$501,'Unos prihoda i primitaka'!$C$3:$C$501,"=61",'Unos prihoda i primitaka'!$L$3:$L$501,"=67")</f>
        <v>0</v>
      </c>
      <c r="U14" s="150">
        <f>SUMIFS('Unos prihoda i primitaka'!$G$3:$G$501,'Unos prihoda i primitaka'!$C$3:$C$501,"=63",'Unos prihoda i primitaka'!$L$3:$L$501,"=67")</f>
        <v>0</v>
      </c>
      <c r="V14" s="150">
        <f>SUMIFS('Unos prihoda i primitaka'!$G$3:$G$501,'Unos prihoda i primitaka'!$C$3:$C$501,"=71",'Unos prihoda i primitaka'!$L$3:$L$501,"=67")</f>
        <v>0</v>
      </c>
    </row>
    <row r="15" spans="1:22" s="110" customFormat="1">
      <c r="A15" s="118">
        <v>2023</v>
      </c>
      <c r="B15" s="119" t="s">
        <v>3223</v>
      </c>
      <c r="C15" s="120" t="s">
        <v>3224</v>
      </c>
      <c r="D15" s="121">
        <f t="shared" si="1"/>
        <v>2257</v>
      </c>
      <c r="E15" s="150">
        <f>SUMIFS('Unos prihoda i primitaka'!$G$3:$G$501,'Unos prihoda i primitaka'!$C$3:$C$501,"=11",'Unos prihoda i primitaka'!$L$3:$L$501,"=68")</f>
        <v>0</v>
      </c>
      <c r="F15" s="150">
        <f>SUMIFS('Unos prihoda i primitaka'!$G$3:$G$501,'Unos prihoda i primitaka'!$C$3:$C$501,"=12",'Unos prihoda i primitaka'!$L$3:$L$501,"=68")</f>
        <v>0</v>
      </c>
      <c r="G15" s="150">
        <f>SUMIFS('Unos prihoda i primitaka'!$G$3:$G$501,'Unos prihoda i primitaka'!$C$3:$C$501,"=31",'Unos prihoda i primitaka'!$L$3:$L$501,"=68")</f>
        <v>0</v>
      </c>
      <c r="H15" s="150">
        <f>SUMIFS('Unos prihoda i primitaka'!$G$3:$G$501,'Unos prihoda i primitaka'!$C$3:$C$501,"=41",'Unos prihoda i primitaka'!$L$3:$L$501,"=68")</f>
        <v>0</v>
      </c>
      <c r="I15" s="150">
        <f>SUMIFS('Unos prihoda i primitaka'!$G$3:$G$501,'Unos prihoda i primitaka'!$C$3:$C$501,"=43",'Unos prihoda i primitaka'!$L$3:$L$501,"=68")</f>
        <v>2257</v>
      </c>
      <c r="J15" s="150">
        <f>SUMIFS('Unos prihoda i primitaka'!$G$3:$G$501,'Unos prihoda i primitaka'!$C$3:$C$501,"=51",'Unos prihoda i primitaka'!$L$3:$L$501,"=68")</f>
        <v>0</v>
      </c>
      <c r="K15" s="150">
        <f>SUMIFS('Unos prihoda i primitaka'!$G$3:$G$501,'Unos prihoda i primitaka'!$C$3:$C$501,"=52",'Unos prihoda i primitaka'!$L$3:$L$501,"=68")</f>
        <v>0</v>
      </c>
      <c r="L15" s="150">
        <f>SUMIFS('Unos prihoda i primitaka'!$G$3:$G$501,'Unos prihoda i primitaka'!$C$3:$C$501,"=552",'Unos prihoda i primitaka'!$L$3:$L$501,"=68")</f>
        <v>0</v>
      </c>
      <c r="M15" s="150">
        <f>SUMIFS('Unos prihoda i primitaka'!$G$3:$G$501,'Unos prihoda i primitaka'!$C$3:$C$501,"=559",'Unos prihoda i primitaka'!$L$3:$L$501,"=68")</f>
        <v>0</v>
      </c>
      <c r="N15" s="150">
        <f>SUMIFS('Unos prihoda i primitaka'!$G$3:$G$501,'Unos prihoda i primitaka'!$C$3:$C$501,"=561",'Unos prihoda i primitaka'!$L$3:$L$501,"=68")</f>
        <v>0</v>
      </c>
      <c r="O15" s="150">
        <f>SUMIFS('Unos prihoda i primitaka'!$G$3:$G$501,'Unos prihoda i primitaka'!$C$3:$C$501,"=563",'Unos prihoda i primitaka'!$L$3:$L$501,"=68")</f>
        <v>0</v>
      </c>
      <c r="P15" s="150">
        <f>SUMIFS('Unos prihoda i primitaka'!$G$3:$G$501,'Unos prihoda i primitaka'!$C$3:$C$501,"=573",'Unos prihoda i primitaka'!$L$3:$L$501,"=68")</f>
        <v>0</v>
      </c>
      <c r="Q15" s="150">
        <f>SUMIFS('Unos prihoda i primitaka'!$G$3:$G$501,'Unos prihoda i primitaka'!$C$3:$C$501,"=575",'Unos prihoda i primitaka'!$L$3:$L$501,"=68")</f>
        <v>0</v>
      </c>
      <c r="R15" s="150">
        <f>SUMIFS('Unos prihoda i primitaka'!$G$3:$G$501,'Unos prihoda i primitaka'!$C$3:$C$501,"=576",'Unos prihoda i primitaka'!$L$3:$L$501,"=68")</f>
        <v>0</v>
      </c>
      <c r="S15" s="150">
        <f>SUMIFS('Unos prihoda i primitaka'!$G$3:$G$501,'Unos prihoda i primitaka'!$C$3:$C$501,"=581",'Unos prihoda i primitaka'!$L$3:$L$501,"=68")</f>
        <v>0</v>
      </c>
      <c r="T15" s="150">
        <f>SUMIFS('Unos prihoda i primitaka'!$G$3:$G$501,'Unos prihoda i primitaka'!$C$3:$C$501,"=61",'Unos prihoda i primitaka'!$L$3:$L$501,"=68")</f>
        <v>0</v>
      </c>
      <c r="U15" s="150">
        <f>SUMIFS('Unos prihoda i primitaka'!$G$3:$G$501,'Unos prihoda i primitaka'!$C$3:$C$501,"=63",'Unos prihoda i primitaka'!$L$3:$L$501,"=68")</f>
        <v>0</v>
      </c>
      <c r="V15" s="150">
        <f>SUMIFS('Unos prihoda i primitaka'!$G$3:$G$501,'Unos prihoda i primitaka'!$C$3:$C$501,"=71",'Unos prihoda i primitaka'!$L$3:$L$501,"=68")</f>
        <v>0</v>
      </c>
    </row>
    <row r="16" spans="1:22" s="110" customFormat="1">
      <c r="A16" s="118">
        <v>2023</v>
      </c>
      <c r="B16" s="151" t="s">
        <v>3225</v>
      </c>
      <c r="C16" s="152" t="s">
        <v>3226</v>
      </c>
      <c r="D16" s="121">
        <f>SUM(E16:V16)</f>
        <v>6468030</v>
      </c>
      <c r="E16" s="153">
        <f t="shared" ref="E16:V16" si="2">SUM(E9:E15)</f>
        <v>4058907</v>
      </c>
      <c r="F16" s="153">
        <f t="shared" si="2"/>
        <v>2903</v>
      </c>
      <c r="G16" s="153">
        <f t="shared" si="2"/>
        <v>800053</v>
      </c>
      <c r="H16" s="153">
        <f t="shared" si="2"/>
        <v>0</v>
      </c>
      <c r="I16" s="153">
        <f t="shared" si="2"/>
        <v>864955</v>
      </c>
      <c r="J16" s="153">
        <f t="shared" si="2"/>
        <v>530891</v>
      </c>
      <c r="K16" s="153">
        <f t="shared" si="2"/>
        <v>150967</v>
      </c>
      <c r="L16" s="153">
        <f t="shared" si="2"/>
        <v>0</v>
      </c>
      <c r="M16" s="153">
        <f t="shared" si="2"/>
        <v>0</v>
      </c>
      <c r="N16" s="153">
        <f t="shared" si="2"/>
        <v>18874</v>
      </c>
      <c r="O16" s="153">
        <f t="shared" si="2"/>
        <v>0</v>
      </c>
      <c r="P16" s="153">
        <f t="shared" si="2"/>
        <v>0</v>
      </c>
      <c r="Q16" s="153">
        <f t="shared" si="2"/>
        <v>0</v>
      </c>
      <c r="R16" s="153">
        <f t="shared" si="2"/>
        <v>0</v>
      </c>
      <c r="S16" s="153">
        <f t="shared" si="2"/>
        <v>0</v>
      </c>
      <c r="T16" s="153">
        <f t="shared" si="2"/>
        <v>40480</v>
      </c>
      <c r="U16" s="153">
        <f t="shared" si="2"/>
        <v>0</v>
      </c>
      <c r="V16" s="153">
        <f t="shared" si="2"/>
        <v>0</v>
      </c>
    </row>
    <row r="17" spans="1:22" s="110" customFormat="1">
      <c r="A17" s="118">
        <v>2023</v>
      </c>
      <c r="B17" s="119" t="s">
        <v>3227</v>
      </c>
      <c r="C17" s="154" t="s">
        <v>3228</v>
      </c>
      <c r="D17" s="121">
        <f t="shared" si="1"/>
        <v>0</v>
      </c>
      <c r="E17" s="150">
        <f>SUMIFS('Unos prihoda i primitaka'!$G$3:$G$501,'Unos prihoda i primitaka'!$C$3:$C$501,"=11",'Unos prihoda i primitaka'!$L$3:$L$501,"=71")</f>
        <v>0</v>
      </c>
      <c r="F17" s="150">
        <f>SUMIFS('Unos prihoda i primitaka'!$G$3:$G$501,'Unos prihoda i primitaka'!$C$3:$C$501,"=12",'Unos prihoda i primitaka'!$L$3:$L$501,"=71")</f>
        <v>0</v>
      </c>
      <c r="G17" s="150">
        <f>SUMIFS('Unos prihoda i primitaka'!$G$3:$G$501,'Unos prihoda i primitaka'!$C$3:$C$501,"=31",'Unos prihoda i primitaka'!$L$3:$L$501,"=71")</f>
        <v>0</v>
      </c>
      <c r="H17" s="150">
        <f>SUMIFS('Unos prihoda i primitaka'!$G$3:$G$501,'Unos prihoda i primitaka'!$C$3:$C$501,"=41",'Unos prihoda i primitaka'!$L$3:$L$501,"=71")</f>
        <v>0</v>
      </c>
      <c r="I17" s="150">
        <f>SUMIFS('Unos prihoda i primitaka'!$G$3:$G$501,'Unos prihoda i primitaka'!$C$3:$C$501,"=43",'Unos prihoda i primitaka'!$L$3:$L$501,"=71")</f>
        <v>0</v>
      </c>
      <c r="J17" s="150">
        <f>SUMIFS('Unos prihoda i primitaka'!$G$3:$G$501,'Unos prihoda i primitaka'!$C$3:$C$501,"=51",'Unos prihoda i primitaka'!$L$3:$L$501,"=71")</f>
        <v>0</v>
      </c>
      <c r="K17" s="150">
        <f>SUMIFS('Unos prihoda i primitaka'!$G$3:$G$501,'Unos prihoda i primitaka'!$C$3:$C$501,"=52",'Unos prihoda i primitaka'!$L$3:$L$501,"=71")</f>
        <v>0</v>
      </c>
      <c r="L17" s="150">
        <f>SUMIFS('Unos prihoda i primitaka'!$G$3:$G$501,'Unos prihoda i primitaka'!$C$3:$C$501,"=552",'Unos prihoda i primitaka'!$L$3:$L$501,"=71")</f>
        <v>0</v>
      </c>
      <c r="M17" s="150">
        <f>SUMIFS('Unos prihoda i primitaka'!$G$3:$G$501,'Unos prihoda i primitaka'!$C$3:$C$501,"=559",'Unos prihoda i primitaka'!$L$3:$L$501,"=71")</f>
        <v>0</v>
      </c>
      <c r="N17" s="150">
        <f>SUMIFS('Unos prihoda i primitaka'!$G$3:$G$501,'Unos prihoda i primitaka'!$C$3:$C$501,"=561",'Unos prihoda i primitaka'!$L$3:$L$501,"=71")</f>
        <v>0</v>
      </c>
      <c r="O17" s="150">
        <f>SUMIFS('Unos prihoda i primitaka'!$G$3:$G$501,'Unos prihoda i primitaka'!$C$3:$C$501,"=563",'Unos prihoda i primitaka'!$L$3:$L$501,"=71")</f>
        <v>0</v>
      </c>
      <c r="P17" s="150">
        <f>SUMIFS('Unos prihoda i primitaka'!$G$3:$G$501,'Unos prihoda i primitaka'!$C$3:$C$501,"=573",'Unos prihoda i primitaka'!$L$3:$L$501,"=71")</f>
        <v>0</v>
      </c>
      <c r="Q17" s="150">
        <f>SUMIFS('Unos prihoda i primitaka'!$G$3:$G$501,'Unos prihoda i primitaka'!$C$3:$C$501,"=575",'Unos prihoda i primitaka'!$L$3:$L$501,"=71")</f>
        <v>0</v>
      </c>
      <c r="R17" s="150">
        <f>SUMIFS('Unos prihoda i primitaka'!$G$3:$G$501,'Unos prihoda i primitaka'!$C$3:$C$501,"=576",'Unos prihoda i primitaka'!$L$3:$L$501,"=71")</f>
        <v>0</v>
      </c>
      <c r="S17" s="150">
        <f>SUMIFS('Unos prihoda i primitaka'!$G$3:$G$501,'Unos prihoda i primitaka'!$C$3:$C$501,"=581",'Unos prihoda i primitaka'!$L$3:$L$501,"=71")</f>
        <v>0</v>
      </c>
      <c r="T17" s="150">
        <f>SUMIFS('Unos prihoda i primitaka'!$G$3:$G$501,'Unos prihoda i primitaka'!$C$3:$C$501,"=61",'Unos prihoda i primitaka'!$L$3:$L$501,"=71")</f>
        <v>0</v>
      </c>
      <c r="U17" s="150">
        <f>SUMIFS('Unos prihoda i primitaka'!$G$3:$G$501,'Unos prihoda i primitaka'!$C$3:$C$501,"=63",'Unos prihoda i primitaka'!$L$3:$L$501,"=71")</f>
        <v>0</v>
      </c>
      <c r="V17" s="150">
        <f>SUMIFS('Unos prihoda i primitaka'!$G$3:$G$501,'Unos prihoda i primitaka'!$C$3:$C$501,"=71",'Unos prihoda i primitaka'!$L$3:$L$501,"=71")</f>
        <v>0</v>
      </c>
    </row>
    <row r="18" spans="1:22" s="110" customFormat="1">
      <c r="A18" s="118">
        <v>2023</v>
      </c>
      <c r="B18" s="119" t="s">
        <v>3229</v>
      </c>
      <c r="C18" s="154" t="s">
        <v>3230</v>
      </c>
      <c r="D18" s="121">
        <f t="shared" si="1"/>
        <v>796</v>
      </c>
      <c r="E18" s="150">
        <f>SUMIFS('Unos prihoda i primitaka'!$G$3:$G$501,'Unos prihoda i primitaka'!$C$3:$C$501,"=11",'Unos prihoda i primitaka'!$L$3:$L$501,"=72")</f>
        <v>0</v>
      </c>
      <c r="F18" s="150">
        <f>SUMIFS('Unos prihoda i primitaka'!$G$3:$G$501,'Unos prihoda i primitaka'!$C$3:$C$501,"=12",'Unos prihoda i primitaka'!$L$3:$L$501,"=72")</f>
        <v>0</v>
      </c>
      <c r="G18" s="150">
        <f>SUMIFS('Unos prihoda i primitaka'!$G$3:$G$501,'Unos prihoda i primitaka'!$C$3:$C$501,"=31",'Unos prihoda i primitaka'!$L$3:$L$501,"=72")</f>
        <v>0</v>
      </c>
      <c r="H18" s="150">
        <f>SUMIFS('Unos prihoda i primitaka'!$G$3:$G$501,'Unos prihoda i primitaka'!$C$3:$C$501,"=41",'Unos prihoda i primitaka'!$L$3:$L$501,"=72")</f>
        <v>0</v>
      </c>
      <c r="I18" s="150">
        <f>SUMIFS('Unos prihoda i primitaka'!$G$3:$G$501,'Unos prihoda i primitaka'!$C$3:$C$501,"=43",'Unos prihoda i primitaka'!$L$3:$L$501,"=72")</f>
        <v>0</v>
      </c>
      <c r="J18" s="150">
        <f>SUMIFS('Unos prihoda i primitaka'!$G$3:$G$501,'Unos prihoda i primitaka'!$C$3:$C$501,"=51",'Unos prihoda i primitaka'!$L$3:$L$501,"=72")</f>
        <v>0</v>
      </c>
      <c r="K18" s="150">
        <f>SUMIFS('Unos prihoda i primitaka'!$G$3:$G$501,'Unos prihoda i primitaka'!$C$3:$C$501,"=52",'Unos prihoda i primitaka'!$L$3:$L$501,"=72")</f>
        <v>0</v>
      </c>
      <c r="L18" s="150">
        <f>SUMIFS('Unos prihoda i primitaka'!$G$3:$G$501,'Unos prihoda i primitaka'!$C$3:$C$501,"=552",'Unos prihoda i primitaka'!$L$3:$L$501,"=72")</f>
        <v>0</v>
      </c>
      <c r="M18" s="150">
        <f>SUMIFS('Unos prihoda i primitaka'!$G$3:$G$501,'Unos prihoda i primitaka'!$C$3:$C$501,"=559",'Unos prihoda i primitaka'!$L$3:$L$501,"=72")</f>
        <v>0</v>
      </c>
      <c r="N18" s="150">
        <f>SUMIFS('Unos prihoda i primitaka'!$G$3:$G$501,'Unos prihoda i primitaka'!$C$3:$C$501,"=561",'Unos prihoda i primitaka'!$L$3:$L$501,"=72")</f>
        <v>0</v>
      </c>
      <c r="O18" s="150">
        <f>SUMIFS('Unos prihoda i primitaka'!$G$3:$G$501,'Unos prihoda i primitaka'!$C$3:$C$501,"=563",'Unos prihoda i primitaka'!$L$3:$L$501,"=72")</f>
        <v>0</v>
      </c>
      <c r="P18" s="150">
        <f>SUMIFS('Unos prihoda i primitaka'!$G$3:$G$501,'Unos prihoda i primitaka'!$C$3:$C$501,"=573",'Unos prihoda i primitaka'!$L$3:$L$501,"=72")</f>
        <v>0</v>
      </c>
      <c r="Q18" s="150">
        <f>SUMIFS('Unos prihoda i primitaka'!$G$3:$G$501,'Unos prihoda i primitaka'!$C$3:$C$501,"=575",'Unos prihoda i primitaka'!$L$3:$L$501,"=72")</f>
        <v>0</v>
      </c>
      <c r="R18" s="150">
        <f>SUMIFS('Unos prihoda i primitaka'!$G$3:$G$501,'Unos prihoda i primitaka'!$C$3:$C$501,"=576",'Unos prihoda i primitaka'!$L$3:$L$501,"=72")</f>
        <v>0</v>
      </c>
      <c r="S18" s="150">
        <f>SUMIFS('Unos prihoda i primitaka'!$G$3:$G$501,'Unos prihoda i primitaka'!$C$3:$C$501,"=581",'Unos prihoda i primitaka'!$L$3:$L$501,"=72")</f>
        <v>0</v>
      </c>
      <c r="T18" s="150">
        <f>SUMIFS('Unos prihoda i primitaka'!$G$3:$G$501,'Unos prihoda i primitaka'!$C$3:$C$501,"=61",'Unos prihoda i primitaka'!$L$3:$L$501,"=72")</f>
        <v>0</v>
      </c>
      <c r="U18" s="150">
        <f>SUMIFS('Unos prihoda i primitaka'!$G$3:$G$501,'Unos prihoda i primitaka'!$C$3:$C$501,"=63",'Unos prihoda i primitaka'!$L$3:$L$501,"=72")</f>
        <v>0</v>
      </c>
      <c r="V18" s="150">
        <f>SUMIFS('Unos prihoda i primitaka'!$G$3:$G$501,'Unos prihoda i primitaka'!$C$3:$C$501,"=71",'Unos prihoda i primitaka'!$L$3:$L$501,"=72")</f>
        <v>796</v>
      </c>
    </row>
    <row r="19" spans="1:22" s="110" customFormat="1">
      <c r="A19" s="118">
        <v>2023</v>
      </c>
      <c r="B19" s="151" t="s">
        <v>3231</v>
      </c>
      <c r="C19" s="152" t="s">
        <v>3226</v>
      </c>
      <c r="D19" s="121">
        <f>SUM(E19:V19)</f>
        <v>796</v>
      </c>
      <c r="E19" s="153">
        <f>SUM(E17:E18)</f>
        <v>0</v>
      </c>
      <c r="F19" s="153">
        <f t="shared" ref="F19:V19" si="3">SUM(F17:F18)</f>
        <v>0</v>
      </c>
      <c r="G19" s="153">
        <f t="shared" si="3"/>
        <v>0</v>
      </c>
      <c r="H19" s="153">
        <f t="shared" si="3"/>
        <v>0</v>
      </c>
      <c r="I19" s="153">
        <f t="shared" si="3"/>
        <v>0</v>
      </c>
      <c r="J19" s="153">
        <f t="shared" si="3"/>
        <v>0</v>
      </c>
      <c r="K19" s="153">
        <f t="shared" si="3"/>
        <v>0</v>
      </c>
      <c r="L19" s="153">
        <f t="shared" si="3"/>
        <v>0</v>
      </c>
      <c r="M19" s="153">
        <f t="shared" si="3"/>
        <v>0</v>
      </c>
      <c r="N19" s="153">
        <f t="shared" si="3"/>
        <v>0</v>
      </c>
      <c r="O19" s="153">
        <f t="shared" si="3"/>
        <v>0</v>
      </c>
      <c r="P19" s="153">
        <f t="shared" si="3"/>
        <v>0</v>
      </c>
      <c r="Q19" s="153">
        <f t="shared" si="3"/>
        <v>0</v>
      </c>
      <c r="R19" s="153">
        <f t="shared" si="3"/>
        <v>0</v>
      </c>
      <c r="S19" s="153">
        <f t="shared" si="3"/>
        <v>0</v>
      </c>
      <c r="T19" s="153">
        <f t="shared" si="3"/>
        <v>0</v>
      </c>
      <c r="U19" s="153">
        <f t="shared" si="3"/>
        <v>0</v>
      </c>
      <c r="V19" s="153">
        <f t="shared" si="3"/>
        <v>796</v>
      </c>
    </row>
    <row r="20" spans="1:22">
      <c r="B20" s="132"/>
      <c r="C20" s="132"/>
      <c r="D20" s="132"/>
      <c r="E20" s="132"/>
      <c r="F20" s="132"/>
      <c r="G20" s="132"/>
      <c r="H20" s="132"/>
      <c r="I20" s="133"/>
      <c r="J20" s="134"/>
      <c r="K20" s="134"/>
      <c r="L20" s="134"/>
      <c r="M20" s="134"/>
      <c r="N20" s="134"/>
      <c r="O20" s="134"/>
      <c r="P20" s="134"/>
      <c r="Q20" s="134"/>
      <c r="R20" s="134"/>
      <c r="S20" s="112"/>
    </row>
    <row r="21" spans="1:22" s="110" customFormat="1" ht="96.6">
      <c r="A21" s="113" t="s">
        <v>3176</v>
      </c>
      <c r="B21" s="114" t="s">
        <v>3177</v>
      </c>
      <c r="C21" s="114" t="s">
        <v>3178</v>
      </c>
      <c r="D21" s="115" t="s">
        <v>3204</v>
      </c>
      <c r="E21" s="116" t="s">
        <v>3180</v>
      </c>
      <c r="F21" s="116" t="s">
        <v>3181</v>
      </c>
      <c r="G21" s="116" t="s">
        <v>3182</v>
      </c>
      <c r="H21" s="116" t="s">
        <v>3183</v>
      </c>
      <c r="I21" s="116" t="s">
        <v>3184</v>
      </c>
      <c r="J21" s="116" t="s">
        <v>3185</v>
      </c>
      <c r="K21" s="116" t="s">
        <v>3186</v>
      </c>
      <c r="L21" s="116" t="s">
        <v>3187</v>
      </c>
      <c r="M21" s="116" t="s">
        <v>3188</v>
      </c>
      <c r="N21" s="116" t="s">
        <v>3189</v>
      </c>
      <c r="O21" s="116" t="s">
        <v>3190</v>
      </c>
      <c r="P21" s="116" t="s">
        <v>3191</v>
      </c>
      <c r="Q21" s="116" t="s">
        <v>3192</v>
      </c>
      <c r="R21" s="116" t="s">
        <v>3193</v>
      </c>
      <c r="S21" s="117" t="s">
        <v>3194</v>
      </c>
      <c r="T21" s="116" t="s">
        <v>3195</v>
      </c>
      <c r="U21" s="117" t="s">
        <v>3196</v>
      </c>
      <c r="V21" s="117" t="s">
        <v>3197</v>
      </c>
    </row>
    <row r="22" spans="1:22" s="110" customFormat="1" ht="20.25" customHeight="1">
      <c r="A22" s="118">
        <v>2023</v>
      </c>
      <c r="B22" s="130">
        <v>2023</v>
      </c>
      <c r="C22" s="130" t="s">
        <v>3210</v>
      </c>
      <c r="D22" s="131">
        <f>SUM(E22:V22)</f>
        <v>6301398</v>
      </c>
      <c r="E22" s="131">
        <f t="shared" ref="E22:V22" si="4">+E33+E30</f>
        <v>3758066</v>
      </c>
      <c r="F22" s="131">
        <f t="shared" si="4"/>
        <v>19147</v>
      </c>
      <c r="G22" s="131">
        <f t="shared" si="4"/>
        <v>901100</v>
      </c>
      <c r="H22" s="131">
        <f t="shared" si="4"/>
        <v>0</v>
      </c>
      <c r="I22" s="131">
        <f t="shared" si="4"/>
        <v>705400</v>
      </c>
      <c r="J22" s="131">
        <f t="shared" si="4"/>
        <v>600000</v>
      </c>
      <c r="K22" s="131">
        <f t="shared" si="4"/>
        <v>142966</v>
      </c>
      <c r="L22" s="131">
        <f t="shared" si="4"/>
        <v>0</v>
      </c>
      <c r="M22" s="131">
        <f t="shared" si="4"/>
        <v>0</v>
      </c>
      <c r="N22" s="131">
        <f t="shared" si="4"/>
        <v>108497</v>
      </c>
      <c r="O22" s="131">
        <f t="shared" si="4"/>
        <v>0</v>
      </c>
      <c r="P22" s="131">
        <f t="shared" si="4"/>
        <v>0</v>
      </c>
      <c r="Q22" s="131">
        <f t="shared" si="4"/>
        <v>0</v>
      </c>
      <c r="R22" s="131">
        <f t="shared" si="4"/>
        <v>0</v>
      </c>
      <c r="S22" s="131">
        <f t="shared" si="4"/>
        <v>0</v>
      </c>
      <c r="T22" s="131">
        <f t="shared" si="4"/>
        <v>65500</v>
      </c>
      <c r="U22" s="131">
        <f t="shared" si="4"/>
        <v>0</v>
      </c>
      <c r="V22" s="131">
        <f t="shared" si="4"/>
        <v>722</v>
      </c>
    </row>
    <row r="23" spans="1:22" s="110" customFormat="1">
      <c r="A23" s="118">
        <v>2023</v>
      </c>
      <c r="B23" s="148" t="s">
        <v>3211</v>
      </c>
      <c r="C23" s="149" t="s">
        <v>3212</v>
      </c>
      <c r="D23" s="121">
        <f t="shared" ref="D23:D33" si="5">SUM(E23:V23)</f>
        <v>0</v>
      </c>
      <c r="E23" s="150">
        <f>SUMIFS('Unos prihoda i primitaka'!$H$3:$H$501,'Unos prihoda i primitaka'!$C$3:$C$501,"=11",'Unos prihoda i primitaka'!$L$3:$L$501,"=61")</f>
        <v>0</v>
      </c>
      <c r="F23" s="150">
        <f>SUMIFS('Unos prihoda i primitaka'!$H$3:$H$501,'Unos prihoda i primitaka'!$C$3:$C$501,"=12",'Unos prihoda i primitaka'!$L$3:$L$501,"=61")</f>
        <v>0</v>
      </c>
      <c r="G23" s="150">
        <f>SUMIFS('Unos prihoda i primitaka'!$H$3:$H$501,'Unos prihoda i primitaka'!$C$3:$C$501,"=31",'Unos prihoda i primitaka'!$L$3:$L$501,"=61")</f>
        <v>0</v>
      </c>
      <c r="H23" s="150">
        <f>SUMIFS('Unos prihoda i primitaka'!$H$3:$H$501,'Unos prihoda i primitaka'!$C$3:$C$501,"=41",'Unos prihoda i primitaka'!$L$3:$L$501,"=61")</f>
        <v>0</v>
      </c>
      <c r="I23" s="150">
        <f>SUMIFS('Unos prihoda i primitaka'!$H$3:$H$501,'Unos prihoda i primitaka'!$C$3:$C$501,"=43",'Unos prihoda i primitaka'!$L$3:$L$501,"=61")</f>
        <v>0</v>
      </c>
      <c r="J23" s="150">
        <f>SUMIFS('Unos prihoda i primitaka'!$H$3:$H$501,'Unos prihoda i primitaka'!$C$3:$C$501,"=51",'Unos prihoda i primitaka'!$L$3:$L$501,"=61")</f>
        <v>0</v>
      </c>
      <c r="K23" s="150">
        <f>SUMIFS('Unos prihoda i primitaka'!$H$3:$H$501,'Unos prihoda i primitaka'!$C$3:$C$501,"=52",'Unos prihoda i primitaka'!$L$3:$L$501,"=61")</f>
        <v>0</v>
      </c>
      <c r="L23" s="150">
        <f>SUMIFS('Unos prihoda i primitaka'!$H$3:$H$501,'Unos prihoda i primitaka'!$C$3:$C$501,"=552",'Unos prihoda i primitaka'!$L$3:$L$501,"=61")</f>
        <v>0</v>
      </c>
      <c r="M23" s="150">
        <f>SUMIFS('Unos prihoda i primitaka'!$H$3:$H$501,'Unos prihoda i primitaka'!$C$3:$C$501,"=559",'Unos prihoda i primitaka'!$L$3:$L$501,"=61")</f>
        <v>0</v>
      </c>
      <c r="N23" s="150">
        <f>SUMIFS('Unos prihoda i primitaka'!$H$3:$H$501,'Unos prihoda i primitaka'!$C$3:$C$501,"=561",'Unos prihoda i primitaka'!$L$3:$L$501,"=61")</f>
        <v>0</v>
      </c>
      <c r="O23" s="150">
        <f>SUMIFS('Unos prihoda i primitaka'!$H$3:$H$501,'Unos prihoda i primitaka'!$C$3:$C$501,"=563",'Unos prihoda i primitaka'!$L$3:$L$501,"=61")</f>
        <v>0</v>
      </c>
      <c r="P23" s="150">
        <f>SUMIFS('Unos prihoda i primitaka'!$H$3:$H$501,'Unos prihoda i primitaka'!$C$3:$C$501,"=573",'Unos prihoda i primitaka'!$L$3:$L$501,"=61")</f>
        <v>0</v>
      </c>
      <c r="Q23" s="150">
        <f>SUMIFS('Unos prihoda i primitaka'!$H$3:$H$501,'Unos prihoda i primitaka'!$C$3:$C$501,"=575",'Unos prihoda i primitaka'!$L$3:$L$501,"=61")</f>
        <v>0</v>
      </c>
      <c r="R23" s="150">
        <f>SUMIFS('Unos prihoda i primitaka'!$H$3:$H$501,'Unos prihoda i primitaka'!$C$3:$C$501,"=576",'Unos prihoda i primitaka'!$L$3:$L$501,"=61")</f>
        <v>0</v>
      </c>
      <c r="S23" s="150">
        <f>SUMIFS('Unos prihoda i primitaka'!$H$3:$H$501,'Unos prihoda i primitaka'!$C$3:$C$501,"=581",'Unos prihoda i primitaka'!$L$3:$L$501,"=61")</f>
        <v>0</v>
      </c>
      <c r="T23" s="150">
        <f>SUMIFS('Unos prihoda i primitaka'!$H$3:$H$501,'Unos prihoda i primitaka'!$C$3:$C$501,"=61",'Unos prihoda i primitaka'!$L$3:$L$501,"=61")</f>
        <v>0</v>
      </c>
      <c r="U23" s="150">
        <f>SUMIFS('Unos prihoda i primitaka'!$H$3:$H$501,'Unos prihoda i primitaka'!$C$3:$C$501,"=63",'Unos prihoda i primitaka'!$L$3:$L$501,"=61")</f>
        <v>0</v>
      </c>
      <c r="V23" s="150">
        <f>SUMIFS('Unos prihoda i primitaka'!$H$3:$H$501,'Unos prihoda i primitaka'!$C$3:$C$501,"=71",'Unos prihoda i primitaka'!$L$3:$L$501,"=61")</f>
        <v>0</v>
      </c>
    </row>
    <row r="24" spans="1:22" s="110" customFormat="1">
      <c r="A24" s="118">
        <v>2023</v>
      </c>
      <c r="B24" s="148" t="s">
        <v>3213</v>
      </c>
      <c r="C24" s="149" t="s">
        <v>3214</v>
      </c>
      <c r="D24" s="121">
        <f t="shared" si="5"/>
        <v>851463</v>
      </c>
      <c r="E24" s="150">
        <f>SUMIFS('Unos prihoda i primitaka'!$H$3:$H$501,'Unos prihoda i primitaka'!$C$3:$C$501,"=11",'Unos prihoda i primitaka'!$L$3:$L$501,"=63")</f>
        <v>0</v>
      </c>
      <c r="F24" s="150">
        <f>SUMIFS('Unos prihoda i primitaka'!$H$3:$H$501,'Unos prihoda i primitaka'!$C$3:$C$501,"=12",'Unos prihoda i primitaka'!$L$3:$L$501,"=63")</f>
        <v>0</v>
      </c>
      <c r="G24" s="150">
        <f>SUMIFS('Unos prihoda i primitaka'!$H$3:$H$501,'Unos prihoda i primitaka'!$C$3:$C$501,"=31",'Unos prihoda i primitaka'!$L$3:$L$501,"=63")</f>
        <v>0</v>
      </c>
      <c r="H24" s="150">
        <f>SUMIFS('Unos prihoda i primitaka'!$H$3:$H$501,'Unos prihoda i primitaka'!$C$3:$C$501,"=41",'Unos prihoda i primitaka'!$L$3:$L$501,"=63")</f>
        <v>0</v>
      </c>
      <c r="I24" s="150">
        <f>SUMIFS('Unos prihoda i primitaka'!$H$3:$H$501,'Unos prihoda i primitaka'!$C$3:$C$501,"=43",'Unos prihoda i primitaka'!$L$3:$L$501,"=63")</f>
        <v>0</v>
      </c>
      <c r="J24" s="150">
        <f>SUMIFS('Unos prihoda i primitaka'!$H$3:$H$501,'Unos prihoda i primitaka'!$C$3:$C$501,"=51",'Unos prihoda i primitaka'!$L$3:$L$501,"=63")</f>
        <v>600000</v>
      </c>
      <c r="K24" s="150">
        <f>SUMIFS('Unos prihoda i primitaka'!$H$3:$H$501,'Unos prihoda i primitaka'!$C$3:$C$501,"=52",'Unos prihoda i primitaka'!$L$3:$L$501,"=63")</f>
        <v>142966</v>
      </c>
      <c r="L24" s="150">
        <f>SUMIFS('Unos prihoda i primitaka'!$H$3:$H$501,'Unos prihoda i primitaka'!$C$3:$C$501,"=552",'Unos prihoda i primitaka'!$L$3:$L$501,"=63")</f>
        <v>0</v>
      </c>
      <c r="M24" s="150">
        <f>SUMIFS('Unos prihoda i primitaka'!$H$3:$H$501,'Unos prihoda i primitaka'!$C$3:$C$501,"=559",'Unos prihoda i primitaka'!$L$3:$L$501,"=63")</f>
        <v>0</v>
      </c>
      <c r="N24" s="150">
        <f>SUMIFS('Unos prihoda i primitaka'!$H$3:$H$501,'Unos prihoda i primitaka'!$C$3:$C$501,"=561",'Unos prihoda i primitaka'!$L$3:$L$501,"=63")</f>
        <v>108497</v>
      </c>
      <c r="O24" s="150">
        <f>SUMIFS('Unos prihoda i primitaka'!$H$3:$H$501,'Unos prihoda i primitaka'!$C$3:$C$501,"=563",'Unos prihoda i primitaka'!$L$3:$L$501,"=63")</f>
        <v>0</v>
      </c>
      <c r="P24" s="150">
        <f>SUMIFS('Unos prihoda i primitaka'!$H$3:$H$501,'Unos prihoda i primitaka'!$C$3:$C$501,"=573",'Unos prihoda i primitaka'!$L$3:$L$501,"=63")</f>
        <v>0</v>
      </c>
      <c r="Q24" s="150">
        <f>SUMIFS('Unos prihoda i primitaka'!$H$3:$H$501,'Unos prihoda i primitaka'!$C$3:$C$501,"=575",'Unos prihoda i primitaka'!$L$3:$L$501,"=63")</f>
        <v>0</v>
      </c>
      <c r="R24" s="150">
        <f>SUMIFS('Unos prihoda i primitaka'!$H$3:$H$501,'Unos prihoda i primitaka'!$C$3:$C$501,"=576",'Unos prihoda i primitaka'!$L$3:$L$501,"=63")</f>
        <v>0</v>
      </c>
      <c r="S24" s="150">
        <f>SUMIFS('Unos prihoda i primitaka'!$H$3:$H$501,'Unos prihoda i primitaka'!$C$3:$C$501,"=581",'Unos prihoda i primitaka'!$L$3:$L$501,"=63")</f>
        <v>0</v>
      </c>
      <c r="T24" s="150">
        <f>SUMIFS('Unos prihoda i primitaka'!$H$3:$H$501,'Unos prihoda i primitaka'!$C$3:$C$501,"=61",'Unos prihoda i primitaka'!$L$3:$L$501,"=63")</f>
        <v>0</v>
      </c>
      <c r="U24" s="150">
        <f>SUMIFS('Unos prihoda i primitaka'!$H$3:$H$501,'Unos prihoda i primitaka'!$C$3:$C$501,"=63",'Unos prihoda i primitaka'!$L$3:$L$501,"=63")</f>
        <v>0</v>
      </c>
      <c r="V24" s="150">
        <f>SUMIFS('Unos prihoda i primitaka'!$H$3:$H$501,'Unos prihoda i primitaka'!$C$3:$C$501,"=71",'Unos prihoda i primitaka'!$L$3:$L$501,"=63")</f>
        <v>0</v>
      </c>
    </row>
    <row r="25" spans="1:22" s="110" customFormat="1">
      <c r="A25" s="118">
        <v>2023</v>
      </c>
      <c r="B25" s="119" t="s">
        <v>3215</v>
      </c>
      <c r="C25" s="120" t="s">
        <v>3216</v>
      </c>
      <c r="D25" s="121">
        <f t="shared" si="5"/>
        <v>100</v>
      </c>
      <c r="E25" s="150">
        <f>SUMIFS('Unos prihoda i primitaka'!$H$3:$H$501,'Unos prihoda i primitaka'!$C$3:$C$501,"=11",'Unos prihoda i primitaka'!$L$3:$L$501,"=64")</f>
        <v>0</v>
      </c>
      <c r="F25" s="150">
        <f>SUMIFS('Unos prihoda i primitaka'!$H$3:$H$501,'Unos prihoda i primitaka'!$C$3:$C$501,"=12",'Unos prihoda i primitaka'!$L$3:$L$501,"=64")</f>
        <v>0</v>
      </c>
      <c r="G25" s="150">
        <f>SUMIFS('Unos prihoda i primitaka'!$H$3:$H$501,'Unos prihoda i primitaka'!$C$3:$C$501,"=31",'Unos prihoda i primitaka'!$L$3:$L$501,"=64")</f>
        <v>100</v>
      </c>
      <c r="H25" s="150">
        <f>SUMIFS('Unos prihoda i primitaka'!$H$3:$H$501,'Unos prihoda i primitaka'!$C$3:$C$501,"=41",'Unos prihoda i primitaka'!$L$3:$L$501,"=64")</f>
        <v>0</v>
      </c>
      <c r="I25" s="150">
        <f>SUMIFS('Unos prihoda i primitaka'!$H$3:$H$501,'Unos prihoda i primitaka'!$C$3:$C$501,"=43",'Unos prihoda i primitaka'!$L$3:$L$501,"=64")</f>
        <v>0</v>
      </c>
      <c r="J25" s="150">
        <f>SUMIFS('Unos prihoda i primitaka'!$H$3:$H$501,'Unos prihoda i primitaka'!$C$3:$C$501,"=51",'Unos prihoda i primitaka'!$L$3:$L$501,"=64")</f>
        <v>0</v>
      </c>
      <c r="K25" s="150">
        <f>SUMIFS('Unos prihoda i primitaka'!$H$3:$H$501,'Unos prihoda i primitaka'!$C$3:$C$501,"=52",'Unos prihoda i primitaka'!$L$3:$L$501,"=64")</f>
        <v>0</v>
      </c>
      <c r="L25" s="150">
        <f>SUMIFS('Unos prihoda i primitaka'!$H$3:$H$501,'Unos prihoda i primitaka'!$C$3:$C$501,"=552",'Unos prihoda i primitaka'!$L$3:$L$501,"=64")</f>
        <v>0</v>
      </c>
      <c r="M25" s="150">
        <f>SUMIFS('Unos prihoda i primitaka'!$H$3:$H$501,'Unos prihoda i primitaka'!$C$3:$C$501,"=559",'Unos prihoda i primitaka'!$L$3:$L$501,"=64")</f>
        <v>0</v>
      </c>
      <c r="N25" s="150">
        <f>SUMIFS('Unos prihoda i primitaka'!$H$3:$H$501,'Unos prihoda i primitaka'!$C$3:$C$501,"=561",'Unos prihoda i primitaka'!$L$3:$L$501,"=64")</f>
        <v>0</v>
      </c>
      <c r="O25" s="150">
        <f>SUMIFS('Unos prihoda i primitaka'!$H$3:$H$501,'Unos prihoda i primitaka'!$C$3:$C$501,"=563",'Unos prihoda i primitaka'!$L$3:$L$501,"=64")</f>
        <v>0</v>
      </c>
      <c r="P25" s="150">
        <f>SUMIFS('Unos prihoda i primitaka'!$H$3:$H$501,'Unos prihoda i primitaka'!$C$3:$C$501,"=573",'Unos prihoda i primitaka'!$L$3:$L$501,"=64")</f>
        <v>0</v>
      </c>
      <c r="Q25" s="150">
        <f>SUMIFS('Unos prihoda i primitaka'!$H$3:$H$501,'Unos prihoda i primitaka'!$C$3:$C$501,"=575",'Unos prihoda i primitaka'!$L$3:$L$501,"=64")</f>
        <v>0</v>
      </c>
      <c r="R25" s="150">
        <f>SUMIFS('Unos prihoda i primitaka'!$H$3:$H$501,'Unos prihoda i primitaka'!$C$3:$C$501,"=576",'Unos prihoda i primitaka'!$L$3:$L$501,"=64")</f>
        <v>0</v>
      </c>
      <c r="S25" s="150">
        <f>SUMIFS('Unos prihoda i primitaka'!$H$3:$H$501,'Unos prihoda i primitaka'!$C$3:$C$501,"=581",'Unos prihoda i primitaka'!$L$3:$L$501,"=64")</f>
        <v>0</v>
      </c>
      <c r="T25" s="150">
        <f>SUMIFS('Unos prihoda i primitaka'!$H$3:$H$501,'Unos prihoda i primitaka'!$C$3:$C$501,"=61",'Unos prihoda i primitaka'!$L$3:$L$501,"=64")</f>
        <v>0</v>
      </c>
      <c r="U25" s="150">
        <f>SUMIFS('Unos prihoda i primitaka'!$H$3:$H$501,'Unos prihoda i primitaka'!$C$3:$C$501,"=63",'Unos prihoda i primitaka'!$L$3:$L$501,"=64")</f>
        <v>0</v>
      </c>
      <c r="V25" s="150">
        <f>SUMIFS('Unos prihoda i primitaka'!$H$3:$H$501,'Unos prihoda i primitaka'!$C$3:$C$501,"=71",'Unos prihoda i primitaka'!$L$3:$L$501,"=64")</f>
        <v>0</v>
      </c>
    </row>
    <row r="26" spans="1:22" s="110" customFormat="1" ht="27.6">
      <c r="A26" s="118">
        <v>2023</v>
      </c>
      <c r="B26" s="119" t="s">
        <v>3217</v>
      </c>
      <c r="C26" s="120" t="s">
        <v>3218</v>
      </c>
      <c r="D26" s="121">
        <f t="shared" si="5"/>
        <v>700000</v>
      </c>
      <c r="E26" s="150">
        <f>SUMIFS('Unos prihoda i primitaka'!$H$3:$H$501,'Unos prihoda i primitaka'!$C$3:$C$501,"=11",'Unos prihoda i primitaka'!$L$3:$L$501,"=65")</f>
        <v>0</v>
      </c>
      <c r="F26" s="150">
        <f>SUMIFS('Unos prihoda i primitaka'!$H$3:$H$501,'Unos prihoda i primitaka'!$C$3:$C$501,"=12",'Unos prihoda i primitaka'!$L$3:$L$501,"=65")</f>
        <v>0</v>
      </c>
      <c r="G26" s="150">
        <f>SUMIFS('Unos prihoda i primitaka'!$H$3:$H$501,'Unos prihoda i primitaka'!$C$3:$C$501,"=31",'Unos prihoda i primitaka'!$L$3:$L$501,"=65")</f>
        <v>0</v>
      </c>
      <c r="H26" s="150">
        <f>SUMIFS('Unos prihoda i primitaka'!$H$3:$H$501,'Unos prihoda i primitaka'!$C$3:$C$501,"=41",'Unos prihoda i primitaka'!$L$3:$L$501,"=65")</f>
        <v>0</v>
      </c>
      <c r="I26" s="150">
        <f>SUMIFS('Unos prihoda i primitaka'!$H$3:$H$501,'Unos prihoda i primitaka'!$C$3:$C$501,"=43",'Unos prihoda i primitaka'!$L$3:$L$501,"=65")</f>
        <v>700000</v>
      </c>
      <c r="J26" s="150">
        <f>SUMIFS('Unos prihoda i primitaka'!$H$3:$H$501,'Unos prihoda i primitaka'!$C$3:$C$501,"=51",'Unos prihoda i primitaka'!$L$3:$L$501,"=65")</f>
        <v>0</v>
      </c>
      <c r="K26" s="150">
        <f>SUMIFS('Unos prihoda i primitaka'!$H$3:$H$501,'Unos prihoda i primitaka'!$C$3:$C$501,"=52",'Unos prihoda i primitaka'!$L$3:$L$501,"=65")</f>
        <v>0</v>
      </c>
      <c r="L26" s="150">
        <f>SUMIFS('Unos prihoda i primitaka'!$H$3:$H$501,'Unos prihoda i primitaka'!$C$3:$C$501,"=552",'Unos prihoda i primitaka'!$L$3:$L$501,"=65")</f>
        <v>0</v>
      </c>
      <c r="M26" s="150">
        <f>SUMIFS('Unos prihoda i primitaka'!$H$3:$H$501,'Unos prihoda i primitaka'!$C$3:$C$501,"=559",'Unos prihoda i primitaka'!$L$3:$L$501,"=65")</f>
        <v>0</v>
      </c>
      <c r="N26" s="150">
        <f>SUMIFS('Unos prihoda i primitaka'!$H$3:$H$501,'Unos prihoda i primitaka'!$C$3:$C$501,"=561",'Unos prihoda i primitaka'!$L$3:$L$501,"=65")</f>
        <v>0</v>
      </c>
      <c r="O26" s="150">
        <f>SUMIFS('Unos prihoda i primitaka'!$H$3:$H$501,'Unos prihoda i primitaka'!$C$3:$C$501,"=563",'Unos prihoda i primitaka'!$L$3:$L$501,"=65")</f>
        <v>0</v>
      </c>
      <c r="P26" s="150">
        <f>SUMIFS('Unos prihoda i primitaka'!$H$3:$H$501,'Unos prihoda i primitaka'!$C$3:$C$501,"=573",'Unos prihoda i primitaka'!$L$3:$L$501,"=65")</f>
        <v>0</v>
      </c>
      <c r="Q26" s="150">
        <f>SUMIFS('Unos prihoda i primitaka'!$H$3:$H$501,'Unos prihoda i primitaka'!$C$3:$C$501,"=575",'Unos prihoda i primitaka'!$L$3:$L$501,"=65")</f>
        <v>0</v>
      </c>
      <c r="R26" s="150">
        <f>SUMIFS('Unos prihoda i primitaka'!$H$3:$H$501,'Unos prihoda i primitaka'!$C$3:$C$501,"=576",'Unos prihoda i primitaka'!$L$3:$L$501,"=65")</f>
        <v>0</v>
      </c>
      <c r="S26" s="150">
        <f>SUMIFS('Unos prihoda i primitaka'!$H$3:$H$501,'Unos prihoda i primitaka'!$C$3:$C$501,"=581",'Unos prihoda i primitaka'!$L$3:$L$501,"=65")</f>
        <v>0</v>
      </c>
      <c r="T26" s="150">
        <f>SUMIFS('Unos prihoda i primitaka'!$H$3:$H$501,'Unos prihoda i primitaka'!$C$3:$C$501,"=61",'Unos prihoda i primitaka'!$L$3:$L$501,"=65")</f>
        <v>0</v>
      </c>
      <c r="U26" s="150">
        <f>SUMIFS('Unos prihoda i primitaka'!$H$3:$H$501,'Unos prihoda i primitaka'!$C$3:$C$501,"=63",'Unos prihoda i primitaka'!$L$3:$L$501,"=65")</f>
        <v>0</v>
      </c>
      <c r="V26" s="150">
        <f>SUMIFS('Unos prihoda i primitaka'!$H$3:$H$501,'Unos prihoda i primitaka'!$C$3:$C$501,"=71",'Unos prihoda i primitaka'!$L$3:$L$501,"=65")</f>
        <v>0</v>
      </c>
    </row>
    <row r="27" spans="1:22" s="110" customFormat="1" ht="27.6">
      <c r="A27" s="118">
        <v>2023</v>
      </c>
      <c r="B27" s="126" t="s">
        <v>3219</v>
      </c>
      <c r="C27" s="120" t="s">
        <v>3220</v>
      </c>
      <c r="D27" s="121">
        <f t="shared" si="5"/>
        <v>966500</v>
      </c>
      <c r="E27" s="150">
        <f>SUMIFS('Unos prihoda i primitaka'!$H$3:$H$501,'Unos prihoda i primitaka'!$C$3:$C$501,"=11",'Unos prihoda i primitaka'!$L$3:$L$501,"=66")</f>
        <v>0</v>
      </c>
      <c r="F27" s="150">
        <f>SUMIFS('Unos prihoda i primitaka'!$H$3:$H$501,'Unos prihoda i primitaka'!$C$3:$C$501,"=12",'Unos prihoda i primitaka'!$L$3:$L$501,"=66")</f>
        <v>0</v>
      </c>
      <c r="G27" s="150">
        <f>SUMIFS('Unos prihoda i primitaka'!$H$3:$H$501,'Unos prihoda i primitaka'!$C$3:$C$501,"=31",'Unos prihoda i primitaka'!$L$3:$L$501,"=66")</f>
        <v>901000</v>
      </c>
      <c r="H27" s="150">
        <f>SUMIFS('Unos prihoda i primitaka'!$H$3:$H$501,'Unos prihoda i primitaka'!$C$3:$C$501,"=41",'Unos prihoda i primitaka'!$L$3:$L$501,"=66")</f>
        <v>0</v>
      </c>
      <c r="I27" s="150">
        <f>SUMIFS('Unos prihoda i primitaka'!$H$3:$H$501,'Unos prihoda i primitaka'!$C$3:$C$501,"=43",'Unos prihoda i primitaka'!$L$3:$L$501,"=66")</f>
        <v>0</v>
      </c>
      <c r="J27" s="150">
        <f>SUMIFS('Unos prihoda i primitaka'!$H$3:$H$501,'Unos prihoda i primitaka'!$C$3:$C$501,"=51",'Unos prihoda i primitaka'!$L$3:$L$501,"=66")</f>
        <v>0</v>
      </c>
      <c r="K27" s="150">
        <f>SUMIFS('Unos prihoda i primitaka'!$H$3:$H$501,'Unos prihoda i primitaka'!$C$3:$C$501,"=52",'Unos prihoda i primitaka'!$L$3:$L$501,"=66")</f>
        <v>0</v>
      </c>
      <c r="L27" s="150">
        <f>SUMIFS('Unos prihoda i primitaka'!$H$3:$H$501,'Unos prihoda i primitaka'!$C$3:$C$501,"=552",'Unos prihoda i primitaka'!$L$3:$L$501,"=66")</f>
        <v>0</v>
      </c>
      <c r="M27" s="150">
        <f>SUMIFS('Unos prihoda i primitaka'!$H$3:$H$501,'Unos prihoda i primitaka'!$C$3:$C$501,"=559",'Unos prihoda i primitaka'!$L$3:$L$501,"=66")</f>
        <v>0</v>
      </c>
      <c r="N27" s="150">
        <f>SUMIFS('Unos prihoda i primitaka'!$H$3:$H$501,'Unos prihoda i primitaka'!$C$3:$C$501,"=561",'Unos prihoda i primitaka'!$L$3:$L$501,"=66")</f>
        <v>0</v>
      </c>
      <c r="O27" s="150">
        <f>SUMIFS('Unos prihoda i primitaka'!$H$3:$H$501,'Unos prihoda i primitaka'!$C$3:$C$501,"=563",'Unos prihoda i primitaka'!$L$3:$L$501,"=66")</f>
        <v>0</v>
      </c>
      <c r="P27" s="150">
        <f>SUMIFS('Unos prihoda i primitaka'!$H$3:$H$501,'Unos prihoda i primitaka'!$C$3:$C$501,"=573",'Unos prihoda i primitaka'!$L$3:$L$501,"=66")</f>
        <v>0</v>
      </c>
      <c r="Q27" s="150">
        <f>SUMIFS('Unos prihoda i primitaka'!$H$3:$H$501,'Unos prihoda i primitaka'!$C$3:$C$501,"=575",'Unos prihoda i primitaka'!$L$3:$L$501,"=66")</f>
        <v>0</v>
      </c>
      <c r="R27" s="150">
        <f>SUMIFS('Unos prihoda i primitaka'!$H$3:$H$501,'Unos prihoda i primitaka'!$C$3:$C$501,"=576",'Unos prihoda i primitaka'!$L$3:$L$501,"=66")</f>
        <v>0</v>
      </c>
      <c r="S27" s="150">
        <f>SUMIFS('Unos prihoda i primitaka'!$H$3:$H$501,'Unos prihoda i primitaka'!$C$3:$C$501,"=581",'Unos prihoda i primitaka'!$L$3:$L$501,"=66")</f>
        <v>0</v>
      </c>
      <c r="T27" s="150">
        <f>SUMIFS('Unos prihoda i primitaka'!$H$3:$H$501,'Unos prihoda i primitaka'!$C$3:$C$501,"=61",'Unos prihoda i primitaka'!$L$3:$L$501,"=66")</f>
        <v>65500</v>
      </c>
      <c r="U27" s="150">
        <f>SUMIFS('Unos prihoda i primitaka'!$H$3:$H$501,'Unos prihoda i primitaka'!$C$3:$C$501,"=63",'Unos prihoda i primitaka'!$L$3:$L$501,"=66")</f>
        <v>0</v>
      </c>
      <c r="V27" s="150">
        <f>SUMIFS('Unos prihoda i primitaka'!$H$3:$H$501,'Unos prihoda i primitaka'!$C$3:$C$501,"=71",'Unos prihoda i primitaka'!$L$3:$L$501,"=66")</f>
        <v>0</v>
      </c>
    </row>
    <row r="28" spans="1:22" s="110" customFormat="1">
      <c r="A28" s="118">
        <v>2023</v>
      </c>
      <c r="B28" s="119" t="s">
        <v>3221</v>
      </c>
      <c r="C28" s="120" t="s">
        <v>3222</v>
      </c>
      <c r="D28" s="121">
        <f t="shared" si="5"/>
        <v>3777213</v>
      </c>
      <c r="E28" s="150">
        <f>SUMIFS('Unos prihoda i primitaka'!$H$3:$H$501,'Unos prihoda i primitaka'!$C$3:$C$501,"=11",'Unos prihoda i primitaka'!$L$3:$L$501,"=67")</f>
        <v>3758066</v>
      </c>
      <c r="F28" s="150">
        <f>SUMIFS('Unos prihoda i primitaka'!$H$3:$H$501,'Unos prihoda i primitaka'!$C$3:$C$501,"=12",'Unos prihoda i primitaka'!$L$3:$L$501,"=67")</f>
        <v>19147</v>
      </c>
      <c r="G28" s="150">
        <f>SUMIFS('Unos prihoda i primitaka'!$H$3:$H$501,'Unos prihoda i primitaka'!$C$3:$C$501,"=31",'Unos prihoda i primitaka'!$L$3:$L$501,"=67")</f>
        <v>0</v>
      </c>
      <c r="H28" s="150">
        <f>SUMIFS('Unos prihoda i primitaka'!$H$3:$H$501,'Unos prihoda i primitaka'!$C$3:$C$501,"=41",'Unos prihoda i primitaka'!$L$3:$L$501,"=67")</f>
        <v>0</v>
      </c>
      <c r="I28" s="150">
        <f>SUMIFS('Unos prihoda i primitaka'!$H$3:$H$501,'Unos prihoda i primitaka'!$C$3:$C$501,"=43",'Unos prihoda i primitaka'!$L$3:$L$501,"=67")</f>
        <v>0</v>
      </c>
      <c r="J28" s="150">
        <f>SUMIFS('Unos prihoda i primitaka'!$H$3:$H$501,'Unos prihoda i primitaka'!$C$3:$C$501,"=51",'Unos prihoda i primitaka'!$L$3:$L$501,"=67")</f>
        <v>0</v>
      </c>
      <c r="K28" s="150">
        <f>SUMIFS('Unos prihoda i primitaka'!$H$3:$H$501,'Unos prihoda i primitaka'!$C$3:$C$501,"=52",'Unos prihoda i primitaka'!$L$3:$L$501,"=67")</f>
        <v>0</v>
      </c>
      <c r="L28" s="150">
        <f>SUMIFS('Unos prihoda i primitaka'!$H$3:$H$501,'Unos prihoda i primitaka'!$C$3:$C$501,"=552",'Unos prihoda i primitaka'!$L$3:$L$501,"=67")</f>
        <v>0</v>
      </c>
      <c r="M28" s="150">
        <f>SUMIFS('Unos prihoda i primitaka'!$H$3:$H$501,'Unos prihoda i primitaka'!$C$3:$C$501,"=559",'Unos prihoda i primitaka'!$L$3:$L$501,"=67")</f>
        <v>0</v>
      </c>
      <c r="N28" s="150">
        <f>SUMIFS('Unos prihoda i primitaka'!$H$3:$H$501,'Unos prihoda i primitaka'!$C$3:$C$501,"=561",'Unos prihoda i primitaka'!$L$3:$L$501,"=67")</f>
        <v>0</v>
      </c>
      <c r="O28" s="150">
        <f>SUMIFS('Unos prihoda i primitaka'!$H$3:$H$501,'Unos prihoda i primitaka'!$C$3:$C$501,"=563",'Unos prihoda i primitaka'!$L$3:$L$501,"=67")</f>
        <v>0</v>
      </c>
      <c r="P28" s="150">
        <f>SUMIFS('Unos prihoda i primitaka'!$H$3:$H$501,'Unos prihoda i primitaka'!$C$3:$C$501,"=573",'Unos prihoda i primitaka'!$L$3:$L$501,"=67")</f>
        <v>0</v>
      </c>
      <c r="Q28" s="150">
        <f>SUMIFS('Unos prihoda i primitaka'!$H$3:$H$501,'Unos prihoda i primitaka'!$C$3:$C$501,"=575",'Unos prihoda i primitaka'!$L$3:$L$501,"=67")</f>
        <v>0</v>
      </c>
      <c r="R28" s="150">
        <f>SUMIFS('Unos prihoda i primitaka'!$H$3:$H$501,'Unos prihoda i primitaka'!$C$3:$C$501,"=576",'Unos prihoda i primitaka'!$L$3:$L$501,"=67")</f>
        <v>0</v>
      </c>
      <c r="S28" s="150">
        <f>SUMIFS('Unos prihoda i primitaka'!$H$3:$H$501,'Unos prihoda i primitaka'!$C$3:$C$501,"=581",'Unos prihoda i primitaka'!$L$3:$L$501,"=67")</f>
        <v>0</v>
      </c>
      <c r="T28" s="150">
        <f>SUMIFS('Unos prihoda i primitaka'!$H$3:$H$501,'Unos prihoda i primitaka'!$C$3:$C$501,"=61",'Unos prihoda i primitaka'!$L$3:$L$501,"=67")</f>
        <v>0</v>
      </c>
      <c r="U28" s="150">
        <f>SUMIFS('Unos prihoda i primitaka'!$H$3:$H$501,'Unos prihoda i primitaka'!$C$3:$C$501,"=63",'Unos prihoda i primitaka'!$L$3:$L$501,"=67")</f>
        <v>0</v>
      </c>
      <c r="V28" s="150">
        <f>SUMIFS('Unos prihoda i primitaka'!$H$3:$H$501,'Unos prihoda i primitaka'!$C$3:$C$501,"=71",'Unos prihoda i primitaka'!$L$3:$L$501,"=67")</f>
        <v>0</v>
      </c>
    </row>
    <row r="29" spans="1:22" s="110" customFormat="1">
      <c r="A29" s="118">
        <v>2023</v>
      </c>
      <c r="B29" s="119" t="s">
        <v>3223</v>
      </c>
      <c r="C29" s="120" t="s">
        <v>3224</v>
      </c>
      <c r="D29" s="121">
        <f t="shared" si="5"/>
        <v>5400</v>
      </c>
      <c r="E29" s="150">
        <f>SUMIFS('Unos prihoda i primitaka'!$H$3:$H$501,'Unos prihoda i primitaka'!$C$3:$C$501,"=11",'Unos prihoda i primitaka'!$L$3:$L$501,"=68")</f>
        <v>0</v>
      </c>
      <c r="F29" s="150">
        <f>SUMIFS('Unos prihoda i primitaka'!$H$3:$H$501,'Unos prihoda i primitaka'!$C$3:$C$501,"=12",'Unos prihoda i primitaka'!$L$3:$L$501,"=68")</f>
        <v>0</v>
      </c>
      <c r="G29" s="150">
        <f>SUMIFS('Unos prihoda i primitaka'!$H$3:$H$501,'Unos prihoda i primitaka'!$C$3:$C$501,"=31",'Unos prihoda i primitaka'!$L$3:$L$501,"=68")</f>
        <v>0</v>
      </c>
      <c r="H29" s="150">
        <f>SUMIFS('Unos prihoda i primitaka'!$H$3:$H$501,'Unos prihoda i primitaka'!$C$3:$C$501,"=41",'Unos prihoda i primitaka'!$L$3:$L$501,"=68")</f>
        <v>0</v>
      </c>
      <c r="I29" s="150">
        <f>SUMIFS('Unos prihoda i primitaka'!$H$3:$H$501,'Unos prihoda i primitaka'!$C$3:$C$501,"=43",'Unos prihoda i primitaka'!$L$3:$L$501,"=68")</f>
        <v>5400</v>
      </c>
      <c r="J29" s="150">
        <f>SUMIFS('Unos prihoda i primitaka'!$H$3:$H$501,'Unos prihoda i primitaka'!$C$3:$C$501,"=51",'Unos prihoda i primitaka'!$L$3:$L$501,"=68")</f>
        <v>0</v>
      </c>
      <c r="K29" s="150">
        <f>SUMIFS('Unos prihoda i primitaka'!$H$3:$H$501,'Unos prihoda i primitaka'!$C$3:$C$501,"=52",'Unos prihoda i primitaka'!$L$3:$L$501,"=68")</f>
        <v>0</v>
      </c>
      <c r="L29" s="150">
        <f>SUMIFS('Unos prihoda i primitaka'!$H$3:$H$501,'Unos prihoda i primitaka'!$C$3:$C$501,"=552",'Unos prihoda i primitaka'!$L$3:$L$501,"=68")</f>
        <v>0</v>
      </c>
      <c r="M29" s="150">
        <f>SUMIFS('Unos prihoda i primitaka'!$H$3:$H$501,'Unos prihoda i primitaka'!$C$3:$C$501,"=559",'Unos prihoda i primitaka'!$L$3:$L$501,"=68")</f>
        <v>0</v>
      </c>
      <c r="N29" s="150">
        <f>SUMIFS('Unos prihoda i primitaka'!$H$3:$H$501,'Unos prihoda i primitaka'!$C$3:$C$501,"=561",'Unos prihoda i primitaka'!$L$3:$L$501,"=68")</f>
        <v>0</v>
      </c>
      <c r="O29" s="150">
        <f>SUMIFS('Unos prihoda i primitaka'!$H$3:$H$501,'Unos prihoda i primitaka'!$C$3:$C$501,"=563",'Unos prihoda i primitaka'!$L$3:$L$501,"=68")</f>
        <v>0</v>
      </c>
      <c r="P29" s="150">
        <f>SUMIFS('Unos prihoda i primitaka'!$H$3:$H$501,'Unos prihoda i primitaka'!$C$3:$C$501,"=573",'Unos prihoda i primitaka'!$L$3:$L$501,"=68")</f>
        <v>0</v>
      </c>
      <c r="Q29" s="150">
        <f>SUMIFS('Unos prihoda i primitaka'!$H$3:$H$501,'Unos prihoda i primitaka'!$C$3:$C$501,"=575",'Unos prihoda i primitaka'!$L$3:$L$501,"=68")</f>
        <v>0</v>
      </c>
      <c r="R29" s="150">
        <f>SUMIFS('Unos prihoda i primitaka'!$H$3:$H$501,'Unos prihoda i primitaka'!$C$3:$C$501,"=576",'Unos prihoda i primitaka'!$L$3:$L$501,"=68")</f>
        <v>0</v>
      </c>
      <c r="S29" s="150">
        <f>SUMIFS('Unos prihoda i primitaka'!$H$3:$H$501,'Unos prihoda i primitaka'!$C$3:$C$501,"=581",'Unos prihoda i primitaka'!$L$3:$L$501,"=68")</f>
        <v>0</v>
      </c>
      <c r="T29" s="150">
        <f>SUMIFS('Unos prihoda i primitaka'!$H$3:$H$501,'Unos prihoda i primitaka'!$C$3:$C$501,"=61",'Unos prihoda i primitaka'!$L$3:$L$501,"=68")</f>
        <v>0</v>
      </c>
      <c r="U29" s="150">
        <f>SUMIFS('Unos prihoda i primitaka'!$H$3:$H$501,'Unos prihoda i primitaka'!$C$3:$C$501,"=63",'Unos prihoda i primitaka'!$L$3:$L$501,"=68")</f>
        <v>0</v>
      </c>
      <c r="V29" s="150">
        <f>SUMIFS('Unos prihoda i primitaka'!$H$3:$H$501,'Unos prihoda i primitaka'!$C$3:$C$501,"=71",'Unos prihoda i primitaka'!$L$3:$L$501,"=68")</f>
        <v>0</v>
      </c>
    </row>
    <row r="30" spans="1:22" s="110" customFormat="1">
      <c r="A30" s="118">
        <v>2023</v>
      </c>
      <c r="B30" s="151" t="s">
        <v>3225</v>
      </c>
      <c r="C30" s="152" t="s">
        <v>3226</v>
      </c>
      <c r="D30" s="121">
        <f t="shared" si="5"/>
        <v>6300676</v>
      </c>
      <c r="E30" s="153">
        <f t="shared" ref="E30:V30" si="6">SUM(E23:E29)</f>
        <v>3758066</v>
      </c>
      <c r="F30" s="153">
        <f t="shared" si="6"/>
        <v>19147</v>
      </c>
      <c r="G30" s="153">
        <f t="shared" si="6"/>
        <v>901100</v>
      </c>
      <c r="H30" s="153">
        <f t="shared" si="6"/>
        <v>0</v>
      </c>
      <c r="I30" s="153">
        <f t="shared" si="6"/>
        <v>705400</v>
      </c>
      <c r="J30" s="153">
        <f t="shared" si="6"/>
        <v>600000</v>
      </c>
      <c r="K30" s="153">
        <f t="shared" si="6"/>
        <v>142966</v>
      </c>
      <c r="L30" s="153">
        <f t="shared" si="6"/>
        <v>0</v>
      </c>
      <c r="M30" s="153">
        <f t="shared" si="6"/>
        <v>0</v>
      </c>
      <c r="N30" s="153">
        <f t="shared" si="6"/>
        <v>108497</v>
      </c>
      <c r="O30" s="153">
        <f t="shared" si="6"/>
        <v>0</v>
      </c>
      <c r="P30" s="153">
        <f t="shared" si="6"/>
        <v>0</v>
      </c>
      <c r="Q30" s="153">
        <f t="shared" si="6"/>
        <v>0</v>
      </c>
      <c r="R30" s="153">
        <f t="shared" si="6"/>
        <v>0</v>
      </c>
      <c r="S30" s="153">
        <f t="shared" si="6"/>
        <v>0</v>
      </c>
      <c r="T30" s="153">
        <f t="shared" si="6"/>
        <v>65500</v>
      </c>
      <c r="U30" s="153">
        <f t="shared" si="6"/>
        <v>0</v>
      </c>
      <c r="V30" s="153">
        <f t="shared" si="6"/>
        <v>0</v>
      </c>
    </row>
    <row r="31" spans="1:22" s="110" customFormat="1">
      <c r="A31" s="118">
        <v>2023</v>
      </c>
      <c r="B31" s="119" t="s">
        <v>3227</v>
      </c>
      <c r="C31" s="154" t="s">
        <v>3228</v>
      </c>
      <c r="D31" s="121">
        <f t="shared" si="5"/>
        <v>0</v>
      </c>
      <c r="E31" s="150">
        <f>SUMIFS('Unos prihoda i primitaka'!$H$3:$H$501,'Unos prihoda i primitaka'!$C$3:$C$501,"=11",'Unos prihoda i primitaka'!$L$3:$L$501,"=71")</f>
        <v>0</v>
      </c>
      <c r="F31" s="150">
        <f>SUMIFS('Unos prihoda i primitaka'!$H$3:$H$501,'Unos prihoda i primitaka'!$C$3:$C$501,"=12",'Unos prihoda i primitaka'!$L$3:$L$501,"=71")</f>
        <v>0</v>
      </c>
      <c r="G31" s="150">
        <f>SUMIFS('Unos prihoda i primitaka'!$H$3:$H$501,'Unos prihoda i primitaka'!$C$3:$C$501,"=31",'Unos prihoda i primitaka'!$L$3:$L$501,"=71")</f>
        <v>0</v>
      </c>
      <c r="H31" s="150">
        <f>SUMIFS('Unos prihoda i primitaka'!$H$3:$H$501,'Unos prihoda i primitaka'!$C$3:$C$501,"=41",'Unos prihoda i primitaka'!$L$3:$L$501,"=71")</f>
        <v>0</v>
      </c>
      <c r="I31" s="150">
        <f>SUMIFS('Unos prihoda i primitaka'!$H$3:$H$501,'Unos prihoda i primitaka'!$C$3:$C$501,"=43",'Unos prihoda i primitaka'!$L$3:$L$501,"=71")</f>
        <v>0</v>
      </c>
      <c r="J31" s="150">
        <f>SUMIFS('Unos prihoda i primitaka'!$H$3:$H$501,'Unos prihoda i primitaka'!$C$3:$C$501,"=51",'Unos prihoda i primitaka'!$L$3:$L$501,"=71")</f>
        <v>0</v>
      </c>
      <c r="K31" s="150">
        <f>SUMIFS('Unos prihoda i primitaka'!$H$3:$H$501,'Unos prihoda i primitaka'!$C$3:$C$501,"=52",'Unos prihoda i primitaka'!$L$3:$L$501,"=71")</f>
        <v>0</v>
      </c>
      <c r="L31" s="150">
        <f>SUMIFS('Unos prihoda i primitaka'!$H$3:$H$501,'Unos prihoda i primitaka'!$C$3:$C$501,"=552",'Unos prihoda i primitaka'!$L$3:$L$501,"=71")</f>
        <v>0</v>
      </c>
      <c r="M31" s="150">
        <f>SUMIFS('Unos prihoda i primitaka'!$H$3:$H$501,'Unos prihoda i primitaka'!$C$3:$C$501,"=559",'Unos prihoda i primitaka'!$L$3:$L$501,"=71")</f>
        <v>0</v>
      </c>
      <c r="N31" s="150">
        <f>SUMIFS('Unos prihoda i primitaka'!$H$3:$H$501,'Unos prihoda i primitaka'!$C$3:$C$501,"=561",'Unos prihoda i primitaka'!$L$3:$L$501,"=71")</f>
        <v>0</v>
      </c>
      <c r="O31" s="150">
        <f>SUMIFS('Unos prihoda i primitaka'!$H$3:$H$501,'Unos prihoda i primitaka'!$C$3:$C$501,"=563",'Unos prihoda i primitaka'!$L$3:$L$501,"=71")</f>
        <v>0</v>
      </c>
      <c r="P31" s="150">
        <f>SUMIFS('Unos prihoda i primitaka'!$H$3:$H$501,'Unos prihoda i primitaka'!$C$3:$C$501,"=573",'Unos prihoda i primitaka'!$L$3:$L$501,"=71")</f>
        <v>0</v>
      </c>
      <c r="Q31" s="150">
        <f>SUMIFS('Unos prihoda i primitaka'!$H$3:$H$501,'Unos prihoda i primitaka'!$C$3:$C$501,"=575",'Unos prihoda i primitaka'!$L$3:$L$501,"=71")</f>
        <v>0</v>
      </c>
      <c r="R31" s="150">
        <f>SUMIFS('Unos prihoda i primitaka'!$H$3:$H$501,'Unos prihoda i primitaka'!$C$3:$C$501,"=576",'Unos prihoda i primitaka'!$L$3:$L$501,"=71")</f>
        <v>0</v>
      </c>
      <c r="S31" s="150">
        <f>SUMIFS('Unos prihoda i primitaka'!$H$3:$H$501,'Unos prihoda i primitaka'!$C$3:$C$501,"=581",'Unos prihoda i primitaka'!$L$3:$L$501,"=71")</f>
        <v>0</v>
      </c>
      <c r="T31" s="150">
        <f>SUMIFS('Unos prihoda i primitaka'!$H$3:$H$501,'Unos prihoda i primitaka'!$C$3:$C$501,"=61",'Unos prihoda i primitaka'!$L$3:$L$501,"=71")</f>
        <v>0</v>
      </c>
      <c r="U31" s="150">
        <f>SUMIFS('Unos prihoda i primitaka'!$H$3:$H$501,'Unos prihoda i primitaka'!$C$3:$C$501,"=63",'Unos prihoda i primitaka'!$L$3:$L$501,"=71")</f>
        <v>0</v>
      </c>
      <c r="V31" s="150">
        <f>SUMIFS('Unos prihoda i primitaka'!$H$3:$H$501,'Unos prihoda i primitaka'!$C$3:$C$501,"=71",'Unos prihoda i primitaka'!$L$3:$L$501,"=71")</f>
        <v>0</v>
      </c>
    </row>
    <row r="32" spans="1:22" s="110" customFormat="1">
      <c r="A32" s="118">
        <v>2023</v>
      </c>
      <c r="B32" s="119" t="s">
        <v>3229</v>
      </c>
      <c r="C32" s="154" t="s">
        <v>3230</v>
      </c>
      <c r="D32" s="121">
        <f t="shared" si="5"/>
        <v>722</v>
      </c>
      <c r="E32" s="150">
        <f>SUMIFS('Unos prihoda i primitaka'!$H$3:$H$501,'Unos prihoda i primitaka'!$C$3:$C$501,"=11",'Unos prihoda i primitaka'!$L$3:$L$501,"=72")</f>
        <v>0</v>
      </c>
      <c r="F32" s="150">
        <f>SUMIFS('Unos prihoda i primitaka'!$H$3:$H$501,'Unos prihoda i primitaka'!$C$3:$C$501,"=12",'Unos prihoda i primitaka'!$L$3:$L$501,"=72")</f>
        <v>0</v>
      </c>
      <c r="G32" s="150">
        <f>SUMIFS('Unos prihoda i primitaka'!$H$3:$H$501,'Unos prihoda i primitaka'!$C$3:$C$501,"=31",'Unos prihoda i primitaka'!$L$3:$L$501,"=72")</f>
        <v>0</v>
      </c>
      <c r="H32" s="150">
        <f>SUMIFS('Unos prihoda i primitaka'!$H$3:$H$501,'Unos prihoda i primitaka'!$C$3:$C$501,"=41",'Unos prihoda i primitaka'!$L$3:$L$501,"=72")</f>
        <v>0</v>
      </c>
      <c r="I32" s="150">
        <f>SUMIFS('Unos prihoda i primitaka'!$H$3:$H$501,'Unos prihoda i primitaka'!$C$3:$C$501,"=43",'Unos prihoda i primitaka'!$L$3:$L$501,"=72")</f>
        <v>0</v>
      </c>
      <c r="J32" s="150">
        <f>SUMIFS('Unos prihoda i primitaka'!$H$3:$H$501,'Unos prihoda i primitaka'!$C$3:$C$501,"=51",'Unos prihoda i primitaka'!$L$3:$L$501,"=72")</f>
        <v>0</v>
      </c>
      <c r="K32" s="150">
        <f>SUMIFS('Unos prihoda i primitaka'!$H$3:$H$501,'Unos prihoda i primitaka'!$C$3:$C$501,"=52",'Unos prihoda i primitaka'!$L$3:$L$501,"=72")</f>
        <v>0</v>
      </c>
      <c r="L32" s="150">
        <f>SUMIFS('Unos prihoda i primitaka'!$H$3:$H$501,'Unos prihoda i primitaka'!$C$3:$C$501,"=552",'Unos prihoda i primitaka'!$L$3:$L$501,"=72")</f>
        <v>0</v>
      </c>
      <c r="M32" s="150">
        <f>SUMIFS('Unos prihoda i primitaka'!$H$3:$H$501,'Unos prihoda i primitaka'!$C$3:$C$501,"=559",'Unos prihoda i primitaka'!$L$3:$L$501,"=72")</f>
        <v>0</v>
      </c>
      <c r="N32" s="150">
        <f>SUMIFS('Unos prihoda i primitaka'!$H$3:$H$501,'Unos prihoda i primitaka'!$C$3:$C$501,"=561",'Unos prihoda i primitaka'!$L$3:$L$501,"=72")</f>
        <v>0</v>
      </c>
      <c r="O32" s="150">
        <f>SUMIFS('Unos prihoda i primitaka'!$H$3:$H$501,'Unos prihoda i primitaka'!$C$3:$C$501,"=563",'Unos prihoda i primitaka'!$L$3:$L$501,"=72")</f>
        <v>0</v>
      </c>
      <c r="P32" s="150">
        <f>SUMIFS('Unos prihoda i primitaka'!$H$3:$H$501,'Unos prihoda i primitaka'!$C$3:$C$501,"=573",'Unos prihoda i primitaka'!$L$3:$L$501,"=72")</f>
        <v>0</v>
      </c>
      <c r="Q32" s="150">
        <f>SUMIFS('Unos prihoda i primitaka'!$H$3:$H$501,'Unos prihoda i primitaka'!$C$3:$C$501,"=575",'Unos prihoda i primitaka'!$L$3:$L$501,"=72")</f>
        <v>0</v>
      </c>
      <c r="R32" s="150">
        <f>SUMIFS('Unos prihoda i primitaka'!$H$3:$H$501,'Unos prihoda i primitaka'!$C$3:$C$501,"=576",'Unos prihoda i primitaka'!$L$3:$L$501,"=72")</f>
        <v>0</v>
      </c>
      <c r="S32" s="150">
        <f>SUMIFS('Unos prihoda i primitaka'!$H$3:$H$501,'Unos prihoda i primitaka'!$C$3:$C$501,"=581",'Unos prihoda i primitaka'!$L$3:$L$501,"=72")</f>
        <v>0</v>
      </c>
      <c r="T32" s="150">
        <f>SUMIFS('Unos prihoda i primitaka'!$H$3:$H$501,'Unos prihoda i primitaka'!$C$3:$C$501,"=61",'Unos prihoda i primitaka'!$L$3:$L$501,"=72")</f>
        <v>0</v>
      </c>
      <c r="U32" s="150">
        <f>SUMIFS('Unos prihoda i primitaka'!$H$3:$H$501,'Unos prihoda i primitaka'!$C$3:$C$501,"=63",'Unos prihoda i primitaka'!$L$3:$L$501,"=72")</f>
        <v>0</v>
      </c>
      <c r="V32" s="150">
        <f>SUMIFS('Unos prihoda i primitaka'!$H$3:$H$501,'Unos prihoda i primitaka'!$C$3:$C$501,"=71",'Unos prihoda i primitaka'!$L$3:$L$501,"=72")</f>
        <v>722</v>
      </c>
    </row>
    <row r="33" spans="1:22" s="110" customFormat="1">
      <c r="A33" s="118">
        <v>2023</v>
      </c>
      <c r="B33" s="151" t="s">
        <v>3231</v>
      </c>
      <c r="C33" s="152" t="s">
        <v>3226</v>
      </c>
      <c r="D33" s="121">
        <f t="shared" si="5"/>
        <v>722</v>
      </c>
      <c r="E33" s="153">
        <f t="shared" ref="E33:V33" si="7">SUM(E31:E32)</f>
        <v>0</v>
      </c>
      <c r="F33" s="153">
        <f t="shared" si="7"/>
        <v>0</v>
      </c>
      <c r="G33" s="153">
        <f t="shared" si="7"/>
        <v>0</v>
      </c>
      <c r="H33" s="153">
        <f t="shared" si="7"/>
        <v>0</v>
      </c>
      <c r="I33" s="153">
        <f t="shared" si="7"/>
        <v>0</v>
      </c>
      <c r="J33" s="153">
        <f t="shared" si="7"/>
        <v>0</v>
      </c>
      <c r="K33" s="153">
        <f t="shared" si="7"/>
        <v>0</v>
      </c>
      <c r="L33" s="153">
        <f t="shared" si="7"/>
        <v>0</v>
      </c>
      <c r="M33" s="153">
        <f t="shared" si="7"/>
        <v>0</v>
      </c>
      <c r="N33" s="153">
        <f t="shared" si="7"/>
        <v>0</v>
      </c>
      <c r="O33" s="153">
        <f t="shared" si="7"/>
        <v>0</v>
      </c>
      <c r="P33" s="153">
        <f t="shared" si="7"/>
        <v>0</v>
      </c>
      <c r="Q33" s="153">
        <f t="shared" si="7"/>
        <v>0</v>
      </c>
      <c r="R33" s="153">
        <f t="shared" si="7"/>
        <v>0</v>
      </c>
      <c r="S33" s="153">
        <f t="shared" si="7"/>
        <v>0</v>
      </c>
      <c r="T33" s="153">
        <f t="shared" si="7"/>
        <v>0</v>
      </c>
      <c r="U33" s="153">
        <f t="shared" si="7"/>
        <v>0</v>
      </c>
      <c r="V33" s="153">
        <f t="shared" si="7"/>
        <v>722</v>
      </c>
    </row>
    <row r="34" spans="1:22">
      <c r="B34" s="132"/>
      <c r="C34" s="132"/>
      <c r="D34" s="132"/>
      <c r="E34" s="132"/>
      <c r="F34" s="132"/>
      <c r="G34" s="132"/>
      <c r="H34" s="132"/>
      <c r="I34" s="133"/>
      <c r="J34" s="134"/>
      <c r="K34" s="134"/>
      <c r="L34" s="134"/>
      <c r="M34" s="134"/>
      <c r="N34" s="134"/>
      <c r="O34" s="134"/>
      <c r="P34" s="134"/>
      <c r="Q34" s="134"/>
      <c r="R34" s="134"/>
      <c r="S34" s="112"/>
    </row>
    <row r="35" spans="1:22" s="110" customFormat="1" ht="96.6">
      <c r="A35" s="113" t="s">
        <v>3176</v>
      </c>
      <c r="B35" s="114" t="s">
        <v>3177</v>
      </c>
      <c r="C35" s="114" t="s">
        <v>3178</v>
      </c>
      <c r="D35" s="115" t="s">
        <v>3206</v>
      </c>
      <c r="E35" s="137" t="s">
        <v>3180</v>
      </c>
      <c r="F35" s="137" t="s">
        <v>3181</v>
      </c>
      <c r="G35" s="137" t="s">
        <v>3182</v>
      </c>
      <c r="H35" s="137" t="s">
        <v>3183</v>
      </c>
      <c r="I35" s="137" t="s">
        <v>3184</v>
      </c>
      <c r="J35" s="137" t="s">
        <v>3185</v>
      </c>
      <c r="K35" s="137" t="s">
        <v>3186</v>
      </c>
      <c r="L35" s="137" t="s">
        <v>3187</v>
      </c>
      <c r="M35" s="137" t="s">
        <v>3188</v>
      </c>
      <c r="N35" s="137" t="s">
        <v>3189</v>
      </c>
      <c r="O35" s="137" t="s">
        <v>3190</v>
      </c>
      <c r="P35" s="137" t="s">
        <v>3191</v>
      </c>
      <c r="Q35" s="137" t="s">
        <v>3192</v>
      </c>
      <c r="R35" s="137" t="s">
        <v>3193</v>
      </c>
      <c r="S35" s="117" t="s">
        <v>3194</v>
      </c>
      <c r="T35" s="117" t="s">
        <v>3195</v>
      </c>
      <c r="U35" s="117" t="s">
        <v>3196</v>
      </c>
      <c r="V35" s="117" t="s">
        <v>3197</v>
      </c>
    </row>
    <row r="36" spans="1:22" s="110" customFormat="1" ht="20.25" customHeight="1">
      <c r="A36" s="118">
        <v>2023</v>
      </c>
      <c r="B36" s="130">
        <v>2023</v>
      </c>
      <c r="C36" s="130" t="s">
        <v>3210</v>
      </c>
      <c r="D36" s="131">
        <f t="shared" ref="D36:D47" si="8">SUM(E36:V36)</f>
        <v>-167428</v>
      </c>
      <c r="E36" s="131">
        <f t="shared" ref="E36:V36" si="9">+E47+E44</f>
        <v>-300841</v>
      </c>
      <c r="F36" s="131">
        <f t="shared" si="9"/>
        <v>16244</v>
      </c>
      <c r="G36" s="131">
        <f t="shared" si="9"/>
        <v>101047</v>
      </c>
      <c r="H36" s="131">
        <f t="shared" si="9"/>
        <v>0</v>
      </c>
      <c r="I36" s="131">
        <f t="shared" si="9"/>
        <v>-159555</v>
      </c>
      <c r="J36" s="131">
        <f t="shared" si="9"/>
        <v>69109</v>
      </c>
      <c r="K36" s="131">
        <f t="shared" si="9"/>
        <v>-8001</v>
      </c>
      <c r="L36" s="131">
        <f t="shared" si="9"/>
        <v>0</v>
      </c>
      <c r="M36" s="131">
        <f t="shared" si="9"/>
        <v>0</v>
      </c>
      <c r="N36" s="131">
        <f t="shared" si="9"/>
        <v>89623</v>
      </c>
      <c r="O36" s="131">
        <f t="shared" si="9"/>
        <v>0</v>
      </c>
      <c r="P36" s="131">
        <f t="shared" si="9"/>
        <v>0</v>
      </c>
      <c r="Q36" s="131">
        <f t="shared" si="9"/>
        <v>0</v>
      </c>
      <c r="R36" s="131">
        <f t="shared" si="9"/>
        <v>0</v>
      </c>
      <c r="S36" s="131">
        <f t="shared" si="9"/>
        <v>0</v>
      </c>
      <c r="T36" s="131">
        <f t="shared" si="9"/>
        <v>25020</v>
      </c>
      <c r="U36" s="131">
        <f t="shared" si="9"/>
        <v>0</v>
      </c>
      <c r="V36" s="131">
        <f t="shared" si="9"/>
        <v>-74</v>
      </c>
    </row>
    <row r="37" spans="1:22" s="110" customFormat="1">
      <c r="A37" s="118">
        <v>2023</v>
      </c>
      <c r="B37" s="148" t="s">
        <v>3211</v>
      </c>
      <c r="C37" s="149" t="s">
        <v>3212</v>
      </c>
      <c r="D37" s="121">
        <f t="shared" si="8"/>
        <v>0</v>
      </c>
      <c r="E37" s="150">
        <f>SUMIFS('Unos prihoda i primitaka'!$I$3:$I$501,'Unos prihoda i primitaka'!$C$3:$C$501,"=11",'Unos prihoda i primitaka'!$L$3:$L$501,"=61")</f>
        <v>0</v>
      </c>
      <c r="F37" s="150">
        <f>SUMIFS('Unos prihoda i primitaka'!$I$3:$I$501,'Unos prihoda i primitaka'!$C$3:$C$501,"=12",'Unos prihoda i primitaka'!$L$3:$L$501,"=61")</f>
        <v>0</v>
      </c>
      <c r="G37" s="150">
        <f>SUMIFS('Unos prihoda i primitaka'!$I$3:$I$501,'Unos prihoda i primitaka'!$C$3:$C$501,"=31",'Unos prihoda i primitaka'!$L$3:$L$501,"=61")</f>
        <v>0</v>
      </c>
      <c r="H37" s="150">
        <f>SUMIFS('Unos prihoda i primitaka'!$I$3:$I$501,'Unos prihoda i primitaka'!$C$3:$C$501,"=41",'Unos prihoda i primitaka'!$L$3:$L$501,"=61")</f>
        <v>0</v>
      </c>
      <c r="I37" s="150">
        <f>SUMIFS('Unos prihoda i primitaka'!$I$3:$I$501,'Unos prihoda i primitaka'!$C$3:$C$501,"=43",'Unos prihoda i primitaka'!$L$3:$L$501,"=61")</f>
        <v>0</v>
      </c>
      <c r="J37" s="150">
        <f>SUMIFS('Unos prihoda i primitaka'!$I$3:$I$501,'Unos prihoda i primitaka'!$C$3:$C$501,"=51",'Unos prihoda i primitaka'!$L$3:$L$501,"=61")</f>
        <v>0</v>
      </c>
      <c r="K37" s="150">
        <f>SUMIFS('Unos prihoda i primitaka'!$I$3:$I$501,'Unos prihoda i primitaka'!$C$3:$C$501,"=52",'Unos prihoda i primitaka'!$L$3:$L$501,"=61")</f>
        <v>0</v>
      </c>
      <c r="L37" s="150">
        <f>SUMIFS('Unos prihoda i primitaka'!$I$3:$I$501,'Unos prihoda i primitaka'!$C$3:$C$501,"=552",'Unos prihoda i primitaka'!$L$3:$L$501,"=61")</f>
        <v>0</v>
      </c>
      <c r="M37" s="150">
        <f>SUMIFS('Unos prihoda i primitaka'!$I$3:$I$501,'Unos prihoda i primitaka'!$C$3:$C$501,"=559",'Unos prihoda i primitaka'!$L$3:$L$501,"=61")</f>
        <v>0</v>
      </c>
      <c r="N37" s="150">
        <f>SUMIFS('Unos prihoda i primitaka'!$I$3:$I$501,'Unos prihoda i primitaka'!$C$3:$C$501,"=561",'Unos prihoda i primitaka'!$L$3:$L$501,"=61")</f>
        <v>0</v>
      </c>
      <c r="O37" s="150">
        <f>SUMIFS('Unos prihoda i primitaka'!$I$3:$I$501,'Unos prihoda i primitaka'!$C$3:$C$501,"=563",'Unos prihoda i primitaka'!$L$3:$L$501,"=61")</f>
        <v>0</v>
      </c>
      <c r="P37" s="150">
        <f>SUMIFS('Unos prihoda i primitaka'!$I$3:$I$501,'Unos prihoda i primitaka'!$C$3:$C$501,"=573",'Unos prihoda i primitaka'!$L$3:$L$501,"=61")</f>
        <v>0</v>
      </c>
      <c r="Q37" s="150">
        <f>SUMIFS('Unos prihoda i primitaka'!$I$3:$I$501,'Unos prihoda i primitaka'!$C$3:$C$501,"=575",'Unos prihoda i primitaka'!$L$3:$L$501,"=61")</f>
        <v>0</v>
      </c>
      <c r="R37" s="150">
        <f>SUMIFS('Unos prihoda i primitaka'!$I$3:$I$501,'Unos prihoda i primitaka'!$C$3:$C$501,"=576",'Unos prihoda i primitaka'!$L$3:$L$501,"=61")</f>
        <v>0</v>
      </c>
      <c r="S37" s="150">
        <f>SUMIFS('Unos prihoda i primitaka'!$I$3:$I$501,'Unos prihoda i primitaka'!$C$3:$C$501,"=581",'Unos prihoda i primitaka'!$L$3:$L$501,"=61")</f>
        <v>0</v>
      </c>
      <c r="T37" s="150">
        <f>SUMIFS('Unos prihoda i primitaka'!$I$3:$I$501,'Unos prihoda i primitaka'!$C$3:$C$501,"=61",'Unos prihoda i primitaka'!$L$3:$L$501,"=61")</f>
        <v>0</v>
      </c>
      <c r="U37" s="150">
        <f>SUMIFS('Unos prihoda i primitaka'!$I$3:$I$501,'Unos prihoda i primitaka'!$C$3:$C$501,"=63",'Unos prihoda i primitaka'!$L$3:$L$501,"=61")</f>
        <v>0</v>
      </c>
      <c r="V37" s="150">
        <f>SUMIFS('Unos prihoda i primitaka'!$I$3:$I$501,'Unos prihoda i primitaka'!$C$3:$C$501,"=71",'Unos prihoda i primitaka'!$L$3:$L$501,"=61")</f>
        <v>0</v>
      </c>
    </row>
    <row r="38" spans="1:22" s="110" customFormat="1">
      <c r="A38" s="118">
        <v>2023</v>
      </c>
      <c r="B38" s="148" t="s">
        <v>3213</v>
      </c>
      <c r="C38" s="149" t="s">
        <v>3214</v>
      </c>
      <c r="D38" s="121">
        <f t="shared" si="8"/>
        <v>150731</v>
      </c>
      <c r="E38" s="150">
        <f>SUMIFS('Unos prihoda i primitaka'!$I$3:$I$501,'Unos prihoda i primitaka'!$C$3:$C$501,"=11",'Unos prihoda i primitaka'!$L$3:$L$501,"=63")</f>
        <v>0</v>
      </c>
      <c r="F38" s="150">
        <f>SUMIFS('Unos prihoda i primitaka'!$I$3:$I$501,'Unos prihoda i primitaka'!$C$3:$C$501,"=12",'Unos prihoda i primitaka'!$L$3:$L$501,"=63")</f>
        <v>0</v>
      </c>
      <c r="G38" s="150">
        <f>SUMIFS('Unos prihoda i primitaka'!$I$3:$I$501,'Unos prihoda i primitaka'!$C$3:$C$501,"=31",'Unos prihoda i primitaka'!$L$3:$L$501,"=63")</f>
        <v>0</v>
      </c>
      <c r="H38" s="150">
        <f>SUMIFS('Unos prihoda i primitaka'!$I$3:$I$501,'Unos prihoda i primitaka'!$C$3:$C$501,"=41",'Unos prihoda i primitaka'!$L$3:$L$501,"=63")</f>
        <v>0</v>
      </c>
      <c r="I38" s="150">
        <f>SUMIFS('Unos prihoda i primitaka'!$I$3:$I$501,'Unos prihoda i primitaka'!$C$3:$C$501,"=43",'Unos prihoda i primitaka'!$L$3:$L$501,"=63")</f>
        <v>0</v>
      </c>
      <c r="J38" s="150">
        <f>SUMIFS('Unos prihoda i primitaka'!$I$3:$I$501,'Unos prihoda i primitaka'!$C$3:$C$501,"=51",'Unos prihoda i primitaka'!$L$3:$L$501,"=63")</f>
        <v>69109</v>
      </c>
      <c r="K38" s="150">
        <f>SUMIFS('Unos prihoda i primitaka'!$I$3:$I$501,'Unos prihoda i primitaka'!$C$3:$C$501,"=52",'Unos prihoda i primitaka'!$L$3:$L$501,"=63")</f>
        <v>-8001</v>
      </c>
      <c r="L38" s="150">
        <f>SUMIFS('Unos prihoda i primitaka'!$I$3:$I$501,'Unos prihoda i primitaka'!$C$3:$C$501,"=552",'Unos prihoda i primitaka'!$L$3:$L$501,"=63")</f>
        <v>0</v>
      </c>
      <c r="M38" s="150">
        <f>SUMIFS('Unos prihoda i primitaka'!$I$3:$I$501,'Unos prihoda i primitaka'!$C$3:$C$501,"=559",'Unos prihoda i primitaka'!$L$3:$L$501,"=63")</f>
        <v>0</v>
      </c>
      <c r="N38" s="150">
        <f>SUMIFS('Unos prihoda i primitaka'!$I$3:$I$501,'Unos prihoda i primitaka'!$C$3:$C$501,"=561",'Unos prihoda i primitaka'!$L$3:$L$501,"=63")</f>
        <v>89623</v>
      </c>
      <c r="O38" s="150">
        <f>SUMIFS('Unos prihoda i primitaka'!$I$3:$I$501,'Unos prihoda i primitaka'!$C$3:$C$501,"=563",'Unos prihoda i primitaka'!$L$3:$L$501,"=63")</f>
        <v>0</v>
      </c>
      <c r="P38" s="150">
        <f>SUMIFS('Unos prihoda i primitaka'!$I$3:$I$501,'Unos prihoda i primitaka'!$C$3:$C$501,"=573",'Unos prihoda i primitaka'!$L$3:$L$501,"=63")</f>
        <v>0</v>
      </c>
      <c r="Q38" s="150">
        <f>SUMIFS('Unos prihoda i primitaka'!$I$3:$I$501,'Unos prihoda i primitaka'!$C$3:$C$501,"=575",'Unos prihoda i primitaka'!$L$3:$L$501,"=63")</f>
        <v>0</v>
      </c>
      <c r="R38" s="150">
        <f>SUMIFS('Unos prihoda i primitaka'!$I$3:$I$501,'Unos prihoda i primitaka'!$C$3:$C$501,"=576",'Unos prihoda i primitaka'!$L$3:$L$501,"=63")</f>
        <v>0</v>
      </c>
      <c r="S38" s="150">
        <f>SUMIFS('Unos prihoda i primitaka'!$I$3:$I$501,'Unos prihoda i primitaka'!$C$3:$C$501,"=581",'Unos prihoda i primitaka'!$L$3:$L$501,"=63")</f>
        <v>0</v>
      </c>
      <c r="T38" s="150">
        <f>SUMIFS('Unos prihoda i primitaka'!$I$3:$I$501,'Unos prihoda i primitaka'!$C$3:$C$501,"=61",'Unos prihoda i primitaka'!$L$3:$L$501,"=63")</f>
        <v>0</v>
      </c>
      <c r="U38" s="150">
        <f>SUMIFS('Unos prihoda i primitaka'!$I$3:$I$501,'Unos prihoda i primitaka'!$C$3:$C$501,"=63",'Unos prihoda i primitaka'!$L$3:$L$501,"=63")</f>
        <v>0</v>
      </c>
      <c r="V38" s="150">
        <f>SUMIFS('Unos prihoda i primitaka'!$I$3:$I$501,'Unos prihoda i primitaka'!$C$3:$C$501,"=71",'Unos prihoda i primitaka'!$L$3:$L$501,"=63")</f>
        <v>0</v>
      </c>
    </row>
    <row r="39" spans="1:22" s="110" customFormat="1">
      <c r="A39" s="118">
        <v>2023</v>
      </c>
      <c r="B39" s="119" t="s">
        <v>3215</v>
      </c>
      <c r="C39" s="120" t="s">
        <v>3216</v>
      </c>
      <c r="D39" s="121">
        <f t="shared" si="8"/>
        <v>100</v>
      </c>
      <c r="E39" s="150">
        <f>SUMIFS('Unos prihoda i primitaka'!$I$3:$I$501,'Unos prihoda i primitaka'!$C$3:$C$501,"=11",'Unos prihoda i primitaka'!$L$3:$L$501,"=64")</f>
        <v>0</v>
      </c>
      <c r="F39" s="150">
        <f>SUMIFS('Unos prihoda i primitaka'!$I$3:$I$501,'Unos prihoda i primitaka'!$C$3:$C$501,"=12",'Unos prihoda i primitaka'!$L$3:$L$501,"=64")</f>
        <v>0</v>
      </c>
      <c r="G39" s="150">
        <f>SUMIFS('Unos prihoda i primitaka'!$I$3:$I$501,'Unos prihoda i primitaka'!$C$3:$C$501,"=31",'Unos prihoda i primitaka'!$L$3:$L$501,"=64")</f>
        <v>100</v>
      </c>
      <c r="H39" s="150">
        <f>SUMIFS('Unos prihoda i primitaka'!$I$3:$I$501,'Unos prihoda i primitaka'!$C$3:$C$501,"=41",'Unos prihoda i primitaka'!$L$3:$L$501,"=64")</f>
        <v>0</v>
      </c>
      <c r="I39" s="150">
        <f>SUMIFS('Unos prihoda i primitaka'!$I$3:$I$501,'Unos prihoda i primitaka'!$C$3:$C$501,"=43",'Unos prihoda i primitaka'!$L$3:$L$501,"=64")</f>
        <v>0</v>
      </c>
      <c r="J39" s="150">
        <f>SUMIFS('Unos prihoda i primitaka'!$I$3:$I$501,'Unos prihoda i primitaka'!$C$3:$C$501,"=51",'Unos prihoda i primitaka'!$L$3:$L$501,"=64")</f>
        <v>0</v>
      </c>
      <c r="K39" s="150">
        <f>SUMIFS('Unos prihoda i primitaka'!$I$3:$I$501,'Unos prihoda i primitaka'!$C$3:$C$501,"=52",'Unos prihoda i primitaka'!$L$3:$L$501,"=64")</f>
        <v>0</v>
      </c>
      <c r="L39" s="150">
        <f>SUMIFS('Unos prihoda i primitaka'!$I$3:$I$501,'Unos prihoda i primitaka'!$C$3:$C$501,"=552",'Unos prihoda i primitaka'!$L$3:$L$501,"=64")</f>
        <v>0</v>
      </c>
      <c r="M39" s="150">
        <f>SUMIFS('Unos prihoda i primitaka'!$I$3:$I$501,'Unos prihoda i primitaka'!$C$3:$C$501,"=559",'Unos prihoda i primitaka'!$L$3:$L$501,"=64")</f>
        <v>0</v>
      </c>
      <c r="N39" s="150">
        <f>SUMIFS('Unos prihoda i primitaka'!$I$3:$I$501,'Unos prihoda i primitaka'!$C$3:$C$501,"=561",'Unos prihoda i primitaka'!$L$3:$L$501,"=64")</f>
        <v>0</v>
      </c>
      <c r="O39" s="150">
        <f>SUMIFS('Unos prihoda i primitaka'!$I$3:$I$501,'Unos prihoda i primitaka'!$C$3:$C$501,"=563",'Unos prihoda i primitaka'!$L$3:$L$501,"=64")</f>
        <v>0</v>
      </c>
      <c r="P39" s="150">
        <f>SUMIFS('Unos prihoda i primitaka'!$I$3:$I$501,'Unos prihoda i primitaka'!$C$3:$C$501,"=573",'Unos prihoda i primitaka'!$L$3:$L$501,"=64")</f>
        <v>0</v>
      </c>
      <c r="Q39" s="150">
        <f>SUMIFS('Unos prihoda i primitaka'!$I$3:$I$501,'Unos prihoda i primitaka'!$C$3:$C$501,"=575",'Unos prihoda i primitaka'!$L$3:$L$501,"=64")</f>
        <v>0</v>
      </c>
      <c r="R39" s="150">
        <f>SUMIFS('Unos prihoda i primitaka'!$I$3:$I$501,'Unos prihoda i primitaka'!$C$3:$C$501,"=576",'Unos prihoda i primitaka'!$L$3:$L$501,"=64")</f>
        <v>0</v>
      </c>
      <c r="S39" s="150">
        <f>SUMIFS('Unos prihoda i primitaka'!$I$3:$I$501,'Unos prihoda i primitaka'!$C$3:$C$501,"=581",'Unos prihoda i primitaka'!$L$3:$L$501,"=64")</f>
        <v>0</v>
      </c>
      <c r="T39" s="150">
        <f>SUMIFS('Unos prihoda i primitaka'!$I$3:$I$501,'Unos prihoda i primitaka'!$C$3:$C$501,"=61",'Unos prihoda i primitaka'!$L$3:$L$501,"=64")</f>
        <v>0</v>
      </c>
      <c r="U39" s="150">
        <f>SUMIFS('Unos prihoda i primitaka'!$I$3:$I$501,'Unos prihoda i primitaka'!$C$3:$C$501,"=63",'Unos prihoda i primitaka'!$L$3:$L$501,"=64")</f>
        <v>0</v>
      </c>
      <c r="V39" s="150">
        <f>SUMIFS('Unos prihoda i primitaka'!$I$3:$I$501,'Unos prihoda i primitaka'!$C$3:$C$501,"=71",'Unos prihoda i primitaka'!$L$3:$L$501,"=64")</f>
        <v>0</v>
      </c>
    </row>
    <row r="40" spans="1:22" s="110" customFormat="1" ht="27.6">
      <c r="A40" s="118">
        <v>2023</v>
      </c>
      <c r="B40" s="119" t="s">
        <v>3217</v>
      </c>
      <c r="C40" s="120" t="s">
        <v>3218</v>
      </c>
      <c r="D40" s="121">
        <f t="shared" si="8"/>
        <v>-162698</v>
      </c>
      <c r="E40" s="150">
        <f>SUMIFS('Unos prihoda i primitaka'!$I$3:$I$501,'Unos prihoda i primitaka'!$C$3:$C$501,"=11",'Unos prihoda i primitaka'!$L$3:$L$501,"=65")</f>
        <v>0</v>
      </c>
      <c r="F40" s="150">
        <f>SUMIFS('Unos prihoda i primitaka'!$I$3:$I$501,'Unos prihoda i primitaka'!$C$3:$C$501,"=12",'Unos prihoda i primitaka'!$L$3:$L$501,"=65")</f>
        <v>0</v>
      </c>
      <c r="G40" s="150">
        <f>SUMIFS('Unos prihoda i primitaka'!$I$3:$I$501,'Unos prihoda i primitaka'!$C$3:$C$501,"=31",'Unos prihoda i primitaka'!$L$3:$L$501,"=65")</f>
        <v>0</v>
      </c>
      <c r="H40" s="150">
        <f>SUMIFS('Unos prihoda i primitaka'!$I$3:$I$501,'Unos prihoda i primitaka'!$C$3:$C$501,"=41",'Unos prihoda i primitaka'!$L$3:$L$501,"=65")</f>
        <v>0</v>
      </c>
      <c r="I40" s="150">
        <f>SUMIFS('Unos prihoda i primitaka'!$I$3:$I$501,'Unos prihoda i primitaka'!$C$3:$C$501,"=43",'Unos prihoda i primitaka'!$L$3:$L$501,"=65")</f>
        <v>-162698</v>
      </c>
      <c r="J40" s="150">
        <f>SUMIFS('Unos prihoda i primitaka'!$I$3:$I$501,'Unos prihoda i primitaka'!$C$3:$C$501,"=51",'Unos prihoda i primitaka'!$L$3:$L$501,"=65")</f>
        <v>0</v>
      </c>
      <c r="K40" s="150">
        <f>SUMIFS('Unos prihoda i primitaka'!$I$3:$I$501,'Unos prihoda i primitaka'!$C$3:$C$501,"=52",'Unos prihoda i primitaka'!$L$3:$L$501,"=65")</f>
        <v>0</v>
      </c>
      <c r="L40" s="150">
        <f>SUMIFS('Unos prihoda i primitaka'!$I$3:$I$501,'Unos prihoda i primitaka'!$C$3:$C$501,"=552",'Unos prihoda i primitaka'!$L$3:$L$501,"=65")</f>
        <v>0</v>
      </c>
      <c r="M40" s="150">
        <f>SUMIFS('Unos prihoda i primitaka'!$I$3:$I$501,'Unos prihoda i primitaka'!$C$3:$C$501,"=559",'Unos prihoda i primitaka'!$L$3:$L$501,"=65")</f>
        <v>0</v>
      </c>
      <c r="N40" s="150">
        <f>SUMIFS('Unos prihoda i primitaka'!$I$3:$I$501,'Unos prihoda i primitaka'!$C$3:$C$501,"=561",'Unos prihoda i primitaka'!$L$3:$L$501,"=65")</f>
        <v>0</v>
      </c>
      <c r="O40" s="150">
        <f>SUMIFS('Unos prihoda i primitaka'!$I$3:$I$501,'Unos prihoda i primitaka'!$C$3:$C$501,"=563",'Unos prihoda i primitaka'!$L$3:$L$501,"=65")</f>
        <v>0</v>
      </c>
      <c r="P40" s="150">
        <f>SUMIFS('Unos prihoda i primitaka'!$I$3:$I$501,'Unos prihoda i primitaka'!$C$3:$C$501,"=573",'Unos prihoda i primitaka'!$L$3:$L$501,"=65")</f>
        <v>0</v>
      </c>
      <c r="Q40" s="150">
        <f>SUMIFS('Unos prihoda i primitaka'!$I$3:$I$501,'Unos prihoda i primitaka'!$C$3:$C$501,"=575",'Unos prihoda i primitaka'!$L$3:$L$501,"=65")</f>
        <v>0</v>
      </c>
      <c r="R40" s="150">
        <f>SUMIFS('Unos prihoda i primitaka'!$I$3:$I$501,'Unos prihoda i primitaka'!$C$3:$C$501,"=576",'Unos prihoda i primitaka'!$L$3:$L$501,"=65")</f>
        <v>0</v>
      </c>
      <c r="S40" s="150">
        <f>SUMIFS('Unos prihoda i primitaka'!$I$3:$I$501,'Unos prihoda i primitaka'!$C$3:$C$501,"=581",'Unos prihoda i primitaka'!$L$3:$L$501,"=65")</f>
        <v>0</v>
      </c>
      <c r="T40" s="150">
        <f>SUMIFS('Unos prihoda i primitaka'!$I$3:$I$501,'Unos prihoda i primitaka'!$C$3:$C$501,"=61",'Unos prihoda i primitaka'!$L$3:$L$501,"=65")</f>
        <v>0</v>
      </c>
      <c r="U40" s="150">
        <f>SUMIFS('Unos prihoda i primitaka'!$I$3:$I$501,'Unos prihoda i primitaka'!$C$3:$C$501,"=63",'Unos prihoda i primitaka'!$L$3:$L$501,"=65")</f>
        <v>0</v>
      </c>
      <c r="V40" s="150">
        <f>SUMIFS('Unos prihoda i primitaka'!$I$3:$I$501,'Unos prihoda i primitaka'!$C$3:$C$501,"=71",'Unos prihoda i primitaka'!$L$3:$L$501,"=65")</f>
        <v>0</v>
      </c>
    </row>
    <row r="41" spans="1:22" s="110" customFormat="1" ht="27.6">
      <c r="A41" s="118">
        <v>2023</v>
      </c>
      <c r="B41" s="126" t="s">
        <v>3219</v>
      </c>
      <c r="C41" s="120" t="s">
        <v>3220</v>
      </c>
      <c r="D41" s="121">
        <f t="shared" si="8"/>
        <v>125967</v>
      </c>
      <c r="E41" s="150">
        <f>SUMIFS('Unos prihoda i primitaka'!$I$3:$I$501,'Unos prihoda i primitaka'!$C$3:$C$501,"=11",'Unos prihoda i primitaka'!$L$3:$L$501,"=66")</f>
        <v>0</v>
      </c>
      <c r="F41" s="150">
        <f>SUMIFS('Unos prihoda i primitaka'!$I$3:$I$501,'Unos prihoda i primitaka'!$C$3:$C$501,"=12",'Unos prihoda i primitaka'!$L$3:$L$501,"=66")</f>
        <v>0</v>
      </c>
      <c r="G41" s="150">
        <f>SUMIFS('Unos prihoda i primitaka'!$I$3:$I$501,'Unos prihoda i primitaka'!$C$3:$C$501,"=31",'Unos prihoda i primitaka'!$L$3:$L$501,"=66")</f>
        <v>100947</v>
      </c>
      <c r="H41" s="150">
        <f>SUMIFS('Unos prihoda i primitaka'!$I$3:$I$501,'Unos prihoda i primitaka'!$C$3:$C$501,"=41",'Unos prihoda i primitaka'!$L$3:$L$501,"=66")</f>
        <v>0</v>
      </c>
      <c r="I41" s="150">
        <f>SUMIFS('Unos prihoda i primitaka'!$I$3:$I$501,'Unos prihoda i primitaka'!$C$3:$C$501,"=43",'Unos prihoda i primitaka'!$L$3:$L$501,"=66")</f>
        <v>0</v>
      </c>
      <c r="J41" s="150">
        <f>SUMIFS('Unos prihoda i primitaka'!$I$3:$I$501,'Unos prihoda i primitaka'!$C$3:$C$501,"=51",'Unos prihoda i primitaka'!$L$3:$L$501,"=66")</f>
        <v>0</v>
      </c>
      <c r="K41" s="150">
        <f>SUMIFS('Unos prihoda i primitaka'!$I$3:$I$501,'Unos prihoda i primitaka'!$C$3:$C$501,"=52",'Unos prihoda i primitaka'!$L$3:$L$501,"=66")</f>
        <v>0</v>
      </c>
      <c r="L41" s="150">
        <f>SUMIFS('Unos prihoda i primitaka'!$I$3:$I$501,'Unos prihoda i primitaka'!$C$3:$C$501,"=552",'Unos prihoda i primitaka'!$L$3:$L$501,"=66")</f>
        <v>0</v>
      </c>
      <c r="M41" s="150">
        <f>SUMIFS('Unos prihoda i primitaka'!$I$3:$I$501,'Unos prihoda i primitaka'!$C$3:$C$501,"=559",'Unos prihoda i primitaka'!$L$3:$L$501,"=66")</f>
        <v>0</v>
      </c>
      <c r="N41" s="150">
        <f>SUMIFS('Unos prihoda i primitaka'!$I$3:$I$501,'Unos prihoda i primitaka'!$C$3:$C$501,"=561",'Unos prihoda i primitaka'!$L$3:$L$501,"=66")</f>
        <v>0</v>
      </c>
      <c r="O41" s="150">
        <f>SUMIFS('Unos prihoda i primitaka'!$I$3:$I$501,'Unos prihoda i primitaka'!$C$3:$C$501,"=563",'Unos prihoda i primitaka'!$L$3:$L$501,"=66")</f>
        <v>0</v>
      </c>
      <c r="P41" s="150">
        <f>SUMIFS('Unos prihoda i primitaka'!$I$3:$I$501,'Unos prihoda i primitaka'!$C$3:$C$501,"=573",'Unos prihoda i primitaka'!$L$3:$L$501,"=66")</f>
        <v>0</v>
      </c>
      <c r="Q41" s="150">
        <f>SUMIFS('Unos prihoda i primitaka'!$I$3:$I$501,'Unos prihoda i primitaka'!$C$3:$C$501,"=575",'Unos prihoda i primitaka'!$L$3:$L$501,"=66")</f>
        <v>0</v>
      </c>
      <c r="R41" s="150">
        <f>SUMIFS('Unos prihoda i primitaka'!$I$3:$I$501,'Unos prihoda i primitaka'!$C$3:$C$501,"=576",'Unos prihoda i primitaka'!$L$3:$L$501,"=66")</f>
        <v>0</v>
      </c>
      <c r="S41" s="150">
        <f>SUMIFS('Unos prihoda i primitaka'!$I$3:$I$501,'Unos prihoda i primitaka'!$C$3:$C$501,"=581",'Unos prihoda i primitaka'!$L$3:$L$501,"=66")</f>
        <v>0</v>
      </c>
      <c r="T41" s="150">
        <f>SUMIFS('Unos prihoda i primitaka'!$I$3:$I$501,'Unos prihoda i primitaka'!$C$3:$C$501,"=61",'Unos prihoda i primitaka'!$L$3:$L$501,"=66")</f>
        <v>25020</v>
      </c>
      <c r="U41" s="150">
        <f>SUMIFS('Unos prihoda i primitaka'!$I$3:$I$501,'Unos prihoda i primitaka'!$C$3:$C$501,"=63",'Unos prihoda i primitaka'!$L$3:$L$501,"=66")</f>
        <v>0</v>
      </c>
      <c r="V41" s="150">
        <f>SUMIFS('Unos prihoda i primitaka'!$I$3:$I$501,'Unos prihoda i primitaka'!$C$3:$C$501,"=71",'Unos prihoda i primitaka'!$L$3:$L$501,"=66")</f>
        <v>0</v>
      </c>
    </row>
    <row r="42" spans="1:22" s="110" customFormat="1">
      <c r="A42" s="118">
        <v>2023</v>
      </c>
      <c r="B42" s="119" t="s">
        <v>3221</v>
      </c>
      <c r="C42" s="120" t="s">
        <v>3222</v>
      </c>
      <c r="D42" s="121">
        <f t="shared" si="8"/>
        <v>-284597</v>
      </c>
      <c r="E42" s="150">
        <f>SUMIFS('Unos prihoda i primitaka'!$I$3:$I$501,'Unos prihoda i primitaka'!$C$3:$C$501,"=11",'Unos prihoda i primitaka'!$L$3:$L$501,"=67")</f>
        <v>-300841</v>
      </c>
      <c r="F42" s="150">
        <f>SUMIFS('Unos prihoda i primitaka'!$I$3:$I$501,'Unos prihoda i primitaka'!$C$3:$C$501,"=12",'Unos prihoda i primitaka'!$L$3:$L$501,"=67")</f>
        <v>16244</v>
      </c>
      <c r="G42" s="150">
        <f>SUMIFS('Unos prihoda i primitaka'!$I$3:$I$501,'Unos prihoda i primitaka'!$C$3:$C$501,"=31",'Unos prihoda i primitaka'!$L$3:$L$501,"=67")</f>
        <v>0</v>
      </c>
      <c r="H42" s="150">
        <f>SUMIFS('Unos prihoda i primitaka'!$I$3:$I$501,'Unos prihoda i primitaka'!$C$3:$C$501,"=41",'Unos prihoda i primitaka'!$L$3:$L$501,"=67")</f>
        <v>0</v>
      </c>
      <c r="I42" s="150">
        <f>SUMIFS('Unos prihoda i primitaka'!$I$3:$I$501,'Unos prihoda i primitaka'!$C$3:$C$501,"=43",'Unos prihoda i primitaka'!$L$3:$L$501,"=67")</f>
        <v>0</v>
      </c>
      <c r="J42" s="150">
        <f>SUMIFS('Unos prihoda i primitaka'!$I$3:$I$501,'Unos prihoda i primitaka'!$C$3:$C$501,"=51",'Unos prihoda i primitaka'!$L$3:$L$501,"=67")</f>
        <v>0</v>
      </c>
      <c r="K42" s="150">
        <f>SUMIFS('Unos prihoda i primitaka'!$I$3:$I$501,'Unos prihoda i primitaka'!$C$3:$C$501,"=52",'Unos prihoda i primitaka'!$L$3:$L$501,"=67")</f>
        <v>0</v>
      </c>
      <c r="L42" s="150">
        <f>SUMIFS('Unos prihoda i primitaka'!$I$3:$I$501,'Unos prihoda i primitaka'!$C$3:$C$501,"=552",'Unos prihoda i primitaka'!$L$3:$L$501,"=67")</f>
        <v>0</v>
      </c>
      <c r="M42" s="150">
        <f>SUMIFS('Unos prihoda i primitaka'!$I$3:$I$501,'Unos prihoda i primitaka'!$C$3:$C$501,"=559",'Unos prihoda i primitaka'!$L$3:$L$501,"=67")</f>
        <v>0</v>
      </c>
      <c r="N42" s="150">
        <f>SUMIFS('Unos prihoda i primitaka'!$I$3:$I$501,'Unos prihoda i primitaka'!$C$3:$C$501,"=561",'Unos prihoda i primitaka'!$L$3:$L$501,"=67")</f>
        <v>0</v>
      </c>
      <c r="O42" s="150">
        <f>SUMIFS('Unos prihoda i primitaka'!$I$3:$I$501,'Unos prihoda i primitaka'!$C$3:$C$501,"=563",'Unos prihoda i primitaka'!$L$3:$L$501,"=67")</f>
        <v>0</v>
      </c>
      <c r="P42" s="150">
        <f>SUMIFS('Unos prihoda i primitaka'!$I$3:$I$501,'Unos prihoda i primitaka'!$C$3:$C$501,"=573",'Unos prihoda i primitaka'!$L$3:$L$501,"=67")</f>
        <v>0</v>
      </c>
      <c r="Q42" s="150">
        <f>SUMIFS('Unos prihoda i primitaka'!$I$3:$I$501,'Unos prihoda i primitaka'!$C$3:$C$501,"=575",'Unos prihoda i primitaka'!$L$3:$L$501,"=67")</f>
        <v>0</v>
      </c>
      <c r="R42" s="150">
        <f>SUMIFS('Unos prihoda i primitaka'!$I$3:$I$501,'Unos prihoda i primitaka'!$C$3:$C$501,"=576",'Unos prihoda i primitaka'!$L$3:$L$501,"=67")</f>
        <v>0</v>
      </c>
      <c r="S42" s="150">
        <f>SUMIFS('Unos prihoda i primitaka'!$I$3:$I$501,'Unos prihoda i primitaka'!$C$3:$C$501,"=581",'Unos prihoda i primitaka'!$L$3:$L$501,"=67")</f>
        <v>0</v>
      </c>
      <c r="T42" s="150">
        <f>SUMIFS('Unos prihoda i primitaka'!$I$3:$I$501,'Unos prihoda i primitaka'!$C$3:$C$501,"=61",'Unos prihoda i primitaka'!$L$3:$L$501,"=67")</f>
        <v>0</v>
      </c>
      <c r="U42" s="150">
        <f>SUMIFS('Unos prihoda i primitaka'!$I$3:$I$501,'Unos prihoda i primitaka'!$C$3:$C$501,"=63",'Unos prihoda i primitaka'!$L$3:$L$501,"=67")</f>
        <v>0</v>
      </c>
      <c r="V42" s="150">
        <f>SUMIFS('Unos prihoda i primitaka'!$I$3:$I$501,'Unos prihoda i primitaka'!$C$3:$C$501,"=71",'Unos prihoda i primitaka'!$L$3:$L$501,"=67")</f>
        <v>0</v>
      </c>
    </row>
    <row r="43" spans="1:22" s="110" customFormat="1">
      <c r="A43" s="118">
        <v>2023</v>
      </c>
      <c r="B43" s="119" t="s">
        <v>3223</v>
      </c>
      <c r="C43" s="120" t="s">
        <v>3224</v>
      </c>
      <c r="D43" s="121">
        <f t="shared" si="8"/>
        <v>3143</v>
      </c>
      <c r="E43" s="150">
        <f>SUMIFS('Unos prihoda i primitaka'!$I$3:$I$501,'Unos prihoda i primitaka'!$C$3:$C$501,"=11",'Unos prihoda i primitaka'!$L$3:$L$501,"=68")</f>
        <v>0</v>
      </c>
      <c r="F43" s="150">
        <f>SUMIFS('Unos prihoda i primitaka'!$I$3:$I$501,'Unos prihoda i primitaka'!$C$3:$C$501,"=12",'Unos prihoda i primitaka'!$L$3:$L$501,"=68")</f>
        <v>0</v>
      </c>
      <c r="G43" s="150">
        <f>SUMIFS('Unos prihoda i primitaka'!$I$3:$I$501,'Unos prihoda i primitaka'!$C$3:$C$501,"=31",'Unos prihoda i primitaka'!$L$3:$L$501,"=68")</f>
        <v>0</v>
      </c>
      <c r="H43" s="150">
        <f>SUMIFS('Unos prihoda i primitaka'!$I$3:$I$501,'Unos prihoda i primitaka'!$C$3:$C$501,"=41",'Unos prihoda i primitaka'!$L$3:$L$501,"=68")</f>
        <v>0</v>
      </c>
      <c r="I43" s="150">
        <f>SUMIFS('Unos prihoda i primitaka'!$I$3:$I$501,'Unos prihoda i primitaka'!$C$3:$C$501,"=43",'Unos prihoda i primitaka'!$L$3:$L$501,"=68")</f>
        <v>3143</v>
      </c>
      <c r="J43" s="150">
        <f>SUMIFS('Unos prihoda i primitaka'!$I$3:$I$501,'Unos prihoda i primitaka'!$C$3:$C$501,"=51",'Unos prihoda i primitaka'!$L$3:$L$501,"=68")</f>
        <v>0</v>
      </c>
      <c r="K43" s="150">
        <f>SUMIFS('Unos prihoda i primitaka'!$I$3:$I$501,'Unos prihoda i primitaka'!$C$3:$C$501,"=52",'Unos prihoda i primitaka'!$L$3:$L$501,"=68")</f>
        <v>0</v>
      </c>
      <c r="L43" s="150">
        <f>SUMIFS('Unos prihoda i primitaka'!$I$3:$I$501,'Unos prihoda i primitaka'!$C$3:$C$501,"=552",'Unos prihoda i primitaka'!$L$3:$L$501,"=68")</f>
        <v>0</v>
      </c>
      <c r="M43" s="150">
        <f>SUMIFS('Unos prihoda i primitaka'!$I$3:$I$501,'Unos prihoda i primitaka'!$C$3:$C$501,"=559",'Unos prihoda i primitaka'!$L$3:$L$501,"=68")</f>
        <v>0</v>
      </c>
      <c r="N43" s="150">
        <f>SUMIFS('Unos prihoda i primitaka'!$I$3:$I$501,'Unos prihoda i primitaka'!$C$3:$C$501,"=561",'Unos prihoda i primitaka'!$L$3:$L$501,"=68")</f>
        <v>0</v>
      </c>
      <c r="O43" s="150">
        <f>SUMIFS('Unos prihoda i primitaka'!$I$3:$I$501,'Unos prihoda i primitaka'!$C$3:$C$501,"=563",'Unos prihoda i primitaka'!$L$3:$L$501,"=68")</f>
        <v>0</v>
      </c>
      <c r="P43" s="150">
        <f>SUMIFS('Unos prihoda i primitaka'!$I$3:$I$501,'Unos prihoda i primitaka'!$C$3:$C$501,"=573",'Unos prihoda i primitaka'!$L$3:$L$501,"=68")</f>
        <v>0</v>
      </c>
      <c r="Q43" s="150">
        <f>SUMIFS('Unos prihoda i primitaka'!$I$3:$I$501,'Unos prihoda i primitaka'!$C$3:$C$501,"=575",'Unos prihoda i primitaka'!$L$3:$L$501,"=68")</f>
        <v>0</v>
      </c>
      <c r="R43" s="150">
        <f>SUMIFS('Unos prihoda i primitaka'!$I$3:$I$501,'Unos prihoda i primitaka'!$C$3:$C$501,"=576",'Unos prihoda i primitaka'!$L$3:$L$501,"=68")</f>
        <v>0</v>
      </c>
      <c r="S43" s="150">
        <f>SUMIFS('Unos prihoda i primitaka'!$I$3:$I$501,'Unos prihoda i primitaka'!$C$3:$C$501,"=581",'Unos prihoda i primitaka'!$L$3:$L$501,"=68")</f>
        <v>0</v>
      </c>
      <c r="T43" s="150">
        <f>SUMIFS('Unos prihoda i primitaka'!$I$3:$I$501,'Unos prihoda i primitaka'!$C$3:$C$501,"=61",'Unos prihoda i primitaka'!$L$3:$L$501,"=68")</f>
        <v>0</v>
      </c>
      <c r="U43" s="150">
        <f>SUMIFS('Unos prihoda i primitaka'!$I$3:$I$501,'Unos prihoda i primitaka'!$C$3:$C$501,"=63",'Unos prihoda i primitaka'!$L$3:$L$501,"=68")</f>
        <v>0</v>
      </c>
      <c r="V43" s="150">
        <f>SUMIFS('Unos prihoda i primitaka'!$I$3:$I$501,'Unos prihoda i primitaka'!$C$3:$C$501,"=71",'Unos prihoda i primitaka'!$L$3:$L$501,"=68")</f>
        <v>0</v>
      </c>
    </row>
    <row r="44" spans="1:22" s="110" customFormat="1">
      <c r="A44" s="118">
        <v>2023</v>
      </c>
      <c r="B44" s="151" t="s">
        <v>3225</v>
      </c>
      <c r="C44" s="152" t="s">
        <v>3226</v>
      </c>
      <c r="D44" s="121">
        <f t="shared" si="8"/>
        <v>-167354</v>
      </c>
      <c r="E44" s="153">
        <f t="shared" ref="E44:V44" si="10">SUM(E37:E43)</f>
        <v>-300841</v>
      </c>
      <c r="F44" s="153">
        <f t="shared" si="10"/>
        <v>16244</v>
      </c>
      <c r="G44" s="153">
        <f t="shared" si="10"/>
        <v>101047</v>
      </c>
      <c r="H44" s="153">
        <f t="shared" si="10"/>
        <v>0</v>
      </c>
      <c r="I44" s="153">
        <f t="shared" si="10"/>
        <v>-159555</v>
      </c>
      <c r="J44" s="153">
        <f t="shared" si="10"/>
        <v>69109</v>
      </c>
      <c r="K44" s="153">
        <f t="shared" si="10"/>
        <v>-8001</v>
      </c>
      <c r="L44" s="153">
        <f t="shared" si="10"/>
        <v>0</v>
      </c>
      <c r="M44" s="153">
        <f t="shared" si="10"/>
        <v>0</v>
      </c>
      <c r="N44" s="153">
        <f t="shared" si="10"/>
        <v>89623</v>
      </c>
      <c r="O44" s="153">
        <f t="shared" si="10"/>
        <v>0</v>
      </c>
      <c r="P44" s="153">
        <f t="shared" si="10"/>
        <v>0</v>
      </c>
      <c r="Q44" s="153">
        <f t="shared" si="10"/>
        <v>0</v>
      </c>
      <c r="R44" s="153">
        <f t="shared" si="10"/>
        <v>0</v>
      </c>
      <c r="S44" s="153">
        <f t="shared" si="10"/>
        <v>0</v>
      </c>
      <c r="T44" s="153">
        <f t="shared" si="10"/>
        <v>25020</v>
      </c>
      <c r="U44" s="153">
        <f t="shared" si="10"/>
        <v>0</v>
      </c>
      <c r="V44" s="153">
        <f t="shared" si="10"/>
        <v>0</v>
      </c>
    </row>
    <row r="45" spans="1:22" s="110" customFormat="1">
      <c r="A45" s="118">
        <v>2023</v>
      </c>
      <c r="B45" s="119" t="s">
        <v>3227</v>
      </c>
      <c r="C45" s="154" t="s">
        <v>3228</v>
      </c>
      <c r="D45" s="121">
        <f t="shared" si="8"/>
        <v>0</v>
      </c>
      <c r="E45" s="150">
        <f>SUMIFS('Unos prihoda i primitaka'!$I$3:$I$501,'Unos prihoda i primitaka'!$C$3:$C$501,"=11",'Unos prihoda i primitaka'!$L$3:$L$501,"=71")</f>
        <v>0</v>
      </c>
      <c r="F45" s="150">
        <f>SUMIFS('Unos prihoda i primitaka'!$I$3:$I$501,'Unos prihoda i primitaka'!$C$3:$C$501,"=12",'Unos prihoda i primitaka'!$L$3:$L$501,"=71")</f>
        <v>0</v>
      </c>
      <c r="G45" s="150">
        <f>SUMIFS('Unos prihoda i primitaka'!$I$3:$I$501,'Unos prihoda i primitaka'!$C$3:$C$501,"=31",'Unos prihoda i primitaka'!$L$3:$L$501,"=71")</f>
        <v>0</v>
      </c>
      <c r="H45" s="150">
        <f>SUMIFS('Unos prihoda i primitaka'!$I$3:$I$501,'Unos prihoda i primitaka'!$C$3:$C$501,"=41",'Unos prihoda i primitaka'!$L$3:$L$501,"=71")</f>
        <v>0</v>
      </c>
      <c r="I45" s="150">
        <f>SUMIFS('Unos prihoda i primitaka'!$I$3:$I$501,'Unos prihoda i primitaka'!$C$3:$C$501,"=43",'Unos prihoda i primitaka'!$L$3:$L$501,"=71")</f>
        <v>0</v>
      </c>
      <c r="J45" s="150">
        <f>SUMIFS('Unos prihoda i primitaka'!$I$3:$I$501,'Unos prihoda i primitaka'!$C$3:$C$501,"=51",'Unos prihoda i primitaka'!$L$3:$L$501,"=71")</f>
        <v>0</v>
      </c>
      <c r="K45" s="150">
        <f>SUMIFS('Unos prihoda i primitaka'!$I$3:$I$501,'Unos prihoda i primitaka'!$C$3:$C$501,"=52",'Unos prihoda i primitaka'!$L$3:$L$501,"=71")</f>
        <v>0</v>
      </c>
      <c r="L45" s="150">
        <f>SUMIFS('Unos prihoda i primitaka'!$I$3:$I$501,'Unos prihoda i primitaka'!$C$3:$C$501,"=552",'Unos prihoda i primitaka'!$L$3:$L$501,"=71")</f>
        <v>0</v>
      </c>
      <c r="M45" s="150">
        <f>SUMIFS('Unos prihoda i primitaka'!$I$3:$I$501,'Unos prihoda i primitaka'!$C$3:$C$501,"=559",'Unos prihoda i primitaka'!$L$3:$L$501,"=71")</f>
        <v>0</v>
      </c>
      <c r="N45" s="150">
        <f>SUMIFS('Unos prihoda i primitaka'!$I$3:$I$501,'Unos prihoda i primitaka'!$C$3:$C$501,"=561",'Unos prihoda i primitaka'!$L$3:$L$501,"=71")</f>
        <v>0</v>
      </c>
      <c r="O45" s="150">
        <f>SUMIFS('Unos prihoda i primitaka'!$I$3:$I$501,'Unos prihoda i primitaka'!$C$3:$C$501,"=563",'Unos prihoda i primitaka'!$L$3:$L$501,"=71")</f>
        <v>0</v>
      </c>
      <c r="P45" s="150">
        <f>SUMIFS('Unos prihoda i primitaka'!$I$3:$I$501,'Unos prihoda i primitaka'!$C$3:$C$501,"=573",'Unos prihoda i primitaka'!$L$3:$L$501,"=71")</f>
        <v>0</v>
      </c>
      <c r="Q45" s="150">
        <f>SUMIFS('Unos prihoda i primitaka'!$I$3:$I$501,'Unos prihoda i primitaka'!$C$3:$C$501,"=575",'Unos prihoda i primitaka'!$L$3:$L$501,"=71")</f>
        <v>0</v>
      </c>
      <c r="R45" s="150">
        <f>SUMIFS('Unos prihoda i primitaka'!$I$3:$I$501,'Unos prihoda i primitaka'!$C$3:$C$501,"=576",'Unos prihoda i primitaka'!$L$3:$L$501,"=71")</f>
        <v>0</v>
      </c>
      <c r="S45" s="150">
        <f>SUMIFS('Unos prihoda i primitaka'!$I$3:$I$501,'Unos prihoda i primitaka'!$C$3:$C$501,"=581",'Unos prihoda i primitaka'!$L$3:$L$501,"=71")</f>
        <v>0</v>
      </c>
      <c r="T45" s="150">
        <f>SUMIFS('Unos prihoda i primitaka'!$I$3:$I$501,'Unos prihoda i primitaka'!$C$3:$C$501,"=61",'Unos prihoda i primitaka'!$L$3:$L$501,"=71")</f>
        <v>0</v>
      </c>
      <c r="U45" s="150">
        <f>SUMIFS('Unos prihoda i primitaka'!$I$3:$I$501,'Unos prihoda i primitaka'!$C$3:$C$501,"=63",'Unos prihoda i primitaka'!$L$3:$L$501,"=71")</f>
        <v>0</v>
      </c>
      <c r="V45" s="150">
        <f>SUMIFS('Unos prihoda i primitaka'!$I$3:$I$501,'Unos prihoda i primitaka'!$C$3:$C$501,"=71",'Unos prihoda i primitaka'!$L$3:$L$501,"=71")</f>
        <v>0</v>
      </c>
    </row>
    <row r="46" spans="1:22" s="110" customFormat="1">
      <c r="A46" s="118">
        <v>2023</v>
      </c>
      <c r="B46" s="119" t="s">
        <v>3229</v>
      </c>
      <c r="C46" s="154" t="s">
        <v>3230</v>
      </c>
      <c r="D46" s="121">
        <f t="shared" si="8"/>
        <v>-74</v>
      </c>
      <c r="E46" s="150">
        <f>SUMIFS('Unos prihoda i primitaka'!$I$3:$I$501,'Unos prihoda i primitaka'!$C$3:$C$501,"=11",'Unos prihoda i primitaka'!$L$3:$L$501,"=72")</f>
        <v>0</v>
      </c>
      <c r="F46" s="150">
        <f>SUMIFS('Unos prihoda i primitaka'!$I$3:$I$501,'Unos prihoda i primitaka'!$C$3:$C$501,"=12",'Unos prihoda i primitaka'!$L$3:$L$501,"=72")</f>
        <v>0</v>
      </c>
      <c r="G46" s="150">
        <f>SUMIFS('Unos prihoda i primitaka'!$I$3:$I$501,'Unos prihoda i primitaka'!$C$3:$C$501,"=31",'Unos prihoda i primitaka'!$L$3:$L$501,"=72")</f>
        <v>0</v>
      </c>
      <c r="H46" s="150">
        <f>SUMIFS('Unos prihoda i primitaka'!$I$3:$I$501,'Unos prihoda i primitaka'!$C$3:$C$501,"=41",'Unos prihoda i primitaka'!$L$3:$L$501,"=72")</f>
        <v>0</v>
      </c>
      <c r="I46" s="150">
        <f>SUMIFS('Unos prihoda i primitaka'!$I$3:$I$501,'Unos prihoda i primitaka'!$C$3:$C$501,"=43",'Unos prihoda i primitaka'!$L$3:$L$501,"=72")</f>
        <v>0</v>
      </c>
      <c r="J46" s="150">
        <f>SUMIFS('Unos prihoda i primitaka'!$I$3:$I$501,'Unos prihoda i primitaka'!$C$3:$C$501,"=51",'Unos prihoda i primitaka'!$L$3:$L$501,"=72")</f>
        <v>0</v>
      </c>
      <c r="K46" s="150">
        <f>SUMIFS('Unos prihoda i primitaka'!$I$3:$I$501,'Unos prihoda i primitaka'!$C$3:$C$501,"=52",'Unos prihoda i primitaka'!$L$3:$L$501,"=72")</f>
        <v>0</v>
      </c>
      <c r="L46" s="150">
        <f>SUMIFS('Unos prihoda i primitaka'!$I$3:$I$501,'Unos prihoda i primitaka'!$C$3:$C$501,"=552",'Unos prihoda i primitaka'!$L$3:$L$501,"=72")</f>
        <v>0</v>
      </c>
      <c r="M46" s="150">
        <f>SUMIFS('Unos prihoda i primitaka'!$I$3:$I$501,'Unos prihoda i primitaka'!$C$3:$C$501,"=559",'Unos prihoda i primitaka'!$L$3:$L$501,"=72")</f>
        <v>0</v>
      </c>
      <c r="N46" s="150">
        <f>SUMIFS('Unos prihoda i primitaka'!$I$3:$I$501,'Unos prihoda i primitaka'!$C$3:$C$501,"=561",'Unos prihoda i primitaka'!$L$3:$L$501,"=72")</f>
        <v>0</v>
      </c>
      <c r="O46" s="150">
        <f>SUMIFS('Unos prihoda i primitaka'!$I$3:$I$501,'Unos prihoda i primitaka'!$C$3:$C$501,"=563",'Unos prihoda i primitaka'!$L$3:$L$501,"=72")</f>
        <v>0</v>
      </c>
      <c r="P46" s="150">
        <f>SUMIFS('Unos prihoda i primitaka'!$I$3:$I$501,'Unos prihoda i primitaka'!$C$3:$C$501,"=573",'Unos prihoda i primitaka'!$L$3:$L$501,"=72")</f>
        <v>0</v>
      </c>
      <c r="Q46" s="150">
        <f>SUMIFS('Unos prihoda i primitaka'!$I$3:$I$501,'Unos prihoda i primitaka'!$C$3:$C$501,"=575",'Unos prihoda i primitaka'!$L$3:$L$501,"=72")</f>
        <v>0</v>
      </c>
      <c r="R46" s="150">
        <f>SUMIFS('Unos prihoda i primitaka'!$I$3:$I$501,'Unos prihoda i primitaka'!$C$3:$C$501,"=576",'Unos prihoda i primitaka'!$L$3:$L$501,"=72")</f>
        <v>0</v>
      </c>
      <c r="S46" s="150">
        <f>SUMIFS('Unos prihoda i primitaka'!$I$3:$I$501,'Unos prihoda i primitaka'!$C$3:$C$501,"=581",'Unos prihoda i primitaka'!$L$3:$L$501,"=72")</f>
        <v>0</v>
      </c>
      <c r="T46" s="150">
        <f>SUMIFS('Unos prihoda i primitaka'!$I$3:$I$501,'Unos prihoda i primitaka'!$C$3:$C$501,"=61",'Unos prihoda i primitaka'!$L$3:$L$501,"=72")</f>
        <v>0</v>
      </c>
      <c r="U46" s="150">
        <f>SUMIFS('Unos prihoda i primitaka'!$I$3:$I$501,'Unos prihoda i primitaka'!$C$3:$C$501,"=63",'Unos prihoda i primitaka'!$L$3:$L$501,"=72")</f>
        <v>0</v>
      </c>
      <c r="V46" s="150">
        <f>SUMIFS('Unos prihoda i primitaka'!$I$3:$I$501,'Unos prihoda i primitaka'!$C$3:$C$501,"=71",'Unos prihoda i primitaka'!$L$3:$L$501,"=72")</f>
        <v>-74</v>
      </c>
    </row>
    <row r="47" spans="1:22" s="110" customFormat="1">
      <c r="A47" s="118">
        <v>2023</v>
      </c>
      <c r="B47" s="151" t="s">
        <v>3231</v>
      </c>
      <c r="C47" s="152" t="s">
        <v>3226</v>
      </c>
      <c r="D47" s="121">
        <f t="shared" si="8"/>
        <v>-74</v>
      </c>
      <c r="E47" s="153">
        <f t="shared" ref="E47:V47" si="11">SUM(E45:E46)</f>
        <v>0</v>
      </c>
      <c r="F47" s="153">
        <f t="shared" si="11"/>
        <v>0</v>
      </c>
      <c r="G47" s="153">
        <f t="shared" si="11"/>
        <v>0</v>
      </c>
      <c r="H47" s="153">
        <f t="shared" si="11"/>
        <v>0</v>
      </c>
      <c r="I47" s="153">
        <f t="shared" si="11"/>
        <v>0</v>
      </c>
      <c r="J47" s="153">
        <f t="shared" si="11"/>
        <v>0</v>
      </c>
      <c r="K47" s="153">
        <f t="shared" si="11"/>
        <v>0</v>
      </c>
      <c r="L47" s="153">
        <f t="shared" si="11"/>
        <v>0</v>
      </c>
      <c r="M47" s="153">
        <f t="shared" si="11"/>
        <v>0</v>
      </c>
      <c r="N47" s="153">
        <f t="shared" si="11"/>
        <v>0</v>
      </c>
      <c r="O47" s="153">
        <f t="shared" si="11"/>
        <v>0</v>
      </c>
      <c r="P47" s="153">
        <f t="shared" si="11"/>
        <v>0</v>
      </c>
      <c r="Q47" s="153">
        <f t="shared" si="11"/>
        <v>0</v>
      </c>
      <c r="R47" s="153">
        <f t="shared" si="11"/>
        <v>0</v>
      </c>
      <c r="S47" s="153">
        <f t="shared" si="11"/>
        <v>0</v>
      </c>
      <c r="T47" s="153">
        <f t="shared" si="11"/>
        <v>0</v>
      </c>
      <c r="U47" s="153">
        <f t="shared" si="11"/>
        <v>0</v>
      </c>
      <c r="V47" s="153">
        <f t="shared" si="11"/>
        <v>-74</v>
      </c>
    </row>
    <row r="48" spans="1:22">
      <c r="B48" s="132"/>
      <c r="C48" s="132"/>
      <c r="D48" s="132"/>
      <c r="E48" s="132"/>
      <c r="F48" s="132"/>
      <c r="G48" s="132"/>
      <c r="H48" s="132"/>
      <c r="I48" s="133"/>
      <c r="J48" s="134"/>
      <c r="K48" s="134"/>
      <c r="L48" s="134"/>
      <c r="M48" s="134"/>
      <c r="N48" s="134"/>
      <c r="O48" s="134"/>
      <c r="P48" s="134"/>
      <c r="Q48" s="134"/>
      <c r="R48" s="134"/>
      <c r="S48" s="112"/>
    </row>
    <row r="49" spans="2:18">
      <c r="G49" s="138"/>
      <c r="H49" s="138"/>
      <c r="I49" s="139"/>
      <c r="J49" s="140"/>
      <c r="K49" s="140"/>
      <c r="L49" s="140"/>
      <c r="M49" s="140"/>
      <c r="N49" s="140"/>
      <c r="O49" s="140"/>
      <c r="P49" s="140"/>
      <c r="Q49" s="140"/>
      <c r="R49" s="140"/>
    </row>
    <row r="50" spans="2:18">
      <c r="G50" s="138"/>
      <c r="H50" s="138"/>
      <c r="I50" s="141"/>
      <c r="J50" s="142"/>
      <c r="K50" s="142"/>
      <c r="L50" s="142"/>
      <c r="M50" s="142"/>
      <c r="N50" s="142"/>
      <c r="O50" s="142"/>
      <c r="P50" s="142"/>
      <c r="Q50" s="142"/>
      <c r="R50" s="142"/>
    </row>
    <row r="51" spans="2:18" hidden="1">
      <c r="B51" s="138"/>
      <c r="C51" s="138"/>
      <c r="D51" s="138"/>
      <c r="E51" s="138"/>
      <c r="F51" s="138"/>
      <c r="G51" s="138"/>
      <c r="H51" s="138"/>
      <c r="I51" s="143"/>
      <c r="J51" s="138"/>
      <c r="K51" s="138"/>
      <c r="L51" s="138"/>
      <c r="M51" s="138"/>
      <c r="N51" s="138"/>
      <c r="O51" s="138"/>
      <c r="P51" s="138"/>
      <c r="Q51" s="138"/>
      <c r="R51" s="138"/>
    </row>
    <row r="52" spans="2:18" hidden="1">
      <c r="B52" s="138"/>
      <c r="C52" s="138"/>
      <c r="D52" s="138"/>
      <c r="E52" s="138"/>
      <c r="F52" s="138"/>
      <c r="G52" s="138"/>
      <c r="H52" s="138"/>
      <c r="I52" s="143"/>
      <c r="J52" s="138"/>
      <c r="K52" s="138"/>
      <c r="L52" s="138"/>
      <c r="M52" s="138"/>
      <c r="N52" s="138"/>
      <c r="O52" s="138"/>
      <c r="P52" s="138"/>
      <c r="Q52" s="138"/>
      <c r="R52" s="138"/>
    </row>
    <row r="53" spans="2:18" hidden="1">
      <c r="B53" s="138"/>
      <c r="C53" s="138"/>
      <c r="D53" s="138"/>
      <c r="E53" s="138"/>
      <c r="F53" s="138"/>
      <c r="G53" s="138"/>
      <c r="H53" s="138"/>
      <c r="I53" s="143"/>
      <c r="J53" s="138"/>
      <c r="K53" s="138"/>
      <c r="L53" s="138"/>
      <c r="M53" s="138"/>
      <c r="N53" s="138"/>
      <c r="O53" s="138"/>
      <c r="P53" s="138"/>
      <c r="Q53" s="138"/>
      <c r="R53" s="138"/>
    </row>
    <row r="54" spans="2:18" hidden="1">
      <c r="B54" s="138"/>
      <c r="C54" s="138"/>
      <c r="D54" s="138"/>
      <c r="E54" s="138"/>
      <c r="F54" s="138"/>
      <c r="G54" s="138"/>
      <c r="H54" s="138"/>
    </row>
    <row r="55" spans="2:18" hidden="1">
      <c r="B55" s="138"/>
      <c r="C55" s="138"/>
      <c r="D55" s="138"/>
      <c r="E55" s="138"/>
      <c r="F55" s="138"/>
      <c r="G55" s="138"/>
      <c r="H55" s="138"/>
      <c r="I55" s="143"/>
      <c r="J55" s="138"/>
      <c r="K55" s="138"/>
      <c r="L55" s="138"/>
      <c r="M55" s="138"/>
      <c r="N55" s="138"/>
      <c r="O55" s="138"/>
      <c r="P55" s="138"/>
      <c r="Q55" s="138"/>
      <c r="R55" s="138"/>
    </row>
    <row r="56" spans="2:18" hidden="1">
      <c r="B56" s="138"/>
      <c r="C56" s="138"/>
      <c r="D56" s="138"/>
      <c r="E56" s="138"/>
      <c r="F56" s="138"/>
      <c r="G56" s="138"/>
      <c r="H56" s="138"/>
      <c r="I56" s="143"/>
      <c r="J56" s="145"/>
      <c r="K56" s="145"/>
      <c r="L56" s="145"/>
      <c r="M56" s="145"/>
      <c r="N56" s="145"/>
      <c r="O56" s="145"/>
      <c r="P56" s="145"/>
      <c r="Q56" s="145"/>
      <c r="R56" s="145"/>
    </row>
    <row r="57" spans="2:18" hidden="1">
      <c r="B57" s="138"/>
      <c r="C57" s="138"/>
      <c r="D57" s="138"/>
      <c r="E57" s="138"/>
      <c r="F57" s="138"/>
      <c r="G57" s="138"/>
      <c r="H57" s="138"/>
      <c r="I57" s="143"/>
      <c r="J57" s="138"/>
      <c r="K57" s="138"/>
      <c r="L57" s="138"/>
      <c r="M57" s="138"/>
      <c r="N57" s="138"/>
      <c r="O57" s="138"/>
      <c r="P57" s="138"/>
      <c r="Q57" s="138"/>
      <c r="R57" s="138"/>
    </row>
    <row r="58" spans="2:18" hidden="1">
      <c r="B58" s="138"/>
      <c r="C58" s="138"/>
      <c r="D58" s="138"/>
      <c r="E58" s="138"/>
      <c r="F58" s="138"/>
      <c r="G58" s="138"/>
      <c r="H58" s="138"/>
      <c r="I58" s="143"/>
      <c r="J58" s="146"/>
      <c r="K58" s="146"/>
      <c r="L58" s="146"/>
      <c r="M58" s="146"/>
      <c r="N58" s="146"/>
      <c r="O58" s="146"/>
      <c r="P58" s="146"/>
      <c r="Q58" s="146"/>
      <c r="R58" s="146"/>
    </row>
    <row r="59" spans="2:18" hidden="1">
      <c r="I59" s="141"/>
      <c r="J59" s="147"/>
      <c r="K59" s="147"/>
      <c r="L59" s="147"/>
      <c r="M59" s="147"/>
      <c r="N59" s="147"/>
      <c r="O59" s="147"/>
      <c r="P59" s="147"/>
      <c r="Q59" s="147"/>
      <c r="R59" s="147"/>
    </row>
  </sheetData>
  <sheetProtection algorithmName="SHA-512" hashValue="D2zLLT93Kwx3E3HyINHnwj7hQ0dR8xKdhY4h4Ffz9ksHijYnz2qEKAS9/aUg/c5IVEQA9AV3y9MfkYkssECIFg==" saltValue="CtcF5GhXS5xhx5/MW8+dTQ==" spinCount="100000" sheet="1" objects="1" scenarios="1"/>
  <mergeCells count="5">
    <mergeCell ref="B1:V1"/>
    <mergeCell ref="B2:V2"/>
    <mergeCell ref="B3:V3"/>
    <mergeCell ref="B4:V4"/>
    <mergeCell ref="B5:V5"/>
  </mergeCells>
  <pageMargins left="0.7" right="0.7" top="0.75" bottom="0.75" header="0.3" footer="0.3"/>
  <pageSetup paperSize="9" scale="3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93D13-ECDD-4606-A539-8646ACD1135B}">
  <sheetPr codeName="Sheet8">
    <pageSetUpPr fitToPage="1"/>
  </sheetPr>
  <dimension ref="A1:HE3628"/>
  <sheetViews>
    <sheetView showGridLines="0" workbookViewId="0">
      <selection activeCell="B1" sqref="B1:W1"/>
    </sheetView>
  </sheetViews>
  <sheetFormatPr defaultColWidth="0" defaultRowHeight="13.8" zeroHeight="1"/>
  <cols>
    <col min="1" max="1" width="11.44140625" style="155" customWidth="1"/>
    <col min="2" max="2" width="10" style="184" customWidth="1"/>
    <col min="3" max="3" width="40" style="185" customWidth="1"/>
    <col min="4" max="4" width="13.88671875" style="108" customWidth="1"/>
    <col min="5" max="15" width="13.109375" style="186" customWidth="1"/>
    <col min="16" max="16" width="14.44140625" style="186" customWidth="1"/>
    <col min="17" max="21" width="13.109375" style="186" customWidth="1"/>
    <col min="22" max="22" width="14.6640625" style="186" customWidth="1"/>
    <col min="23" max="23" width="13.109375" style="186" customWidth="1"/>
    <col min="24" max="24" width="11.44140625" style="156" customWidth="1"/>
    <col min="25" max="193" width="11.44140625" style="156" hidden="1" customWidth="1"/>
    <col min="194" max="213" width="11.44140625" style="155" hidden="1" customWidth="1"/>
    <col min="214" max="16384" width="11.44140625" style="155" hidden="1"/>
  </cols>
  <sheetData>
    <row r="1" spans="1:213" ht="24" customHeight="1">
      <c r="B1" s="307" t="s">
        <v>3232</v>
      </c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</row>
    <row r="2" spans="1:213" ht="14.25" customHeight="1"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23"/>
      <c r="W2" s="23" t="s">
        <v>38</v>
      </c>
    </row>
    <row r="3" spans="1:213" s="159" customFormat="1" ht="69">
      <c r="A3" s="158" t="s">
        <v>3176</v>
      </c>
      <c r="B3" s="117" t="s">
        <v>3233</v>
      </c>
      <c r="C3" s="117" t="s">
        <v>3234</v>
      </c>
      <c r="D3" s="117" t="s">
        <v>3235</v>
      </c>
      <c r="E3" s="117" t="s">
        <v>3236</v>
      </c>
      <c r="F3" s="117" t="s">
        <v>3181</v>
      </c>
      <c r="G3" s="117" t="s">
        <v>3182</v>
      </c>
      <c r="H3" s="117" t="s">
        <v>3237</v>
      </c>
      <c r="I3" s="117" t="s">
        <v>3184</v>
      </c>
      <c r="J3" s="117" t="s">
        <v>3185</v>
      </c>
      <c r="K3" s="117" t="s">
        <v>3186</v>
      </c>
      <c r="L3" s="117" t="s">
        <v>3187</v>
      </c>
      <c r="M3" s="117" t="s">
        <v>3188</v>
      </c>
      <c r="N3" s="117" t="s">
        <v>3189</v>
      </c>
      <c r="O3" s="117" t="s">
        <v>3190</v>
      </c>
      <c r="P3" s="117" t="s">
        <v>3191</v>
      </c>
      <c r="Q3" s="117" t="s">
        <v>3238</v>
      </c>
      <c r="R3" s="117" t="s">
        <v>3239</v>
      </c>
      <c r="S3" s="117" t="s">
        <v>3194</v>
      </c>
      <c r="T3" s="117" t="s">
        <v>3195</v>
      </c>
      <c r="U3" s="117" t="s">
        <v>3196</v>
      </c>
      <c r="V3" s="117" t="s">
        <v>3240</v>
      </c>
      <c r="W3" s="117" t="s">
        <v>3198</v>
      </c>
      <c r="GL3" s="155"/>
      <c r="GM3" s="155"/>
      <c r="GN3" s="155"/>
      <c r="GO3" s="155"/>
      <c r="GP3" s="155"/>
      <c r="GQ3" s="155"/>
      <c r="GR3" s="155"/>
      <c r="GS3" s="155"/>
      <c r="GT3" s="155"/>
      <c r="GU3" s="155"/>
      <c r="GV3" s="155"/>
      <c r="GW3" s="155"/>
      <c r="GX3" s="155"/>
      <c r="GY3" s="155"/>
      <c r="GZ3" s="155"/>
      <c r="HA3" s="155"/>
      <c r="HB3" s="155"/>
      <c r="HC3" s="155"/>
      <c r="HD3" s="155"/>
      <c r="HE3" s="155"/>
    </row>
    <row r="4" spans="1:213" s="187" customFormat="1" ht="19.5" customHeight="1">
      <c r="A4" s="160">
        <v>2023</v>
      </c>
      <c r="B4" s="130">
        <v>2023</v>
      </c>
      <c r="C4" s="130" t="s">
        <v>3241</v>
      </c>
      <c r="D4" s="131">
        <f>SUM(E4:W4)</f>
        <v>6260783</v>
      </c>
      <c r="E4" s="161">
        <f>E5+E13</f>
        <v>4058907</v>
      </c>
      <c r="F4" s="161">
        <f t="shared" ref="F4:W4" si="0">F5+F13</f>
        <v>18922</v>
      </c>
      <c r="G4" s="161">
        <f t="shared" si="0"/>
        <v>841135</v>
      </c>
      <c r="H4" s="161">
        <f t="shared" si="0"/>
        <v>0</v>
      </c>
      <c r="I4" s="161">
        <f t="shared" si="0"/>
        <v>750798</v>
      </c>
      <c r="J4" s="161">
        <f t="shared" si="0"/>
        <v>352512</v>
      </c>
      <c r="K4" s="161">
        <f>K5+K13</f>
        <v>122277</v>
      </c>
      <c r="L4" s="161">
        <f t="shared" si="0"/>
        <v>0</v>
      </c>
      <c r="M4" s="161">
        <f t="shared" si="0"/>
        <v>0</v>
      </c>
      <c r="N4" s="161">
        <f t="shared" si="0"/>
        <v>107224</v>
      </c>
      <c r="O4" s="161">
        <f t="shared" si="0"/>
        <v>0</v>
      </c>
      <c r="P4" s="161">
        <f t="shared" si="0"/>
        <v>0</v>
      </c>
      <c r="Q4" s="161">
        <f t="shared" si="0"/>
        <v>0</v>
      </c>
      <c r="R4" s="161">
        <f t="shared" si="0"/>
        <v>0</v>
      </c>
      <c r="S4" s="161">
        <f t="shared" si="0"/>
        <v>0</v>
      </c>
      <c r="T4" s="161">
        <f t="shared" si="0"/>
        <v>8212</v>
      </c>
      <c r="U4" s="161">
        <f t="shared" si="0"/>
        <v>0</v>
      </c>
      <c r="V4" s="161">
        <f t="shared" si="0"/>
        <v>796</v>
      </c>
      <c r="W4" s="161">
        <f t="shared" si="0"/>
        <v>0</v>
      </c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62"/>
      <c r="AO4" s="162"/>
      <c r="AP4" s="162"/>
      <c r="AQ4" s="162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  <c r="DT4" s="108"/>
      <c r="DU4" s="108"/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8"/>
      <c r="EQ4" s="108"/>
      <c r="ER4" s="108"/>
      <c r="ES4" s="108"/>
      <c r="ET4" s="108"/>
      <c r="EU4" s="108"/>
      <c r="EV4" s="108"/>
      <c r="EW4" s="108"/>
      <c r="EX4" s="108"/>
      <c r="EY4" s="108"/>
      <c r="EZ4" s="108"/>
      <c r="FA4" s="108"/>
      <c r="FB4" s="108"/>
      <c r="FC4" s="108"/>
      <c r="FD4" s="108"/>
      <c r="FE4" s="108"/>
      <c r="FF4" s="108"/>
      <c r="FG4" s="108"/>
      <c r="FH4" s="108"/>
      <c r="FI4" s="108"/>
      <c r="FJ4" s="108"/>
      <c r="FK4" s="108"/>
      <c r="FL4" s="108"/>
      <c r="FM4" s="108"/>
      <c r="FN4" s="108"/>
      <c r="FO4" s="108"/>
      <c r="FP4" s="108"/>
      <c r="FQ4" s="108"/>
      <c r="FR4" s="108"/>
      <c r="FS4" s="108"/>
      <c r="FT4" s="108"/>
      <c r="FU4" s="108"/>
      <c r="FV4" s="108"/>
      <c r="FW4" s="108"/>
      <c r="FX4" s="108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62"/>
      <c r="GM4" s="162"/>
      <c r="GN4" s="162"/>
      <c r="GO4" s="162"/>
      <c r="GP4" s="162"/>
      <c r="GQ4" s="162"/>
      <c r="GR4" s="162"/>
      <c r="GS4" s="162"/>
      <c r="GT4" s="162"/>
      <c r="GU4" s="162"/>
      <c r="GV4" s="162"/>
      <c r="GW4" s="162"/>
      <c r="GX4" s="162"/>
      <c r="GY4" s="162"/>
      <c r="GZ4" s="162"/>
      <c r="HA4" s="162"/>
      <c r="HB4" s="162"/>
      <c r="HC4" s="162"/>
      <c r="HD4" s="162"/>
      <c r="HE4" s="162"/>
    </row>
    <row r="5" spans="1:213" s="167" customFormat="1" ht="12.6" customHeight="1">
      <c r="A5" s="160">
        <v>2023</v>
      </c>
      <c r="B5" s="163">
        <v>3</v>
      </c>
      <c r="C5" s="164" t="s">
        <v>3242</v>
      </c>
      <c r="D5" s="165">
        <f t="shared" ref="D5:D18" si="1">SUM(E5:W5)</f>
        <v>5979046</v>
      </c>
      <c r="E5" s="166">
        <f t="shared" ref="E5:G5" si="2">SUM(E6:E12)</f>
        <v>4057811</v>
      </c>
      <c r="F5" s="166">
        <f t="shared" si="2"/>
        <v>18922</v>
      </c>
      <c r="G5" s="166">
        <f t="shared" si="2"/>
        <v>813263</v>
      </c>
      <c r="H5" s="166">
        <f>SUM(H6:H12)</f>
        <v>0</v>
      </c>
      <c r="I5" s="166">
        <f t="shared" ref="I5:K5" si="3">SUM(I6:I12)</f>
        <v>514816</v>
      </c>
      <c r="J5" s="166">
        <f t="shared" si="3"/>
        <v>338512</v>
      </c>
      <c r="K5" s="166">
        <f t="shared" si="3"/>
        <v>122277</v>
      </c>
      <c r="L5" s="166">
        <f>SUM(L6:L12)</f>
        <v>0</v>
      </c>
      <c r="M5" s="166">
        <f t="shared" ref="M5:O5" si="4">SUM(M6:M12)</f>
        <v>0</v>
      </c>
      <c r="N5" s="166">
        <f t="shared" si="4"/>
        <v>107224</v>
      </c>
      <c r="O5" s="166">
        <f t="shared" si="4"/>
        <v>0</v>
      </c>
      <c r="P5" s="166">
        <f>SUM(P6:P12)</f>
        <v>0</v>
      </c>
      <c r="Q5" s="166">
        <f>SUM(Q6:Q12)</f>
        <v>0</v>
      </c>
      <c r="R5" s="166">
        <f>SUM(R6:R12)</f>
        <v>0</v>
      </c>
      <c r="S5" s="166">
        <f>SUM(S6:S12)</f>
        <v>0</v>
      </c>
      <c r="T5" s="166">
        <f t="shared" ref="T5:W5" si="5">SUM(T6:T12)</f>
        <v>6221</v>
      </c>
      <c r="U5" s="166">
        <f t="shared" si="5"/>
        <v>0</v>
      </c>
      <c r="V5" s="166">
        <f t="shared" si="5"/>
        <v>0</v>
      </c>
      <c r="W5" s="166">
        <f t="shared" si="5"/>
        <v>0</v>
      </c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156"/>
      <c r="CV5" s="156"/>
      <c r="CW5" s="156"/>
      <c r="CX5" s="156"/>
      <c r="CY5" s="156"/>
      <c r="CZ5" s="156"/>
      <c r="DA5" s="156"/>
      <c r="DB5" s="156"/>
      <c r="DC5" s="156"/>
      <c r="DD5" s="156"/>
      <c r="DE5" s="156"/>
      <c r="DF5" s="156"/>
      <c r="DG5" s="156"/>
      <c r="DH5" s="156"/>
      <c r="DI5" s="156"/>
      <c r="DJ5" s="156"/>
      <c r="DK5" s="156"/>
      <c r="DL5" s="156"/>
      <c r="DM5" s="156"/>
      <c r="DN5" s="156"/>
      <c r="DO5" s="156"/>
      <c r="DP5" s="156"/>
      <c r="DQ5" s="156"/>
      <c r="DR5" s="156"/>
      <c r="DS5" s="156"/>
      <c r="DT5" s="156"/>
      <c r="DU5" s="156"/>
      <c r="DV5" s="156"/>
      <c r="DW5" s="156"/>
      <c r="DX5" s="156"/>
      <c r="DY5" s="156"/>
      <c r="DZ5" s="156"/>
      <c r="EA5" s="156"/>
      <c r="EB5" s="156"/>
      <c r="EC5" s="156"/>
      <c r="ED5" s="156"/>
      <c r="EE5" s="156"/>
      <c r="EF5" s="156"/>
      <c r="EG5" s="156"/>
      <c r="EH5" s="156"/>
      <c r="EI5" s="156"/>
      <c r="EJ5" s="156"/>
      <c r="EK5" s="156"/>
      <c r="EL5" s="156"/>
      <c r="EM5" s="156"/>
      <c r="EN5" s="156"/>
      <c r="EO5" s="156"/>
      <c r="EP5" s="156"/>
      <c r="EQ5" s="156"/>
      <c r="ER5" s="156"/>
      <c r="ES5" s="156"/>
      <c r="ET5" s="156"/>
      <c r="EU5" s="156"/>
      <c r="EV5" s="156"/>
      <c r="EW5" s="156"/>
      <c r="EX5" s="156"/>
      <c r="EY5" s="156"/>
      <c r="EZ5" s="156"/>
      <c r="FA5" s="156"/>
      <c r="FB5" s="156"/>
      <c r="FC5" s="156"/>
      <c r="FD5" s="156"/>
      <c r="FE5" s="156"/>
      <c r="FF5" s="156"/>
      <c r="FG5" s="156"/>
      <c r="FH5" s="156"/>
      <c r="FI5" s="156"/>
      <c r="FJ5" s="156"/>
      <c r="FK5" s="156"/>
      <c r="FL5" s="156"/>
      <c r="FM5" s="156"/>
      <c r="FN5" s="156"/>
      <c r="FO5" s="156"/>
      <c r="FP5" s="156"/>
      <c r="FQ5" s="156"/>
      <c r="FR5" s="156"/>
      <c r="FS5" s="156"/>
      <c r="FT5" s="156"/>
      <c r="FU5" s="156"/>
      <c r="FV5" s="156"/>
      <c r="FW5" s="156"/>
      <c r="FX5" s="156"/>
      <c r="FY5" s="156"/>
      <c r="FZ5" s="156"/>
      <c r="GA5" s="156"/>
      <c r="GB5" s="156"/>
      <c r="GC5" s="156"/>
      <c r="GD5" s="156"/>
      <c r="GE5" s="156"/>
      <c r="GF5" s="156"/>
      <c r="GG5" s="156"/>
      <c r="GH5" s="156"/>
      <c r="GI5" s="156"/>
      <c r="GJ5" s="156"/>
      <c r="GK5" s="156"/>
      <c r="GL5" s="155"/>
      <c r="GM5" s="155"/>
      <c r="GN5" s="155"/>
      <c r="GO5" s="155"/>
      <c r="GP5" s="155"/>
      <c r="GQ5" s="155"/>
      <c r="GR5" s="155"/>
      <c r="GS5" s="155"/>
      <c r="GT5" s="155"/>
      <c r="GU5" s="155"/>
      <c r="GV5" s="155"/>
      <c r="GW5" s="155"/>
      <c r="GX5" s="155"/>
      <c r="GY5" s="155"/>
      <c r="GZ5" s="155"/>
      <c r="HA5" s="155"/>
      <c r="HB5" s="155"/>
      <c r="HC5" s="155"/>
      <c r="HD5" s="155"/>
      <c r="HE5" s="155"/>
    </row>
    <row r="6" spans="1:213" s="188" customFormat="1" ht="12.6" customHeight="1">
      <c r="A6" s="160">
        <v>2023</v>
      </c>
      <c r="B6" s="168">
        <v>31</v>
      </c>
      <c r="C6" s="169" t="s">
        <v>3243</v>
      </c>
      <c r="D6" s="170">
        <f>SUM(E6:W6)</f>
        <v>4415879</v>
      </c>
      <c r="E6" s="171">
        <f>SUMIFS('Unos rashoda i izdataka'!$J$3:$J$501,'Unos rashoda i izdataka'!$C$3:$C$501,"=11",'Unos rashoda i izdataka'!$P$3:$P$501,"=31")+SUMIFS('Unos rashoda P4'!$H$3:$H$501,'Unos rashoda P4'!$A$3:$A$501,"=11",'Unos rashoda P4'!$S$3:$S$501,"=31")</f>
        <v>3457863</v>
      </c>
      <c r="F6" s="171">
        <f>SUMIFS('Unos rashoda i izdataka'!$J$3:$J$501,'Unos rashoda i izdataka'!$C$3:$C$501,"=12",'Unos rashoda i izdataka'!$P$3:$P$501,"=31")+SUMIFS('Unos rashoda P4'!$H$3:$H$501,'Unos rashoda P4'!$A$3:$A$501,"=12",'Unos rashoda P4'!$S$3:$S$501,"=31")</f>
        <v>18922</v>
      </c>
      <c r="G6" s="171">
        <f>SUMIFS('Unos rashoda i izdataka'!$J$3:$J$501,'Unos rashoda i izdataka'!$C$3:$C$501,"=31",'Unos rashoda i izdataka'!$P$3:$P$501,"=31")+SUMIFS('Unos rashoda P4'!$H$3:$H$501,'Unos rashoda P4'!$A$3:$A$501,"=31",'Unos rashoda P4'!$S$3:$S$501,"=31")</f>
        <v>429163</v>
      </c>
      <c r="H6" s="171">
        <f>SUMIFS('Unos rashoda i izdataka'!$J$3:$J$501,'Unos rashoda i izdataka'!$C$3:$C$501,"=41",'Unos rashoda i izdataka'!$P$3:$P$501,"=31")+SUMIFS('Unos rashoda P4'!$H$3:$H$501,'Unos rashoda P4'!$A$3:$A$501,"=41",'Unos rashoda P4'!$S$3:$S$501,"=31")</f>
        <v>0</v>
      </c>
      <c r="I6" s="171">
        <f>SUMIFS('Unos rashoda i izdataka'!$J$3:$J$501,'Unos rashoda i izdataka'!$C$3:$C$501,"=43",'Unos rashoda i izdataka'!$P$3:$P$501,"=31")+SUMIFS('Unos rashoda P4'!$H$3:$H$501,'Unos rashoda P4'!$A$3:$A$501,"=43",'Unos rashoda P4'!$S$3:$S$501,"=31")</f>
        <v>190722</v>
      </c>
      <c r="J6" s="171">
        <f>SUMIFS('Unos rashoda i izdataka'!$J$3:$J$501,'Unos rashoda i izdataka'!$C$3:$C$501,"=51",'Unos rashoda i izdataka'!$P$3:$P$501,"=31")+SUMIFS('Unos rashoda P4'!$H$3:$H$501,'Unos rashoda P4'!$A$3:$A$501,"=51",'Unos rashoda P4'!$S$3:$S$501,"=31")</f>
        <v>129158</v>
      </c>
      <c r="K6" s="171">
        <f>SUMIFS('Unos rashoda i izdataka'!$J$3:$J$501,'Unos rashoda i izdataka'!$C$3:$C$501,"=52",'Unos rashoda i izdataka'!$P$3:$P$501,"=31")+SUMIFS('Unos rashoda P4'!$H$3:$H$501,'Unos rashoda P4'!$A$3:$A$501,"=52",'Unos rashoda P4'!$S$3:$S$501,"=31")</f>
        <v>77456</v>
      </c>
      <c r="L6" s="171">
        <f>SUMIFS('Unos rashoda i izdataka'!$J$3:$J$501,'Unos rashoda i izdataka'!$C$3:$C$501,"=552",'Unos rashoda i izdataka'!$P$3:$P$501,"=31")+SUMIFS('Unos rashoda P4'!$H$3:$H$501,'Unos rashoda P4'!$A$3:$A$501,"=552",'Unos rashoda P4'!$S$3:$S$501,"=31")</f>
        <v>0</v>
      </c>
      <c r="M6" s="171">
        <f>SUMIFS('Unos rashoda i izdataka'!$J$3:$J$501,'Unos rashoda i izdataka'!$C$3:$C$501,"=559",'Unos rashoda i izdataka'!$P$3:$P$501,"=31")+SUMIFS('Unos rashoda P4'!$H$3:$H$501,'Unos rashoda P4'!$A$3:$A$501,"=559",'Unos rashoda P4'!$S$3:$S$501,"=31")</f>
        <v>0</v>
      </c>
      <c r="N6" s="171">
        <f>SUMIFS('Unos rashoda i izdataka'!$J$3:$J$501,'Unos rashoda i izdataka'!$C$3:$C$501,"=561",'Unos rashoda i izdataka'!$P$3:$P$501,"=31")+SUMIFS('Unos rashoda P4'!$H$3:$H$501,'Unos rashoda P4'!$A$3:$A$501,"=561",'Unos rashoda P4'!$S$3:$S$501,"=31")</f>
        <v>107224</v>
      </c>
      <c r="O6" s="171">
        <f>SUMIFS('Unos rashoda i izdataka'!$J$3:$J$501,'Unos rashoda i izdataka'!$C$3:$C$501,"=563",'Unos rashoda i izdataka'!$P$3:$P$501,"=31")+SUMIFS('Unos rashoda P4'!$H$3:$H$501,'Unos rashoda P4'!$A$3:$A$501,"=563",'Unos rashoda P4'!$S$3:$S$501,"=31")</f>
        <v>0</v>
      </c>
      <c r="P6" s="171">
        <f>SUMIFS('Unos rashoda i izdataka'!$J$3:$J$501,'Unos rashoda i izdataka'!$C$3:$C$501,"=573",'Unos rashoda i izdataka'!$P$3:$P$501,"=31")+SUMIFS('Unos rashoda P4'!$H$3:$H$501,'Unos rashoda P4'!$A$3:$A$501,"=573",'Unos rashoda P4'!$S$3:$S$501,"=31")</f>
        <v>0</v>
      </c>
      <c r="Q6" s="171">
        <f>SUMIFS('Unos rashoda i izdataka'!$J$3:$J$501,'Unos rashoda i izdataka'!$C$3:$C$501,"=575",'Unos rashoda i izdataka'!$P$3:$P$501,"=31")+SUMIFS('Unos rashoda P4'!$H$3:$H$501,'Unos rashoda P4'!$A$3:$A$501,"=575",'Unos rashoda P4'!$S$3:$S$501,"=31")</f>
        <v>0</v>
      </c>
      <c r="R6" s="171">
        <f>SUMIFS('Unos rashoda i izdataka'!$J$3:$J$501,'Unos rashoda i izdataka'!$Q$3:$Q$501,"=576",'Unos rashoda i izdataka'!$P$3:$P$501,"=31")+SUMIFS('Unos rashoda P4'!$H$3:$H$501,'Unos rashoda P4'!$A$3:$A$501,"=576",'Unos rashoda P4'!$S$3:$S$501,"=31")</f>
        <v>0</v>
      </c>
      <c r="S6" s="171">
        <f>SUMIFS('Unos rashoda i izdataka'!$J$3:$J$501,'Unos rashoda i izdataka'!$C$3:$C$501,"=581",'Unos rashoda i izdataka'!$P$3:$P$501,"=31")+SUMIFS('Unos rashoda P4'!$H$3:$H$501,'Unos rashoda P4'!$A$3:$A$501,"=581",'Unos rashoda P4'!$S$3:$S$501,"=31")</f>
        <v>0</v>
      </c>
      <c r="T6" s="171">
        <f>SUMIFS('Unos rashoda i izdataka'!$J$3:$J$501,'Unos rashoda i izdataka'!$C$3:$C$501,"=61",'Unos rashoda i izdataka'!$P$3:$P$501,"=31")+SUMIFS('Unos rashoda P4'!$H$3:$H$501,'Unos rashoda P4'!$A$3:$A$501,"=61",'Unos rashoda P4'!$S$3:$S$501,"=31")</f>
        <v>5371</v>
      </c>
      <c r="U6" s="171">
        <f>SUMIFS('Unos rashoda i izdataka'!$J$3:$J$501,'Unos rashoda i izdataka'!$C$3:$C$501,"=63",'Unos rashoda i izdataka'!$P$3:$P$501,"=31")+SUMIFS('Unos rashoda P4'!$H$3:$H$501,'Unos rashoda P4'!$A$3:$A$501,"=63",'Unos rashoda P4'!$S$3:$S$501,"=31")</f>
        <v>0</v>
      </c>
      <c r="V6" s="171">
        <f>SUMIFS('Unos rashoda i izdataka'!$J$3:$J$501,'Unos rashoda i izdataka'!$C$3:$C$501,"=71",'Unos rashoda i izdataka'!$P$3:$P$501,"=31")+SUMIFS('Unos rashoda P4'!$H$3:$H$501,'Unos rashoda P4'!$A$3:$A$501,"=71",'Unos rashoda P4'!$S$3:$S$501,"=31")</f>
        <v>0</v>
      </c>
      <c r="W6" s="171">
        <f>SUMIFS('Unos rashoda i izdataka'!$J$3:$J$501,'Unos rashoda i izdataka'!$C$3:$C$501,"=81",'Unos rashoda i izdataka'!$P$3:$P$501,"=31")+SUMIFS('Unos rashoda P4'!$H$3:$H$501,'Unos rashoda P4'!$A$3:$A$501,"=81",'Unos rashoda P4'!$S$3:$S$501,"=31")</f>
        <v>0</v>
      </c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2"/>
      <c r="BN6" s="172"/>
      <c r="BO6" s="172"/>
      <c r="BP6" s="172"/>
      <c r="BQ6" s="172"/>
      <c r="BR6" s="172"/>
      <c r="BS6" s="172"/>
      <c r="BT6" s="172"/>
      <c r="BU6" s="172"/>
      <c r="BV6" s="172"/>
      <c r="BW6" s="172"/>
      <c r="BX6" s="172"/>
      <c r="BY6" s="172"/>
      <c r="BZ6" s="172"/>
      <c r="CA6" s="172"/>
      <c r="CB6" s="172"/>
      <c r="CC6" s="172"/>
      <c r="CD6" s="172"/>
      <c r="CE6" s="172"/>
      <c r="CF6" s="172"/>
      <c r="CG6" s="172"/>
      <c r="CH6" s="172"/>
      <c r="CI6" s="172"/>
      <c r="CJ6" s="172"/>
      <c r="CK6" s="172"/>
      <c r="CL6" s="172"/>
      <c r="CM6" s="172"/>
      <c r="CN6" s="172"/>
      <c r="CO6" s="172"/>
      <c r="CP6" s="172"/>
      <c r="CQ6" s="172"/>
      <c r="CR6" s="172"/>
      <c r="CS6" s="172"/>
      <c r="CT6" s="172"/>
      <c r="CU6" s="172"/>
      <c r="CV6" s="172"/>
      <c r="CW6" s="172"/>
      <c r="CX6" s="172"/>
      <c r="CY6" s="172"/>
      <c r="CZ6" s="172"/>
      <c r="DA6" s="172"/>
      <c r="DB6" s="172"/>
      <c r="DC6" s="172"/>
      <c r="DD6" s="172"/>
      <c r="DE6" s="172"/>
      <c r="DF6" s="172"/>
      <c r="DG6" s="172"/>
      <c r="DH6" s="172"/>
      <c r="DI6" s="172"/>
      <c r="DJ6" s="172"/>
      <c r="DK6" s="172"/>
      <c r="DL6" s="172"/>
      <c r="DM6" s="172"/>
      <c r="DN6" s="172"/>
      <c r="DO6" s="172"/>
      <c r="DP6" s="172"/>
      <c r="DQ6" s="172"/>
      <c r="DR6" s="172"/>
      <c r="DS6" s="172"/>
      <c r="DT6" s="172"/>
      <c r="DU6" s="172"/>
      <c r="DV6" s="172"/>
      <c r="DW6" s="172"/>
      <c r="DX6" s="172"/>
      <c r="DY6" s="172"/>
      <c r="DZ6" s="172"/>
      <c r="EA6" s="172"/>
      <c r="EB6" s="172"/>
      <c r="EC6" s="172"/>
      <c r="ED6" s="172"/>
      <c r="EE6" s="172"/>
      <c r="EF6" s="172"/>
      <c r="EG6" s="172"/>
      <c r="EH6" s="172"/>
      <c r="EI6" s="172"/>
      <c r="EJ6" s="172"/>
      <c r="EK6" s="172"/>
      <c r="EL6" s="172"/>
      <c r="EM6" s="172"/>
      <c r="EN6" s="172"/>
      <c r="EO6" s="172"/>
      <c r="EP6" s="172"/>
      <c r="EQ6" s="172"/>
      <c r="ER6" s="172"/>
      <c r="ES6" s="172"/>
      <c r="ET6" s="172"/>
      <c r="EU6" s="172"/>
      <c r="EV6" s="172"/>
      <c r="EW6" s="172"/>
      <c r="EX6" s="172"/>
      <c r="EY6" s="172"/>
      <c r="EZ6" s="172"/>
      <c r="FA6" s="172"/>
      <c r="FB6" s="172"/>
      <c r="FC6" s="172"/>
      <c r="FD6" s="172"/>
      <c r="FE6" s="172"/>
      <c r="FF6" s="172"/>
      <c r="FG6" s="172"/>
      <c r="FH6" s="172"/>
      <c r="FI6" s="172"/>
      <c r="FJ6" s="172"/>
      <c r="FK6" s="172"/>
      <c r="FL6" s="172"/>
      <c r="FM6" s="172"/>
      <c r="FN6" s="172"/>
      <c r="FO6" s="172"/>
      <c r="FP6" s="172"/>
      <c r="FQ6" s="172"/>
      <c r="FR6" s="172"/>
      <c r="FS6" s="172"/>
      <c r="FT6" s="172"/>
      <c r="FU6" s="172"/>
      <c r="FV6" s="172"/>
      <c r="FW6" s="172"/>
      <c r="FX6" s="172"/>
      <c r="FY6" s="172"/>
      <c r="FZ6" s="172"/>
      <c r="GA6" s="172"/>
      <c r="GB6" s="172"/>
      <c r="GC6" s="172"/>
      <c r="GD6" s="172"/>
      <c r="GE6" s="172"/>
      <c r="GF6" s="172"/>
      <c r="GG6" s="172"/>
      <c r="GH6" s="172"/>
      <c r="GI6" s="172"/>
      <c r="GJ6" s="172"/>
      <c r="GK6" s="172"/>
      <c r="GL6" s="173"/>
      <c r="GM6" s="173"/>
      <c r="GN6" s="173"/>
      <c r="GO6" s="173"/>
      <c r="GP6" s="173"/>
      <c r="GQ6" s="173"/>
      <c r="GR6" s="173"/>
      <c r="GS6" s="173"/>
      <c r="GT6" s="173"/>
      <c r="GU6" s="173"/>
      <c r="GV6" s="173"/>
      <c r="GW6" s="173"/>
      <c r="GX6" s="173"/>
      <c r="GY6" s="173"/>
      <c r="GZ6" s="173"/>
      <c r="HA6" s="173"/>
      <c r="HB6" s="173"/>
      <c r="HC6" s="173"/>
      <c r="HD6" s="173"/>
      <c r="HE6" s="173"/>
    </row>
    <row r="7" spans="1:213" s="172" customFormat="1" ht="12.6" customHeight="1">
      <c r="A7" s="160">
        <v>2023</v>
      </c>
      <c r="B7" s="174">
        <v>32</v>
      </c>
      <c r="C7" s="175" t="s">
        <v>3244</v>
      </c>
      <c r="D7" s="176">
        <f t="shared" si="1"/>
        <v>1498557</v>
      </c>
      <c r="E7" s="171">
        <f>SUMIFS('Unos rashoda i izdataka'!$J$3:$J$501,'Unos rashoda i izdataka'!$C$3:$C$501,"=11",'Unos rashoda i izdataka'!$P$3:$P$501,"=32")+SUMIFS('Unos rashoda P4'!$H$3:$H$501,'Unos rashoda P4'!$A$3:$A$501,"=11",'Unos rashoda P4'!$S$3:$S$501,"=32")</f>
        <v>591280</v>
      </c>
      <c r="F7" s="171">
        <f>SUMIFS('Unos rashoda i izdataka'!$J$3:$J$501,'Unos rashoda i izdataka'!$C$3:$C$501,"=12",'Unos rashoda i izdataka'!$P$3:$P$501,"=32")+SUMIFS('Unos rashoda P4'!$H$3:$H$501,'Unos rashoda P4'!$A$3:$A$501,"=12",'Unos rashoda P4'!$S$3:$S$501,"=32")</f>
        <v>0</v>
      </c>
      <c r="G7" s="171">
        <f>SUMIFS('Unos rashoda i izdataka'!$J$3:$J$501,'Unos rashoda i izdataka'!$C$3:$C$501,"=31",'Unos rashoda i izdataka'!$P$3:$P$501,"=32")+SUMIFS('Unos rashoda P4'!$H$3:$H$501,'Unos rashoda P4'!$A$3:$A$501,"=31",'Unos rashoda P4'!$S$3:$S$501,"=32")</f>
        <v>353839</v>
      </c>
      <c r="H7" s="171">
        <f>SUMIFS('Unos rashoda i izdataka'!$J$3:$J$501,'Unos rashoda i izdataka'!$C$3:$C$501,"=41",'Unos rashoda i izdataka'!$P$3:$P$501,"=32")+SUMIFS('Unos rashoda P4'!$H$3:$H$501,'Unos rashoda P4'!$A$3:$A$501,"=41",'Unos rashoda P4'!$S$3:$S$501,"=32")</f>
        <v>0</v>
      </c>
      <c r="I7" s="171">
        <f>SUMIFS('Unos rashoda i izdataka'!$J$3:$J$501,'Unos rashoda i izdataka'!$C$3:$C$501,"=43",'Unos rashoda i izdataka'!$P$3:$P$501,"=32")+SUMIFS('Unos rashoda P4'!$H$3:$H$501,'Unos rashoda P4'!$A$3:$A$501,"=43",'Unos rashoda P4'!$S$3:$S$501,"=32")</f>
        <v>299408</v>
      </c>
      <c r="J7" s="171">
        <f>SUMIFS('Unos rashoda i izdataka'!$J$3:$J$501,'Unos rashoda i izdataka'!$C$3:$C$501,"=51",'Unos rashoda i izdataka'!$P$3:$P$501,"=32")+SUMIFS('Unos rashoda P4'!$H$3:$H$501,'Unos rashoda P4'!$A$3:$A$501,"=51",'Unos rashoda P4'!$S$3:$S$501,"=32")</f>
        <v>209354</v>
      </c>
      <c r="K7" s="171">
        <f>SUMIFS('Unos rashoda i izdataka'!$J$3:$J$501,'Unos rashoda i izdataka'!$C$3:$C$501,"=52",'Unos rashoda i izdataka'!$P$3:$P$501,"=32")+SUMIFS('Unos rashoda P4'!$H$3:$H$501,'Unos rashoda P4'!$A$3:$A$501,"=52",'Unos rashoda P4'!$S$3:$S$501,"=32")</f>
        <v>43826</v>
      </c>
      <c r="L7" s="171">
        <f>SUMIFS('Unos rashoda i izdataka'!$J$3:$J$501,'Unos rashoda i izdataka'!$C$3:$C$501,"=552",'Unos rashoda i izdataka'!$P$3:$P$501,"=32")+SUMIFS('Unos rashoda P4'!$H$3:$H$501,'Unos rashoda P4'!$A$3:$A$501,"=552",'Unos rashoda P4'!$S$3:$S$501,"=32")</f>
        <v>0</v>
      </c>
      <c r="M7" s="171">
        <f>SUMIFS('Unos rashoda i izdataka'!$J$3:$J$501,'Unos rashoda i izdataka'!$C$3:$C$501,"=559",'Unos rashoda i izdataka'!$P$3:$P$501,"=32")+SUMIFS('Unos rashoda P4'!$H$3:$H$501,'Unos rashoda P4'!$A$3:$A$501,"=559",'Unos rashoda P4'!$S$3:$S$501,"=32")</f>
        <v>0</v>
      </c>
      <c r="N7" s="171">
        <f>SUMIFS('Unos rashoda i izdataka'!$J$3:$J$501,'Unos rashoda i izdataka'!$C$3:$C$501,"=561",'Unos rashoda i izdataka'!$P$3:$P$501,"=32")+SUMIFS('Unos rashoda P4'!$H$3:$H$501,'Unos rashoda P4'!$A$3:$A$501,"=561",'Unos rashoda P4'!$S$3:$S$501,"=32")</f>
        <v>0</v>
      </c>
      <c r="O7" s="171">
        <f>SUMIFS('Unos rashoda i izdataka'!$J$3:$J$501,'Unos rashoda i izdataka'!$C$3:$C$501,"=563",'Unos rashoda i izdataka'!$P$3:$P$501,"=32")+SUMIFS('Unos rashoda P4'!$H$3:$H$501,'Unos rashoda P4'!$A$3:$A$501,"=563",'Unos rashoda P4'!$S$3:$S$501,"=32")</f>
        <v>0</v>
      </c>
      <c r="P7" s="171">
        <f>SUMIFS('Unos rashoda i izdataka'!$J$3:$J$501,'Unos rashoda i izdataka'!$C$3:$C$501,"=573",'Unos rashoda i izdataka'!$P$3:$P$501,"=32")+SUMIFS('Unos rashoda P4'!$H$3:$H$501,'Unos rashoda P4'!$A$3:$A$501,"=573",'Unos rashoda P4'!$S$3:$S$501,"=32")</f>
        <v>0</v>
      </c>
      <c r="Q7" s="171">
        <f>SUMIFS('Unos rashoda i izdataka'!$J$3:$J$501,'Unos rashoda i izdataka'!$C$3:$C$501,"=575",'Unos rashoda i izdataka'!$P$3:$P$501,"=32")+SUMIFS('Unos rashoda P4'!$H$3:$H$501,'Unos rashoda P4'!$A$3:$A$501,"=575",'Unos rashoda P4'!$S$3:$S$501,"=32")</f>
        <v>0</v>
      </c>
      <c r="R7" s="171">
        <f>SUMIFS('Unos rashoda i izdataka'!$J$3:$J$501,'Unos rashoda i izdataka'!$Q$3:$Q$501,"=576",'Unos rashoda i izdataka'!$P$3:$P$501,"=32")+SUMIFS('Unos rashoda P4'!$H$3:$H$501,'Unos rashoda P4'!$A$3:$A$501,"=576",'Unos rashoda P4'!$S$3:$S$501,"=32")</f>
        <v>0</v>
      </c>
      <c r="S7" s="171">
        <f>SUMIFS('Unos rashoda i izdataka'!$J$3:$J$501,'Unos rashoda i izdataka'!$C$3:$C$501,"=581",'Unos rashoda i izdataka'!$P$3:$P$501,"=32")+SUMIFS('Unos rashoda P4'!$H$3:$H$501,'Unos rashoda P4'!$A$3:$A$501,"=581",'Unos rashoda P4'!$S$3:$S$501,"=32")</f>
        <v>0</v>
      </c>
      <c r="T7" s="171">
        <f>SUMIFS('Unos rashoda i izdataka'!$J$3:$J$501,'Unos rashoda i izdataka'!$C$3:$C$501,"=61",'Unos rashoda i izdataka'!$P$3:$P$501,"=32")+SUMIFS('Unos rashoda P4'!$H$3:$H$501,'Unos rashoda P4'!$A$3:$A$501,"=61",'Unos rashoda P4'!$S$3:$S$501,"=32")</f>
        <v>850</v>
      </c>
      <c r="U7" s="171">
        <f>SUMIFS('Unos rashoda i izdataka'!$J$3:$J$501,'Unos rashoda i izdataka'!$C$3:$C$501,"=63",'Unos rashoda i izdataka'!$P$3:$P$501,"=32")+SUMIFS('Unos rashoda P4'!$H$3:$H$501,'Unos rashoda P4'!$A$3:$A$501,"=63",'Unos rashoda P4'!$S$3:$S$501,"=32")</f>
        <v>0</v>
      </c>
      <c r="V7" s="171">
        <f>SUMIFS('Unos rashoda i izdataka'!$J$3:$J$501,'Unos rashoda i izdataka'!$C$3:$C$501,"=71",'Unos rashoda i izdataka'!$P$3:$P$501,"=32")+SUMIFS('Unos rashoda P4'!$H$3:$H$501,'Unos rashoda P4'!$A$3:$A$501,"=71",'Unos rashoda P4'!$S$3:$S$501,"=32")</f>
        <v>0</v>
      </c>
      <c r="W7" s="171">
        <f>SUMIFS('Unos rashoda i izdataka'!$J$3:$J$501,'Unos rashoda i izdataka'!$C$3:$C$501,"=81",'Unos rashoda i izdataka'!$P$3:$P$501,"=32")+SUMIFS('Unos rashoda P4'!$H$3:$H$501,'Unos rashoda P4'!$A$3:$A$501,"=81",'Unos rashoda P4'!$S$3:$S$501,"=32")</f>
        <v>0</v>
      </c>
      <c r="GL7" s="173"/>
      <c r="GM7" s="173"/>
      <c r="GN7" s="173"/>
      <c r="GO7" s="173"/>
      <c r="GP7" s="173"/>
      <c r="GQ7" s="173"/>
      <c r="GR7" s="173"/>
      <c r="GS7" s="173"/>
      <c r="GT7" s="173"/>
      <c r="GU7" s="173"/>
      <c r="GV7" s="173"/>
      <c r="GW7" s="173"/>
      <c r="GX7" s="173"/>
      <c r="GY7" s="173"/>
      <c r="GZ7" s="173"/>
      <c r="HA7" s="173"/>
      <c r="HB7" s="173"/>
      <c r="HC7" s="173"/>
      <c r="HD7" s="173"/>
      <c r="HE7" s="173"/>
    </row>
    <row r="8" spans="1:213" s="189" customFormat="1" ht="12.6" customHeight="1">
      <c r="A8" s="160">
        <v>2023</v>
      </c>
      <c r="B8" s="174">
        <v>34</v>
      </c>
      <c r="C8" s="175" t="s">
        <v>3245</v>
      </c>
      <c r="D8" s="176">
        <f t="shared" si="1"/>
        <v>6807</v>
      </c>
      <c r="E8" s="171">
        <f>SUMIFS('Unos rashoda i izdataka'!$J$3:$J$501,'Unos rashoda i izdataka'!$C$3:$C$501,"=11",'Unos rashoda i izdataka'!$P$3:$P$501,"=34")+SUMIFS('Unos rashoda P4'!$H$3:$H$501,'Unos rashoda P4'!$A$3:$A$501,"=11",'Unos rashoda P4'!$S$3:$S$501,"=34")</f>
        <v>4285</v>
      </c>
      <c r="F8" s="171">
        <f>SUMIFS('Unos rashoda i izdataka'!$J$3:$J$501,'Unos rashoda i izdataka'!$C$3:$C$501,"=12",'Unos rashoda i izdataka'!$P$3:$P$501,"=34")+SUMIFS('Unos rashoda P4'!$H$3:$H$501,'Unos rashoda P4'!$A$3:$A$501,"=12",'Unos rashoda P4'!$S$3:$S$501,"=34")</f>
        <v>0</v>
      </c>
      <c r="G8" s="171">
        <f>SUMIFS('Unos rashoda i izdataka'!$J$3:$J$501,'Unos rashoda i izdataka'!$C$3:$C$501,"=31",'Unos rashoda i izdataka'!$P$3:$P$501,"=34")+SUMIFS('Unos rashoda P4'!$H$3:$H$501,'Unos rashoda P4'!$A$3:$A$501,"=31",'Unos rashoda P4'!$S$3:$S$501,"=34")</f>
        <v>1726</v>
      </c>
      <c r="H8" s="171">
        <f>SUMIFS('Unos rashoda i izdataka'!$J$3:$J$501,'Unos rashoda i izdataka'!$C$3:$C$501,"=41",'Unos rashoda i izdataka'!$P$3:$P$501,"=34")+SUMIFS('Unos rashoda P4'!$H$3:$H$501,'Unos rashoda P4'!$A$3:$A$501,"=41",'Unos rashoda P4'!$S$3:$S$501,"=34")</f>
        <v>0</v>
      </c>
      <c r="I8" s="171">
        <f>SUMIFS('Unos rashoda i izdataka'!$J$3:$J$501,'Unos rashoda i izdataka'!$C$3:$C$501,"=43",'Unos rashoda i izdataka'!$P$3:$P$501,"=34")+SUMIFS('Unos rashoda P4'!$H$3:$H$501,'Unos rashoda P4'!$A$3:$A$501,"=43",'Unos rashoda P4'!$S$3:$S$501,"=34")</f>
        <v>796</v>
      </c>
      <c r="J8" s="171">
        <f>SUMIFS('Unos rashoda i izdataka'!$J$3:$J$501,'Unos rashoda i izdataka'!$C$3:$C$501,"=51",'Unos rashoda i izdataka'!$P$3:$P$501,"=34")+SUMIFS('Unos rashoda P4'!$H$3:$H$501,'Unos rashoda P4'!$A$3:$A$501,"=51",'Unos rashoda P4'!$S$3:$S$501,"=34")</f>
        <v>0</v>
      </c>
      <c r="K8" s="171">
        <f>SUMIFS('Unos rashoda i izdataka'!$J$3:$J$501,'Unos rashoda i izdataka'!$C$3:$C$501,"=52",'Unos rashoda i izdataka'!$P$3:$P$501,"=34")+SUMIFS('Unos rashoda P4'!$H$3:$H$501,'Unos rashoda P4'!$A$3:$A$501,"=52",'Unos rashoda P4'!$S$3:$S$501,"=34")</f>
        <v>0</v>
      </c>
      <c r="L8" s="171">
        <f>SUMIFS('Unos rashoda i izdataka'!$J$3:$J$501,'Unos rashoda i izdataka'!$C$3:$C$501,"=552",'Unos rashoda i izdataka'!$P$3:$P$501,"=34")+SUMIFS('Unos rashoda P4'!$H$3:$H$501,'Unos rashoda P4'!$A$3:$A$501,"=552",'Unos rashoda P4'!$S$3:$S$501,"=34")</f>
        <v>0</v>
      </c>
      <c r="M8" s="171">
        <f>SUMIFS('Unos rashoda i izdataka'!$J$3:$J$501,'Unos rashoda i izdataka'!$C$3:$C$501,"=559",'Unos rashoda i izdataka'!$P$3:$P$501,"=34")+SUMIFS('Unos rashoda P4'!$H$3:$H$501,'Unos rashoda P4'!$A$3:$A$501,"=559",'Unos rashoda P4'!$S$3:$S$501,"=34")</f>
        <v>0</v>
      </c>
      <c r="N8" s="171">
        <f>SUMIFS('Unos rashoda i izdataka'!$J$3:$J$501,'Unos rashoda i izdataka'!$C$3:$C$501,"=561",'Unos rashoda i izdataka'!$P$3:$P$501,"=34")+SUMIFS('Unos rashoda P4'!$H$3:$H$501,'Unos rashoda P4'!$A$3:$A$501,"=561",'Unos rashoda P4'!$S$3:$S$501,"=34")</f>
        <v>0</v>
      </c>
      <c r="O8" s="171">
        <f>SUMIFS('Unos rashoda i izdataka'!$J$3:$J$501,'Unos rashoda i izdataka'!$C$3:$C$501,"=563",'Unos rashoda i izdataka'!$P$3:$P$501,"=34")+SUMIFS('Unos rashoda P4'!$H$3:$H$501,'Unos rashoda P4'!$A$3:$A$501,"=563",'Unos rashoda P4'!$S$3:$S$501,"=34")</f>
        <v>0</v>
      </c>
      <c r="P8" s="171">
        <f>SUMIFS('Unos rashoda i izdataka'!$J$3:$J$501,'Unos rashoda i izdataka'!$C$3:$C$501,"=573",'Unos rashoda i izdataka'!$P$3:$P$501,"=34")+SUMIFS('Unos rashoda P4'!$H$3:$H$501,'Unos rashoda P4'!$A$3:$A$501,"=573",'Unos rashoda P4'!$S$3:$S$501,"=34")</f>
        <v>0</v>
      </c>
      <c r="Q8" s="171">
        <f>SUMIFS('Unos rashoda i izdataka'!$J$3:$J$501,'Unos rashoda i izdataka'!$C$3:$C$501,"=575",'Unos rashoda i izdataka'!$P$3:$P$501,"=34")+SUMIFS('Unos rashoda P4'!$H$3:$H$501,'Unos rashoda P4'!$A$3:$A$501,"=575",'Unos rashoda P4'!$S$3:$S$501,"=34")</f>
        <v>0</v>
      </c>
      <c r="R8" s="171">
        <f>SUMIFS('Unos rashoda i izdataka'!$J$3:$J$501,'Unos rashoda i izdataka'!$Q$3:$Q$501,"=576",'Unos rashoda i izdataka'!$P$3:$P$501,"=34")+SUMIFS('Unos rashoda P4'!$H$3:$H$501,'Unos rashoda P4'!$A$3:$A$501,"=576",'Unos rashoda P4'!$S$3:$S$501,"=34")</f>
        <v>0</v>
      </c>
      <c r="S8" s="171">
        <f>SUMIFS('Unos rashoda i izdataka'!$J$3:$J$501,'Unos rashoda i izdataka'!$C$3:$C$501,"=581",'Unos rashoda i izdataka'!$P$3:$P$501,"=34")+SUMIFS('Unos rashoda P4'!$H$3:$H$501,'Unos rashoda P4'!$A$3:$A$501,"=581",'Unos rashoda P4'!$S$3:$S$501,"=34")</f>
        <v>0</v>
      </c>
      <c r="T8" s="171">
        <f>SUMIFS('Unos rashoda i izdataka'!$J$3:$J$501,'Unos rashoda i izdataka'!$C$3:$C$501,"=61",'Unos rashoda i izdataka'!$P$3:$P$501,"=34")+SUMIFS('Unos rashoda P4'!$H$3:$H$501,'Unos rashoda P4'!$A$3:$A$501,"=61",'Unos rashoda P4'!$S$3:$S$501,"=34")</f>
        <v>0</v>
      </c>
      <c r="U8" s="171">
        <f>SUMIFS('Unos rashoda i izdataka'!$J$3:$J$501,'Unos rashoda i izdataka'!$C$3:$C$501,"=63",'Unos rashoda i izdataka'!$P$3:$P$501,"=34")+SUMIFS('Unos rashoda P4'!$H$3:$H$501,'Unos rashoda P4'!$A$3:$A$501,"=63",'Unos rashoda P4'!$S$3:$S$501,"=34")</f>
        <v>0</v>
      </c>
      <c r="V8" s="171">
        <f>SUMIFS('Unos rashoda i izdataka'!$J$3:$J$501,'Unos rashoda i izdataka'!$C$3:$C$501,"=71",'Unos rashoda i izdataka'!$P$3:$P$501,"=34")+SUMIFS('Unos rashoda P4'!$H$3:$H$501,'Unos rashoda P4'!$A$3:$A$501,"=71",'Unos rashoda P4'!$S$3:$S$501,"=34")</f>
        <v>0</v>
      </c>
      <c r="W8" s="171">
        <f>SUMIFS('Unos rashoda i izdataka'!$J$3:$J$501,'Unos rashoda i izdataka'!$C$3:$C$501,"=81",'Unos rashoda i izdataka'!$P$3:$P$501,"=34")+SUMIFS('Unos rashoda P4'!$H$3:$H$501,'Unos rashoda P4'!$A$3:$A$501,"=81",'Unos rashoda P4'!$S$3:$S$501,"=34")</f>
        <v>0</v>
      </c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72"/>
      <c r="BS8" s="172"/>
      <c r="BT8" s="172"/>
      <c r="BU8" s="172"/>
      <c r="BV8" s="172"/>
      <c r="BW8" s="172"/>
      <c r="BX8" s="172"/>
      <c r="BY8" s="172"/>
      <c r="BZ8" s="172"/>
      <c r="CA8" s="172"/>
      <c r="CB8" s="172"/>
      <c r="CC8" s="172"/>
      <c r="CD8" s="172"/>
      <c r="CE8" s="172"/>
      <c r="CF8" s="172"/>
      <c r="CG8" s="172"/>
      <c r="CH8" s="172"/>
      <c r="CI8" s="172"/>
      <c r="CJ8" s="172"/>
      <c r="CK8" s="172"/>
      <c r="CL8" s="172"/>
      <c r="CM8" s="172"/>
      <c r="CN8" s="172"/>
      <c r="CO8" s="172"/>
      <c r="CP8" s="172"/>
      <c r="CQ8" s="172"/>
      <c r="CR8" s="172"/>
      <c r="CS8" s="172"/>
      <c r="CT8" s="172"/>
      <c r="CU8" s="172"/>
      <c r="CV8" s="172"/>
      <c r="CW8" s="172"/>
      <c r="CX8" s="172"/>
      <c r="CY8" s="172"/>
      <c r="CZ8" s="172"/>
      <c r="DA8" s="172"/>
      <c r="DB8" s="172"/>
      <c r="DC8" s="172"/>
      <c r="DD8" s="172"/>
      <c r="DE8" s="172"/>
      <c r="DF8" s="172"/>
      <c r="DG8" s="172"/>
      <c r="DH8" s="172"/>
      <c r="DI8" s="172"/>
      <c r="DJ8" s="172"/>
      <c r="DK8" s="172"/>
      <c r="DL8" s="172"/>
      <c r="DM8" s="172"/>
      <c r="DN8" s="172"/>
      <c r="DO8" s="172"/>
      <c r="DP8" s="172"/>
      <c r="DQ8" s="172"/>
      <c r="DR8" s="172"/>
      <c r="DS8" s="172"/>
      <c r="DT8" s="172"/>
      <c r="DU8" s="172"/>
      <c r="DV8" s="172"/>
      <c r="DW8" s="172"/>
      <c r="DX8" s="172"/>
      <c r="DY8" s="172"/>
      <c r="DZ8" s="172"/>
      <c r="EA8" s="172"/>
      <c r="EB8" s="172"/>
      <c r="EC8" s="172"/>
      <c r="ED8" s="172"/>
      <c r="EE8" s="172"/>
      <c r="EF8" s="172"/>
      <c r="EG8" s="172"/>
      <c r="EH8" s="172"/>
      <c r="EI8" s="172"/>
      <c r="EJ8" s="172"/>
      <c r="EK8" s="172"/>
      <c r="EL8" s="172"/>
      <c r="EM8" s="172"/>
      <c r="EN8" s="172"/>
      <c r="EO8" s="172"/>
      <c r="EP8" s="172"/>
      <c r="EQ8" s="172"/>
      <c r="ER8" s="172"/>
      <c r="ES8" s="172"/>
      <c r="ET8" s="172"/>
      <c r="EU8" s="172"/>
      <c r="EV8" s="172"/>
      <c r="EW8" s="172"/>
      <c r="EX8" s="172"/>
      <c r="EY8" s="172"/>
      <c r="EZ8" s="172"/>
      <c r="FA8" s="172"/>
      <c r="FB8" s="172"/>
      <c r="FC8" s="172"/>
      <c r="FD8" s="172"/>
      <c r="FE8" s="172"/>
      <c r="FF8" s="172"/>
      <c r="FG8" s="172"/>
      <c r="FH8" s="172"/>
      <c r="FI8" s="172"/>
      <c r="FJ8" s="172"/>
      <c r="FK8" s="172"/>
      <c r="FL8" s="172"/>
      <c r="FM8" s="172"/>
      <c r="FN8" s="172"/>
      <c r="FO8" s="172"/>
      <c r="FP8" s="172"/>
      <c r="FQ8" s="172"/>
      <c r="FR8" s="172"/>
      <c r="FS8" s="172"/>
      <c r="FT8" s="172"/>
      <c r="FU8" s="172"/>
      <c r="FV8" s="172"/>
      <c r="FW8" s="172"/>
      <c r="FX8" s="172"/>
      <c r="FY8" s="172"/>
      <c r="FZ8" s="172"/>
      <c r="GA8" s="172"/>
      <c r="GB8" s="172"/>
      <c r="GC8" s="172"/>
      <c r="GD8" s="172"/>
      <c r="GE8" s="172"/>
      <c r="GF8" s="172"/>
      <c r="GG8" s="172"/>
      <c r="GH8" s="172"/>
      <c r="GI8" s="172"/>
      <c r="GJ8" s="172"/>
      <c r="GK8" s="172"/>
      <c r="GL8" s="173"/>
      <c r="GM8" s="173"/>
      <c r="GN8" s="173"/>
      <c r="GO8" s="173"/>
      <c r="GP8" s="173"/>
      <c r="GQ8" s="173"/>
      <c r="GR8" s="173"/>
      <c r="GS8" s="173"/>
      <c r="GT8" s="173"/>
      <c r="GU8" s="173"/>
      <c r="GV8" s="173"/>
      <c r="GW8" s="173"/>
      <c r="GX8" s="173"/>
      <c r="GY8" s="173"/>
      <c r="GZ8" s="173"/>
      <c r="HA8" s="173"/>
      <c r="HB8" s="173"/>
      <c r="HC8" s="173"/>
      <c r="HD8" s="173"/>
      <c r="HE8" s="173"/>
    </row>
    <row r="9" spans="1:213" s="172" customFormat="1" ht="12.6" customHeight="1">
      <c r="A9" s="160">
        <v>2023</v>
      </c>
      <c r="B9" s="174">
        <v>35</v>
      </c>
      <c r="C9" s="175" t="s">
        <v>3246</v>
      </c>
      <c r="D9" s="176">
        <f t="shared" si="1"/>
        <v>0</v>
      </c>
      <c r="E9" s="171">
        <f>SUMIFS('Unos rashoda i izdataka'!$J$3:$J$501,'Unos rashoda i izdataka'!$C$3:$C$501,"=11",'Unos rashoda i izdataka'!$P$3:$P$501,"=35")+SUMIFS('Unos rashoda P4'!$H$3:$H$501,'Unos rashoda P4'!$A$3:$A$501,"=11",'Unos rashoda P4'!$S$3:$S$501,"=35")</f>
        <v>0</v>
      </c>
      <c r="F9" s="171">
        <f>SUMIFS('Unos rashoda i izdataka'!$J$3:$J$501,'Unos rashoda i izdataka'!$C$3:$C$501,"=12",'Unos rashoda i izdataka'!$P$3:$P$501,"=35")+SUMIFS('Unos rashoda P4'!$H$3:$H$501,'Unos rashoda P4'!$A$3:$A$501,"=12",'Unos rashoda P4'!$S$3:$S$501,"=35")</f>
        <v>0</v>
      </c>
      <c r="G9" s="171">
        <f>SUMIFS('Unos rashoda i izdataka'!$J$3:$J$501,'Unos rashoda i izdataka'!$C$3:$C$501,"=31",'Unos rashoda i izdataka'!$P$3:$P$501,"=35")+SUMIFS('Unos rashoda P4'!$H$3:$H$501,'Unos rashoda P4'!$A$3:$A$501,"=31",'Unos rashoda P4'!$S$3:$S$501,"=35")</f>
        <v>0</v>
      </c>
      <c r="H9" s="171">
        <f>SUMIFS('Unos rashoda i izdataka'!$J$3:$J$501,'Unos rashoda i izdataka'!$C$3:$C$501,"=41",'Unos rashoda i izdataka'!$P$3:$P$501,"=35")+SUMIFS('Unos rashoda P4'!$H$3:$H$501,'Unos rashoda P4'!$A$3:$A$501,"=41",'Unos rashoda P4'!$S$3:$S$501,"=35")</f>
        <v>0</v>
      </c>
      <c r="I9" s="171">
        <f>SUMIFS('Unos rashoda i izdataka'!$J$3:$J$501,'Unos rashoda i izdataka'!$C$3:$C$501,"=43",'Unos rashoda i izdataka'!$P$3:$P$501,"=35")+SUMIFS('Unos rashoda P4'!$H$3:$H$501,'Unos rashoda P4'!$A$3:$A$501,"=43",'Unos rashoda P4'!$S$3:$S$501,"=35")</f>
        <v>0</v>
      </c>
      <c r="J9" s="171">
        <f>SUMIFS('Unos rashoda i izdataka'!$J$3:$J$501,'Unos rashoda i izdataka'!$C$3:$C$501,"=51",'Unos rashoda i izdataka'!$P$3:$P$501,"=35")+SUMIFS('Unos rashoda P4'!$H$3:$H$501,'Unos rashoda P4'!$A$3:$A$501,"=51",'Unos rashoda P4'!$S$3:$S$501,"=35")</f>
        <v>0</v>
      </c>
      <c r="K9" s="171">
        <f>SUMIFS('Unos rashoda i izdataka'!$J$3:$J$501,'Unos rashoda i izdataka'!$C$3:$C$501,"=52",'Unos rashoda i izdataka'!$P$3:$P$501,"=35")+SUMIFS('Unos rashoda P4'!$H$3:$H$501,'Unos rashoda P4'!$A$3:$A$501,"=52",'Unos rashoda P4'!$S$3:$S$501,"=35")</f>
        <v>0</v>
      </c>
      <c r="L9" s="171">
        <f>SUMIFS('Unos rashoda i izdataka'!$J$3:$J$501,'Unos rashoda i izdataka'!$C$3:$C$501,"=552",'Unos rashoda i izdataka'!$P$3:$P$501,"=35")+SUMIFS('Unos rashoda P4'!$H$3:$H$501,'Unos rashoda P4'!$A$3:$A$501,"=552",'Unos rashoda P4'!$S$3:$S$501,"=35")</f>
        <v>0</v>
      </c>
      <c r="M9" s="171">
        <f>SUMIFS('Unos rashoda i izdataka'!$J$3:$J$501,'Unos rashoda i izdataka'!$C$3:$C$501,"=559",'Unos rashoda i izdataka'!$P$3:$P$501,"=35")+SUMIFS('Unos rashoda P4'!$H$3:$H$501,'Unos rashoda P4'!$A$3:$A$501,"=559",'Unos rashoda P4'!$S$3:$S$501,"=35")</f>
        <v>0</v>
      </c>
      <c r="N9" s="171">
        <f>SUMIFS('Unos rashoda i izdataka'!$J$3:$J$501,'Unos rashoda i izdataka'!$C$3:$C$501,"=561",'Unos rashoda i izdataka'!$P$3:$P$501,"=35")+SUMIFS('Unos rashoda P4'!$H$3:$H$501,'Unos rashoda P4'!$A$3:$A$501,"=561",'Unos rashoda P4'!$S$3:$S$501,"=35")</f>
        <v>0</v>
      </c>
      <c r="O9" s="171">
        <f>SUMIFS('Unos rashoda i izdataka'!$J$3:$J$501,'Unos rashoda i izdataka'!$C$3:$C$501,"=563",'Unos rashoda i izdataka'!$P$3:$P$501,"=35")+SUMIFS('Unos rashoda P4'!$H$3:$H$501,'Unos rashoda P4'!$A$3:$A$501,"=563",'Unos rashoda P4'!$S$3:$S$501,"=35")</f>
        <v>0</v>
      </c>
      <c r="P9" s="171">
        <f>SUMIFS('Unos rashoda i izdataka'!$J$3:$J$501,'Unos rashoda i izdataka'!$C$3:$C$501,"=573",'Unos rashoda i izdataka'!$P$3:$P$501,"=35")+SUMIFS('Unos rashoda P4'!$H$3:$H$501,'Unos rashoda P4'!$A$3:$A$501,"=573",'Unos rashoda P4'!$S$3:$S$501,"=35")</f>
        <v>0</v>
      </c>
      <c r="Q9" s="171">
        <f>SUMIFS('Unos rashoda i izdataka'!$J$3:$J$501,'Unos rashoda i izdataka'!$C$3:$C$501,"=575",'Unos rashoda i izdataka'!$P$3:$P$501,"=35")+SUMIFS('Unos rashoda P4'!$H$3:$H$501,'Unos rashoda P4'!$A$3:$A$501,"=575",'Unos rashoda P4'!$S$3:$S$501,"=35")</f>
        <v>0</v>
      </c>
      <c r="R9" s="171">
        <f>SUMIFS('Unos rashoda i izdataka'!$J$3:$J$501,'Unos rashoda i izdataka'!$Q$3:$Q$501,"=576",'Unos rashoda i izdataka'!$P$3:$P$501,"=35")+SUMIFS('Unos rashoda P4'!$H$3:$H$501,'Unos rashoda P4'!$A$3:$A$501,"=576",'Unos rashoda P4'!$S$3:$S$501,"=35")</f>
        <v>0</v>
      </c>
      <c r="S9" s="171">
        <f>SUMIFS('Unos rashoda i izdataka'!$J$3:$J$501,'Unos rashoda i izdataka'!$C$3:$C$501,"=581",'Unos rashoda i izdataka'!$P$3:$P$501,"=35")+SUMIFS('Unos rashoda P4'!$H$3:$H$501,'Unos rashoda P4'!$A$3:$A$501,"=581",'Unos rashoda P4'!$S$3:$S$501,"=35")</f>
        <v>0</v>
      </c>
      <c r="T9" s="171">
        <f>SUMIFS('Unos rashoda i izdataka'!$J$3:$J$501,'Unos rashoda i izdataka'!$C$3:$C$501,"=61",'Unos rashoda i izdataka'!$P$3:$P$501,"=35")+SUMIFS('Unos rashoda P4'!$H$3:$H$501,'Unos rashoda P4'!$A$3:$A$501,"=61",'Unos rashoda P4'!$S$3:$S$501,"=35")</f>
        <v>0</v>
      </c>
      <c r="U9" s="171">
        <f>SUMIFS('Unos rashoda i izdataka'!$J$3:$J$501,'Unos rashoda i izdataka'!$C$3:$C$501,"=63",'Unos rashoda i izdataka'!$P$3:$P$501,"=35")+SUMIFS('Unos rashoda P4'!$H$3:$H$501,'Unos rashoda P4'!$A$3:$A$501,"=63",'Unos rashoda P4'!$S$3:$S$501,"=35")</f>
        <v>0</v>
      </c>
      <c r="V9" s="171">
        <f>SUMIFS('Unos rashoda i izdataka'!$J$3:$J$501,'Unos rashoda i izdataka'!$C$3:$C$501,"=71",'Unos rashoda i izdataka'!$P$3:$P$501,"=35")+SUMIFS('Unos rashoda P4'!$H$3:$H$501,'Unos rashoda P4'!$A$3:$A$501,"=71",'Unos rashoda P4'!$S$3:$S$501,"=35")</f>
        <v>0</v>
      </c>
      <c r="W9" s="171">
        <f>SUMIFS('Unos rashoda i izdataka'!$J$3:$J$501,'Unos rashoda i izdataka'!$C$3:$C$501,"=81",'Unos rashoda i izdataka'!$P$3:$P$501,"=35")+SUMIFS('Unos rashoda P4'!$H$3:$H$501,'Unos rashoda P4'!$A$3:$A$501,"=81",'Unos rashoda P4'!$S$3:$S$501,"=35")</f>
        <v>0</v>
      </c>
      <c r="GL9" s="173"/>
      <c r="GM9" s="173"/>
      <c r="GN9" s="173"/>
      <c r="GO9" s="173"/>
      <c r="GP9" s="173"/>
      <c r="GQ9" s="173"/>
      <c r="GR9" s="173"/>
      <c r="GS9" s="173"/>
      <c r="GT9" s="173"/>
      <c r="GU9" s="173"/>
      <c r="GV9" s="173"/>
      <c r="GW9" s="173"/>
      <c r="GX9" s="173"/>
      <c r="GY9" s="173"/>
      <c r="GZ9" s="173"/>
      <c r="HA9" s="173"/>
      <c r="HB9" s="173"/>
      <c r="HC9" s="173"/>
      <c r="HD9" s="173"/>
      <c r="HE9" s="173"/>
    </row>
    <row r="10" spans="1:213" s="172" customFormat="1" ht="12.6" customHeight="1">
      <c r="A10" s="160">
        <v>2023</v>
      </c>
      <c r="B10" s="174">
        <v>36</v>
      </c>
      <c r="C10" s="177" t="s">
        <v>3247</v>
      </c>
      <c r="D10" s="176">
        <f t="shared" si="1"/>
        <v>42471</v>
      </c>
      <c r="E10" s="171">
        <f>SUMIFS('Unos rashoda i izdataka'!$J$3:$J$501,'Unos rashoda i izdataka'!$C$3:$C$501,"=11",'Unos rashoda i izdataka'!$P$3:$P$501,"=36")+SUMIFS('Unos rashoda P4'!$H$3:$H$501,'Unos rashoda P4'!$A$3:$A$501,"=11",'Unos rashoda P4'!$S$3:$S$501,"=36")</f>
        <v>0</v>
      </c>
      <c r="F10" s="171">
        <f>SUMIFS('Unos rashoda i izdataka'!$J$3:$J$501,'Unos rashoda i izdataka'!$C$3:$C$501,"=12",'Unos rashoda i izdataka'!$P$3:$P$501,"=36")+SUMIFS('Unos rashoda P4'!$H$3:$H$501,'Unos rashoda P4'!$A$3:$A$501,"=12",'Unos rashoda P4'!$S$3:$S$501,"=36")</f>
        <v>0</v>
      </c>
      <c r="G10" s="171">
        <f>SUMIFS('Unos rashoda i izdataka'!$J$3:$J$501,'Unos rashoda i izdataka'!$C$3:$C$501,"=31",'Unos rashoda i izdataka'!$P$3:$P$501,"=36")+SUMIFS('Unos rashoda P4'!$H$3:$H$501,'Unos rashoda P4'!$A$3:$A$501,"=31",'Unos rashoda P4'!$S$3:$S$501,"=36")</f>
        <v>18581</v>
      </c>
      <c r="H10" s="171">
        <f>SUMIFS('Unos rashoda i izdataka'!$J$3:$J$501,'Unos rashoda i izdataka'!$C$3:$C$501,"=41",'Unos rashoda i izdataka'!$P$3:$P$501,"=36")+SUMIFS('Unos rashoda P4'!$H$3:$H$501,'Unos rashoda P4'!$A$3:$A$501,"=41",'Unos rashoda P4'!$S$3:$S$501,"=36")</f>
        <v>0</v>
      </c>
      <c r="I10" s="171">
        <f>SUMIFS('Unos rashoda i izdataka'!$J$3:$J$501,'Unos rashoda i izdataka'!$C$3:$C$501,"=43",'Unos rashoda i izdataka'!$P$3:$P$501,"=36")+SUMIFS('Unos rashoda P4'!$H$3:$H$501,'Unos rashoda P4'!$A$3:$A$501,"=43",'Unos rashoda P4'!$S$3:$S$501,"=36")</f>
        <v>23890</v>
      </c>
      <c r="J10" s="171">
        <f>SUMIFS('Unos rashoda i izdataka'!$J$3:$J$501,'Unos rashoda i izdataka'!$C$3:$C$501,"=51",'Unos rashoda i izdataka'!$P$3:$P$501,"=36")+SUMIFS('Unos rashoda P4'!$H$3:$H$501,'Unos rashoda P4'!$A$3:$A$501,"=51",'Unos rashoda P4'!$S$3:$S$501,"=36")</f>
        <v>0</v>
      </c>
      <c r="K10" s="171">
        <f>SUMIFS('Unos rashoda i izdataka'!$J$3:$J$501,'Unos rashoda i izdataka'!$C$3:$C$501,"=52",'Unos rashoda i izdataka'!$P$3:$P$501,"=36")+SUMIFS('Unos rashoda P4'!$H$3:$H$501,'Unos rashoda P4'!$A$3:$A$501,"=52",'Unos rashoda P4'!$S$3:$S$501,"=36")</f>
        <v>0</v>
      </c>
      <c r="L10" s="171">
        <f>SUMIFS('Unos rashoda i izdataka'!$J$3:$J$501,'Unos rashoda i izdataka'!$C$3:$C$501,"=552",'Unos rashoda i izdataka'!$P$3:$P$501,"=36")+SUMIFS('Unos rashoda P4'!$H$3:$H$501,'Unos rashoda P4'!$A$3:$A$501,"=552",'Unos rashoda P4'!$S$3:$S$501,"=36")</f>
        <v>0</v>
      </c>
      <c r="M10" s="171">
        <f>SUMIFS('Unos rashoda i izdataka'!$J$3:$J$501,'Unos rashoda i izdataka'!$C$3:$C$501,"=559",'Unos rashoda i izdataka'!$P$3:$P$501,"=36")+SUMIFS('Unos rashoda P4'!$H$3:$H$501,'Unos rashoda P4'!$A$3:$A$501,"=559",'Unos rashoda P4'!$S$3:$S$501,"=36")</f>
        <v>0</v>
      </c>
      <c r="N10" s="171">
        <f>SUMIFS('Unos rashoda i izdataka'!$J$3:$J$501,'Unos rashoda i izdataka'!$C$3:$C$501,"=561",'Unos rashoda i izdataka'!$P$3:$P$501,"=36")+SUMIFS('Unos rashoda P4'!$H$3:$H$501,'Unos rashoda P4'!$A$3:$A$501,"=561",'Unos rashoda P4'!$S$3:$S$501,"=36")</f>
        <v>0</v>
      </c>
      <c r="O10" s="171">
        <f>SUMIFS('Unos rashoda i izdataka'!$J$3:$J$501,'Unos rashoda i izdataka'!$C$3:$C$501,"=563",'Unos rashoda i izdataka'!$P$3:$P$501,"=36")+SUMIFS('Unos rashoda P4'!$H$3:$H$501,'Unos rashoda P4'!$A$3:$A$501,"=563",'Unos rashoda P4'!$S$3:$S$501,"=36")</f>
        <v>0</v>
      </c>
      <c r="P10" s="171">
        <f>SUMIFS('Unos rashoda i izdataka'!$J$3:$J$501,'Unos rashoda i izdataka'!$C$3:$C$501,"=573",'Unos rashoda i izdataka'!$P$3:$P$501,"=36")+SUMIFS('Unos rashoda P4'!$H$3:$H$501,'Unos rashoda P4'!$A$3:$A$501,"=573",'Unos rashoda P4'!$S$3:$S$501,"=36")</f>
        <v>0</v>
      </c>
      <c r="Q10" s="171">
        <f>SUMIFS('Unos rashoda i izdataka'!$J$3:$J$501,'Unos rashoda i izdataka'!$C$3:$C$501,"=575",'Unos rashoda i izdataka'!$P$3:$P$501,"=36")+SUMIFS('Unos rashoda P4'!$H$3:$H$501,'Unos rashoda P4'!$A$3:$A$501,"=575",'Unos rashoda P4'!$S$3:$S$501,"=36")</f>
        <v>0</v>
      </c>
      <c r="R10" s="171">
        <f>SUMIFS('Unos rashoda i izdataka'!$J$3:$J$501,'Unos rashoda i izdataka'!$Q$3:$Q$501,"=576",'Unos rashoda i izdataka'!$P$3:$P$501,"=36")+SUMIFS('Unos rashoda P4'!$H$3:$H$501,'Unos rashoda P4'!$A$3:$A$501,"=576",'Unos rashoda P4'!$S$3:$S$501,"=36")</f>
        <v>0</v>
      </c>
      <c r="S10" s="171">
        <f>SUMIFS('Unos rashoda i izdataka'!$J$3:$J$501,'Unos rashoda i izdataka'!$C$3:$C$501,"=581",'Unos rashoda i izdataka'!$P$3:$P$501,"=36")+SUMIFS('Unos rashoda P4'!$H$3:$H$501,'Unos rashoda P4'!$A$3:$A$501,"=581",'Unos rashoda P4'!$S$3:$S$501,"=36")</f>
        <v>0</v>
      </c>
      <c r="T10" s="171">
        <f>SUMIFS('Unos rashoda i izdataka'!$J$3:$J$501,'Unos rashoda i izdataka'!$C$3:$C$501,"=61",'Unos rashoda i izdataka'!$P$3:$P$501,"=36")+SUMIFS('Unos rashoda P4'!$H$3:$H$501,'Unos rashoda P4'!$A$3:$A$501,"=61",'Unos rashoda P4'!$S$3:$S$501,"=36")</f>
        <v>0</v>
      </c>
      <c r="U10" s="171">
        <f>SUMIFS('Unos rashoda i izdataka'!$J$3:$J$501,'Unos rashoda i izdataka'!$C$3:$C$501,"=63",'Unos rashoda i izdataka'!$P$3:$P$501,"=36")+SUMIFS('Unos rashoda P4'!$H$3:$H$501,'Unos rashoda P4'!$A$3:$A$501,"=63",'Unos rashoda P4'!$S$3:$S$501,"=36")</f>
        <v>0</v>
      </c>
      <c r="V10" s="171">
        <f>SUMIFS('Unos rashoda i izdataka'!$J$3:$J$501,'Unos rashoda i izdataka'!$C$3:$C$501,"=71",'Unos rashoda i izdataka'!$P$3:$P$501,"=36")+SUMIFS('Unos rashoda P4'!$H$3:$H$501,'Unos rashoda P4'!$A$3:$A$501,"=71",'Unos rashoda P4'!$S$3:$S$501,"=36")</f>
        <v>0</v>
      </c>
      <c r="W10" s="171">
        <f>SUMIFS('Unos rashoda i izdataka'!$J$3:$J$501,'Unos rashoda i izdataka'!$C$3:$C$501,"=81",'Unos rashoda i izdataka'!$P$3:$P$501,"=36")+SUMIFS('Unos rashoda P4'!$H$3:$H$501,'Unos rashoda P4'!$A$3:$A$501,"=81",'Unos rashoda P4'!$S$3:$S$501,"=36")</f>
        <v>0</v>
      </c>
      <c r="GL10" s="173"/>
      <c r="GM10" s="173"/>
      <c r="GN10" s="173"/>
      <c r="GO10" s="173"/>
      <c r="GP10" s="173"/>
      <c r="GQ10" s="173"/>
      <c r="GR10" s="173"/>
      <c r="GS10" s="173"/>
      <c r="GT10" s="173"/>
      <c r="GU10" s="173"/>
      <c r="GV10" s="173"/>
      <c r="GW10" s="173"/>
      <c r="GX10" s="173"/>
      <c r="GY10" s="173"/>
      <c r="GZ10" s="173"/>
      <c r="HA10" s="173"/>
      <c r="HB10" s="173"/>
      <c r="HC10" s="173"/>
      <c r="HD10" s="173"/>
      <c r="HE10" s="173"/>
    </row>
    <row r="11" spans="1:213" s="190" customFormat="1" ht="12.6" customHeight="1">
      <c r="A11" s="160">
        <v>2023</v>
      </c>
      <c r="B11" s="174">
        <v>37</v>
      </c>
      <c r="C11" s="175" t="s">
        <v>3248</v>
      </c>
      <c r="D11" s="176">
        <f t="shared" si="1"/>
        <v>5378</v>
      </c>
      <c r="E11" s="171">
        <f>SUMIFS('Unos rashoda i izdataka'!$J$3:$J$501,'Unos rashoda i izdataka'!$C$3:$C$501,"=11",'Unos rashoda i izdataka'!$P$3:$P$501,"=37")+SUMIFS('Unos rashoda P4'!$H$3:$H$501,'Unos rashoda P4'!$A$3:$A$501,"=11",'Unos rashoda P4'!$S$3:$S$501,"=37")</f>
        <v>4383</v>
      </c>
      <c r="F11" s="171">
        <f>SUMIFS('Unos rashoda i izdataka'!$J$3:$J$501,'Unos rashoda i izdataka'!$C$3:$C$501,"=12",'Unos rashoda i izdataka'!$P$3:$P$501,"=37")+SUMIFS('Unos rashoda P4'!$H$3:$H$501,'Unos rashoda P4'!$A$3:$A$501,"=12",'Unos rashoda P4'!$S$3:$S$501,"=37")</f>
        <v>0</v>
      </c>
      <c r="G11" s="171">
        <f>SUMIFS('Unos rashoda i izdataka'!$J$3:$J$501,'Unos rashoda i izdataka'!$C$3:$C$501,"=31",'Unos rashoda i izdataka'!$P$3:$P$501,"=37")+SUMIFS('Unos rashoda P4'!$H$3:$H$501,'Unos rashoda P4'!$A$3:$A$501,"=31",'Unos rashoda P4'!$S$3:$S$501,"=37")</f>
        <v>0</v>
      </c>
      <c r="H11" s="171">
        <f>SUMIFS('Unos rashoda i izdataka'!$J$3:$J$501,'Unos rashoda i izdataka'!$C$3:$C$501,"=41",'Unos rashoda i izdataka'!$P$3:$P$501,"=37")+SUMIFS('Unos rashoda P4'!$H$3:$H$501,'Unos rashoda P4'!$A$3:$A$501,"=41",'Unos rashoda P4'!$S$3:$S$501,"=37")</f>
        <v>0</v>
      </c>
      <c r="I11" s="171">
        <f>SUMIFS('Unos rashoda i izdataka'!$J$3:$J$501,'Unos rashoda i izdataka'!$C$3:$C$501,"=43",'Unos rashoda i izdataka'!$P$3:$P$501,"=37")+SUMIFS('Unos rashoda P4'!$H$3:$H$501,'Unos rashoda P4'!$A$3:$A$501,"=43",'Unos rashoda P4'!$S$3:$S$501,"=37")</f>
        <v>0</v>
      </c>
      <c r="J11" s="171">
        <f>SUMIFS('Unos rashoda i izdataka'!$J$3:$J$501,'Unos rashoda i izdataka'!$C$3:$C$501,"=51",'Unos rashoda i izdataka'!$P$3:$P$501,"=37")+SUMIFS('Unos rashoda P4'!$H$3:$H$501,'Unos rashoda P4'!$A$3:$A$501,"=51",'Unos rashoda P4'!$S$3:$S$501,"=37")</f>
        <v>0</v>
      </c>
      <c r="K11" s="171">
        <f>SUMIFS('Unos rashoda i izdataka'!$J$3:$J$501,'Unos rashoda i izdataka'!$C$3:$C$501,"=52",'Unos rashoda i izdataka'!$P$3:$P$501,"=37")+SUMIFS('Unos rashoda P4'!$H$3:$H$501,'Unos rashoda P4'!$A$3:$A$501,"=52",'Unos rashoda P4'!$S$3:$S$501,"=37")</f>
        <v>995</v>
      </c>
      <c r="L11" s="171">
        <f>SUMIFS('Unos rashoda i izdataka'!$J$3:$J$501,'Unos rashoda i izdataka'!$C$3:$C$501,"=552",'Unos rashoda i izdataka'!$P$3:$P$501,"=37")+SUMIFS('Unos rashoda P4'!$H$3:$H$501,'Unos rashoda P4'!$A$3:$A$501,"=552",'Unos rashoda P4'!$S$3:$S$501,"=37")</f>
        <v>0</v>
      </c>
      <c r="M11" s="171">
        <f>SUMIFS('Unos rashoda i izdataka'!$J$3:$J$501,'Unos rashoda i izdataka'!$C$3:$C$501,"=559",'Unos rashoda i izdataka'!$P$3:$P$501,"=37")+SUMIFS('Unos rashoda P4'!$H$3:$H$501,'Unos rashoda P4'!$A$3:$A$501,"=559",'Unos rashoda P4'!$S$3:$S$501,"=37")</f>
        <v>0</v>
      </c>
      <c r="N11" s="171">
        <f>SUMIFS('Unos rashoda i izdataka'!$J$3:$J$501,'Unos rashoda i izdataka'!$C$3:$C$501,"=561",'Unos rashoda i izdataka'!$P$3:$P$501,"=37")+SUMIFS('Unos rashoda P4'!$H$3:$H$501,'Unos rashoda P4'!$A$3:$A$501,"=561",'Unos rashoda P4'!$S$3:$S$501,"=37")</f>
        <v>0</v>
      </c>
      <c r="O11" s="171">
        <f>SUMIFS('Unos rashoda i izdataka'!$J$3:$J$501,'Unos rashoda i izdataka'!$C$3:$C$501,"=563",'Unos rashoda i izdataka'!$P$3:$P$501,"=37")+SUMIFS('Unos rashoda P4'!$H$3:$H$501,'Unos rashoda P4'!$A$3:$A$501,"=563",'Unos rashoda P4'!$S$3:$S$501,"=37")</f>
        <v>0</v>
      </c>
      <c r="P11" s="171">
        <f>SUMIFS('Unos rashoda i izdataka'!$J$3:$J$501,'Unos rashoda i izdataka'!$C$3:$C$501,"=573",'Unos rashoda i izdataka'!$P$3:$P$501,"=37")+SUMIFS('Unos rashoda P4'!$H$3:$H$501,'Unos rashoda P4'!$A$3:$A$501,"=573",'Unos rashoda P4'!$S$3:$S$501,"=37")</f>
        <v>0</v>
      </c>
      <c r="Q11" s="171">
        <f>SUMIFS('Unos rashoda i izdataka'!$J$3:$J$501,'Unos rashoda i izdataka'!$C$3:$C$501,"=575",'Unos rashoda i izdataka'!$P$3:$P$501,"=37")+SUMIFS('Unos rashoda P4'!$H$3:$H$501,'Unos rashoda P4'!$A$3:$A$501,"=575",'Unos rashoda P4'!$S$3:$S$501,"=37")</f>
        <v>0</v>
      </c>
      <c r="R11" s="171">
        <f>SUMIFS('Unos rashoda i izdataka'!$J$3:$J$501,'Unos rashoda i izdataka'!$Q$3:$Q$501,"=576",'Unos rashoda i izdataka'!$P$3:$P$501,"=37")+SUMIFS('Unos rashoda P4'!$H$3:$H$501,'Unos rashoda P4'!$A$3:$A$501,"=576",'Unos rashoda P4'!$S$3:$S$501,"=37")</f>
        <v>0</v>
      </c>
      <c r="S11" s="171">
        <f>SUMIFS('Unos rashoda i izdataka'!$J$3:$J$501,'Unos rashoda i izdataka'!$C$3:$C$501,"=581",'Unos rashoda i izdataka'!$P$3:$P$501,"=37")+SUMIFS('Unos rashoda P4'!$H$3:$H$501,'Unos rashoda P4'!$A$3:$A$501,"=581",'Unos rashoda P4'!$S$3:$S$501,"=37")</f>
        <v>0</v>
      </c>
      <c r="T11" s="171">
        <f>SUMIFS('Unos rashoda i izdataka'!$J$3:$J$501,'Unos rashoda i izdataka'!$C$3:$C$501,"=61",'Unos rashoda i izdataka'!$P$3:$P$501,"=37")+SUMIFS('Unos rashoda P4'!$H$3:$H$501,'Unos rashoda P4'!$A$3:$A$501,"=61",'Unos rashoda P4'!$S$3:$S$501,"=37")</f>
        <v>0</v>
      </c>
      <c r="U11" s="171">
        <f>SUMIFS('Unos rashoda i izdataka'!$J$3:$J$501,'Unos rashoda i izdataka'!$C$3:$C$501,"=63",'Unos rashoda i izdataka'!$P$3:$P$501,"=37")+SUMIFS('Unos rashoda P4'!$H$3:$H$501,'Unos rashoda P4'!$A$3:$A$501,"=63",'Unos rashoda P4'!$S$3:$S$501,"=37")</f>
        <v>0</v>
      </c>
      <c r="V11" s="171">
        <f>SUMIFS('Unos rashoda i izdataka'!$J$3:$J$501,'Unos rashoda i izdataka'!$C$3:$C$501,"=71",'Unos rashoda i izdataka'!$P$3:$P$501,"=37")+SUMIFS('Unos rashoda P4'!$H$3:$H$501,'Unos rashoda P4'!$A$3:$A$501,"=71",'Unos rashoda P4'!$S$3:$S$501,"=37")</f>
        <v>0</v>
      </c>
      <c r="W11" s="171">
        <f>SUMIFS('Unos rashoda i izdataka'!$J$3:$J$501,'Unos rashoda i izdataka'!$C$3:$C$501,"=81",'Unos rashoda i izdataka'!$P$3:$P$501,"=37")+SUMIFS('Unos rashoda P4'!$H$3:$H$501,'Unos rashoda P4'!$A$3:$A$501,"=81",'Unos rashoda P4'!$S$3:$S$501,"=37")</f>
        <v>0</v>
      </c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2"/>
      <c r="CU11" s="172"/>
      <c r="CV11" s="172"/>
      <c r="CW11" s="172"/>
      <c r="CX11" s="172"/>
      <c r="CY11" s="172"/>
      <c r="CZ11" s="172"/>
      <c r="DA11" s="172"/>
      <c r="DB11" s="172"/>
      <c r="DC11" s="172"/>
      <c r="DD11" s="172"/>
      <c r="DE11" s="172"/>
      <c r="DF11" s="172"/>
      <c r="DG11" s="172"/>
      <c r="DH11" s="172"/>
      <c r="DI11" s="172"/>
      <c r="DJ11" s="172"/>
      <c r="DK11" s="172"/>
      <c r="DL11" s="172"/>
      <c r="DM11" s="172"/>
      <c r="DN11" s="172"/>
      <c r="DO11" s="172"/>
      <c r="DP11" s="172"/>
      <c r="DQ11" s="172"/>
      <c r="DR11" s="172"/>
      <c r="DS11" s="172"/>
      <c r="DT11" s="172"/>
      <c r="DU11" s="172"/>
      <c r="DV11" s="172"/>
      <c r="DW11" s="172"/>
      <c r="DX11" s="172"/>
      <c r="DY11" s="172"/>
      <c r="DZ11" s="172"/>
      <c r="EA11" s="172"/>
      <c r="EB11" s="172"/>
      <c r="EC11" s="172"/>
      <c r="ED11" s="172"/>
      <c r="EE11" s="172"/>
      <c r="EF11" s="172"/>
      <c r="EG11" s="172"/>
      <c r="EH11" s="172"/>
      <c r="EI11" s="172"/>
      <c r="EJ11" s="172"/>
      <c r="EK11" s="172"/>
      <c r="EL11" s="172"/>
      <c r="EM11" s="172"/>
      <c r="EN11" s="172"/>
      <c r="EO11" s="172"/>
      <c r="EP11" s="172"/>
      <c r="EQ11" s="172"/>
      <c r="ER11" s="172"/>
      <c r="ES11" s="172"/>
      <c r="ET11" s="172"/>
      <c r="EU11" s="172"/>
      <c r="EV11" s="172"/>
      <c r="EW11" s="172"/>
      <c r="EX11" s="172"/>
      <c r="EY11" s="172"/>
      <c r="EZ11" s="172"/>
      <c r="FA11" s="172"/>
      <c r="FB11" s="172"/>
      <c r="FC11" s="172"/>
      <c r="FD11" s="172"/>
      <c r="FE11" s="172"/>
      <c r="FF11" s="172"/>
      <c r="FG11" s="172"/>
      <c r="FH11" s="172"/>
      <c r="FI11" s="172"/>
      <c r="FJ11" s="172"/>
      <c r="FK11" s="172"/>
      <c r="FL11" s="172"/>
      <c r="FM11" s="172"/>
      <c r="FN11" s="172"/>
      <c r="FO11" s="172"/>
      <c r="FP11" s="172"/>
      <c r="FQ11" s="172"/>
      <c r="FR11" s="172"/>
      <c r="FS11" s="172"/>
      <c r="FT11" s="172"/>
      <c r="FU11" s="172"/>
      <c r="FV11" s="172"/>
      <c r="FW11" s="172"/>
      <c r="FX11" s="172"/>
      <c r="FY11" s="172"/>
      <c r="FZ11" s="172"/>
      <c r="GA11" s="172"/>
      <c r="GB11" s="172"/>
      <c r="GC11" s="172"/>
      <c r="GD11" s="172"/>
      <c r="GE11" s="172"/>
      <c r="GF11" s="172"/>
      <c r="GG11" s="172"/>
      <c r="GH11" s="172"/>
      <c r="GI11" s="172"/>
      <c r="GJ11" s="172"/>
      <c r="GK11" s="172"/>
      <c r="GL11" s="173"/>
      <c r="GM11" s="173"/>
      <c r="GN11" s="173"/>
      <c r="GO11" s="173"/>
      <c r="GP11" s="173"/>
      <c r="GQ11" s="173"/>
      <c r="GR11" s="173"/>
      <c r="GS11" s="173"/>
      <c r="GT11" s="173"/>
      <c r="GU11" s="173"/>
      <c r="GV11" s="173"/>
      <c r="GW11" s="173"/>
      <c r="GX11" s="173"/>
      <c r="GY11" s="173"/>
      <c r="GZ11" s="173"/>
      <c r="HA11" s="173"/>
      <c r="HB11" s="173"/>
      <c r="HC11" s="173"/>
      <c r="HD11" s="173"/>
      <c r="HE11" s="173"/>
    </row>
    <row r="12" spans="1:213" s="190" customFormat="1" ht="12.6" customHeight="1">
      <c r="A12" s="160">
        <v>2023</v>
      </c>
      <c r="B12" s="174">
        <v>38</v>
      </c>
      <c r="C12" s="175" t="s">
        <v>3249</v>
      </c>
      <c r="D12" s="176">
        <f t="shared" si="1"/>
        <v>9954</v>
      </c>
      <c r="E12" s="171">
        <f>SUMIFS('Unos rashoda i izdataka'!$J$3:$J$501,'Unos rashoda i izdataka'!$C$3:$C$501,"=11",'Unos rashoda i izdataka'!$P$3:$P$501,"=38")+SUMIFS('Unos rashoda P4'!$H$3:$H$501,'Unos rashoda P4'!$A$3:$A$501,"=11",'Unos rashoda P4'!$S$3:$S$501,"=38")</f>
        <v>0</v>
      </c>
      <c r="F12" s="171">
        <f>SUMIFS('Unos rashoda i izdataka'!$J$3:$J$501,'Unos rashoda i izdataka'!$C$3:$C$501,"=12",'Unos rashoda i izdataka'!$P$3:$P$501,"=38")+SUMIFS('Unos rashoda P4'!$H$3:$H$501,'Unos rashoda P4'!$A$3:$A$501,"=12",'Unos rashoda P4'!$S$3:$S$501,"=38")</f>
        <v>0</v>
      </c>
      <c r="G12" s="171">
        <f>SUMIFS('Unos rashoda i izdataka'!$J$3:$J$501,'Unos rashoda i izdataka'!$C$3:$C$501,"=31",'Unos rashoda i izdataka'!$P$3:$P$501,"=38")+SUMIFS('Unos rashoda P4'!$H$3:$H$501,'Unos rashoda P4'!$A$3:$A$501,"=31",'Unos rashoda P4'!$S$3:$S$501,"=38")</f>
        <v>9954</v>
      </c>
      <c r="H12" s="171">
        <f>SUMIFS('Unos rashoda i izdataka'!$J$3:$J$501,'Unos rashoda i izdataka'!$C$3:$C$501,"=41",'Unos rashoda i izdataka'!$P$3:$P$501,"=38")+SUMIFS('Unos rashoda P4'!$H$3:$H$501,'Unos rashoda P4'!$A$3:$A$501,"=41",'Unos rashoda P4'!$S$3:$S$501,"=38")</f>
        <v>0</v>
      </c>
      <c r="I12" s="171">
        <f>SUMIFS('Unos rashoda i izdataka'!$J$3:$J$501,'Unos rashoda i izdataka'!$C$3:$C$501,"=43",'Unos rashoda i izdataka'!$P$3:$P$501,"=38")+SUMIFS('Unos rashoda P4'!$H$3:$H$501,'Unos rashoda P4'!$A$3:$A$501,"=43",'Unos rashoda P4'!$S$3:$S$501,"=38")</f>
        <v>0</v>
      </c>
      <c r="J12" s="171">
        <f>SUMIFS('Unos rashoda i izdataka'!$J$3:$J$501,'Unos rashoda i izdataka'!$C$3:$C$501,"=51",'Unos rashoda i izdataka'!$P$3:$P$501,"=38")+SUMIFS('Unos rashoda P4'!$H$3:$H$501,'Unos rashoda P4'!$A$3:$A$501,"=51",'Unos rashoda P4'!$S$3:$S$501,"=38")</f>
        <v>0</v>
      </c>
      <c r="K12" s="171">
        <f>SUMIFS('Unos rashoda i izdataka'!$J$3:$J$501,'Unos rashoda i izdataka'!$C$3:$C$501,"=52",'Unos rashoda i izdataka'!$P$3:$P$501,"=38")+SUMIFS('Unos rashoda P4'!$H$3:$H$501,'Unos rashoda P4'!$A$3:$A$501,"=52",'Unos rashoda P4'!$S$3:$S$501,"=38")</f>
        <v>0</v>
      </c>
      <c r="L12" s="171">
        <f>SUMIFS('Unos rashoda i izdataka'!$J$3:$J$501,'Unos rashoda i izdataka'!$C$3:$C$501,"=552",'Unos rashoda i izdataka'!$P$3:$P$501,"=38")+SUMIFS('Unos rashoda P4'!$H$3:$H$501,'Unos rashoda P4'!$A$3:$A$501,"=552",'Unos rashoda P4'!$S$3:$S$501,"=38")</f>
        <v>0</v>
      </c>
      <c r="M12" s="171">
        <f>SUMIFS('Unos rashoda i izdataka'!$J$3:$J$501,'Unos rashoda i izdataka'!$C$3:$C$501,"=559",'Unos rashoda i izdataka'!$P$3:$P$501,"=38")+SUMIFS('Unos rashoda P4'!$H$3:$H$501,'Unos rashoda P4'!$A$3:$A$501,"=559",'Unos rashoda P4'!$S$3:$S$501,"=38")</f>
        <v>0</v>
      </c>
      <c r="N12" s="171">
        <f>SUMIFS('Unos rashoda i izdataka'!$J$3:$J$501,'Unos rashoda i izdataka'!$C$3:$C$501,"=561",'Unos rashoda i izdataka'!$P$3:$P$501,"=38")+SUMIFS('Unos rashoda P4'!$H$3:$H$501,'Unos rashoda P4'!$A$3:$A$501,"=561",'Unos rashoda P4'!$S$3:$S$501,"=38")</f>
        <v>0</v>
      </c>
      <c r="O12" s="171">
        <f>SUMIFS('Unos rashoda i izdataka'!$J$3:$J$501,'Unos rashoda i izdataka'!$C$3:$C$501,"=563",'Unos rashoda i izdataka'!$P$3:$P$501,"=38")+SUMIFS('Unos rashoda P4'!$H$3:$H$501,'Unos rashoda P4'!$A$3:$A$501,"=563",'Unos rashoda P4'!$S$3:$S$501,"=38")</f>
        <v>0</v>
      </c>
      <c r="P12" s="171">
        <f>SUMIFS('Unos rashoda i izdataka'!$J$3:$J$501,'Unos rashoda i izdataka'!$C$3:$C$501,"=573",'Unos rashoda i izdataka'!$P$3:$P$501,"=38")+SUMIFS('Unos rashoda P4'!$H$3:$H$501,'Unos rashoda P4'!$A$3:$A$501,"=573",'Unos rashoda P4'!$S$3:$S$501,"=38")</f>
        <v>0</v>
      </c>
      <c r="Q12" s="171">
        <f>SUMIFS('Unos rashoda i izdataka'!$J$3:$J$501,'Unos rashoda i izdataka'!$C$3:$C$501,"=575",'Unos rashoda i izdataka'!$P$3:$P$501,"=38")+SUMIFS('Unos rashoda P4'!$H$3:$H$501,'Unos rashoda P4'!$A$3:$A$501,"=575",'Unos rashoda P4'!$S$3:$S$501,"=38")</f>
        <v>0</v>
      </c>
      <c r="R12" s="171">
        <f>SUMIFS('Unos rashoda i izdataka'!$J$3:$J$501,'Unos rashoda i izdataka'!$Q$3:$Q$501,"=576",'Unos rashoda i izdataka'!$P$3:$P$501,"=38")+SUMIFS('Unos rashoda P4'!$H$3:$H$501,'Unos rashoda P4'!$A$3:$A$501,"=576",'Unos rashoda P4'!$S$3:$S$501,"=38")</f>
        <v>0</v>
      </c>
      <c r="S12" s="171">
        <f>SUMIFS('Unos rashoda i izdataka'!$J$3:$J$501,'Unos rashoda i izdataka'!$C$3:$C$501,"=581",'Unos rashoda i izdataka'!$P$3:$P$501,"=38")+SUMIFS('Unos rashoda P4'!$H$3:$H$501,'Unos rashoda P4'!$A$3:$A$501,"=581",'Unos rashoda P4'!$S$3:$S$501,"=38")</f>
        <v>0</v>
      </c>
      <c r="T12" s="171">
        <f>SUMIFS('Unos rashoda i izdataka'!$J$3:$J$501,'Unos rashoda i izdataka'!$C$3:$C$501,"=61",'Unos rashoda i izdataka'!$P$3:$P$501,"=38")+SUMIFS('Unos rashoda P4'!$H$3:$H$501,'Unos rashoda P4'!$A$3:$A$501,"=61",'Unos rashoda P4'!$S$3:$S$501,"=38")</f>
        <v>0</v>
      </c>
      <c r="U12" s="171">
        <f>SUMIFS('Unos rashoda i izdataka'!$J$3:$J$501,'Unos rashoda i izdataka'!$C$3:$C$501,"=63",'Unos rashoda i izdataka'!$P$3:$P$501,"=38")+SUMIFS('Unos rashoda P4'!$H$3:$H$501,'Unos rashoda P4'!$A$3:$A$501,"=63",'Unos rashoda P4'!$S$3:$S$501,"=38")</f>
        <v>0</v>
      </c>
      <c r="V12" s="171">
        <f>SUMIFS('Unos rashoda i izdataka'!$J$3:$J$501,'Unos rashoda i izdataka'!$C$3:$C$501,"=71",'Unos rashoda i izdataka'!$P$3:$P$501,"=38")+SUMIFS('Unos rashoda P4'!$H$3:$H$501,'Unos rashoda P4'!$A$3:$A$501,"=71",'Unos rashoda P4'!$S$3:$S$501,"=38")</f>
        <v>0</v>
      </c>
      <c r="W12" s="171">
        <f>SUMIFS('Unos rashoda i izdataka'!$J$3:$J$501,'Unos rashoda i izdataka'!$C$3:$C$501,"=81",'Unos rashoda i izdataka'!$P$3:$P$501,"=38")+SUMIFS('Unos rashoda P4'!$H$3:$H$501,'Unos rashoda P4'!$A$3:$A$501,"=81",'Unos rashoda P4'!$S$3:$S$501,"=38")</f>
        <v>0</v>
      </c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172"/>
      <c r="CI12" s="172"/>
      <c r="CJ12" s="172"/>
      <c r="CK12" s="172"/>
      <c r="CL12" s="172"/>
      <c r="CM12" s="172"/>
      <c r="CN12" s="172"/>
      <c r="CO12" s="172"/>
      <c r="CP12" s="172"/>
      <c r="CQ12" s="172"/>
      <c r="CR12" s="172"/>
      <c r="CS12" s="172"/>
      <c r="CT12" s="172"/>
      <c r="CU12" s="172"/>
      <c r="CV12" s="172"/>
      <c r="CW12" s="172"/>
      <c r="CX12" s="172"/>
      <c r="CY12" s="172"/>
      <c r="CZ12" s="172"/>
      <c r="DA12" s="172"/>
      <c r="DB12" s="172"/>
      <c r="DC12" s="172"/>
      <c r="DD12" s="172"/>
      <c r="DE12" s="172"/>
      <c r="DF12" s="172"/>
      <c r="DG12" s="172"/>
      <c r="DH12" s="172"/>
      <c r="DI12" s="172"/>
      <c r="DJ12" s="172"/>
      <c r="DK12" s="172"/>
      <c r="DL12" s="172"/>
      <c r="DM12" s="172"/>
      <c r="DN12" s="172"/>
      <c r="DO12" s="172"/>
      <c r="DP12" s="172"/>
      <c r="DQ12" s="172"/>
      <c r="DR12" s="172"/>
      <c r="DS12" s="172"/>
      <c r="DT12" s="172"/>
      <c r="DU12" s="172"/>
      <c r="DV12" s="172"/>
      <c r="DW12" s="172"/>
      <c r="DX12" s="172"/>
      <c r="DY12" s="172"/>
      <c r="DZ12" s="172"/>
      <c r="EA12" s="172"/>
      <c r="EB12" s="172"/>
      <c r="EC12" s="172"/>
      <c r="ED12" s="172"/>
      <c r="EE12" s="172"/>
      <c r="EF12" s="172"/>
      <c r="EG12" s="172"/>
      <c r="EH12" s="172"/>
      <c r="EI12" s="172"/>
      <c r="EJ12" s="172"/>
      <c r="EK12" s="172"/>
      <c r="EL12" s="172"/>
      <c r="EM12" s="172"/>
      <c r="EN12" s="172"/>
      <c r="EO12" s="172"/>
      <c r="EP12" s="172"/>
      <c r="EQ12" s="172"/>
      <c r="ER12" s="172"/>
      <c r="ES12" s="172"/>
      <c r="ET12" s="172"/>
      <c r="EU12" s="172"/>
      <c r="EV12" s="172"/>
      <c r="EW12" s="172"/>
      <c r="EX12" s="172"/>
      <c r="EY12" s="172"/>
      <c r="EZ12" s="172"/>
      <c r="FA12" s="172"/>
      <c r="FB12" s="172"/>
      <c r="FC12" s="172"/>
      <c r="FD12" s="172"/>
      <c r="FE12" s="172"/>
      <c r="FF12" s="172"/>
      <c r="FG12" s="172"/>
      <c r="FH12" s="172"/>
      <c r="FI12" s="172"/>
      <c r="FJ12" s="172"/>
      <c r="FK12" s="172"/>
      <c r="FL12" s="172"/>
      <c r="FM12" s="172"/>
      <c r="FN12" s="172"/>
      <c r="FO12" s="172"/>
      <c r="FP12" s="172"/>
      <c r="FQ12" s="172"/>
      <c r="FR12" s="172"/>
      <c r="FS12" s="172"/>
      <c r="FT12" s="172"/>
      <c r="FU12" s="172"/>
      <c r="FV12" s="172"/>
      <c r="FW12" s="172"/>
      <c r="FX12" s="172"/>
      <c r="FY12" s="172"/>
      <c r="FZ12" s="172"/>
      <c r="GA12" s="172"/>
      <c r="GB12" s="172"/>
      <c r="GC12" s="172"/>
      <c r="GD12" s="172"/>
      <c r="GE12" s="172"/>
      <c r="GF12" s="172"/>
      <c r="GG12" s="172"/>
      <c r="GH12" s="172"/>
      <c r="GI12" s="172"/>
      <c r="GJ12" s="172"/>
      <c r="GK12" s="172"/>
      <c r="GL12" s="173"/>
      <c r="GM12" s="173"/>
      <c r="GN12" s="173"/>
      <c r="GO12" s="173"/>
      <c r="GP12" s="173"/>
      <c r="GQ12" s="173"/>
      <c r="GR12" s="173"/>
      <c r="GS12" s="173"/>
      <c r="GT12" s="173"/>
      <c r="GU12" s="173"/>
      <c r="GV12" s="173"/>
      <c r="GW12" s="173"/>
      <c r="GX12" s="173"/>
      <c r="GY12" s="173"/>
      <c r="GZ12" s="173"/>
      <c r="HA12" s="173"/>
      <c r="HB12" s="173"/>
      <c r="HC12" s="173"/>
      <c r="HD12" s="173"/>
      <c r="HE12" s="173"/>
    </row>
    <row r="13" spans="1:213" s="138" customFormat="1" ht="12.6" customHeight="1">
      <c r="A13" s="160">
        <v>2023</v>
      </c>
      <c r="B13" s="178">
        <v>4</v>
      </c>
      <c r="C13" s="179" t="s">
        <v>3250</v>
      </c>
      <c r="D13" s="180">
        <f t="shared" si="1"/>
        <v>281737</v>
      </c>
      <c r="E13" s="181">
        <f t="shared" ref="E13:G13" si="6">SUM(E14:E18)</f>
        <v>1096</v>
      </c>
      <c r="F13" s="181">
        <f t="shared" si="6"/>
        <v>0</v>
      </c>
      <c r="G13" s="181">
        <f t="shared" si="6"/>
        <v>27872</v>
      </c>
      <c r="H13" s="181">
        <f>SUM(H14:H18)</f>
        <v>0</v>
      </c>
      <c r="I13" s="181">
        <f t="shared" ref="I13:K13" si="7">SUM(I14:I18)</f>
        <v>235982</v>
      </c>
      <c r="J13" s="181">
        <f t="shared" si="7"/>
        <v>14000</v>
      </c>
      <c r="K13" s="181">
        <f t="shared" si="7"/>
        <v>0</v>
      </c>
      <c r="L13" s="181">
        <f>SUM(L14:L18)</f>
        <v>0</v>
      </c>
      <c r="M13" s="181">
        <f t="shared" ref="M13:O13" si="8">SUM(M14:M18)</f>
        <v>0</v>
      </c>
      <c r="N13" s="181">
        <f t="shared" si="8"/>
        <v>0</v>
      </c>
      <c r="O13" s="181">
        <f t="shared" si="8"/>
        <v>0</v>
      </c>
      <c r="P13" s="181">
        <f>SUM(P14:P18)</f>
        <v>0</v>
      </c>
      <c r="Q13" s="181">
        <f>SUM(Q14:Q18)</f>
        <v>0</v>
      </c>
      <c r="R13" s="181">
        <f>SUM(R14:R18)</f>
        <v>0</v>
      </c>
      <c r="S13" s="181">
        <f>SUM(S14:S18)</f>
        <v>0</v>
      </c>
      <c r="T13" s="181">
        <f t="shared" ref="T13:W13" si="9">SUM(T14:T18)</f>
        <v>1991</v>
      </c>
      <c r="U13" s="181">
        <f t="shared" si="9"/>
        <v>0</v>
      </c>
      <c r="V13" s="181">
        <f t="shared" si="9"/>
        <v>796</v>
      </c>
      <c r="W13" s="181">
        <f t="shared" si="9"/>
        <v>0</v>
      </c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  <c r="CS13" s="156"/>
      <c r="CT13" s="156"/>
      <c r="CU13" s="156"/>
      <c r="CV13" s="156"/>
      <c r="CW13" s="156"/>
      <c r="CX13" s="156"/>
      <c r="CY13" s="156"/>
      <c r="CZ13" s="156"/>
      <c r="DA13" s="156"/>
      <c r="DB13" s="156"/>
      <c r="DC13" s="156"/>
      <c r="DD13" s="156"/>
      <c r="DE13" s="156"/>
      <c r="DF13" s="156"/>
      <c r="DG13" s="156"/>
      <c r="DH13" s="156"/>
      <c r="DI13" s="156"/>
      <c r="DJ13" s="156"/>
      <c r="DK13" s="156"/>
      <c r="DL13" s="156"/>
      <c r="DM13" s="156"/>
      <c r="DN13" s="156"/>
      <c r="DO13" s="156"/>
      <c r="DP13" s="156"/>
      <c r="DQ13" s="156"/>
      <c r="DR13" s="156"/>
      <c r="DS13" s="156"/>
      <c r="DT13" s="156"/>
      <c r="DU13" s="156"/>
      <c r="DV13" s="156"/>
      <c r="DW13" s="156"/>
      <c r="DX13" s="156"/>
      <c r="DY13" s="156"/>
      <c r="DZ13" s="156"/>
      <c r="EA13" s="156"/>
      <c r="EB13" s="156"/>
      <c r="EC13" s="156"/>
      <c r="ED13" s="156"/>
      <c r="EE13" s="156"/>
      <c r="EF13" s="156"/>
      <c r="EG13" s="156"/>
      <c r="EH13" s="156"/>
      <c r="EI13" s="156"/>
      <c r="EJ13" s="156"/>
      <c r="EK13" s="156"/>
      <c r="EL13" s="156"/>
      <c r="EM13" s="156"/>
      <c r="EN13" s="156"/>
      <c r="EO13" s="156"/>
      <c r="EP13" s="156"/>
      <c r="EQ13" s="156"/>
      <c r="ER13" s="156"/>
      <c r="ES13" s="156"/>
      <c r="ET13" s="156"/>
      <c r="EU13" s="156"/>
      <c r="EV13" s="156"/>
      <c r="EW13" s="156"/>
      <c r="EX13" s="156"/>
      <c r="EY13" s="156"/>
      <c r="EZ13" s="156"/>
      <c r="FA13" s="156"/>
      <c r="FB13" s="156"/>
      <c r="FC13" s="156"/>
      <c r="FD13" s="156"/>
      <c r="FE13" s="156"/>
      <c r="FF13" s="156"/>
      <c r="FG13" s="156"/>
      <c r="FH13" s="156"/>
      <c r="FI13" s="156"/>
      <c r="FJ13" s="156"/>
      <c r="FK13" s="156"/>
      <c r="FL13" s="156"/>
      <c r="FM13" s="156"/>
      <c r="FN13" s="156"/>
      <c r="FO13" s="156"/>
      <c r="FP13" s="156"/>
      <c r="FQ13" s="156"/>
      <c r="FR13" s="156"/>
      <c r="FS13" s="156"/>
      <c r="FT13" s="156"/>
      <c r="FU13" s="156"/>
      <c r="FV13" s="156"/>
      <c r="FW13" s="156"/>
      <c r="FX13" s="156"/>
      <c r="FY13" s="156"/>
      <c r="FZ13" s="156"/>
      <c r="GA13" s="156"/>
      <c r="GB13" s="156"/>
      <c r="GC13" s="156"/>
      <c r="GD13" s="156"/>
      <c r="GE13" s="156"/>
      <c r="GF13" s="156"/>
      <c r="GG13" s="156"/>
      <c r="GH13" s="156"/>
      <c r="GI13" s="156"/>
      <c r="GJ13" s="156"/>
      <c r="GK13" s="156"/>
      <c r="GL13" s="155"/>
      <c r="GM13" s="155"/>
      <c r="GN13" s="155"/>
      <c r="GO13" s="155"/>
      <c r="GP13" s="155"/>
      <c r="GQ13" s="155"/>
      <c r="GR13" s="155"/>
      <c r="GS13" s="155"/>
      <c r="GT13" s="155"/>
      <c r="GU13" s="155"/>
      <c r="GV13" s="155"/>
      <c r="GW13" s="155"/>
      <c r="GX13" s="155"/>
      <c r="GY13" s="155"/>
      <c r="GZ13" s="155"/>
      <c r="HA13" s="155"/>
      <c r="HB13" s="155"/>
      <c r="HC13" s="155"/>
      <c r="HD13" s="155"/>
      <c r="HE13" s="155"/>
    </row>
    <row r="14" spans="1:213" s="188" customFormat="1" ht="12.6" customHeight="1">
      <c r="A14" s="160">
        <v>2023</v>
      </c>
      <c r="B14" s="168">
        <v>41</v>
      </c>
      <c r="C14" s="169" t="s">
        <v>3251</v>
      </c>
      <c r="D14" s="176">
        <f t="shared" si="1"/>
        <v>3982</v>
      </c>
      <c r="E14" s="171">
        <f>SUMIFS('Unos rashoda i izdataka'!$J$3:$J$501,'Unos rashoda i izdataka'!$C$3:$C$501,"=11",'Unos rashoda i izdataka'!$P$3:$P$501,"=41")+SUMIFS('Unos rashoda P4'!$H$3:$H$501,'Unos rashoda P4'!$A$3:$A$501,"=11",'Unos rashoda P4'!$S$3:$S$501,"=41")</f>
        <v>0</v>
      </c>
      <c r="F14" s="171">
        <f>SUMIFS('Unos rashoda i izdataka'!$J$3:$J$501,'Unos rashoda i izdataka'!$C$3:$C$501,"=12",'Unos rashoda i izdataka'!$P$3:$P$501,"=41")+SUMIFS('Unos rashoda P4'!$H$3:$H$501,'Unos rashoda P4'!$A$3:$A$501,"=12",'Unos rashoda P4'!$S$3:$S$501,"=41")</f>
        <v>0</v>
      </c>
      <c r="G14" s="171">
        <f>SUMIFS('Unos rashoda i izdataka'!$J$3:$J$501,'Unos rashoda i izdataka'!$C$3:$C$501,"=31",'Unos rashoda i izdataka'!$P$3:$P$501,"=41")+SUMIFS('Unos rashoda P4'!$H$3:$H$501,'Unos rashoda P4'!$A$3:$A$501,"=31",'Unos rashoda P4'!$S$3:$S$501,"=41")</f>
        <v>0</v>
      </c>
      <c r="H14" s="171">
        <f>SUMIFS('Unos rashoda i izdataka'!$J$3:$J$501,'Unos rashoda i izdataka'!$C$3:$C$501,"=41",'Unos rashoda i izdataka'!$P$3:$P$501,"=41")+SUMIFS('Unos rashoda P4'!$H$3:$H$501,'Unos rashoda P4'!$A$3:$A$501,"=41",'Unos rashoda P4'!$S$3:$S$501,"=41")</f>
        <v>0</v>
      </c>
      <c r="I14" s="171">
        <f>SUMIFS('Unos rashoda i izdataka'!$J$3:$J$501,'Unos rashoda i izdataka'!$C$3:$C$501,"=43",'Unos rashoda i izdataka'!$P$3:$P$501,"=41")+SUMIFS('Unos rashoda P4'!$H$3:$H$501,'Unos rashoda P4'!$A$3:$A$501,"=43",'Unos rashoda P4'!$S$3:$S$501,"=41")</f>
        <v>3982</v>
      </c>
      <c r="J14" s="171">
        <f>SUMIFS('Unos rashoda i izdataka'!$J$3:$J$501,'Unos rashoda i izdataka'!$C$3:$C$501,"=51",'Unos rashoda i izdataka'!$P$3:$P$501,"=41")+SUMIFS('Unos rashoda P4'!$H$3:$H$501,'Unos rashoda P4'!$A$3:$A$501,"=51",'Unos rashoda P4'!$S$3:$S$501,"=41")</f>
        <v>0</v>
      </c>
      <c r="K14" s="171">
        <f>SUMIFS('Unos rashoda i izdataka'!$J$3:$J$501,'Unos rashoda i izdataka'!$C$3:$C$501,"=52",'Unos rashoda i izdataka'!$P$3:$P$501,"=41")+SUMIFS('Unos rashoda P4'!$H$3:$H$501,'Unos rashoda P4'!$A$3:$A$501,"=52",'Unos rashoda P4'!$S$3:$S$501,"=41")</f>
        <v>0</v>
      </c>
      <c r="L14" s="171">
        <f>SUMIFS('Unos rashoda i izdataka'!$J$3:$J$501,'Unos rashoda i izdataka'!$C$3:$C$501,"=552",'Unos rashoda i izdataka'!$P$3:$P$501,"=41")+SUMIFS('Unos rashoda P4'!$H$3:$H$501,'Unos rashoda P4'!$A$3:$A$501,"=552",'Unos rashoda P4'!$S$3:$S$501,"=41")</f>
        <v>0</v>
      </c>
      <c r="M14" s="171">
        <f>SUMIFS('Unos rashoda i izdataka'!$J$3:$J$501,'Unos rashoda i izdataka'!$C$3:$C$501,"=559",'Unos rashoda i izdataka'!$P$3:$P$501,"=41")+SUMIFS('Unos rashoda P4'!$H$3:$H$501,'Unos rashoda P4'!$A$3:$A$501,"=559",'Unos rashoda P4'!$S$3:$S$501,"=41")</f>
        <v>0</v>
      </c>
      <c r="N14" s="171">
        <f>SUMIFS('Unos rashoda i izdataka'!$J$3:$J$501,'Unos rashoda i izdataka'!$C$3:$C$501,"=561",'Unos rashoda i izdataka'!$P$3:$P$501,"=41")+SUMIFS('Unos rashoda P4'!$H$3:$H$501,'Unos rashoda P4'!$A$3:$A$501,"=561",'Unos rashoda P4'!$S$3:$S$501,"=41")</f>
        <v>0</v>
      </c>
      <c r="O14" s="171">
        <f>SUMIFS('Unos rashoda i izdataka'!$J$3:$J$501,'Unos rashoda i izdataka'!$C$3:$C$501,"=563",'Unos rashoda i izdataka'!$P$3:$P$501,"=41")+SUMIFS('Unos rashoda P4'!$H$3:$H$501,'Unos rashoda P4'!$A$3:$A$501,"=563",'Unos rashoda P4'!$S$3:$S$501,"=41")</f>
        <v>0</v>
      </c>
      <c r="P14" s="171">
        <f>SUMIFS('Unos rashoda i izdataka'!$J$3:$J$501,'Unos rashoda i izdataka'!$C$3:$C$501,"=573",'Unos rashoda i izdataka'!$P$3:$P$501,"=41")+SUMIFS('Unos rashoda P4'!$H$3:$H$501,'Unos rashoda P4'!$A$3:$A$501,"=573",'Unos rashoda P4'!$S$3:$S$501,"=41")</f>
        <v>0</v>
      </c>
      <c r="Q14" s="171">
        <f>SUMIFS('Unos rashoda i izdataka'!$J$3:$J$501,'Unos rashoda i izdataka'!$C$3:$C$501,"=575",'Unos rashoda i izdataka'!$P$3:$P$501,"=41")+SUMIFS('Unos rashoda P4'!$H$3:$H$501,'Unos rashoda P4'!$A$3:$A$501,"=575",'Unos rashoda P4'!$S$3:$S$501,"=41")</f>
        <v>0</v>
      </c>
      <c r="R14" s="171">
        <f>SUMIFS('Unos rashoda i izdataka'!$J$3:$J$501,'Unos rashoda i izdataka'!$Q$3:$Q$501,"=576",'Unos rashoda i izdataka'!$P$3:$P$501,"=41")+SUMIFS('Unos rashoda P4'!$H$3:$H$501,'Unos rashoda P4'!$A$3:$A$501,"=576",'Unos rashoda P4'!$S$3:$S$501,"=41")</f>
        <v>0</v>
      </c>
      <c r="S14" s="171">
        <f>SUMIFS('Unos rashoda i izdataka'!$J$3:$J$501,'Unos rashoda i izdataka'!$C$3:$C$501,"=581",'Unos rashoda i izdataka'!$P$3:$P$501,"=41")+SUMIFS('Unos rashoda P4'!$H$3:$H$501,'Unos rashoda P4'!$A$3:$A$501,"=581",'Unos rashoda P4'!$S$3:$S$501,"=41")</f>
        <v>0</v>
      </c>
      <c r="T14" s="171">
        <f>SUMIFS('Unos rashoda i izdataka'!$J$3:$J$501,'Unos rashoda i izdataka'!$C$3:$C$501,"=61",'Unos rashoda i izdataka'!$P$3:$P$501,"=41")+SUMIFS('Unos rashoda P4'!$H$3:$H$501,'Unos rashoda P4'!$A$3:$A$501,"=61",'Unos rashoda P4'!$S$3:$S$501,"=41")</f>
        <v>0</v>
      </c>
      <c r="U14" s="171">
        <f>SUMIFS('Unos rashoda i izdataka'!$J$3:$J$501,'Unos rashoda i izdataka'!$C$3:$C$501,"=63",'Unos rashoda i izdataka'!$P$3:$P$501,"=41")+SUMIFS('Unos rashoda P4'!$H$3:$H$501,'Unos rashoda P4'!$A$3:$A$501,"=63",'Unos rashoda P4'!$S$3:$S$501,"=41")</f>
        <v>0</v>
      </c>
      <c r="V14" s="171">
        <f>SUMIFS('Unos rashoda i izdataka'!$J$3:$J$501,'Unos rashoda i izdataka'!$C$3:$C$501,"=71",'Unos rashoda i izdataka'!$P$3:$P$501,"=41")+SUMIFS('Unos rashoda P4'!$H$3:$H$501,'Unos rashoda P4'!$A$3:$A$501,"=71",'Unos rashoda P4'!$S$3:$S$501,"=41")</f>
        <v>0</v>
      </c>
      <c r="W14" s="171">
        <f>SUMIFS('Unos rashoda i izdataka'!$J$3:$J$501,'Unos rashoda i izdataka'!$C$3:$C$501,"=81",'Unos rashoda i izdataka'!$P$3:$P$501,"=41")+SUMIFS('Unos rashoda P4'!$H$3:$H$501,'Unos rashoda P4'!$A$3:$A$501,"=81",'Unos rashoda P4'!$S$3:$S$501,"=41")</f>
        <v>0</v>
      </c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2"/>
      <c r="BY14" s="172"/>
      <c r="BZ14" s="172"/>
      <c r="CA14" s="172"/>
      <c r="CB14" s="172"/>
      <c r="CC14" s="172"/>
      <c r="CD14" s="172"/>
      <c r="CE14" s="172"/>
      <c r="CF14" s="172"/>
      <c r="CG14" s="172"/>
      <c r="CH14" s="172"/>
      <c r="CI14" s="172"/>
      <c r="CJ14" s="172"/>
      <c r="CK14" s="172"/>
      <c r="CL14" s="172"/>
      <c r="CM14" s="172"/>
      <c r="CN14" s="172"/>
      <c r="CO14" s="172"/>
      <c r="CP14" s="172"/>
      <c r="CQ14" s="172"/>
      <c r="CR14" s="172"/>
      <c r="CS14" s="172"/>
      <c r="CT14" s="172"/>
      <c r="CU14" s="172"/>
      <c r="CV14" s="172"/>
      <c r="CW14" s="172"/>
      <c r="CX14" s="172"/>
      <c r="CY14" s="172"/>
      <c r="CZ14" s="172"/>
      <c r="DA14" s="172"/>
      <c r="DB14" s="172"/>
      <c r="DC14" s="172"/>
      <c r="DD14" s="172"/>
      <c r="DE14" s="172"/>
      <c r="DF14" s="172"/>
      <c r="DG14" s="172"/>
      <c r="DH14" s="172"/>
      <c r="DI14" s="172"/>
      <c r="DJ14" s="172"/>
      <c r="DK14" s="172"/>
      <c r="DL14" s="172"/>
      <c r="DM14" s="172"/>
      <c r="DN14" s="172"/>
      <c r="DO14" s="172"/>
      <c r="DP14" s="172"/>
      <c r="DQ14" s="172"/>
      <c r="DR14" s="172"/>
      <c r="DS14" s="172"/>
      <c r="DT14" s="172"/>
      <c r="DU14" s="172"/>
      <c r="DV14" s="172"/>
      <c r="DW14" s="172"/>
      <c r="DX14" s="172"/>
      <c r="DY14" s="172"/>
      <c r="DZ14" s="172"/>
      <c r="EA14" s="172"/>
      <c r="EB14" s="172"/>
      <c r="EC14" s="172"/>
      <c r="ED14" s="172"/>
      <c r="EE14" s="172"/>
      <c r="EF14" s="172"/>
      <c r="EG14" s="172"/>
      <c r="EH14" s="172"/>
      <c r="EI14" s="172"/>
      <c r="EJ14" s="172"/>
      <c r="EK14" s="172"/>
      <c r="EL14" s="172"/>
      <c r="EM14" s="172"/>
      <c r="EN14" s="172"/>
      <c r="EO14" s="172"/>
      <c r="EP14" s="172"/>
      <c r="EQ14" s="172"/>
      <c r="ER14" s="172"/>
      <c r="ES14" s="172"/>
      <c r="ET14" s="172"/>
      <c r="EU14" s="172"/>
      <c r="EV14" s="172"/>
      <c r="EW14" s="172"/>
      <c r="EX14" s="172"/>
      <c r="EY14" s="172"/>
      <c r="EZ14" s="172"/>
      <c r="FA14" s="172"/>
      <c r="FB14" s="172"/>
      <c r="FC14" s="172"/>
      <c r="FD14" s="172"/>
      <c r="FE14" s="172"/>
      <c r="FF14" s="172"/>
      <c r="FG14" s="172"/>
      <c r="FH14" s="172"/>
      <c r="FI14" s="172"/>
      <c r="FJ14" s="172"/>
      <c r="FK14" s="172"/>
      <c r="FL14" s="172"/>
      <c r="FM14" s="172"/>
      <c r="FN14" s="172"/>
      <c r="FO14" s="172"/>
      <c r="FP14" s="172"/>
      <c r="FQ14" s="172"/>
      <c r="FR14" s="172"/>
      <c r="FS14" s="172"/>
      <c r="FT14" s="172"/>
      <c r="FU14" s="172"/>
      <c r="FV14" s="172"/>
      <c r="FW14" s="172"/>
      <c r="FX14" s="172"/>
      <c r="FY14" s="172"/>
      <c r="FZ14" s="172"/>
      <c r="GA14" s="172"/>
      <c r="GB14" s="172"/>
      <c r="GC14" s="172"/>
      <c r="GD14" s="172"/>
      <c r="GE14" s="172"/>
      <c r="GF14" s="172"/>
      <c r="GG14" s="172"/>
      <c r="GH14" s="172"/>
      <c r="GI14" s="172"/>
      <c r="GJ14" s="172"/>
      <c r="GK14" s="172"/>
      <c r="GL14" s="173"/>
      <c r="GM14" s="173"/>
      <c r="GN14" s="173"/>
      <c r="GO14" s="173"/>
      <c r="GP14" s="173"/>
      <c r="GQ14" s="173"/>
      <c r="GR14" s="173"/>
      <c r="GS14" s="173"/>
      <c r="GT14" s="173"/>
      <c r="GU14" s="173"/>
      <c r="GV14" s="173"/>
      <c r="GW14" s="173"/>
      <c r="GX14" s="173"/>
      <c r="GY14" s="173"/>
      <c r="GZ14" s="173"/>
      <c r="HA14" s="173"/>
      <c r="HB14" s="173"/>
      <c r="HC14" s="173"/>
      <c r="HD14" s="173"/>
      <c r="HE14" s="173"/>
    </row>
    <row r="15" spans="1:213" s="190" customFormat="1" ht="12.6" customHeight="1">
      <c r="A15" s="160">
        <v>2023</v>
      </c>
      <c r="B15" s="174">
        <v>42</v>
      </c>
      <c r="C15" s="175" t="s">
        <v>3252</v>
      </c>
      <c r="D15" s="176">
        <f t="shared" si="1"/>
        <v>277755</v>
      </c>
      <c r="E15" s="171">
        <f>SUMIFS('Unos rashoda i izdataka'!$J$3:$J$501,'Unos rashoda i izdataka'!$C$3:$C$501,"=11",'Unos rashoda i izdataka'!$P$3:$P$501,"=42")+SUMIFS('Unos rashoda P4'!$H$3:$H$501,'Unos rashoda P4'!$A$3:$A$501,"=11",'Unos rashoda P4'!$S$3:$S$501,"=42")</f>
        <v>1096</v>
      </c>
      <c r="F15" s="171">
        <f>SUMIFS('Unos rashoda i izdataka'!$J$3:$J$501,'Unos rashoda i izdataka'!$C$3:$C$501,"=12",'Unos rashoda i izdataka'!$P$3:$P$501,"=42")+SUMIFS('Unos rashoda P4'!$H$3:$H$501,'Unos rashoda P4'!$A$3:$A$501,"=12",'Unos rashoda P4'!$S$3:$S$501,"=42")</f>
        <v>0</v>
      </c>
      <c r="G15" s="171">
        <f>SUMIFS('Unos rashoda i izdataka'!$J$3:$J$501,'Unos rashoda i izdataka'!$C$3:$C$501,"=31",'Unos rashoda i izdataka'!$P$3:$P$501,"=42")+SUMIFS('Unos rashoda P4'!$H$3:$H$501,'Unos rashoda P4'!$A$3:$A$501,"=31",'Unos rashoda P4'!$S$3:$S$501,"=42")</f>
        <v>27872</v>
      </c>
      <c r="H15" s="171">
        <f>SUMIFS('Unos rashoda i izdataka'!$J$3:$J$501,'Unos rashoda i izdataka'!$C$3:$C$501,"=41",'Unos rashoda i izdataka'!$P$3:$P$501,"=42")+SUMIFS('Unos rashoda P4'!$H$3:$H$501,'Unos rashoda P4'!$A$3:$A$501,"=41",'Unos rashoda P4'!$S$3:$S$501,"=42")</f>
        <v>0</v>
      </c>
      <c r="I15" s="171">
        <f>SUMIFS('Unos rashoda i izdataka'!$J$3:$J$501,'Unos rashoda i izdataka'!$C$3:$C$501,"=43",'Unos rashoda i izdataka'!$P$3:$P$501,"=42")+SUMIFS('Unos rashoda P4'!$H$3:$H$501,'Unos rashoda P4'!$A$3:$A$501,"=43",'Unos rashoda P4'!$S$3:$S$501,"=42")</f>
        <v>232000</v>
      </c>
      <c r="J15" s="171">
        <f>SUMIFS('Unos rashoda i izdataka'!$J$3:$J$501,'Unos rashoda i izdataka'!$C$3:$C$501,"=51",'Unos rashoda i izdataka'!$P$3:$P$501,"=42")+SUMIFS('Unos rashoda P4'!$H$3:$H$501,'Unos rashoda P4'!$A$3:$A$501,"=51",'Unos rashoda P4'!$S$3:$S$501,"=42")</f>
        <v>14000</v>
      </c>
      <c r="K15" s="171">
        <f>SUMIFS('Unos rashoda i izdataka'!$J$3:$J$501,'Unos rashoda i izdataka'!$C$3:$C$501,"=52",'Unos rashoda i izdataka'!$P$3:$P$501,"=42")+SUMIFS('Unos rashoda P4'!$H$3:$H$501,'Unos rashoda P4'!$A$3:$A$501,"=52",'Unos rashoda P4'!$S$3:$S$501,"=42")</f>
        <v>0</v>
      </c>
      <c r="L15" s="171">
        <f>SUMIFS('Unos rashoda i izdataka'!$J$3:$J$501,'Unos rashoda i izdataka'!$C$3:$C$501,"=552",'Unos rashoda i izdataka'!$P$3:$P$501,"=42")+SUMIFS('Unos rashoda P4'!$H$3:$H$501,'Unos rashoda P4'!$A$3:$A$501,"=552",'Unos rashoda P4'!$S$3:$S$501,"=42")</f>
        <v>0</v>
      </c>
      <c r="M15" s="171">
        <f>SUMIFS('Unos rashoda i izdataka'!$J$3:$J$501,'Unos rashoda i izdataka'!$C$3:$C$501,"=559",'Unos rashoda i izdataka'!$P$3:$P$501,"=42")+SUMIFS('Unos rashoda P4'!$H$3:$H$501,'Unos rashoda P4'!$A$3:$A$501,"=559",'Unos rashoda P4'!$S$3:$S$501,"=42")</f>
        <v>0</v>
      </c>
      <c r="N15" s="171">
        <f>SUMIFS('Unos rashoda i izdataka'!$J$3:$J$501,'Unos rashoda i izdataka'!$C$3:$C$501,"=561",'Unos rashoda i izdataka'!$P$3:$P$501,"=42")+SUMIFS('Unos rashoda P4'!$H$3:$H$501,'Unos rashoda P4'!$A$3:$A$501,"=561",'Unos rashoda P4'!$S$3:$S$501,"=42")</f>
        <v>0</v>
      </c>
      <c r="O15" s="171">
        <f>SUMIFS('Unos rashoda i izdataka'!$J$3:$J$501,'Unos rashoda i izdataka'!$C$3:$C$501,"=563",'Unos rashoda i izdataka'!$P$3:$P$501,"=42")+SUMIFS('Unos rashoda P4'!$H$3:$H$501,'Unos rashoda P4'!$A$3:$A$501,"=563",'Unos rashoda P4'!$S$3:$S$501,"=42")</f>
        <v>0</v>
      </c>
      <c r="P15" s="171">
        <f>SUMIFS('Unos rashoda i izdataka'!$J$3:$J$501,'Unos rashoda i izdataka'!$C$3:$C$501,"=573",'Unos rashoda i izdataka'!$P$3:$P$501,"=42")+SUMIFS('Unos rashoda P4'!$H$3:$H$501,'Unos rashoda P4'!$A$3:$A$501,"=573",'Unos rashoda P4'!$S$3:$S$501,"=42")</f>
        <v>0</v>
      </c>
      <c r="Q15" s="171">
        <f>SUMIFS('Unos rashoda i izdataka'!$J$3:$J$501,'Unos rashoda i izdataka'!$C$3:$C$501,"=575",'Unos rashoda i izdataka'!$P$3:$P$501,"=42")+SUMIFS('Unos rashoda P4'!$H$3:$H$501,'Unos rashoda P4'!$A$3:$A$501,"=575",'Unos rashoda P4'!$S$3:$S$501,"=42")</f>
        <v>0</v>
      </c>
      <c r="R15" s="171">
        <f>SUMIFS('Unos rashoda i izdataka'!$J$3:$J$501,'Unos rashoda i izdataka'!$Q$3:$Q$501,"=576",'Unos rashoda i izdataka'!$P$3:$P$501,"=42")+SUMIFS('Unos rashoda P4'!$H$3:$H$501,'Unos rashoda P4'!$A$3:$A$501,"=576",'Unos rashoda P4'!$S$3:$S$501,"=42")</f>
        <v>0</v>
      </c>
      <c r="S15" s="171">
        <f>SUMIFS('Unos rashoda i izdataka'!$J$3:$J$501,'Unos rashoda i izdataka'!$C$3:$C$501,"=581",'Unos rashoda i izdataka'!$P$3:$P$501,"=42")+SUMIFS('Unos rashoda P4'!$H$3:$H$501,'Unos rashoda P4'!$A$3:$A$501,"=581",'Unos rashoda P4'!$S$3:$S$501,"=42")</f>
        <v>0</v>
      </c>
      <c r="T15" s="171">
        <f>SUMIFS('Unos rashoda i izdataka'!$J$3:$J$501,'Unos rashoda i izdataka'!$C$3:$C$501,"=61",'Unos rashoda i izdataka'!$P$3:$P$501,"=42")+SUMIFS('Unos rashoda P4'!$H$3:$H$501,'Unos rashoda P4'!$A$3:$A$501,"=61",'Unos rashoda P4'!$S$3:$S$501,"=42")</f>
        <v>1991</v>
      </c>
      <c r="U15" s="171">
        <f>SUMIFS('Unos rashoda i izdataka'!$J$3:$J$501,'Unos rashoda i izdataka'!$C$3:$C$501,"=63",'Unos rashoda i izdataka'!$P$3:$P$501,"=42")+SUMIFS('Unos rashoda P4'!$H$3:$H$501,'Unos rashoda P4'!$A$3:$A$501,"=63",'Unos rashoda P4'!$S$3:$S$501,"=42")</f>
        <v>0</v>
      </c>
      <c r="V15" s="171">
        <f>SUMIFS('Unos rashoda i izdataka'!$J$3:$J$501,'Unos rashoda i izdataka'!$C$3:$C$501,"=71",'Unos rashoda i izdataka'!$P$3:$P$501,"=42")+SUMIFS('Unos rashoda P4'!$H$3:$H$501,'Unos rashoda P4'!$A$3:$A$501,"=71",'Unos rashoda P4'!$S$3:$S$501,"=42")</f>
        <v>796</v>
      </c>
      <c r="W15" s="171">
        <f>SUMIFS('Unos rashoda i izdataka'!$J$3:$J$501,'Unos rashoda i izdataka'!$C$3:$C$501,"=81",'Unos rashoda i izdataka'!$P$3:$P$501,"=42")+SUMIFS('Unos rashoda P4'!$H$3:$H$501,'Unos rashoda P4'!$A$3:$A$501,"=81",'Unos rashoda P4'!$S$3:$S$501,"=42")</f>
        <v>0</v>
      </c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172"/>
      <c r="CT15" s="172"/>
      <c r="CU15" s="172"/>
      <c r="CV15" s="172"/>
      <c r="CW15" s="172"/>
      <c r="CX15" s="172"/>
      <c r="CY15" s="172"/>
      <c r="CZ15" s="172"/>
      <c r="DA15" s="172"/>
      <c r="DB15" s="172"/>
      <c r="DC15" s="172"/>
      <c r="DD15" s="172"/>
      <c r="DE15" s="172"/>
      <c r="DF15" s="172"/>
      <c r="DG15" s="172"/>
      <c r="DH15" s="172"/>
      <c r="DI15" s="172"/>
      <c r="DJ15" s="172"/>
      <c r="DK15" s="172"/>
      <c r="DL15" s="172"/>
      <c r="DM15" s="172"/>
      <c r="DN15" s="172"/>
      <c r="DO15" s="172"/>
      <c r="DP15" s="172"/>
      <c r="DQ15" s="172"/>
      <c r="DR15" s="172"/>
      <c r="DS15" s="172"/>
      <c r="DT15" s="172"/>
      <c r="DU15" s="172"/>
      <c r="DV15" s="172"/>
      <c r="DW15" s="172"/>
      <c r="DX15" s="172"/>
      <c r="DY15" s="172"/>
      <c r="DZ15" s="172"/>
      <c r="EA15" s="172"/>
      <c r="EB15" s="172"/>
      <c r="EC15" s="172"/>
      <c r="ED15" s="172"/>
      <c r="EE15" s="172"/>
      <c r="EF15" s="172"/>
      <c r="EG15" s="172"/>
      <c r="EH15" s="172"/>
      <c r="EI15" s="172"/>
      <c r="EJ15" s="172"/>
      <c r="EK15" s="172"/>
      <c r="EL15" s="172"/>
      <c r="EM15" s="172"/>
      <c r="EN15" s="172"/>
      <c r="EO15" s="172"/>
      <c r="EP15" s="172"/>
      <c r="EQ15" s="172"/>
      <c r="ER15" s="172"/>
      <c r="ES15" s="172"/>
      <c r="ET15" s="172"/>
      <c r="EU15" s="172"/>
      <c r="EV15" s="172"/>
      <c r="EW15" s="172"/>
      <c r="EX15" s="172"/>
      <c r="EY15" s="172"/>
      <c r="EZ15" s="172"/>
      <c r="FA15" s="172"/>
      <c r="FB15" s="172"/>
      <c r="FC15" s="172"/>
      <c r="FD15" s="172"/>
      <c r="FE15" s="172"/>
      <c r="FF15" s="172"/>
      <c r="FG15" s="172"/>
      <c r="FH15" s="172"/>
      <c r="FI15" s="172"/>
      <c r="FJ15" s="172"/>
      <c r="FK15" s="172"/>
      <c r="FL15" s="172"/>
      <c r="FM15" s="172"/>
      <c r="FN15" s="172"/>
      <c r="FO15" s="172"/>
      <c r="FP15" s="172"/>
      <c r="FQ15" s="172"/>
      <c r="FR15" s="172"/>
      <c r="FS15" s="172"/>
      <c r="FT15" s="172"/>
      <c r="FU15" s="172"/>
      <c r="FV15" s="172"/>
      <c r="FW15" s="172"/>
      <c r="FX15" s="172"/>
      <c r="FY15" s="172"/>
      <c r="FZ15" s="172"/>
      <c r="GA15" s="172"/>
      <c r="GB15" s="172"/>
      <c r="GC15" s="172"/>
      <c r="GD15" s="172"/>
      <c r="GE15" s="172"/>
      <c r="GF15" s="172"/>
      <c r="GG15" s="172"/>
      <c r="GH15" s="172"/>
      <c r="GI15" s="172"/>
      <c r="GJ15" s="172"/>
      <c r="GK15" s="172"/>
      <c r="GL15" s="173"/>
      <c r="GM15" s="173"/>
      <c r="GN15" s="173"/>
      <c r="GO15" s="173"/>
      <c r="GP15" s="173"/>
      <c r="GQ15" s="173"/>
      <c r="GR15" s="173"/>
      <c r="GS15" s="173"/>
      <c r="GT15" s="173"/>
      <c r="GU15" s="173"/>
      <c r="GV15" s="173"/>
      <c r="GW15" s="173"/>
      <c r="GX15" s="173"/>
      <c r="GY15" s="173"/>
      <c r="GZ15" s="173"/>
      <c r="HA15" s="173"/>
      <c r="HB15" s="173"/>
      <c r="HC15" s="173"/>
      <c r="HD15" s="173"/>
      <c r="HE15" s="173"/>
    </row>
    <row r="16" spans="1:213" s="188" customFormat="1" ht="12.6" customHeight="1">
      <c r="A16" s="160">
        <v>2023</v>
      </c>
      <c r="B16" s="168">
        <v>43</v>
      </c>
      <c r="C16" s="169" t="s">
        <v>3253</v>
      </c>
      <c r="D16" s="176">
        <f t="shared" si="1"/>
        <v>0</v>
      </c>
      <c r="E16" s="171">
        <f>SUMIFS('Unos rashoda i izdataka'!$J$3:$J$501,'Unos rashoda i izdataka'!$C$3:$C$501,"=11",'Unos rashoda i izdataka'!$P$3:$P$501,"=43")+SUMIFS('Unos rashoda P4'!$H$3:$H$501,'Unos rashoda P4'!$A$3:$A$501,"=11",'Unos rashoda P4'!$S$3:$S$501,"=43")</f>
        <v>0</v>
      </c>
      <c r="F16" s="171">
        <f>SUMIFS('Unos rashoda i izdataka'!$J$3:$J$501,'Unos rashoda i izdataka'!$C$3:$C$501,"=12",'Unos rashoda i izdataka'!$P$3:$P$501,"=43")+SUMIFS('Unos rashoda P4'!$H$3:$H$501,'Unos rashoda P4'!$A$3:$A$501,"=12",'Unos rashoda P4'!$S$3:$S$501,"=43")</f>
        <v>0</v>
      </c>
      <c r="G16" s="171">
        <f>SUMIFS('Unos rashoda i izdataka'!$J$3:$J$501,'Unos rashoda i izdataka'!$C$3:$C$501,"=31",'Unos rashoda i izdataka'!$P$3:$P$501,"=43")+SUMIFS('Unos rashoda P4'!$H$3:$H$501,'Unos rashoda P4'!$A$3:$A$501,"=31",'Unos rashoda P4'!$S$3:$S$501,"=43")</f>
        <v>0</v>
      </c>
      <c r="H16" s="171">
        <f>SUMIFS('Unos rashoda i izdataka'!$J$3:$J$501,'Unos rashoda i izdataka'!$C$3:$C$501,"=41",'Unos rashoda i izdataka'!$P$3:$P$501,"=43")+SUMIFS('Unos rashoda P4'!$H$3:$H$501,'Unos rashoda P4'!$A$3:$A$501,"=41",'Unos rashoda P4'!$S$3:$S$501,"=43")</f>
        <v>0</v>
      </c>
      <c r="I16" s="171">
        <f>SUMIFS('Unos rashoda i izdataka'!$J$3:$J$501,'Unos rashoda i izdataka'!$C$3:$C$501,"=43",'Unos rashoda i izdataka'!$P$3:$P$501,"=43")+SUMIFS('Unos rashoda P4'!$H$3:$H$501,'Unos rashoda P4'!$A$3:$A$501,"=43",'Unos rashoda P4'!$S$3:$S$501,"=43")</f>
        <v>0</v>
      </c>
      <c r="J16" s="171">
        <f>SUMIFS('Unos rashoda i izdataka'!$J$3:$J$501,'Unos rashoda i izdataka'!$C$3:$C$501,"=51",'Unos rashoda i izdataka'!$P$3:$P$501,"=43")+SUMIFS('Unos rashoda P4'!$H$3:$H$501,'Unos rashoda P4'!$A$3:$A$501,"=51",'Unos rashoda P4'!$S$3:$S$501,"=43")</f>
        <v>0</v>
      </c>
      <c r="K16" s="171">
        <f>SUMIFS('Unos rashoda i izdataka'!$J$3:$J$501,'Unos rashoda i izdataka'!$C$3:$C$501,"=52",'Unos rashoda i izdataka'!$P$3:$P$501,"=43")+SUMIFS('Unos rashoda P4'!$H$3:$H$501,'Unos rashoda P4'!$A$3:$A$501,"=52",'Unos rashoda P4'!$S$3:$S$501,"=43")</f>
        <v>0</v>
      </c>
      <c r="L16" s="171">
        <f>SUMIFS('Unos rashoda i izdataka'!$J$3:$J$501,'Unos rashoda i izdataka'!$C$3:$C$501,"=552",'Unos rashoda i izdataka'!$P$3:$P$501,"=43")+SUMIFS('Unos rashoda P4'!$H$3:$H$501,'Unos rashoda P4'!$A$3:$A$501,"=552",'Unos rashoda P4'!$S$3:$S$501,"=43")</f>
        <v>0</v>
      </c>
      <c r="M16" s="171">
        <f>SUMIFS('Unos rashoda i izdataka'!$J$3:$J$501,'Unos rashoda i izdataka'!$C$3:$C$501,"=559",'Unos rashoda i izdataka'!$P$3:$P$501,"=43")+SUMIFS('Unos rashoda P4'!$H$3:$H$501,'Unos rashoda P4'!$A$3:$A$501,"=559",'Unos rashoda P4'!$S$3:$S$501,"=43")</f>
        <v>0</v>
      </c>
      <c r="N16" s="171">
        <f>SUMIFS('Unos rashoda i izdataka'!$J$3:$J$501,'Unos rashoda i izdataka'!$C$3:$C$501,"=561",'Unos rashoda i izdataka'!$P$3:$P$501,"=43")+SUMIFS('Unos rashoda P4'!$H$3:$H$501,'Unos rashoda P4'!$A$3:$A$501,"=561",'Unos rashoda P4'!$S$3:$S$501,"=43")</f>
        <v>0</v>
      </c>
      <c r="O16" s="171">
        <f>SUMIFS('Unos rashoda i izdataka'!$J$3:$J$501,'Unos rashoda i izdataka'!$C$3:$C$501,"=563",'Unos rashoda i izdataka'!$P$3:$P$501,"=43")+SUMIFS('Unos rashoda P4'!$H$3:$H$501,'Unos rashoda P4'!$A$3:$A$501,"=563",'Unos rashoda P4'!$S$3:$S$501,"=43")</f>
        <v>0</v>
      </c>
      <c r="P16" s="171">
        <f>SUMIFS('Unos rashoda i izdataka'!$J$3:$J$501,'Unos rashoda i izdataka'!$C$3:$C$501,"=573",'Unos rashoda i izdataka'!$P$3:$P$501,"=43")+SUMIFS('Unos rashoda P4'!$H$3:$H$501,'Unos rashoda P4'!$A$3:$A$501,"=573",'Unos rashoda P4'!$S$3:$S$501,"=43")</f>
        <v>0</v>
      </c>
      <c r="Q16" s="171">
        <f>SUMIFS('Unos rashoda i izdataka'!$J$3:$J$501,'Unos rashoda i izdataka'!$C$3:$C$501,"=575",'Unos rashoda i izdataka'!$P$3:$P$501,"=43")+SUMIFS('Unos rashoda P4'!$H$3:$H$501,'Unos rashoda P4'!$A$3:$A$501,"=575",'Unos rashoda P4'!$S$3:$S$501,"=43")</f>
        <v>0</v>
      </c>
      <c r="R16" s="171">
        <f>SUMIFS('Unos rashoda i izdataka'!$J$3:$J$501,'Unos rashoda i izdataka'!$Q$3:$Q$501,"=576",'Unos rashoda i izdataka'!$P$3:$P$501,"=43")+SUMIFS('Unos rashoda P4'!$H$3:$H$501,'Unos rashoda P4'!$A$3:$A$501,"=576",'Unos rashoda P4'!$S$3:$S$501,"=43")</f>
        <v>0</v>
      </c>
      <c r="S16" s="171">
        <f>SUMIFS('Unos rashoda i izdataka'!$J$3:$J$501,'Unos rashoda i izdataka'!$C$3:$C$501,"=581",'Unos rashoda i izdataka'!$P$3:$P$501,"=43")+SUMIFS('Unos rashoda P4'!$H$3:$H$501,'Unos rashoda P4'!$A$3:$A$501,"=581",'Unos rashoda P4'!$S$3:$S$501,"=43")</f>
        <v>0</v>
      </c>
      <c r="T16" s="171">
        <f>SUMIFS('Unos rashoda i izdataka'!$J$3:$J$501,'Unos rashoda i izdataka'!$C$3:$C$501,"=61",'Unos rashoda i izdataka'!$P$3:$P$501,"=43")+SUMIFS('Unos rashoda P4'!$H$3:$H$501,'Unos rashoda P4'!$A$3:$A$501,"=61",'Unos rashoda P4'!$S$3:$S$501,"=43")</f>
        <v>0</v>
      </c>
      <c r="U16" s="171">
        <f>SUMIFS('Unos rashoda i izdataka'!$J$3:$J$501,'Unos rashoda i izdataka'!$C$3:$C$501,"=63",'Unos rashoda i izdataka'!$P$3:$P$501,"=43")+SUMIFS('Unos rashoda P4'!$H$3:$H$501,'Unos rashoda P4'!$A$3:$A$501,"=63",'Unos rashoda P4'!$S$3:$S$501,"=43")</f>
        <v>0</v>
      </c>
      <c r="V16" s="171">
        <f>SUMIFS('Unos rashoda i izdataka'!$J$3:$J$501,'Unos rashoda i izdataka'!$C$3:$C$501,"=71",'Unos rashoda i izdataka'!$P$3:$P$501,"=43")+SUMIFS('Unos rashoda P4'!$H$3:$H$501,'Unos rashoda P4'!$A$3:$A$501,"=71",'Unos rashoda P4'!$S$3:$S$501,"=43")</f>
        <v>0</v>
      </c>
      <c r="W16" s="171">
        <f>SUMIFS('Unos rashoda i izdataka'!$J$3:$J$501,'Unos rashoda i izdataka'!$C$3:$C$501,"=81",'Unos rashoda i izdataka'!$P$3:$P$501,"=43")+SUMIFS('Unos rashoda P4'!$H$3:$H$501,'Unos rashoda P4'!$A$3:$A$501,"=81",'Unos rashoda P4'!$S$3:$S$501,"=43")</f>
        <v>0</v>
      </c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2"/>
      <c r="BR16" s="182"/>
      <c r="BS16" s="182"/>
      <c r="BT16" s="182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  <c r="CL16" s="182"/>
      <c r="CM16" s="182"/>
      <c r="CN16" s="182"/>
      <c r="CO16" s="182"/>
      <c r="CP16" s="182"/>
      <c r="CQ16" s="182"/>
      <c r="CR16" s="182"/>
      <c r="CS16" s="182"/>
      <c r="CT16" s="182"/>
      <c r="CU16" s="182"/>
      <c r="CV16" s="182"/>
      <c r="CW16" s="182"/>
      <c r="CX16" s="182"/>
      <c r="CY16" s="182"/>
      <c r="CZ16" s="182"/>
      <c r="DA16" s="182"/>
      <c r="DB16" s="182"/>
      <c r="DC16" s="182"/>
      <c r="DD16" s="182"/>
      <c r="DE16" s="182"/>
      <c r="DF16" s="182"/>
      <c r="DG16" s="182"/>
      <c r="DH16" s="182"/>
      <c r="DI16" s="182"/>
      <c r="DJ16" s="182"/>
      <c r="DK16" s="182"/>
      <c r="DL16" s="182"/>
      <c r="DM16" s="182"/>
      <c r="DN16" s="182"/>
      <c r="DO16" s="182"/>
      <c r="DP16" s="182"/>
      <c r="DQ16" s="182"/>
      <c r="DR16" s="182"/>
      <c r="DS16" s="182"/>
      <c r="DT16" s="182"/>
      <c r="DU16" s="182"/>
      <c r="DV16" s="182"/>
      <c r="DW16" s="182"/>
      <c r="DX16" s="182"/>
      <c r="DY16" s="182"/>
      <c r="DZ16" s="182"/>
      <c r="EA16" s="182"/>
      <c r="EB16" s="182"/>
      <c r="EC16" s="182"/>
      <c r="ED16" s="182"/>
      <c r="EE16" s="182"/>
      <c r="EF16" s="182"/>
      <c r="EG16" s="182"/>
      <c r="EH16" s="182"/>
      <c r="EI16" s="182"/>
      <c r="EJ16" s="182"/>
      <c r="EK16" s="182"/>
      <c r="EL16" s="182"/>
      <c r="EM16" s="182"/>
      <c r="EN16" s="182"/>
      <c r="EO16" s="182"/>
      <c r="EP16" s="182"/>
      <c r="EQ16" s="182"/>
      <c r="ER16" s="182"/>
      <c r="ES16" s="182"/>
      <c r="ET16" s="182"/>
      <c r="EU16" s="182"/>
      <c r="EV16" s="182"/>
      <c r="EW16" s="182"/>
      <c r="EX16" s="182"/>
      <c r="EY16" s="182"/>
      <c r="EZ16" s="182"/>
      <c r="FA16" s="182"/>
      <c r="FB16" s="182"/>
      <c r="FC16" s="182"/>
      <c r="FD16" s="182"/>
      <c r="FE16" s="182"/>
      <c r="FF16" s="182"/>
      <c r="FG16" s="182"/>
      <c r="FH16" s="182"/>
      <c r="FI16" s="182"/>
      <c r="FJ16" s="182"/>
      <c r="FK16" s="182"/>
      <c r="FL16" s="182"/>
      <c r="FM16" s="182"/>
      <c r="FN16" s="182"/>
      <c r="FO16" s="182"/>
      <c r="FP16" s="182"/>
      <c r="FQ16" s="182"/>
      <c r="FR16" s="182"/>
      <c r="FS16" s="182"/>
      <c r="FT16" s="182"/>
      <c r="FU16" s="182"/>
      <c r="FV16" s="182"/>
      <c r="FW16" s="182"/>
      <c r="FX16" s="182"/>
      <c r="FY16" s="182"/>
      <c r="FZ16" s="182"/>
      <c r="GA16" s="182"/>
      <c r="GB16" s="182"/>
      <c r="GC16" s="182"/>
      <c r="GD16" s="182"/>
      <c r="GE16" s="182"/>
      <c r="GF16" s="182"/>
      <c r="GG16" s="182"/>
      <c r="GH16" s="182"/>
      <c r="GI16" s="182"/>
      <c r="GJ16" s="182"/>
      <c r="GK16" s="182"/>
      <c r="GL16" s="183"/>
      <c r="GM16" s="183"/>
      <c r="GN16" s="183"/>
      <c r="GO16" s="183"/>
      <c r="GP16" s="183"/>
      <c r="GQ16" s="183"/>
      <c r="GR16" s="183"/>
      <c r="GS16" s="183"/>
      <c r="GT16" s="183"/>
      <c r="GU16" s="183"/>
      <c r="GV16" s="183"/>
      <c r="GW16" s="183"/>
      <c r="GX16" s="183"/>
      <c r="GY16" s="183"/>
      <c r="GZ16" s="183"/>
      <c r="HA16" s="183"/>
      <c r="HB16" s="183"/>
      <c r="HC16" s="183"/>
      <c r="HD16" s="183"/>
      <c r="HE16" s="183"/>
    </row>
    <row r="17" spans="1:213" s="188" customFormat="1" ht="12.6" customHeight="1">
      <c r="A17" s="160">
        <v>2023</v>
      </c>
      <c r="B17" s="168">
        <v>44</v>
      </c>
      <c r="C17" s="169" t="s">
        <v>3254</v>
      </c>
      <c r="D17" s="176">
        <f t="shared" si="1"/>
        <v>0</v>
      </c>
      <c r="E17" s="171">
        <f>SUMIFS('Unos rashoda i izdataka'!$J$3:$J$501,'Unos rashoda i izdataka'!$C$3:$C$501,"=11",'Unos rashoda i izdataka'!$P$3:$P$501,"=44")+SUMIFS('Unos rashoda P4'!$H$3:$H$501,'Unos rashoda P4'!$A$3:$A$501,"=11",'Unos rashoda P4'!$S$3:$S$501,"=44")</f>
        <v>0</v>
      </c>
      <c r="F17" s="171">
        <f>SUMIFS('Unos rashoda i izdataka'!$J$3:$J$501,'Unos rashoda i izdataka'!$C$3:$C$501,"=12",'Unos rashoda i izdataka'!$P$3:$P$501,"=44")+SUMIFS('Unos rashoda P4'!$H$3:$H$501,'Unos rashoda P4'!$A$3:$A$501,"=12",'Unos rashoda P4'!$S$3:$S$501,"=44")</f>
        <v>0</v>
      </c>
      <c r="G17" s="171">
        <f>SUMIFS('Unos rashoda i izdataka'!$J$3:$J$501,'Unos rashoda i izdataka'!$C$3:$C$501,"=31",'Unos rashoda i izdataka'!$P$3:$P$501,"=44")+SUMIFS('Unos rashoda P4'!$H$3:$H$501,'Unos rashoda P4'!$A$3:$A$501,"=31",'Unos rashoda P4'!$S$3:$S$501,"=44")</f>
        <v>0</v>
      </c>
      <c r="H17" s="171">
        <f>SUMIFS('Unos rashoda i izdataka'!$J$3:$J$501,'Unos rashoda i izdataka'!$C$3:$C$501,"=41",'Unos rashoda i izdataka'!$P$3:$P$501,"=44")+SUMIFS('Unos rashoda P4'!$H$3:$H$501,'Unos rashoda P4'!$A$3:$A$501,"=41",'Unos rashoda P4'!$S$3:$S$501,"=44")</f>
        <v>0</v>
      </c>
      <c r="I17" s="171">
        <f>SUMIFS('Unos rashoda i izdataka'!$J$3:$J$501,'Unos rashoda i izdataka'!$C$3:$C$501,"=43",'Unos rashoda i izdataka'!$P$3:$P$501,"=44")+SUMIFS('Unos rashoda P4'!$H$3:$H$501,'Unos rashoda P4'!$A$3:$A$501,"=43",'Unos rashoda P4'!$S$3:$S$501,"=44")</f>
        <v>0</v>
      </c>
      <c r="J17" s="171">
        <f>SUMIFS('Unos rashoda i izdataka'!$J$3:$J$501,'Unos rashoda i izdataka'!$C$3:$C$501,"=51",'Unos rashoda i izdataka'!$P$3:$P$501,"=44")+SUMIFS('Unos rashoda P4'!$H$3:$H$501,'Unos rashoda P4'!$A$3:$A$501,"=51",'Unos rashoda P4'!$S$3:$S$501,"=44")</f>
        <v>0</v>
      </c>
      <c r="K17" s="171">
        <f>SUMIFS('Unos rashoda i izdataka'!$J$3:$J$501,'Unos rashoda i izdataka'!$C$3:$C$501,"=52",'Unos rashoda i izdataka'!$P$3:$P$501,"=44")+SUMIFS('Unos rashoda P4'!$H$3:$H$501,'Unos rashoda P4'!$A$3:$A$501,"=52",'Unos rashoda P4'!$S$3:$S$501,"=44")</f>
        <v>0</v>
      </c>
      <c r="L17" s="171">
        <f>SUMIFS('Unos rashoda i izdataka'!$J$3:$J$501,'Unos rashoda i izdataka'!$C$3:$C$501,"=552",'Unos rashoda i izdataka'!$P$3:$P$501,"=44")+SUMIFS('Unos rashoda P4'!$H$3:$H$501,'Unos rashoda P4'!$A$3:$A$501,"=552",'Unos rashoda P4'!$S$3:$S$501,"=44")</f>
        <v>0</v>
      </c>
      <c r="M17" s="171">
        <f>SUMIFS('Unos rashoda i izdataka'!$J$3:$J$501,'Unos rashoda i izdataka'!$C$3:$C$501,"=559",'Unos rashoda i izdataka'!$P$3:$P$501,"=44")+SUMIFS('Unos rashoda P4'!$H$3:$H$501,'Unos rashoda P4'!$A$3:$A$501,"=559",'Unos rashoda P4'!$S$3:$S$501,"=44")</f>
        <v>0</v>
      </c>
      <c r="N17" s="171">
        <f>SUMIFS('Unos rashoda i izdataka'!$J$3:$J$501,'Unos rashoda i izdataka'!$C$3:$C$501,"=561",'Unos rashoda i izdataka'!$P$3:$P$501,"=44")+SUMIFS('Unos rashoda P4'!$H$3:$H$501,'Unos rashoda P4'!$A$3:$A$501,"=561",'Unos rashoda P4'!$S$3:$S$501,"=44")</f>
        <v>0</v>
      </c>
      <c r="O17" s="171">
        <f>SUMIFS('Unos rashoda i izdataka'!$J$3:$J$501,'Unos rashoda i izdataka'!$C$3:$C$501,"=563",'Unos rashoda i izdataka'!$P$3:$P$501,"=44")+SUMIFS('Unos rashoda P4'!$H$3:$H$501,'Unos rashoda P4'!$A$3:$A$501,"=563",'Unos rashoda P4'!$S$3:$S$501,"=44")</f>
        <v>0</v>
      </c>
      <c r="P17" s="171">
        <f>SUMIFS('Unos rashoda i izdataka'!$J$3:$J$501,'Unos rashoda i izdataka'!$C$3:$C$501,"=573",'Unos rashoda i izdataka'!$P$3:$P$501,"=44")+SUMIFS('Unos rashoda P4'!$H$3:$H$501,'Unos rashoda P4'!$A$3:$A$501,"=573",'Unos rashoda P4'!$S$3:$S$501,"=44")</f>
        <v>0</v>
      </c>
      <c r="Q17" s="171">
        <f>SUMIFS('Unos rashoda i izdataka'!$J$3:$J$501,'Unos rashoda i izdataka'!$C$3:$C$501,"=575",'Unos rashoda i izdataka'!$P$3:$P$501,"=44")+SUMIFS('Unos rashoda P4'!$H$3:$H$501,'Unos rashoda P4'!$A$3:$A$501,"=575",'Unos rashoda P4'!$S$3:$S$501,"=44")</f>
        <v>0</v>
      </c>
      <c r="R17" s="171">
        <f>SUMIFS('Unos rashoda i izdataka'!$J$3:$J$501,'Unos rashoda i izdataka'!$Q$3:$Q$501,"=576",'Unos rashoda i izdataka'!$P$3:$P$501,"=44")+SUMIFS('Unos rashoda P4'!$H$3:$H$501,'Unos rashoda P4'!$A$3:$A$501,"=576",'Unos rashoda P4'!$S$3:$S$501,"=44")</f>
        <v>0</v>
      </c>
      <c r="S17" s="171">
        <f>SUMIFS('Unos rashoda i izdataka'!$J$3:$J$501,'Unos rashoda i izdataka'!$C$3:$C$501,"=581",'Unos rashoda i izdataka'!$P$3:$P$501,"=44")+SUMIFS('Unos rashoda P4'!$H$3:$H$501,'Unos rashoda P4'!$A$3:$A$501,"=581",'Unos rashoda P4'!$S$3:$S$501,"=44")</f>
        <v>0</v>
      </c>
      <c r="T17" s="171">
        <f>SUMIFS('Unos rashoda i izdataka'!$J$3:$J$501,'Unos rashoda i izdataka'!$C$3:$C$501,"=61",'Unos rashoda i izdataka'!$P$3:$P$501,"=44")+SUMIFS('Unos rashoda P4'!$H$3:$H$501,'Unos rashoda P4'!$A$3:$A$501,"=61",'Unos rashoda P4'!$S$3:$S$501,"=44")</f>
        <v>0</v>
      </c>
      <c r="U17" s="171">
        <f>SUMIFS('Unos rashoda i izdataka'!$J$3:$J$501,'Unos rashoda i izdataka'!$C$3:$C$501,"=63",'Unos rashoda i izdataka'!$P$3:$P$501,"=44")+SUMIFS('Unos rashoda P4'!$H$3:$H$501,'Unos rashoda P4'!$A$3:$A$501,"=63",'Unos rashoda P4'!$S$3:$S$501,"=44")</f>
        <v>0</v>
      </c>
      <c r="V17" s="171">
        <f>SUMIFS('Unos rashoda i izdataka'!$J$3:$J$501,'Unos rashoda i izdataka'!$C$3:$C$501,"=71",'Unos rashoda i izdataka'!$P$3:$P$501,"=44")+SUMIFS('Unos rashoda P4'!$H$3:$H$501,'Unos rashoda P4'!$A$3:$A$501,"=71",'Unos rashoda P4'!$S$3:$S$501,"=44")</f>
        <v>0</v>
      </c>
      <c r="W17" s="171">
        <f>SUMIFS('Unos rashoda i izdataka'!$J$3:$J$501,'Unos rashoda i izdataka'!$C$3:$C$501,"=81",'Unos rashoda i izdataka'!$P$3:$P$501,"=44")+SUMIFS('Unos rashoda P4'!$H$3:$H$501,'Unos rashoda P4'!$A$3:$A$501,"=81",'Unos rashoda P4'!$S$3:$S$501,"=44")</f>
        <v>0</v>
      </c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82"/>
      <c r="BL17" s="182"/>
      <c r="BM17" s="182"/>
      <c r="BN17" s="182"/>
      <c r="BO17" s="182"/>
      <c r="BP17" s="182"/>
      <c r="BQ17" s="182"/>
      <c r="BR17" s="182"/>
      <c r="BS17" s="182"/>
      <c r="BT17" s="182"/>
      <c r="BU17" s="182"/>
      <c r="BV17" s="182"/>
      <c r="BW17" s="182"/>
      <c r="BX17" s="182"/>
      <c r="BY17" s="182"/>
      <c r="BZ17" s="182"/>
      <c r="CA17" s="182"/>
      <c r="CB17" s="182"/>
      <c r="CC17" s="182"/>
      <c r="CD17" s="182"/>
      <c r="CE17" s="182"/>
      <c r="CF17" s="182"/>
      <c r="CG17" s="182"/>
      <c r="CH17" s="182"/>
      <c r="CI17" s="182"/>
      <c r="CJ17" s="182"/>
      <c r="CK17" s="182"/>
      <c r="CL17" s="182"/>
      <c r="CM17" s="182"/>
      <c r="CN17" s="182"/>
      <c r="CO17" s="182"/>
      <c r="CP17" s="182"/>
      <c r="CQ17" s="182"/>
      <c r="CR17" s="182"/>
      <c r="CS17" s="182"/>
      <c r="CT17" s="182"/>
      <c r="CU17" s="182"/>
      <c r="CV17" s="182"/>
      <c r="CW17" s="182"/>
      <c r="CX17" s="182"/>
      <c r="CY17" s="182"/>
      <c r="CZ17" s="182"/>
      <c r="DA17" s="182"/>
      <c r="DB17" s="182"/>
      <c r="DC17" s="182"/>
      <c r="DD17" s="182"/>
      <c r="DE17" s="182"/>
      <c r="DF17" s="182"/>
      <c r="DG17" s="182"/>
      <c r="DH17" s="182"/>
      <c r="DI17" s="182"/>
      <c r="DJ17" s="182"/>
      <c r="DK17" s="182"/>
      <c r="DL17" s="182"/>
      <c r="DM17" s="182"/>
      <c r="DN17" s="182"/>
      <c r="DO17" s="182"/>
      <c r="DP17" s="182"/>
      <c r="DQ17" s="182"/>
      <c r="DR17" s="182"/>
      <c r="DS17" s="182"/>
      <c r="DT17" s="182"/>
      <c r="DU17" s="182"/>
      <c r="DV17" s="182"/>
      <c r="DW17" s="182"/>
      <c r="DX17" s="182"/>
      <c r="DY17" s="182"/>
      <c r="DZ17" s="182"/>
      <c r="EA17" s="182"/>
      <c r="EB17" s="182"/>
      <c r="EC17" s="182"/>
      <c r="ED17" s="182"/>
      <c r="EE17" s="182"/>
      <c r="EF17" s="182"/>
      <c r="EG17" s="182"/>
      <c r="EH17" s="182"/>
      <c r="EI17" s="182"/>
      <c r="EJ17" s="182"/>
      <c r="EK17" s="182"/>
      <c r="EL17" s="182"/>
      <c r="EM17" s="182"/>
      <c r="EN17" s="182"/>
      <c r="EO17" s="182"/>
      <c r="EP17" s="182"/>
      <c r="EQ17" s="182"/>
      <c r="ER17" s="182"/>
      <c r="ES17" s="182"/>
      <c r="ET17" s="182"/>
      <c r="EU17" s="182"/>
      <c r="EV17" s="182"/>
      <c r="EW17" s="182"/>
      <c r="EX17" s="182"/>
      <c r="EY17" s="182"/>
      <c r="EZ17" s="182"/>
      <c r="FA17" s="182"/>
      <c r="FB17" s="182"/>
      <c r="FC17" s="182"/>
      <c r="FD17" s="182"/>
      <c r="FE17" s="182"/>
      <c r="FF17" s="182"/>
      <c r="FG17" s="182"/>
      <c r="FH17" s="182"/>
      <c r="FI17" s="182"/>
      <c r="FJ17" s="182"/>
      <c r="FK17" s="182"/>
      <c r="FL17" s="182"/>
      <c r="FM17" s="182"/>
      <c r="FN17" s="182"/>
      <c r="FO17" s="182"/>
      <c r="FP17" s="182"/>
      <c r="FQ17" s="182"/>
      <c r="FR17" s="182"/>
      <c r="FS17" s="182"/>
      <c r="FT17" s="182"/>
      <c r="FU17" s="182"/>
      <c r="FV17" s="182"/>
      <c r="FW17" s="182"/>
      <c r="FX17" s="182"/>
      <c r="FY17" s="182"/>
      <c r="FZ17" s="182"/>
      <c r="GA17" s="182"/>
      <c r="GB17" s="182"/>
      <c r="GC17" s="182"/>
      <c r="GD17" s="182"/>
      <c r="GE17" s="182"/>
      <c r="GF17" s="182"/>
      <c r="GG17" s="182"/>
      <c r="GH17" s="182"/>
      <c r="GI17" s="182"/>
      <c r="GJ17" s="182"/>
      <c r="GK17" s="182"/>
      <c r="GL17" s="183"/>
      <c r="GM17" s="183"/>
      <c r="GN17" s="183"/>
      <c r="GO17" s="183"/>
      <c r="GP17" s="183"/>
      <c r="GQ17" s="183"/>
      <c r="GR17" s="183"/>
      <c r="GS17" s="183"/>
      <c r="GT17" s="183"/>
      <c r="GU17" s="183"/>
      <c r="GV17" s="183"/>
      <c r="GW17" s="183"/>
      <c r="GX17" s="183"/>
      <c r="GY17" s="183"/>
      <c r="GZ17" s="183"/>
      <c r="HA17" s="183"/>
      <c r="HB17" s="183"/>
      <c r="HC17" s="183"/>
      <c r="HD17" s="183"/>
      <c r="HE17" s="183"/>
    </row>
    <row r="18" spans="1:213" s="190" customFormat="1" ht="12.6" customHeight="1">
      <c r="A18" s="160">
        <v>2023</v>
      </c>
      <c r="B18" s="174">
        <v>45</v>
      </c>
      <c r="C18" s="175" t="s">
        <v>3255</v>
      </c>
      <c r="D18" s="176">
        <f t="shared" si="1"/>
        <v>0</v>
      </c>
      <c r="E18" s="171">
        <f>SUMIFS('Unos rashoda i izdataka'!$J$3:$J$501,'Unos rashoda i izdataka'!$C$3:$C$501,"=11",'Unos rashoda i izdataka'!$P$3:$P$501,"=45")+SUMIFS('Unos rashoda P4'!$H$3:$H$501,'Unos rashoda P4'!$A$3:$A$501,"=11",'Unos rashoda P4'!$S$3:$S$501,"=45")</f>
        <v>0</v>
      </c>
      <c r="F18" s="171">
        <f>SUMIFS('Unos rashoda i izdataka'!$J$3:$J$501,'Unos rashoda i izdataka'!$C$3:$C$501,"=12",'Unos rashoda i izdataka'!$P$3:$P$501,"=45")+SUMIFS('Unos rashoda P4'!$H$3:$H$501,'Unos rashoda P4'!$A$3:$A$501,"=12",'Unos rashoda P4'!$S$3:$S$501,"=45")</f>
        <v>0</v>
      </c>
      <c r="G18" s="171">
        <f>SUMIFS('Unos rashoda i izdataka'!$J$3:$J$501,'Unos rashoda i izdataka'!$C$3:$C$501,"=31",'Unos rashoda i izdataka'!$P$3:$P$501,"=45")+SUMIFS('Unos rashoda P4'!$H$3:$H$501,'Unos rashoda P4'!$A$3:$A$501,"=31",'Unos rashoda P4'!$S$3:$S$501,"=45")</f>
        <v>0</v>
      </c>
      <c r="H18" s="171">
        <f>SUMIFS('Unos rashoda i izdataka'!$J$3:$J$501,'Unos rashoda i izdataka'!$C$3:$C$501,"=41",'Unos rashoda i izdataka'!$P$3:$P$501,"=45")+SUMIFS('Unos rashoda P4'!$H$3:$H$501,'Unos rashoda P4'!$A$3:$A$501,"=41",'Unos rashoda P4'!$S$3:$S$501,"=45")</f>
        <v>0</v>
      </c>
      <c r="I18" s="171">
        <f>SUMIFS('Unos rashoda i izdataka'!$J$3:$J$501,'Unos rashoda i izdataka'!$C$3:$C$501,"=43",'Unos rashoda i izdataka'!$P$3:$P$501,"=45")+SUMIFS('Unos rashoda P4'!$H$3:$H$501,'Unos rashoda P4'!$A$3:$A$501,"=43",'Unos rashoda P4'!$S$3:$S$501,"=45")</f>
        <v>0</v>
      </c>
      <c r="J18" s="171">
        <f>SUMIFS('Unos rashoda i izdataka'!$J$3:$J$501,'Unos rashoda i izdataka'!$C$3:$C$501,"=51",'Unos rashoda i izdataka'!$P$3:$P$501,"=45")+SUMIFS('Unos rashoda P4'!$H$3:$H$501,'Unos rashoda P4'!$A$3:$A$501,"=51",'Unos rashoda P4'!$S$3:$S$501,"=45")</f>
        <v>0</v>
      </c>
      <c r="K18" s="171">
        <f>SUMIFS('Unos rashoda i izdataka'!$J$3:$J$501,'Unos rashoda i izdataka'!$C$3:$C$501,"=52",'Unos rashoda i izdataka'!$P$3:$P$501,"=45")+SUMIFS('Unos rashoda P4'!$H$3:$H$501,'Unos rashoda P4'!$A$3:$A$501,"=52",'Unos rashoda P4'!$S$3:$S$501,"=45")</f>
        <v>0</v>
      </c>
      <c r="L18" s="171">
        <f>SUMIFS('Unos rashoda i izdataka'!$J$3:$J$501,'Unos rashoda i izdataka'!$C$3:$C$501,"=552",'Unos rashoda i izdataka'!$P$3:$P$501,"=45")+SUMIFS('Unos rashoda P4'!$H$3:$H$501,'Unos rashoda P4'!$A$3:$A$501,"=552",'Unos rashoda P4'!$S$3:$S$501,"=45")</f>
        <v>0</v>
      </c>
      <c r="M18" s="171">
        <f>SUMIFS('Unos rashoda i izdataka'!$J$3:$J$501,'Unos rashoda i izdataka'!$C$3:$C$501,"=559",'Unos rashoda i izdataka'!$P$3:$P$501,"=45")+SUMIFS('Unos rashoda P4'!$H$3:$H$501,'Unos rashoda P4'!$A$3:$A$501,"=559",'Unos rashoda P4'!$S$3:$S$501,"=45")</f>
        <v>0</v>
      </c>
      <c r="N18" s="171">
        <f>SUMIFS('Unos rashoda i izdataka'!$J$3:$J$501,'Unos rashoda i izdataka'!$C$3:$C$501,"=561",'Unos rashoda i izdataka'!$P$3:$P$501,"=45")+SUMIFS('Unos rashoda P4'!$H$3:$H$501,'Unos rashoda P4'!$A$3:$A$501,"=561",'Unos rashoda P4'!$S$3:$S$501,"=45")</f>
        <v>0</v>
      </c>
      <c r="O18" s="171">
        <f>SUMIFS('Unos rashoda i izdataka'!$J$3:$J$501,'Unos rashoda i izdataka'!$C$3:$C$501,"=563",'Unos rashoda i izdataka'!$P$3:$P$501,"=45")+SUMIFS('Unos rashoda P4'!$H$3:$H$501,'Unos rashoda P4'!$A$3:$A$501,"=563",'Unos rashoda P4'!$S$3:$S$501,"=45")</f>
        <v>0</v>
      </c>
      <c r="P18" s="171">
        <f>SUMIFS('Unos rashoda i izdataka'!$J$3:$J$501,'Unos rashoda i izdataka'!$C$3:$C$501,"=573",'Unos rashoda i izdataka'!$P$3:$P$501,"=45")+SUMIFS('Unos rashoda P4'!$H$3:$H$501,'Unos rashoda P4'!$A$3:$A$501,"=573",'Unos rashoda P4'!$S$3:$S$501,"=45")</f>
        <v>0</v>
      </c>
      <c r="Q18" s="171">
        <f>SUMIFS('Unos rashoda i izdataka'!$J$3:$J$501,'Unos rashoda i izdataka'!$C$3:$C$501,"=575",'Unos rashoda i izdataka'!$P$3:$P$501,"=45")+SUMIFS('Unos rashoda P4'!$H$3:$H$501,'Unos rashoda P4'!$A$3:$A$501,"=575",'Unos rashoda P4'!$S$3:$S$501,"=45")</f>
        <v>0</v>
      </c>
      <c r="R18" s="171">
        <f>SUMIFS('Unos rashoda i izdataka'!$J$3:$J$501,'Unos rashoda i izdataka'!$Q$3:$Q$501,"=576",'Unos rashoda i izdataka'!$P$3:$P$501,"=45")+SUMIFS('Unos rashoda P4'!$H$3:$H$501,'Unos rashoda P4'!$A$3:$A$501,"=576",'Unos rashoda P4'!$S$3:$S$501,"=45")</f>
        <v>0</v>
      </c>
      <c r="S18" s="171">
        <f>SUMIFS('Unos rashoda i izdataka'!$J$3:$J$501,'Unos rashoda i izdataka'!$C$3:$C$501,"=581",'Unos rashoda i izdataka'!$P$3:$P$501,"=45")+SUMIFS('Unos rashoda P4'!$H$3:$H$501,'Unos rashoda P4'!$A$3:$A$501,"=581",'Unos rashoda P4'!$S$3:$S$501,"=45")</f>
        <v>0</v>
      </c>
      <c r="T18" s="171">
        <f>SUMIFS('Unos rashoda i izdataka'!$J$3:$J$501,'Unos rashoda i izdataka'!$C$3:$C$501,"=61",'Unos rashoda i izdataka'!$P$3:$P$501,"=45")+SUMIFS('Unos rashoda P4'!$H$3:$H$501,'Unos rashoda P4'!$A$3:$A$501,"=61",'Unos rashoda P4'!$S$3:$S$501,"=45")</f>
        <v>0</v>
      </c>
      <c r="U18" s="171">
        <f>SUMIFS('Unos rashoda i izdataka'!$J$3:$J$501,'Unos rashoda i izdataka'!$C$3:$C$501,"=63",'Unos rashoda i izdataka'!$P$3:$P$501,"=45")+SUMIFS('Unos rashoda P4'!$H$3:$H$501,'Unos rashoda P4'!$A$3:$A$501,"=63",'Unos rashoda P4'!$S$3:$S$501,"=45")</f>
        <v>0</v>
      </c>
      <c r="V18" s="171">
        <f>SUMIFS('Unos rashoda i izdataka'!$J$3:$J$501,'Unos rashoda i izdataka'!$C$3:$C$501,"=71",'Unos rashoda i izdataka'!$P$3:$P$501,"=45")+SUMIFS('Unos rashoda P4'!$H$3:$H$501,'Unos rashoda P4'!$A$3:$A$501,"=71",'Unos rashoda P4'!$S$3:$S$501,"=45")</f>
        <v>0</v>
      </c>
      <c r="W18" s="171">
        <f>SUMIFS('Unos rashoda i izdataka'!$J$3:$J$501,'Unos rashoda i izdataka'!$C$3:$C$501,"=81",'Unos rashoda i izdataka'!$P$3:$P$501,"=45")+SUMIFS('Unos rashoda P4'!$H$3:$H$501,'Unos rashoda P4'!$A$3:$A$501,"=81",'Unos rashoda P4'!$S$3:$S$501,"=45")</f>
        <v>0</v>
      </c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172"/>
      <c r="BR18" s="172"/>
      <c r="BS18" s="172"/>
      <c r="BT18" s="172"/>
      <c r="BU18" s="172"/>
      <c r="BV18" s="172"/>
      <c r="BW18" s="172"/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172"/>
      <c r="CI18" s="172"/>
      <c r="CJ18" s="172"/>
      <c r="CK18" s="172"/>
      <c r="CL18" s="172"/>
      <c r="CM18" s="172"/>
      <c r="CN18" s="172"/>
      <c r="CO18" s="172"/>
      <c r="CP18" s="172"/>
      <c r="CQ18" s="172"/>
      <c r="CR18" s="172"/>
      <c r="CS18" s="172"/>
      <c r="CT18" s="172"/>
      <c r="CU18" s="172"/>
      <c r="CV18" s="172"/>
      <c r="CW18" s="172"/>
      <c r="CX18" s="172"/>
      <c r="CY18" s="172"/>
      <c r="CZ18" s="172"/>
      <c r="DA18" s="172"/>
      <c r="DB18" s="172"/>
      <c r="DC18" s="172"/>
      <c r="DD18" s="172"/>
      <c r="DE18" s="172"/>
      <c r="DF18" s="172"/>
      <c r="DG18" s="172"/>
      <c r="DH18" s="172"/>
      <c r="DI18" s="172"/>
      <c r="DJ18" s="172"/>
      <c r="DK18" s="172"/>
      <c r="DL18" s="172"/>
      <c r="DM18" s="172"/>
      <c r="DN18" s="172"/>
      <c r="DO18" s="172"/>
      <c r="DP18" s="172"/>
      <c r="DQ18" s="172"/>
      <c r="DR18" s="172"/>
      <c r="DS18" s="172"/>
      <c r="DT18" s="172"/>
      <c r="DU18" s="172"/>
      <c r="DV18" s="172"/>
      <c r="DW18" s="172"/>
      <c r="DX18" s="172"/>
      <c r="DY18" s="172"/>
      <c r="DZ18" s="172"/>
      <c r="EA18" s="172"/>
      <c r="EB18" s="172"/>
      <c r="EC18" s="172"/>
      <c r="ED18" s="172"/>
      <c r="EE18" s="172"/>
      <c r="EF18" s="172"/>
      <c r="EG18" s="172"/>
      <c r="EH18" s="172"/>
      <c r="EI18" s="172"/>
      <c r="EJ18" s="172"/>
      <c r="EK18" s="172"/>
      <c r="EL18" s="172"/>
      <c r="EM18" s="172"/>
      <c r="EN18" s="172"/>
      <c r="EO18" s="172"/>
      <c r="EP18" s="172"/>
      <c r="EQ18" s="172"/>
      <c r="ER18" s="172"/>
      <c r="ES18" s="172"/>
      <c r="ET18" s="172"/>
      <c r="EU18" s="172"/>
      <c r="EV18" s="172"/>
      <c r="EW18" s="172"/>
      <c r="EX18" s="172"/>
      <c r="EY18" s="172"/>
      <c r="EZ18" s="172"/>
      <c r="FA18" s="172"/>
      <c r="FB18" s="172"/>
      <c r="FC18" s="172"/>
      <c r="FD18" s="172"/>
      <c r="FE18" s="172"/>
      <c r="FF18" s="172"/>
      <c r="FG18" s="172"/>
      <c r="FH18" s="172"/>
      <c r="FI18" s="172"/>
      <c r="FJ18" s="172"/>
      <c r="FK18" s="172"/>
      <c r="FL18" s="172"/>
      <c r="FM18" s="172"/>
      <c r="FN18" s="172"/>
      <c r="FO18" s="172"/>
      <c r="FP18" s="172"/>
      <c r="FQ18" s="172"/>
      <c r="FR18" s="172"/>
      <c r="FS18" s="172"/>
      <c r="FT18" s="172"/>
      <c r="FU18" s="172"/>
      <c r="FV18" s="172"/>
      <c r="FW18" s="172"/>
      <c r="FX18" s="172"/>
      <c r="FY18" s="172"/>
      <c r="FZ18" s="172"/>
      <c r="GA18" s="172"/>
      <c r="GB18" s="172"/>
      <c r="GC18" s="172"/>
      <c r="GD18" s="172"/>
      <c r="GE18" s="172"/>
      <c r="GF18" s="172"/>
      <c r="GG18" s="172"/>
      <c r="GH18" s="172"/>
      <c r="GI18" s="172"/>
      <c r="GJ18" s="172"/>
      <c r="GK18" s="172"/>
      <c r="GL18" s="173"/>
      <c r="GM18" s="173"/>
      <c r="GN18" s="173"/>
      <c r="GO18" s="173"/>
      <c r="GP18" s="173"/>
      <c r="GQ18" s="173"/>
      <c r="GR18" s="173"/>
      <c r="GS18" s="173"/>
      <c r="GT18" s="173"/>
      <c r="GU18" s="173"/>
      <c r="GV18" s="173"/>
      <c r="GW18" s="173"/>
      <c r="GX18" s="173"/>
      <c r="GY18" s="173"/>
      <c r="GZ18" s="173"/>
      <c r="HA18" s="173"/>
      <c r="HB18" s="173"/>
      <c r="HC18" s="173"/>
      <c r="HD18" s="173"/>
      <c r="HE18" s="173"/>
    </row>
    <row r="19" spans="1:213" s="156" customFormat="1"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GL19" s="155"/>
      <c r="GM19" s="155"/>
      <c r="GN19" s="155"/>
      <c r="GO19" s="155"/>
      <c r="GP19" s="155"/>
      <c r="GQ19" s="155"/>
      <c r="GR19" s="155"/>
      <c r="GS19" s="155"/>
      <c r="GT19" s="155"/>
      <c r="GU19" s="155"/>
      <c r="GV19" s="155"/>
      <c r="GW19" s="155"/>
      <c r="GX19" s="155"/>
      <c r="GY19" s="155"/>
      <c r="GZ19" s="155"/>
      <c r="HA19" s="155"/>
      <c r="HB19" s="155"/>
      <c r="HC19" s="155"/>
      <c r="HD19" s="155"/>
      <c r="HE19" s="155"/>
    </row>
    <row r="20" spans="1:213" s="159" customFormat="1" ht="90" customHeight="1">
      <c r="A20" s="158" t="s">
        <v>3176</v>
      </c>
      <c r="B20" s="117" t="s">
        <v>3233</v>
      </c>
      <c r="C20" s="117" t="s">
        <v>3234</v>
      </c>
      <c r="D20" s="117" t="s">
        <v>3256</v>
      </c>
      <c r="E20" s="117" t="s">
        <v>3236</v>
      </c>
      <c r="F20" s="117" t="s">
        <v>3181</v>
      </c>
      <c r="G20" s="117" t="s">
        <v>3182</v>
      </c>
      <c r="H20" s="117" t="s">
        <v>3237</v>
      </c>
      <c r="I20" s="117" t="s">
        <v>3184</v>
      </c>
      <c r="J20" s="117" t="s">
        <v>3185</v>
      </c>
      <c r="K20" s="117" t="s">
        <v>3186</v>
      </c>
      <c r="L20" s="117" t="s">
        <v>3187</v>
      </c>
      <c r="M20" s="117" t="s">
        <v>3188</v>
      </c>
      <c r="N20" s="117" t="s">
        <v>3189</v>
      </c>
      <c r="O20" s="117" t="s">
        <v>3190</v>
      </c>
      <c r="P20" s="117" t="s">
        <v>3191</v>
      </c>
      <c r="Q20" s="117" t="s">
        <v>3238</v>
      </c>
      <c r="R20" s="117" t="s">
        <v>3239</v>
      </c>
      <c r="S20" s="117" t="s">
        <v>3194</v>
      </c>
      <c r="T20" s="117" t="s">
        <v>3195</v>
      </c>
      <c r="U20" s="117" t="s">
        <v>3196</v>
      </c>
      <c r="V20" s="117" t="s">
        <v>3240</v>
      </c>
      <c r="W20" s="117" t="s">
        <v>3198</v>
      </c>
      <c r="GL20" s="155"/>
      <c r="GM20" s="155"/>
      <c r="GN20" s="155"/>
      <c r="GO20" s="155"/>
      <c r="GP20" s="155"/>
      <c r="GQ20" s="155"/>
      <c r="GR20" s="155"/>
      <c r="GS20" s="155"/>
      <c r="GT20" s="155"/>
      <c r="GU20" s="155"/>
      <c r="GV20" s="155"/>
      <c r="GW20" s="155"/>
      <c r="GX20" s="155"/>
      <c r="GY20" s="155"/>
      <c r="GZ20" s="155"/>
      <c r="HA20" s="155"/>
      <c r="HB20" s="155"/>
      <c r="HC20" s="155"/>
      <c r="HD20" s="155"/>
      <c r="HE20" s="155"/>
    </row>
    <row r="21" spans="1:213" s="187" customFormat="1" ht="19.5" customHeight="1">
      <c r="A21" s="160">
        <v>2023</v>
      </c>
      <c r="B21" s="130">
        <v>2023</v>
      </c>
      <c r="C21" s="130" t="s">
        <v>3241</v>
      </c>
      <c r="D21" s="131">
        <f t="shared" ref="D21:D35" si="10">SUM(E21:W21)</f>
        <v>6420263</v>
      </c>
      <c r="E21" s="161">
        <f>+E22+E30</f>
        <v>3761898</v>
      </c>
      <c r="F21" s="161">
        <f t="shared" ref="F21:W21" si="11">+F22+F30</f>
        <v>14245</v>
      </c>
      <c r="G21" s="161">
        <f t="shared" si="11"/>
        <v>884690</v>
      </c>
      <c r="H21" s="161">
        <f t="shared" si="11"/>
        <v>0</v>
      </c>
      <c r="I21" s="161">
        <f t="shared" si="11"/>
        <v>800082</v>
      </c>
      <c r="J21" s="161">
        <f t="shared" si="11"/>
        <v>671268</v>
      </c>
      <c r="K21" s="161">
        <f t="shared" si="11"/>
        <v>186054</v>
      </c>
      <c r="L21" s="161">
        <f t="shared" si="11"/>
        <v>0</v>
      </c>
      <c r="M21" s="161">
        <f t="shared" si="11"/>
        <v>0</v>
      </c>
      <c r="N21" s="161">
        <f t="shared" si="11"/>
        <v>80717</v>
      </c>
      <c r="O21" s="161">
        <f t="shared" si="11"/>
        <v>0</v>
      </c>
      <c r="P21" s="161">
        <f t="shared" si="11"/>
        <v>0</v>
      </c>
      <c r="Q21" s="161">
        <f t="shared" si="11"/>
        <v>0</v>
      </c>
      <c r="R21" s="161">
        <f t="shared" si="11"/>
        <v>0</v>
      </c>
      <c r="S21" s="161">
        <f t="shared" si="11"/>
        <v>0</v>
      </c>
      <c r="T21" s="161">
        <f t="shared" si="11"/>
        <v>20587</v>
      </c>
      <c r="U21" s="161">
        <f t="shared" si="11"/>
        <v>0</v>
      </c>
      <c r="V21" s="161">
        <f t="shared" si="11"/>
        <v>722</v>
      </c>
      <c r="W21" s="161">
        <f t="shared" si="11"/>
        <v>0</v>
      </c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62"/>
      <c r="AO21" s="162"/>
      <c r="AP21" s="162"/>
      <c r="AQ21" s="162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8"/>
      <c r="EU21" s="108"/>
      <c r="EV21" s="108"/>
      <c r="EW21" s="108"/>
      <c r="EX21" s="108"/>
      <c r="EY21" s="108"/>
      <c r="EZ21" s="108"/>
      <c r="FA21" s="108"/>
      <c r="FB21" s="108"/>
      <c r="FC21" s="108"/>
      <c r="FD21" s="108"/>
      <c r="FE21" s="108"/>
      <c r="FF21" s="108"/>
      <c r="FG21" s="108"/>
      <c r="FH21" s="108"/>
      <c r="FI21" s="108"/>
      <c r="FJ21" s="108"/>
      <c r="FK21" s="108"/>
      <c r="FL21" s="108"/>
      <c r="FM21" s="108"/>
      <c r="FN21" s="108"/>
      <c r="FO21" s="108"/>
      <c r="FP21" s="108"/>
      <c r="FQ21" s="108"/>
      <c r="FR21" s="108"/>
      <c r="FS21" s="108"/>
      <c r="FT21" s="108"/>
      <c r="FU21" s="108"/>
      <c r="FV21" s="108"/>
      <c r="FW21" s="108"/>
      <c r="FX21" s="108"/>
      <c r="FY21" s="108"/>
      <c r="FZ21" s="108"/>
      <c r="GA21" s="108"/>
      <c r="GB21" s="108"/>
      <c r="GC21" s="108"/>
      <c r="GD21" s="108"/>
      <c r="GE21" s="108"/>
      <c r="GF21" s="108"/>
      <c r="GG21" s="108"/>
      <c r="GH21" s="108"/>
      <c r="GI21" s="108"/>
      <c r="GJ21" s="108"/>
      <c r="GK21" s="108"/>
      <c r="GL21" s="162"/>
      <c r="GM21" s="162"/>
      <c r="GN21" s="162"/>
      <c r="GO21" s="162"/>
      <c r="GP21" s="162"/>
      <c r="GQ21" s="162"/>
      <c r="GR21" s="162"/>
      <c r="GS21" s="162"/>
      <c r="GT21" s="162"/>
      <c r="GU21" s="162"/>
      <c r="GV21" s="162"/>
      <c r="GW21" s="162"/>
      <c r="GX21" s="162"/>
      <c r="GY21" s="162"/>
      <c r="GZ21" s="162"/>
      <c r="HA21" s="162"/>
      <c r="HB21" s="162"/>
      <c r="HC21" s="162"/>
      <c r="HD21" s="162"/>
      <c r="HE21" s="162"/>
    </row>
    <row r="22" spans="1:213" s="167" customFormat="1" ht="12.6" customHeight="1">
      <c r="A22" s="160">
        <v>2023</v>
      </c>
      <c r="B22" s="163">
        <v>3</v>
      </c>
      <c r="C22" s="164" t="s">
        <v>3242</v>
      </c>
      <c r="D22" s="165">
        <f t="shared" si="10"/>
        <v>6097113</v>
      </c>
      <c r="E22" s="166">
        <f t="shared" ref="E22:W22" si="12">SUM(E23:E29)</f>
        <v>3751052</v>
      </c>
      <c r="F22" s="166">
        <f t="shared" si="12"/>
        <v>7884</v>
      </c>
      <c r="G22" s="166">
        <f t="shared" si="12"/>
        <v>884190</v>
      </c>
      <c r="H22" s="166">
        <f>SUM(H23:H29)</f>
        <v>0</v>
      </c>
      <c r="I22" s="166">
        <f t="shared" si="12"/>
        <v>672825</v>
      </c>
      <c r="J22" s="166">
        <f t="shared" si="12"/>
        <v>535198</v>
      </c>
      <c r="K22" s="166">
        <f t="shared" si="12"/>
        <v>182693</v>
      </c>
      <c r="L22" s="166">
        <f>SUM(L23:L29)</f>
        <v>0</v>
      </c>
      <c r="M22" s="166">
        <f t="shared" si="12"/>
        <v>0</v>
      </c>
      <c r="N22" s="166">
        <f t="shared" si="12"/>
        <v>44675</v>
      </c>
      <c r="O22" s="166">
        <f t="shared" si="12"/>
        <v>0</v>
      </c>
      <c r="P22" s="166">
        <f>SUM(P23:P29)</f>
        <v>0</v>
      </c>
      <c r="Q22" s="166">
        <f>SUM(Q23:Q29)</f>
        <v>0</v>
      </c>
      <c r="R22" s="166">
        <f>SUM(R23:R29)</f>
        <v>0</v>
      </c>
      <c r="S22" s="166">
        <f>SUM(S23:S29)</f>
        <v>0</v>
      </c>
      <c r="T22" s="166">
        <f t="shared" si="12"/>
        <v>18596</v>
      </c>
      <c r="U22" s="166">
        <f t="shared" si="12"/>
        <v>0</v>
      </c>
      <c r="V22" s="166">
        <f t="shared" si="12"/>
        <v>0</v>
      </c>
      <c r="W22" s="166">
        <f t="shared" si="12"/>
        <v>0</v>
      </c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  <c r="BT22" s="156"/>
      <c r="BU22" s="156"/>
      <c r="BV22" s="156"/>
      <c r="BW22" s="156"/>
      <c r="BX22" s="156"/>
      <c r="BY22" s="156"/>
      <c r="BZ22" s="156"/>
      <c r="CA22" s="156"/>
      <c r="CB22" s="156"/>
      <c r="CC22" s="156"/>
      <c r="CD22" s="156"/>
      <c r="CE22" s="156"/>
      <c r="CF22" s="156"/>
      <c r="CG22" s="156"/>
      <c r="CH22" s="156"/>
      <c r="CI22" s="156"/>
      <c r="CJ22" s="156"/>
      <c r="CK22" s="156"/>
      <c r="CL22" s="156"/>
      <c r="CM22" s="156"/>
      <c r="CN22" s="156"/>
      <c r="CO22" s="156"/>
      <c r="CP22" s="156"/>
      <c r="CQ22" s="156"/>
      <c r="CR22" s="156"/>
      <c r="CS22" s="156"/>
      <c r="CT22" s="156"/>
      <c r="CU22" s="156"/>
      <c r="CV22" s="156"/>
      <c r="CW22" s="156"/>
      <c r="CX22" s="156"/>
      <c r="CY22" s="156"/>
      <c r="CZ22" s="156"/>
      <c r="DA22" s="156"/>
      <c r="DB22" s="156"/>
      <c r="DC22" s="156"/>
      <c r="DD22" s="156"/>
      <c r="DE22" s="156"/>
      <c r="DF22" s="156"/>
      <c r="DG22" s="156"/>
      <c r="DH22" s="156"/>
      <c r="DI22" s="156"/>
      <c r="DJ22" s="156"/>
      <c r="DK22" s="156"/>
      <c r="DL22" s="156"/>
      <c r="DM22" s="156"/>
      <c r="DN22" s="156"/>
      <c r="DO22" s="156"/>
      <c r="DP22" s="156"/>
      <c r="DQ22" s="156"/>
      <c r="DR22" s="156"/>
      <c r="DS22" s="156"/>
      <c r="DT22" s="156"/>
      <c r="DU22" s="156"/>
      <c r="DV22" s="156"/>
      <c r="DW22" s="156"/>
      <c r="DX22" s="156"/>
      <c r="DY22" s="156"/>
      <c r="DZ22" s="156"/>
      <c r="EA22" s="156"/>
      <c r="EB22" s="156"/>
      <c r="EC22" s="156"/>
      <c r="ED22" s="156"/>
      <c r="EE22" s="156"/>
      <c r="EF22" s="156"/>
      <c r="EG22" s="156"/>
      <c r="EH22" s="156"/>
      <c r="EI22" s="156"/>
      <c r="EJ22" s="156"/>
      <c r="EK22" s="156"/>
      <c r="EL22" s="156"/>
      <c r="EM22" s="156"/>
      <c r="EN22" s="156"/>
      <c r="EO22" s="156"/>
      <c r="EP22" s="156"/>
      <c r="EQ22" s="156"/>
      <c r="ER22" s="156"/>
      <c r="ES22" s="156"/>
      <c r="ET22" s="156"/>
      <c r="EU22" s="156"/>
      <c r="EV22" s="156"/>
      <c r="EW22" s="156"/>
      <c r="EX22" s="156"/>
      <c r="EY22" s="156"/>
      <c r="EZ22" s="156"/>
      <c r="FA22" s="156"/>
      <c r="FB22" s="156"/>
      <c r="FC22" s="156"/>
      <c r="FD22" s="156"/>
      <c r="FE22" s="156"/>
      <c r="FF22" s="156"/>
      <c r="FG22" s="156"/>
      <c r="FH22" s="156"/>
      <c r="FI22" s="156"/>
      <c r="FJ22" s="156"/>
      <c r="FK22" s="156"/>
      <c r="FL22" s="156"/>
      <c r="FM22" s="156"/>
      <c r="FN22" s="156"/>
      <c r="FO22" s="156"/>
      <c r="FP22" s="156"/>
      <c r="FQ22" s="156"/>
      <c r="FR22" s="156"/>
      <c r="FS22" s="156"/>
      <c r="FT22" s="156"/>
      <c r="FU22" s="156"/>
      <c r="FV22" s="156"/>
      <c r="FW22" s="156"/>
      <c r="FX22" s="156"/>
      <c r="FY22" s="156"/>
      <c r="FZ22" s="156"/>
      <c r="GA22" s="156"/>
      <c r="GB22" s="156"/>
      <c r="GC22" s="156"/>
      <c r="GD22" s="156"/>
      <c r="GE22" s="156"/>
      <c r="GF22" s="156"/>
      <c r="GG22" s="156"/>
      <c r="GH22" s="156"/>
      <c r="GI22" s="156"/>
      <c r="GJ22" s="156"/>
      <c r="GK22" s="156"/>
      <c r="GL22" s="155"/>
      <c r="GM22" s="155"/>
      <c r="GN22" s="155"/>
      <c r="GO22" s="155"/>
      <c r="GP22" s="155"/>
      <c r="GQ22" s="155"/>
      <c r="GR22" s="155"/>
      <c r="GS22" s="155"/>
      <c r="GT22" s="155"/>
      <c r="GU22" s="155"/>
      <c r="GV22" s="155"/>
      <c r="GW22" s="155"/>
      <c r="GX22" s="155"/>
      <c r="GY22" s="155"/>
      <c r="GZ22" s="155"/>
      <c r="HA22" s="155"/>
      <c r="HB22" s="155"/>
      <c r="HC22" s="155"/>
      <c r="HD22" s="155"/>
      <c r="HE22" s="155"/>
    </row>
    <row r="23" spans="1:213" s="188" customFormat="1" ht="12.6" customHeight="1">
      <c r="A23" s="160">
        <v>2023</v>
      </c>
      <c r="B23" s="168">
        <v>31</v>
      </c>
      <c r="C23" s="169" t="s">
        <v>3243</v>
      </c>
      <c r="D23" s="170">
        <f t="shared" si="10"/>
        <v>4515541</v>
      </c>
      <c r="E23" s="171">
        <f>SUMIFS('Unos rashoda i izdataka'!$K$3:$K$501,'Unos rashoda i izdataka'!$C$3:$C$501,"=11",'Unos rashoda i izdataka'!$P$3:$P$501,"=31")+SUMIFS('Unos rashoda P4'!$I$3:$I$501,'Unos rashoda P4'!$A$3:$A$501,"=11",'Unos rashoda P4'!$S$3:$S$501,"=31")</f>
        <v>3316092</v>
      </c>
      <c r="F23" s="171">
        <f>SUMIFS('Unos rashoda i izdataka'!$K$3:$K$501,'Unos rashoda i izdataka'!$C$3:$C$501,"=12",'Unos rashoda i izdataka'!$P$3:$P$501,"=31")+SUMIFS('Unos rashoda P4'!$I$3:$I$501,'Unos rashoda P4'!$A$3:$A$501,"=12",'Unos rashoda P4'!$S$3:$S$501,"=31")</f>
        <v>5780</v>
      </c>
      <c r="G23" s="171">
        <f>SUMIFS('Unos rashoda i izdataka'!$K$3:$K$501,'Unos rashoda i izdataka'!$C$3:$C$501,"=31",'Unos rashoda i izdataka'!$P$3:$P$501,"=31")+SUMIFS('Unos rashoda P4'!$I$3:$I$501,'Unos rashoda P4'!$A$3:$A$501,"=31",'Unos rashoda P4'!$S$3:$S$501,"=31")</f>
        <v>391033</v>
      </c>
      <c r="H23" s="171">
        <f>SUMIFS('Unos rashoda i izdataka'!$K$3:$K$501,'Unos rashoda i izdataka'!$C$3:$C$501,"=41",'Unos rashoda i izdataka'!$P$3:$P$501,"=31")+SUMIFS('Unos rashoda P4'!$I$3:$I$501,'Unos rashoda P4'!$A$3:$A$501,"=41",'Unos rashoda P4'!$S$3:$S$501,"=31")</f>
        <v>0</v>
      </c>
      <c r="I23" s="171">
        <f>SUMIFS('Unos rashoda i izdataka'!$K$3:$K$501,'Unos rashoda i izdataka'!$C$3:$C$501,"=43",'Unos rashoda i izdataka'!$P$3:$P$501,"=31")+SUMIFS('Unos rashoda P4'!$I$3:$I$501,'Unos rashoda P4'!$A$3:$A$501,"=43",'Unos rashoda P4'!$S$3:$S$501,"=31")</f>
        <v>362886</v>
      </c>
      <c r="J23" s="171">
        <f>SUMIFS('Unos rashoda i izdataka'!$K$3:$K$501,'Unos rashoda i izdataka'!$C$3:$C$501,"=51",'Unos rashoda i izdataka'!$P$3:$P$501,"=31")+SUMIFS('Unos rashoda P4'!$I$3:$I$501,'Unos rashoda P4'!$A$3:$A$501,"=51",'Unos rashoda P4'!$S$3:$S$501,"=31")</f>
        <v>277621</v>
      </c>
      <c r="K23" s="171">
        <f>SUMIFS('Unos rashoda i izdataka'!$K$3:$K$501,'Unos rashoda i izdataka'!$C$3:$C$501,"=52",'Unos rashoda i izdataka'!$P$3:$P$501,"=31")+SUMIFS('Unos rashoda P4'!$I$3:$I$501,'Unos rashoda P4'!$A$3:$A$501,"=52",'Unos rashoda P4'!$S$3:$S$501,"=31")</f>
        <v>116962</v>
      </c>
      <c r="L23" s="171">
        <f>SUMIFS('Unos rashoda i izdataka'!$K$3:$K$501,'Unos rashoda i izdataka'!$C$3:$C$501,"=552",'Unos rashoda i izdataka'!$P$3:$P$501,"=31")+SUMIFS('Unos rashoda P4'!$I$3:$I$501,'Unos rashoda P4'!$A$3:$A$501,"=552",'Unos rashoda P4'!$S$3:$S$501,"=31")</f>
        <v>0</v>
      </c>
      <c r="M23" s="171">
        <f>SUMIFS('Unos rashoda i izdataka'!$K$3:$K$501,'Unos rashoda i izdataka'!$C$3:$C$501,"=559",'Unos rashoda i izdataka'!$P$3:$P$501,"=31")+SUMIFS('Unos rashoda P4'!$I$3:$I$501,'Unos rashoda P4'!$A$3:$A$501,"=559",'Unos rashoda P4'!$S$3:$S$501,"=31")</f>
        <v>0</v>
      </c>
      <c r="N23" s="171">
        <f>SUMIFS('Unos rashoda i izdataka'!$K$3:$K$501,'Unos rashoda i izdataka'!$C$3:$C$501,"=561",'Unos rashoda i izdataka'!$P$3:$P$501,"=31")+SUMIFS('Unos rashoda P4'!$I$3:$I$501,'Unos rashoda P4'!$A$3:$A$501,"=561",'Unos rashoda P4'!$S$3:$S$501,"=31")</f>
        <v>32755</v>
      </c>
      <c r="O23" s="171">
        <f>SUMIFS('Unos rashoda i izdataka'!$K$3:$K$501,'Unos rashoda i izdataka'!$C$3:$C$501,"=563",'Unos rashoda i izdataka'!$P$3:$P$501,"=31")+SUMIFS('Unos rashoda P4'!$I$3:$I$501,'Unos rashoda P4'!$A$3:$A$501,"=563",'Unos rashoda P4'!$S$3:$S$501,"=31")</f>
        <v>0</v>
      </c>
      <c r="P23" s="171">
        <f>SUMIFS('Unos rashoda i izdataka'!$K$3:$K$501,'Unos rashoda i izdataka'!$C$3:$C$501,"=573",'Unos rashoda i izdataka'!$P$3:$P$501,"=31")+SUMIFS('Unos rashoda P4'!$I$3:$I$501,'Unos rashoda P4'!$A$3:$A$501,"=573",'Unos rashoda P4'!$S$3:$S$501,"=31")</f>
        <v>0</v>
      </c>
      <c r="Q23" s="171">
        <f>SUMIFS('Unos rashoda i izdataka'!$K$3:$K$501,'Unos rashoda i izdataka'!$C$3:$C$501,"=575",'Unos rashoda i izdataka'!$P$3:$P$501,"=31")+SUMIFS('Unos rashoda P4'!$I$3:$I$501,'Unos rashoda P4'!$A$3:$A$501,"=575",'Unos rashoda P4'!$S$3:$S$501,"=31")</f>
        <v>0</v>
      </c>
      <c r="R23" s="171">
        <f>SUMIFS('Unos rashoda i izdataka'!$K$3:$K$501,'Unos rashoda i izdataka'!$Q$3:$Q$501,"=576",'Unos rashoda i izdataka'!$P$3:$P$501,"=31")+SUMIFS('Unos rashoda P4'!$I$3:$I$501,'Unos rashoda P4'!$A$3:$A$501,"=576",'Unos rashoda P4'!$S$3:$S$501,"=31")</f>
        <v>0</v>
      </c>
      <c r="S23" s="171">
        <f>SUMIFS('Unos rashoda i izdataka'!$K$3:$K$501,'Unos rashoda i izdataka'!$C$3:$C$501,"=581",'Unos rashoda i izdataka'!$P$3:$P$501,"=31")+SUMIFS('Unos rashoda P4'!$I$3:$I$501,'Unos rashoda P4'!$A$3:$A$501,"=581",'Unos rashoda P4'!$S$3:$S$501,"=31")</f>
        <v>0</v>
      </c>
      <c r="T23" s="171">
        <f>SUMIFS('Unos rashoda i izdataka'!$K$3:$K$501,'Unos rashoda i izdataka'!$C$3:$C$501,"=61",'Unos rashoda i izdataka'!$P$3:$P$501,"=31")+SUMIFS('Unos rashoda P4'!$I$3:$I$501,'Unos rashoda P4'!$A$3:$A$501,"=61",'Unos rashoda P4'!$S$3:$S$501,"=31")</f>
        <v>12412</v>
      </c>
      <c r="U23" s="171">
        <f>SUMIFS('Unos rashoda i izdataka'!$K$3:$K$501,'Unos rashoda i izdataka'!$C$3:$C$501,"=63",'Unos rashoda i izdataka'!$P$3:$P$501,"=31")+SUMIFS('Unos rashoda P4'!$I$3:$I$501,'Unos rashoda P4'!$A$3:$A$501,"=63",'Unos rashoda P4'!$S$3:$S$501,"=31")</f>
        <v>0</v>
      </c>
      <c r="V23" s="171">
        <f>SUMIFS('Unos rashoda i izdataka'!$K$3:$K$501,'Unos rashoda i izdataka'!$C$3:$C$501,"=71",'Unos rashoda i izdataka'!$P$3:$P$501,"=31")+SUMIFS('Unos rashoda P4'!$I$3:$I$501,'Unos rashoda P4'!$A$3:$A$501,"=71",'Unos rashoda P4'!$S$3:$S$501,"=31")</f>
        <v>0</v>
      </c>
      <c r="W23" s="171">
        <f>SUMIFS('Unos rashoda i izdataka'!$K$3:$K$501,'Unos rashoda i izdataka'!$C$3:$C$501,"=81",'Unos rashoda i izdataka'!$P$3:$P$501,"=31")+SUMIFS('Unos rashoda P4'!$I$3:$I$501,'Unos rashoda P4'!$A$3:$A$501,"=81",'Unos rashoda P4'!$S$3:$S$501,"=31")</f>
        <v>0</v>
      </c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  <c r="BH23" s="172"/>
      <c r="BI23" s="172"/>
      <c r="BJ23" s="172"/>
      <c r="BK23" s="172"/>
      <c r="BL23" s="172"/>
      <c r="BM23" s="172"/>
      <c r="BN23" s="172"/>
      <c r="BO23" s="172"/>
      <c r="BP23" s="172"/>
      <c r="BQ23" s="172"/>
      <c r="BR23" s="172"/>
      <c r="BS23" s="172"/>
      <c r="BT23" s="172"/>
      <c r="BU23" s="172"/>
      <c r="BV23" s="172"/>
      <c r="BW23" s="172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2"/>
      <c r="CJ23" s="172"/>
      <c r="CK23" s="172"/>
      <c r="CL23" s="172"/>
      <c r="CM23" s="172"/>
      <c r="CN23" s="172"/>
      <c r="CO23" s="172"/>
      <c r="CP23" s="172"/>
      <c r="CQ23" s="172"/>
      <c r="CR23" s="172"/>
      <c r="CS23" s="172"/>
      <c r="CT23" s="172"/>
      <c r="CU23" s="172"/>
      <c r="CV23" s="172"/>
      <c r="CW23" s="172"/>
      <c r="CX23" s="172"/>
      <c r="CY23" s="172"/>
      <c r="CZ23" s="172"/>
      <c r="DA23" s="172"/>
      <c r="DB23" s="172"/>
      <c r="DC23" s="172"/>
      <c r="DD23" s="172"/>
      <c r="DE23" s="172"/>
      <c r="DF23" s="172"/>
      <c r="DG23" s="172"/>
      <c r="DH23" s="172"/>
      <c r="DI23" s="172"/>
      <c r="DJ23" s="172"/>
      <c r="DK23" s="172"/>
      <c r="DL23" s="172"/>
      <c r="DM23" s="172"/>
      <c r="DN23" s="172"/>
      <c r="DO23" s="172"/>
      <c r="DP23" s="172"/>
      <c r="DQ23" s="172"/>
      <c r="DR23" s="172"/>
      <c r="DS23" s="172"/>
      <c r="DT23" s="172"/>
      <c r="DU23" s="172"/>
      <c r="DV23" s="172"/>
      <c r="DW23" s="172"/>
      <c r="DX23" s="172"/>
      <c r="DY23" s="172"/>
      <c r="DZ23" s="172"/>
      <c r="EA23" s="172"/>
      <c r="EB23" s="172"/>
      <c r="EC23" s="172"/>
      <c r="ED23" s="172"/>
      <c r="EE23" s="172"/>
      <c r="EF23" s="172"/>
      <c r="EG23" s="172"/>
      <c r="EH23" s="172"/>
      <c r="EI23" s="172"/>
      <c r="EJ23" s="172"/>
      <c r="EK23" s="172"/>
      <c r="EL23" s="172"/>
      <c r="EM23" s="172"/>
      <c r="EN23" s="172"/>
      <c r="EO23" s="172"/>
      <c r="EP23" s="172"/>
      <c r="EQ23" s="172"/>
      <c r="ER23" s="172"/>
      <c r="ES23" s="172"/>
      <c r="ET23" s="172"/>
      <c r="EU23" s="172"/>
      <c r="EV23" s="172"/>
      <c r="EW23" s="172"/>
      <c r="EX23" s="172"/>
      <c r="EY23" s="172"/>
      <c r="EZ23" s="172"/>
      <c r="FA23" s="172"/>
      <c r="FB23" s="172"/>
      <c r="FC23" s="172"/>
      <c r="FD23" s="172"/>
      <c r="FE23" s="172"/>
      <c r="FF23" s="172"/>
      <c r="FG23" s="172"/>
      <c r="FH23" s="172"/>
      <c r="FI23" s="172"/>
      <c r="FJ23" s="172"/>
      <c r="FK23" s="172"/>
      <c r="FL23" s="172"/>
      <c r="FM23" s="172"/>
      <c r="FN23" s="172"/>
      <c r="FO23" s="172"/>
      <c r="FP23" s="172"/>
      <c r="FQ23" s="172"/>
      <c r="FR23" s="172"/>
      <c r="FS23" s="172"/>
      <c r="FT23" s="172"/>
      <c r="FU23" s="172"/>
      <c r="FV23" s="172"/>
      <c r="FW23" s="172"/>
      <c r="FX23" s="172"/>
      <c r="FY23" s="172"/>
      <c r="FZ23" s="172"/>
      <c r="GA23" s="172"/>
      <c r="GB23" s="172"/>
      <c r="GC23" s="172"/>
      <c r="GD23" s="172"/>
      <c r="GE23" s="172"/>
      <c r="GF23" s="172"/>
      <c r="GG23" s="172"/>
      <c r="GH23" s="172"/>
      <c r="GI23" s="172"/>
      <c r="GJ23" s="172"/>
      <c r="GK23" s="172"/>
      <c r="GL23" s="173"/>
      <c r="GM23" s="173"/>
      <c r="GN23" s="173"/>
      <c r="GO23" s="173"/>
      <c r="GP23" s="173"/>
      <c r="GQ23" s="173"/>
      <c r="GR23" s="173"/>
      <c r="GS23" s="173"/>
      <c r="GT23" s="173"/>
      <c r="GU23" s="173"/>
      <c r="GV23" s="173"/>
      <c r="GW23" s="173"/>
      <c r="GX23" s="173"/>
      <c r="GY23" s="173"/>
      <c r="GZ23" s="173"/>
      <c r="HA23" s="173"/>
      <c r="HB23" s="173"/>
      <c r="HC23" s="173"/>
      <c r="HD23" s="173"/>
      <c r="HE23" s="173"/>
    </row>
    <row r="24" spans="1:213" s="172" customFormat="1" ht="12.6" customHeight="1">
      <c r="A24" s="160">
        <v>2023</v>
      </c>
      <c r="B24" s="174">
        <v>32</v>
      </c>
      <c r="C24" s="175" t="s">
        <v>3244</v>
      </c>
      <c r="D24" s="176">
        <f t="shared" si="10"/>
        <v>1487468</v>
      </c>
      <c r="E24" s="171">
        <f>SUMIFS('Unos rashoda i izdataka'!$K$3:$K$501,'Unos rashoda i izdataka'!$C$3:$C$501,"=11",'Unos rashoda i izdataka'!$P$3:$P$501,"=32")+SUMIFS('Unos rashoda P4'!$I$3:$I$501,'Unos rashoda P4'!$A$3:$A$501,"=11",'Unos rashoda P4'!$S$3:$S$501,"=32")</f>
        <v>429398</v>
      </c>
      <c r="F24" s="171">
        <f>SUMIFS('Unos rashoda i izdataka'!$K$3:$K$501,'Unos rashoda i izdataka'!$C$3:$C$501,"=12",'Unos rashoda i izdataka'!$P$3:$P$501,"=32")+SUMIFS('Unos rashoda P4'!$I$3:$I$501,'Unos rashoda P4'!$A$3:$A$501,"=12",'Unos rashoda P4'!$S$3:$S$501,"=32")</f>
        <v>316</v>
      </c>
      <c r="G24" s="171">
        <f>SUMIFS('Unos rashoda i izdataka'!$K$3:$K$501,'Unos rashoda i izdataka'!$C$3:$C$501,"=31",'Unos rashoda i izdataka'!$P$3:$P$501,"=32")+SUMIFS('Unos rashoda P4'!$I$3:$I$501,'Unos rashoda P4'!$A$3:$A$501,"=31",'Unos rashoda P4'!$S$3:$S$501,"=32")</f>
        <v>450179</v>
      </c>
      <c r="H24" s="171">
        <f>SUMIFS('Unos rashoda i izdataka'!$K$3:$K$501,'Unos rashoda i izdataka'!$C$3:$C$501,"=41",'Unos rashoda i izdataka'!$P$3:$P$501,"=32")+SUMIFS('Unos rashoda P4'!$I$3:$I$501,'Unos rashoda P4'!$A$3:$A$501,"=41",'Unos rashoda P4'!$S$3:$S$501,"=32")</f>
        <v>0</v>
      </c>
      <c r="I24" s="171">
        <f>SUMIFS('Unos rashoda i izdataka'!$K$3:$K$501,'Unos rashoda i izdataka'!$C$3:$C$501,"=43",'Unos rashoda i izdataka'!$P$3:$P$501,"=32")+SUMIFS('Unos rashoda P4'!$I$3:$I$501,'Unos rashoda P4'!$A$3:$A$501,"=43",'Unos rashoda P4'!$S$3:$S$501,"=32")</f>
        <v>276296</v>
      </c>
      <c r="J24" s="171">
        <f>SUMIFS('Unos rashoda i izdataka'!$K$3:$K$501,'Unos rashoda i izdataka'!$C$3:$C$501,"=51",'Unos rashoda i izdataka'!$P$3:$P$501,"=32")+SUMIFS('Unos rashoda P4'!$I$3:$I$501,'Unos rashoda P4'!$A$3:$A$501,"=51",'Unos rashoda P4'!$S$3:$S$501,"=32")</f>
        <v>257577</v>
      </c>
      <c r="K24" s="171">
        <f>SUMIFS('Unos rashoda i izdataka'!$K$3:$K$501,'Unos rashoda i izdataka'!$C$3:$C$501,"=52",'Unos rashoda i izdataka'!$P$3:$P$501,"=32")+SUMIFS('Unos rashoda P4'!$I$3:$I$501,'Unos rashoda P4'!$A$3:$A$501,"=52",'Unos rashoda P4'!$S$3:$S$501,"=32")</f>
        <v>65731</v>
      </c>
      <c r="L24" s="171">
        <f>SUMIFS('Unos rashoda i izdataka'!$K$3:$K$501,'Unos rashoda i izdataka'!$C$3:$C$501,"=552",'Unos rashoda i izdataka'!$P$3:$P$501,"=32")+SUMIFS('Unos rashoda P4'!$I$3:$I$501,'Unos rashoda P4'!$A$3:$A$501,"=552",'Unos rashoda P4'!$S$3:$S$501,"=32")</f>
        <v>0</v>
      </c>
      <c r="M24" s="171">
        <f>SUMIFS('Unos rashoda i izdataka'!$K$3:$K$501,'Unos rashoda i izdataka'!$C$3:$C$501,"=559",'Unos rashoda i izdataka'!$P$3:$P$501,"=32")+SUMIFS('Unos rashoda P4'!$I$3:$I$501,'Unos rashoda P4'!$A$3:$A$501,"=559",'Unos rashoda P4'!$S$3:$S$501,"=32")</f>
        <v>0</v>
      </c>
      <c r="N24" s="171">
        <f>SUMIFS('Unos rashoda i izdataka'!$K$3:$K$501,'Unos rashoda i izdataka'!$C$3:$C$501,"=561",'Unos rashoda i izdataka'!$P$3:$P$501,"=32")+SUMIFS('Unos rashoda P4'!$I$3:$I$501,'Unos rashoda P4'!$A$3:$A$501,"=561",'Unos rashoda P4'!$S$3:$S$501,"=32")</f>
        <v>1787</v>
      </c>
      <c r="O24" s="171">
        <f>SUMIFS('Unos rashoda i izdataka'!$K$3:$K$501,'Unos rashoda i izdataka'!$C$3:$C$501,"=563",'Unos rashoda i izdataka'!$P$3:$P$501,"=32")+SUMIFS('Unos rashoda P4'!$I$3:$I$501,'Unos rashoda P4'!$A$3:$A$501,"=563",'Unos rashoda P4'!$S$3:$S$501,"=32")</f>
        <v>0</v>
      </c>
      <c r="P24" s="171">
        <f>SUMIFS('Unos rashoda i izdataka'!$K$3:$K$501,'Unos rashoda i izdataka'!$C$3:$C$501,"=573",'Unos rashoda i izdataka'!$P$3:$P$501,"=32")+SUMIFS('Unos rashoda P4'!$I$3:$I$501,'Unos rashoda P4'!$A$3:$A$501,"=573",'Unos rashoda P4'!$S$3:$S$501,"=32")</f>
        <v>0</v>
      </c>
      <c r="Q24" s="171">
        <f>SUMIFS('Unos rashoda i izdataka'!$K$3:$K$501,'Unos rashoda i izdataka'!$C$3:$C$501,"=575",'Unos rashoda i izdataka'!$P$3:$P$501,"=32")+SUMIFS('Unos rashoda P4'!$I$3:$I$501,'Unos rashoda P4'!$A$3:$A$501,"=575",'Unos rashoda P4'!$S$3:$S$501,"=32")</f>
        <v>0</v>
      </c>
      <c r="R24" s="171">
        <f>SUMIFS('Unos rashoda i izdataka'!$K$3:$K$501,'Unos rashoda i izdataka'!$Q$3:$Q$501,"=576",'Unos rashoda i izdataka'!$P$3:$P$501,"=32")+SUMIFS('Unos rashoda P4'!$I$3:$I$501,'Unos rashoda P4'!$A$3:$A$501,"=576",'Unos rashoda P4'!$S$3:$S$501,"=32")</f>
        <v>0</v>
      </c>
      <c r="S24" s="171">
        <f>SUMIFS('Unos rashoda i izdataka'!$K$3:$K$501,'Unos rashoda i izdataka'!$C$3:$C$501,"=581",'Unos rashoda i izdataka'!$P$3:$P$501,"=32")+SUMIFS('Unos rashoda P4'!$I$3:$I$501,'Unos rashoda P4'!$A$3:$A$501,"=581",'Unos rashoda P4'!$S$3:$S$501,"=32")</f>
        <v>0</v>
      </c>
      <c r="T24" s="171">
        <f>SUMIFS('Unos rashoda i izdataka'!$K$3:$K$501,'Unos rashoda i izdataka'!$C$3:$C$501,"=61",'Unos rashoda i izdataka'!$P$3:$P$501,"=32")+SUMIFS('Unos rashoda P4'!$I$3:$I$501,'Unos rashoda P4'!$A$3:$A$501,"=61",'Unos rashoda P4'!$S$3:$S$501,"=32")</f>
        <v>6184</v>
      </c>
      <c r="U24" s="171">
        <f>SUMIFS('Unos rashoda i izdataka'!$K$3:$K$501,'Unos rashoda i izdataka'!$C$3:$C$501,"=63",'Unos rashoda i izdataka'!$P$3:$P$501,"=32")+SUMIFS('Unos rashoda P4'!$I$3:$I$501,'Unos rashoda P4'!$A$3:$A$501,"=63",'Unos rashoda P4'!$S$3:$S$501,"=32")</f>
        <v>0</v>
      </c>
      <c r="V24" s="171">
        <f>SUMIFS('Unos rashoda i izdataka'!$K$3:$K$501,'Unos rashoda i izdataka'!$C$3:$C$501,"=71",'Unos rashoda i izdataka'!$P$3:$P$501,"=32")+SUMIFS('Unos rashoda P4'!$I$3:$I$501,'Unos rashoda P4'!$A$3:$A$501,"=71",'Unos rashoda P4'!$S$3:$S$501,"=32")</f>
        <v>0</v>
      </c>
      <c r="W24" s="171">
        <f>SUMIFS('Unos rashoda i izdataka'!$K$3:$K$501,'Unos rashoda i izdataka'!$C$3:$C$501,"=81",'Unos rashoda i izdataka'!$P$3:$P$501,"=32")+SUMIFS('Unos rashoda P4'!$I$3:$I$501,'Unos rashoda P4'!$A$3:$A$501,"=81",'Unos rashoda P4'!$S$3:$S$501,"=32")</f>
        <v>0</v>
      </c>
      <c r="GL24" s="173"/>
      <c r="GM24" s="173"/>
      <c r="GN24" s="173"/>
      <c r="GO24" s="173"/>
      <c r="GP24" s="173"/>
      <c r="GQ24" s="173"/>
      <c r="GR24" s="173"/>
      <c r="GS24" s="173"/>
      <c r="GT24" s="173"/>
      <c r="GU24" s="173"/>
      <c r="GV24" s="173"/>
      <c r="GW24" s="173"/>
      <c r="GX24" s="173"/>
      <c r="GY24" s="173"/>
      <c r="GZ24" s="173"/>
      <c r="HA24" s="173"/>
      <c r="HB24" s="173"/>
      <c r="HC24" s="173"/>
      <c r="HD24" s="173"/>
      <c r="HE24" s="173"/>
    </row>
    <row r="25" spans="1:213" s="189" customFormat="1" ht="12.6" customHeight="1">
      <c r="A25" s="160">
        <v>2023</v>
      </c>
      <c r="B25" s="174">
        <v>34</v>
      </c>
      <c r="C25" s="175" t="s">
        <v>3245</v>
      </c>
      <c r="D25" s="176">
        <f t="shared" si="10"/>
        <v>6556</v>
      </c>
      <c r="E25" s="171">
        <f>SUMIFS('Unos rashoda i izdataka'!$K$3:$K$501,'Unos rashoda i izdataka'!$C$3:$C$501,"=11",'Unos rashoda i izdataka'!$P$3:$P$501,"=34")+SUMIFS('Unos rashoda P4'!$I$3:$I$501,'Unos rashoda P4'!$A$3:$A$501,"=11",'Unos rashoda P4'!$S$3:$S$501,"=34")</f>
        <v>4590</v>
      </c>
      <c r="F25" s="171">
        <f>SUMIFS('Unos rashoda i izdataka'!$K$3:$K$501,'Unos rashoda i izdataka'!$C$3:$C$501,"=12",'Unos rashoda i izdataka'!$P$3:$P$501,"=34")+SUMIFS('Unos rashoda P4'!$I$3:$I$501,'Unos rashoda P4'!$A$3:$A$501,"=12",'Unos rashoda P4'!$S$3:$S$501,"=34")</f>
        <v>0</v>
      </c>
      <c r="G25" s="171">
        <f>SUMIFS('Unos rashoda i izdataka'!$K$3:$K$501,'Unos rashoda i izdataka'!$C$3:$C$501,"=31",'Unos rashoda i izdataka'!$P$3:$P$501,"=34")+SUMIFS('Unos rashoda P4'!$I$3:$I$501,'Unos rashoda P4'!$A$3:$A$501,"=31",'Unos rashoda P4'!$S$3:$S$501,"=34")</f>
        <v>666</v>
      </c>
      <c r="H25" s="171">
        <f>SUMIFS('Unos rashoda i izdataka'!$K$3:$K$501,'Unos rashoda i izdataka'!$C$3:$C$501,"=41",'Unos rashoda i izdataka'!$P$3:$P$501,"=34")+SUMIFS('Unos rashoda P4'!$I$3:$I$501,'Unos rashoda P4'!$A$3:$A$501,"=41",'Unos rashoda P4'!$S$3:$S$501,"=34")</f>
        <v>0</v>
      </c>
      <c r="I25" s="171">
        <f>SUMIFS('Unos rashoda i izdataka'!$K$3:$K$501,'Unos rashoda i izdataka'!$C$3:$C$501,"=43",'Unos rashoda i izdataka'!$P$3:$P$501,"=34")+SUMIFS('Unos rashoda P4'!$I$3:$I$501,'Unos rashoda P4'!$A$3:$A$501,"=43",'Unos rashoda P4'!$S$3:$S$501,"=34")</f>
        <v>1300</v>
      </c>
      <c r="J25" s="171">
        <f>SUMIFS('Unos rashoda i izdataka'!$K$3:$K$501,'Unos rashoda i izdataka'!$C$3:$C$501,"=51",'Unos rashoda i izdataka'!$P$3:$P$501,"=34")+SUMIFS('Unos rashoda P4'!$I$3:$I$501,'Unos rashoda P4'!$A$3:$A$501,"=51",'Unos rashoda P4'!$S$3:$S$501,"=34")</f>
        <v>0</v>
      </c>
      <c r="K25" s="171">
        <f>SUMIFS('Unos rashoda i izdataka'!$K$3:$K$501,'Unos rashoda i izdataka'!$C$3:$C$501,"=52",'Unos rashoda i izdataka'!$P$3:$P$501,"=34")+SUMIFS('Unos rashoda P4'!$I$3:$I$501,'Unos rashoda P4'!$A$3:$A$501,"=52",'Unos rashoda P4'!$S$3:$S$501,"=34")</f>
        <v>0</v>
      </c>
      <c r="L25" s="171">
        <f>SUMIFS('Unos rashoda i izdataka'!$K$3:$K$501,'Unos rashoda i izdataka'!$C$3:$C$501,"=552",'Unos rashoda i izdataka'!$P$3:$P$501,"=34")+SUMIFS('Unos rashoda P4'!$I$3:$I$501,'Unos rashoda P4'!$A$3:$A$501,"=552",'Unos rashoda P4'!$S$3:$S$501,"=34")</f>
        <v>0</v>
      </c>
      <c r="M25" s="171">
        <f>SUMIFS('Unos rashoda i izdataka'!$K$3:$K$501,'Unos rashoda i izdataka'!$C$3:$C$501,"=559",'Unos rashoda i izdataka'!$P$3:$P$501,"=34")+SUMIFS('Unos rashoda P4'!$I$3:$I$501,'Unos rashoda P4'!$A$3:$A$501,"=559",'Unos rashoda P4'!$S$3:$S$501,"=34")</f>
        <v>0</v>
      </c>
      <c r="N25" s="171">
        <f>SUMIFS('Unos rashoda i izdataka'!$K$3:$K$501,'Unos rashoda i izdataka'!$C$3:$C$501,"=561",'Unos rashoda i izdataka'!$P$3:$P$501,"=34")+SUMIFS('Unos rashoda P4'!$I$3:$I$501,'Unos rashoda P4'!$A$3:$A$501,"=561",'Unos rashoda P4'!$S$3:$S$501,"=34")</f>
        <v>0</v>
      </c>
      <c r="O25" s="171">
        <f>SUMIFS('Unos rashoda i izdataka'!$K$3:$K$501,'Unos rashoda i izdataka'!$C$3:$C$501,"=563",'Unos rashoda i izdataka'!$P$3:$P$501,"=34")+SUMIFS('Unos rashoda P4'!$I$3:$I$501,'Unos rashoda P4'!$A$3:$A$501,"=563",'Unos rashoda P4'!$S$3:$S$501,"=34")</f>
        <v>0</v>
      </c>
      <c r="P25" s="171">
        <f>SUMIFS('Unos rashoda i izdataka'!$K$3:$K$501,'Unos rashoda i izdataka'!$C$3:$C$501,"=573",'Unos rashoda i izdataka'!$P$3:$P$501,"=34")+SUMIFS('Unos rashoda P4'!$I$3:$I$501,'Unos rashoda P4'!$A$3:$A$501,"=573",'Unos rashoda P4'!$S$3:$S$501,"=34")</f>
        <v>0</v>
      </c>
      <c r="Q25" s="171">
        <f>SUMIFS('Unos rashoda i izdataka'!$K$3:$K$501,'Unos rashoda i izdataka'!$C$3:$C$501,"=575",'Unos rashoda i izdataka'!$P$3:$P$501,"=34")+SUMIFS('Unos rashoda P4'!$I$3:$I$501,'Unos rashoda P4'!$A$3:$A$501,"=575",'Unos rashoda P4'!$S$3:$S$501,"=34")</f>
        <v>0</v>
      </c>
      <c r="R25" s="171">
        <f>SUMIFS('Unos rashoda i izdataka'!$K$3:$K$501,'Unos rashoda i izdataka'!$Q$3:$Q$501,"=576",'Unos rashoda i izdataka'!$P$3:$P$501,"=34")+SUMIFS('Unos rashoda P4'!$I$3:$I$501,'Unos rashoda P4'!$A$3:$A$501,"=576",'Unos rashoda P4'!$S$3:$S$501,"=34")</f>
        <v>0</v>
      </c>
      <c r="S25" s="171">
        <f>SUMIFS('Unos rashoda i izdataka'!$K$3:$K$501,'Unos rashoda i izdataka'!$C$3:$C$501,"=581",'Unos rashoda i izdataka'!$P$3:$P$501,"=34")+SUMIFS('Unos rashoda P4'!$I$3:$I$501,'Unos rashoda P4'!$A$3:$A$501,"=581",'Unos rashoda P4'!$S$3:$S$501,"=34")</f>
        <v>0</v>
      </c>
      <c r="T25" s="171">
        <f>SUMIFS('Unos rashoda i izdataka'!$K$3:$K$501,'Unos rashoda i izdataka'!$C$3:$C$501,"=61",'Unos rashoda i izdataka'!$P$3:$P$501,"=34")+SUMIFS('Unos rashoda P4'!$I$3:$I$501,'Unos rashoda P4'!$A$3:$A$501,"=61",'Unos rashoda P4'!$S$3:$S$501,"=34")</f>
        <v>0</v>
      </c>
      <c r="U25" s="171">
        <f>SUMIFS('Unos rashoda i izdataka'!$K$3:$K$501,'Unos rashoda i izdataka'!$C$3:$C$501,"=63",'Unos rashoda i izdataka'!$P$3:$P$501,"=34")+SUMIFS('Unos rashoda P4'!$I$3:$I$501,'Unos rashoda P4'!$A$3:$A$501,"=63",'Unos rashoda P4'!$S$3:$S$501,"=34")</f>
        <v>0</v>
      </c>
      <c r="V25" s="171">
        <f>SUMIFS('Unos rashoda i izdataka'!$K$3:$K$501,'Unos rashoda i izdataka'!$C$3:$C$501,"=71",'Unos rashoda i izdataka'!$P$3:$P$501,"=34")+SUMIFS('Unos rashoda P4'!$I$3:$I$501,'Unos rashoda P4'!$A$3:$A$501,"=71",'Unos rashoda P4'!$S$3:$S$501,"=34")</f>
        <v>0</v>
      </c>
      <c r="W25" s="171">
        <f>SUMIFS('Unos rashoda i izdataka'!$K$3:$K$501,'Unos rashoda i izdataka'!$C$3:$C$501,"=81",'Unos rashoda i izdataka'!$P$3:$P$501,"=34")+SUMIFS('Unos rashoda P4'!$I$3:$I$501,'Unos rashoda P4'!$A$3:$A$501,"=81",'Unos rashoda P4'!$S$3:$S$501,"=34")</f>
        <v>0</v>
      </c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  <c r="BE25" s="172"/>
      <c r="BF25" s="172"/>
      <c r="BG25" s="172"/>
      <c r="BH25" s="172"/>
      <c r="BI25" s="172"/>
      <c r="BJ25" s="172"/>
      <c r="BK25" s="172"/>
      <c r="BL25" s="172"/>
      <c r="BM25" s="172"/>
      <c r="BN25" s="172"/>
      <c r="BO25" s="172"/>
      <c r="BP25" s="172"/>
      <c r="BQ25" s="172"/>
      <c r="BR25" s="172"/>
      <c r="BS25" s="172"/>
      <c r="BT25" s="172"/>
      <c r="BU25" s="172"/>
      <c r="BV25" s="172"/>
      <c r="BW25" s="172"/>
      <c r="BX25" s="172"/>
      <c r="BY25" s="172"/>
      <c r="BZ25" s="172"/>
      <c r="CA25" s="172"/>
      <c r="CB25" s="172"/>
      <c r="CC25" s="172"/>
      <c r="CD25" s="172"/>
      <c r="CE25" s="172"/>
      <c r="CF25" s="172"/>
      <c r="CG25" s="172"/>
      <c r="CH25" s="172"/>
      <c r="CI25" s="172"/>
      <c r="CJ25" s="172"/>
      <c r="CK25" s="172"/>
      <c r="CL25" s="172"/>
      <c r="CM25" s="172"/>
      <c r="CN25" s="172"/>
      <c r="CO25" s="172"/>
      <c r="CP25" s="172"/>
      <c r="CQ25" s="172"/>
      <c r="CR25" s="172"/>
      <c r="CS25" s="172"/>
      <c r="CT25" s="172"/>
      <c r="CU25" s="172"/>
      <c r="CV25" s="172"/>
      <c r="CW25" s="172"/>
      <c r="CX25" s="172"/>
      <c r="CY25" s="172"/>
      <c r="CZ25" s="172"/>
      <c r="DA25" s="172"/>
      <c r="DB25" s="172"/>
      <c r="DC25" s="172"/>
      <c r="DD25" s="172"/>
      <c r="DE25" s="172"/>
      <c r="DF25" s="172"/>
      <c r="DG25" s="172"/>
      <c r="DH25" s="172"/>
      <c r="DI25" s="172"/>
      <c r="DJ25" s="172"/>
      <c r="DK25" s="172"/>
      <c r="DL25" s="172"/>
      <c r="DM25" s="172"/>
      <c r="DN25" s="172"/>
      <c r="DO25" s="172"/>
      <c r="DP25" s="172"/>
      <c r="DQ25" s="172"/>
      <c r="DR25" s="172"/>
      <c r="DS25" s="172"/>
      <c r="DT25" s="172"/>
      <c r="DU25" s="172"/>
      <c r="DV25" s="172"/>
      <c r="DW25" s="172"/>
      <c r="DX25" s="172"/>
      <c r="DY25" s="172"/>
      <c r="DZ25" s="172"/>
      <c r="EA25" s="172"/>
      <c r="EB25" s="172"/>
      <c r="EC25" s="172"/>
      <c r="ED25" s="172"/>
      <c r="EE25" s="172"/>
      <c r="EF25" s="172"/>
      <c r="EG25" s="172"/>
      <c r="EH25" s="172"/>
      <c r="EI25" s="172"/>
      <c r="EJ25" s="172"/>
      <c r="EK25" s="172"/>
      <c r="EL25" s="172"/>
      <c r="EM25" s="172"/>
      <c r="EN25" s="172"/>
      <c r="EO25" s="172"/>
      <c r="EP25" s="172"/>
      <c r="EQ25" s="172"/>
      <c r="ER25" s="172"/>
      <c r="ES25" s="172"/>
      <c r="ET25" s="172"/>
      <c r="EU25" s="172"/>
      <c r="EV25" s="172"/>
      <c r="EW25" s="172"/>
      <c r="EX25" s="172"/>
      <c r="EY25" s="172"/>
      <c r="EZ25" s="172"/>
      <c r="FA25" s="172"/>
      <c r="FB25" s="172"/>
      <c r="FC25" s="172"/>
      <c r="FD25" s="172"/>
      <c r="FE25" s="172"/>
      <c r="FF25" s="172"/>
      <c r="FG25" s="172"/>
      <c r="FH25" s="172"/>
      <c r="FI25" s="172"/>
      <c r="FJ25" s="172"/>
      <c r="FK25" s="172"/>
      <c r="FL25" s="172"/>
      <c r="FM25" s="172"/>
      <c r="FN25" s="172"/>
      <c r="FO25" s="172"/>
      <c r="FP25" s="172"/>
      <c r="FQ25" s="172"/>
      <c r="FR25" s="172"/>
      <c r="FS25" s="172"/>
      <c r="FT25" s="172"/>
      <c r="FU25" s="172"/>
      <c r="FV25" s="172"/>
      <c r="FW25" s="172"/>
      <c r="FX25" s="172"/>
      <c r="FY25" s="172"/>
      <c r="FZ25" s="172"/>
      <c r="GA25" s="172"/>
      <c r="GB25" s="172"/>
      <c r="GC25" s="172"/>
      <c r="GD25" s="172"/>
      <c r="GE25" s="172"/>
      <c r="GF25" s="172"/>
      <c r="GG25" s="172"/>
      <c r="GH25" s="172"/>
      <c r="GI25" s="172"/>
      <c r="GJ25" s="172"/>
      <c r="GK25" s="172"/>
      <c r="GL25" s="173"/>
      <c r="GM25" s="173"/>
      <c r="GN25" s="173"/>
      <c r="GO25" s="173"/>
      <c r="GP25" s="173"/>
      <c r="GQ25" s="173"/>
      <c r="GR25" s="173"/>
      <c r="GS25" s="173"/>
      <c r="GT25" s="173"/>
      <c r="GU25" s="173"/>
      <c r="GV25" s="173"/>
      <c r="GW25" s="173"/>
      <c r="GX25" s="173"/>
      <c r="GY25" s="173"/>
      <c r="GZ25" s="173"/>
      <c r="HA25" s="173"/>
      <c r="HB25" s="173"/>
      <c r="HC25" s="173"/>
      <c r="HD25" s="173"/>
      <c r="HE25" s="173"/>
    </row>
    <row r="26" spans="1:213" s="172" customFormat="1" ht="12.6" customHeight="1">
      <c r="A26" s="160">
        <v>2023</v>
      </c>
      <c r="B26" s="174">
        <v>35</v>
      </c>
      <c r="C26" s="175" t="s">
        <v>3246</v>
      </c>
      <c r="D26" s="176">
        <f t="shared" si="10"/>
        <v>11921</v>
      </c>
      <c r="E26" s="171">
        <f>SUMIFS('Unos rashoda i izdataka'!$K$3:$K$501,'Unos rashoda i izdataka'!$C$3:$C$501,"=11",'Unos rashoda i izdataka'!$P$3:$P$501,"=35")+SUMIFS('Unos rashoda P4'!$I$3:$I$501,'Unos rashoda P4'!$A$3:$A$501,"=11",'Unos rashoda P4'!$S$3:$S$501,"=35")</f>
        <v>0</v>
      </c>
      <c r="F26" s="171">
        <f>SUMIFS('Unos rashoda i izdataka'!$K$3:$K$501,'Unos rashoda i izdataka'!$C$3:$C$501,"=12",'Unos rashoda i izdataka'!$P$3:$P$501,"=35")+SUMIFS('Unos rashoda P4'!$I$3:$I$501,'Unos rashoda P4'!$A$3:$A$501,"=12",'Unos rashoda P4'!$S$3:$S$501,"=35")</f>
        <v>1788</v>
      </c>
      <c r="G26" s="171">
        <f>SUMIFS('Unos rashoda i izdataka'!$K$3:$K$501,'Unos rashoda i izdataka'!$C$3:$C$501,"=31",'Unos rashoda i izdataka'!$P$3:$P$501,"=35")+SUMIFS('Unos rashoda P4'!$I$3:$I$501,'Unos rashoda P4'!$A$3:$A$501,"=31",'Unos rashoda P4'!$S$3:$S$501,"=35")</f>
        <v>0</v>
      </c>
      <c r="H26" s="171">
        <f>SUMIFS('Unos rashoda i izdataka'!$K$3:$K$501,'Unos rashoda i izdataka'!$C$3:$C$501,"=41",'Unos rashoda i izdataka'!$P$3:$P$501,"=35")+SUMIFS('Unos rashoda P4'!$I$3:$I$501,'Unos rashoda P4'!$A$3:$A$501,"=41",'Unos rashoda P4'!$S$3:$S$501,"=35")</f>
        <v>0</v>
      </c>
      <c r="I26" s="171">
        <f>SUMIFS('Unos rashoda i izdataka'!$K$3:$K$501,'Unos rashoda i izdataka'!$C$3:$C$501,"=43",'Unos rashoda i izdataka'!$P$3:$P$501,"=35")+SUMIFS('Unos rashoda P4'!$I$3:$I$501,'Unos rashoda P4'!$A$3:$A$501,"=43",'Unos rashoda P4'!$S$3:$S$501,"=35")</f>
        <v>0</v>
      </c>
      <c r="J26" s="171">
        <f>SUMIFS('Unos rashoda i izdataka'!$K$3:$K$501,'Unos rashoda i izdataka'!$C$3:$C$501,"=51",'Unos rashoda i izdataka'!$P$3:$P$501,"=35")+SUMIFS('Unos rashoda P4'!$I$3:$I$501,'Unos rashoda P4'!$A$3:$A$501,"=51",'Unos rashoda P4'!$S$3:$S$501,"=35")</f>
        <v>0</v>
      </c>
      <c r="K26" s="171">
        <f>SUMIFS('Unos rashoda i izdataka'!$K$3:$K$501,'Unos rashoda i izdataka'!$C$3:$C$501,"=52",'Unos rashoda i izdataka'!$P$3:$P$501,"=35")+SUMIFS('Unos rashoda P4'!$I$3:$I$501,'Unos rashoda P4'!$A$3:$A$501,"=52",'Unos rashoda P4'!$S$3:$S$501,"=35")</f>
        <v>0</v>
      </c>
      <c r="L26" s="171">
        <f>SUMIFS('Unos rashoda i izdataka'!$K$3:$K$501,'Unos rashoda i izdataka'!$C$3:$C$501,"=552",'Unos rashoda i izdataka'!$P$3:$P$501,"=35")+SUMIFS('Unos rashoda P4'!$I$3:$I$501,'Unos rashoda P4'!$A$3:$A$501,"=552",'Unos rashoda P4'!$S$3:$S$501,"=35")</f>
        <v>0</v>
      </c>
      <c r="M26" s="171">
        <f>SUMIFS('Unos rashoda i izdataka'!$K$3:$K$501,'Unos rashoda i izdataka'!$C$3:$C$501,"=559",'Unos rashoda i izdataka'!$P$3:$P$501,"=35")+SUMIFS('Unos rashoda P4'!$I$3:$I$501,'Unos rashoda P4'!$A$3:$A$501,"=559",'Unos rashoda P4'!$S$3:$S$501,"=35")</f>
        <v>0</v>
      </c>
      <c r="N26" s="171">
        <f>SUMIFS('Unos rashoda i izdataka'!$K$3:$K$501,'Unos rashoda i izdataka'!$C$3:$C$501,"=561",'Unos rashoda i izdataka'!$P$3:$P$501,"=35")+SUMIFS('Unos rashoda P4'!$I$3:$I$501,'Unos rashoda P4'!$A$3:$A$501,"=561",'Unos rashoda P4'!$S$3:$S$501,"=35")</f>
        <v>10133</v>
      </c>
      <c r="O26" s="171">
        <f>SUMIFS('Unos rashoda i izdataka'!$K$3:$K$501,'Unos rashoda i izdataka'!$C$3:$C$501,"=563",'Unos rashoda i izdataka'!$P$3:$P$501,"=35")+SUMIFS('Unos rashoda P4'!$I$3:$I$501,'Unos rashoda P4'!$A$3:$A$501,"=563",'Unos rashoda P4'!$S$3:$S$501,"=35")</f>
        <v>0</v>
      </c>
      <c r="P26" s="171">
        <f>SUMIFS('Unos rashoda i izdataka'!$K$3:$K$501,'Unos rashoda i izdataka'!$C$3:$C$501,"=573",'Unos rashoda i izdataka'!$P$3:$P$501,"=35")+SUMIFS('Unos rashoda P4'!$I$3:$I$501,'Unos rashoda P4'!$A$3:$A$501,"=573",'Unos rashoda P4'!$S$3:$S$501,"=35")</f>
        <v>0</v>
      </c>
      <c r="Q26" s="171">
        <f>SUMIFS('Unos rashoda i izdataka'!$K$3:$K$501,'Unos rashoda i izdataka'!$C$3:$C$501,"=575",'Unos rashoda i izdataka'!$P$3:$P$501,"=35")+SUMIFS('Unos rashoda P4'!$I$3:$I$501,'Unos rashoda P4'!$A$3:$A$501,"=575",'Unos rashoda P4'!$S$3:$S$501,"=35")</f>
        <v>0</v>
      </c>
      <c r="R26" s="171">
        <f>SUMIFS('Unos rashoda i izdataka'!$K$3:$K$501,'Unos rashoda i izdataka'!$Q$3:$Q$501,"=576",'Unos rashoda i izdataka'!$P$3:$P$501,"=35")+SUMIFS('Unos rashoda P4'!$I$3:$I$501,'Unos rashoda P4'!$A$3:$A$501,"=576",'Unos rashoda P4'!$S$3:$S$501,"=35")</f>
        <v>0</v>
      </c>
      <c r="S26" s="171">
        <f>SUMIFS('Unos rashoda i izdataka'!$K$3:$K$501,'Unos rashoda i izdataka'!$C$3:$C$501,"=581",'Unos rashoda i izdataka'!$P$3:$P$501,"=35")+SUMIFS('Unos rashoda P4'!$I$3:$I$501,'Unos rashoda P4'!$A$3:$A$501,"=581",'Unos rashoda P4'!$S$3:$S$501,"=35")</f>
        <v>0</v>
      </c>
      <c r="T26" s="171">
        <f>SUMIFS('Unos rashoda i izdataka'!$K$3:$K$501,'Unos rashoda i izdataka'!$C$3:$C$501,"=61",'Unos rashoda i izdataka'!$P$3:$P$501,"=35")+SUMIFS('Unos rashoda P4'!$I$3:$I$501,'Unos rashoda P4'!$A$3:$A$501,"=61",'Unos rashoda P4'!$S$3:$S$501,"=35")</f>
        <v>0</v>
      </c>
      <c r="U26" s="171">
        <f>SUMIFS('Unos rashoda i izdataka'!$K$3:$K$501,'Unos rashoda i izdataka'!$C$3:$C$501,"=63",'Unos rashoda i izdataka'!$P$3:$P$501,"=35")+SUMIFS('Unos rashoda P4'!$I$3:$I$501,'Unos rashoda P4'!$A$3:$A$501,"=63",'Unos rashoda P4'!$S$3:$S$501,"=35")</f>
        <v>0</v>
      </c>
      <c r="V26" s="171">
        <f>SUMIFS('Unos rashoda i izdataka'!$K$3:$K$501,'Unos rashoda i izdataka'!$C$3:$C$501,"=71",'Unos rashoda i izdataka'!$P$3:$P$501,"=35")+SUMIFS('Unos rashoda P4'!$I$3:$I$501,'Unos rashoda P4'!$A$3:$A$501,"=71",'Unos rashoda P4'!$S$3:$S$501,"=35")</f>
        <v>0</v>
      </c>
      <c r="W26" s="171">
        <f>SUMIFS('Unos rashoda i izdataka'!$K$3:$K$501,'Unos rashoda i izdataka'!$C$3:$C$501,"=81",'Unos rashoda i izdataka'!$P$3:$P$501,"=35")+SUMIFS('Unos rashoda P4'!$I$3:$I$501,'Unos rashoda P4'!$A$3:$A$501,"=81",'Unos rashoda P4'!$S$3:$S$501,"=35")</f>
        <v>0</v>
      </c>
      <c r="GL26" s="173"/>
      <c r="GM26" s="173"/>
      <c r="GN26" s="173"/>
      <c r="GO26" s="173"/>
      <c r="GP26" s="173"/>
      <c r="GQ26" s="173"/>
      <c r="GR26" s="173"/>
      <c r="GS26" s="173"/>
      <c r="GT26" s="173"/>
      <c r="GU26" s="173"/>
      <c r="GV26" s="173"/>
      <c r="GW26" s="173"/>
      <c r="GX26" s="173"/>
      <c r="GY26" s="173"/>
      <c r="GZ26" s="173"/>
      <c r="HA26" s="173"/>
      <c r="HB26" s="173"/>
      <c r="HC26" s="173"/>
      <c r="HD26" s="173"/>
      <c r="HE26" s="173"/>
    </row>
    <row r="27" spans="1:213" s="172" customFormat="1" ht="12.6" customHeight="1">
      <c r="A27" s="160">
        <v>2023</v>
      </c>
      <c r="B27" s="174">
        <v>36</v>
      </c>
      <c r="C27" s="177" t="s">
        <v>3247</v>
      </c>
      <c r="D27" s="176">
        <f t="shared" si="10"/>
        <v>57739</v>
      </c>
      <c r="E27" s="171">
        <f>SUMIFS('Unos rashoda i izdataka'!$K$3:$K$501,'Unos rashoda i izdataka'!$C$3:$C$501,"=11",'Unos rashoda i izdataka'!$P$3:$P$501,"=36")+SUMIFS('Unos rashoda P4'!$I$3:$I$501,'Unos rashoda P4'!$A$3:$A$501,"=11",'Unos rashoda P4'!$S$3:$S$501,"=36")</f>
        <v>0</v>
      </c>
      <c r="F27" s="171">
        <f>SUMIFS('Unos rashoda i izdataka'!$K$3:$K$501,'Unos rashoda i izdataka'!$C$3:$C$501,"=12",'Unos rashoda i izdataka'!$P$3:$P$501,"=36")+SUMIFS('Unos rashoda P4'!$I$3:$I$501,'Unos rashoda P4'!$A$3:$A$501,"=12",'Unos rashoda P4'!$S$3:$S$501,"=36")</f>
        <v>0</v>
      </c>
      <c r="G27" s="171">
        <f>SUMIFS('Unos rashoda i izdataka'!$K$3:$K$501,'Unos rashoda i izdataka'!$C$3:$C$501,"=31",'Unos rashoda i izdataka'!$P$3:$P$501,"=36")+SUMIFS('Unos rashoda P4'!$I$3:$I$501,'Unos rashoda P4'!$A$3:$A$501,"=31",'Unos rashoda P4'!$S$3:$S$501,"=36")</f>
        <v>28096</v>
      </c>
      <c r="H27" s="171">
        <f>SUMIFS('Unos rashoda i izdataka'!$K$3:$K$501,'Unos rashoda i izdataka'!$C$3:$C$501,"=41",'Unos rashoda i izdataka'!$P$3:$P$501,"=36")+SUMIFS('Unos rashoda P4'!$I$3:$I$501,'Unos rashoda P4'!$A$3:$A$501,"=41",'Unos rashoda P4'!$S$3:$S$501,"=36")</f>
        <v>0</v>
      </c>
      <c r="I27" s="171">
        <f>SUMIFS('Unos rashoda i izdataka'!$K$3:$K$501,'Unos rashoda i izdataka'!$C$3:$C$501,"=43",'Unos rashoda i izdataka'!$P$3:$P$501,"=36")+SUMIFS('Unos rashoda P4'!$I$3:$I$501,'Unos rashoda P4'!$A$3:$A$501,"=43",'Unos rashoda P4'!$S$3:$S$501,"=36")</f>
        <v>29643</v>
      </c>
      <c r="J27" s="171">
        <f>SUMIFS('Unos rashoda i izdataka'!$K$3:$K$501,'Unos rashoda i izdataka'!$C$3:$C$501,"=51",'Unos rashoda i izdataka'!$P$3:$P$501,"=36")+SUMIFS('Unos rashoda P4'!$I$3:$I$501,'Unos rashoda P4'!$A$3:$A$501,"=51",'Unos rashoda P4'!$S$3:$S$501,"=36")</f>
        <v>0</v>
      </c>
      <c r="K27" s="171">
        <f>SUMIFS('Unos rashoda i izdataka'!$K$3:$K$501,'Unos rashoda i izdataka'!$C$3:$C$501,"=52",'Unos rashoda i izdataka'!$P$3:$P$501,"=36")+SUMIFS('Unos rashoda P4'!$I$3:$I$501,'Unos rashoda P4'!$A$3:$A$501,"=52",'Unos rashoda P4'!$S$3:$S$501,"=36")</f>
        <v>0</v>
      </c>
      <c r="L27" s="171">
        <f>SUMIFS('Unos rashoda i izdataka'!$K$3:$K$501,'Unos rashoda i izdataka'!$C$3:$C$501,"=552",'Unos rashoda i izdataka'!$P$3:$P$501,"=36")+SUMIFS('Unos rashoda P4'!$I$3:$I$501,'Unos rashoda P4'!$A$3:$A$501,"=552",'Unos rashoda P4'!$S$3:$S$501,"=36")</f>
        <v>0</v>
      </c>
      <c r="M27" s="171">
        <f>SUMIFS('Unos rashoda i izdataka'!$K$3:$K$501,'Unos rashoda i izdataka'!$C$3:$C$501,"=559",'Unos rashoda i izdataka'!$P$3:$P$501,"=36")+SUMIFS('Unos rashoda P4'!$I$3:$I$501,'Unos rashoda P4'!$A$3:$A$501,"=559",'Unos rashoda P4'!$S$3:$S$501,"=36")</f>
        <v>0</v>
      </c>
      <c r="N27" s="171">
        <f>SUMIFS('Unos rashoda i izdataka'!$K$3:$K$501,'Unos rashoda i izdataka'!$C$3:$C$501,"=561",'Unos rashoda i izdataka'!$P$3:$P$501,"=36")+SUMIFS('Unos rashoda P4'!$I$3:$I$501,'Unos rashoda P4'!$A$3:$A$501,"=561",'Unos rashoda P4'!$S$3:$S$501,"=36")</f>
        <v>0</v>
      </c>
      <c r="O27" s="171">
        <f>SUMIFS('Unos rashoda i izdataka'!$K$3:$K$501,'Unos rashoda i izdataka'!$C$3:$C$501,"=563",'Unos rashoda i izdataka'!$P$3:$P$501,"=36")+SUMIFS('Unos rashoda P4'!$I$3:$I$501,'Unos rashoda P4'!$A$3:$A$501,"=563",'Unos rashoda P4'!$S$3:$S$501,"=36")</f>
        <v>0</v>
      </c>
      <c r="P27" s="171">
        <f>SUMIFS('Unos rashoda i izdataka'!$K$3:$K$501,'Unos rashoda i izdataka'!$C$3:$C$501,"=573",'Unos rashoda i izdataka'!$P$3:$P$501,"=36")+SUMIFS('Unos rashoda P4'!$I$3:$I$501,'Unos rashoda P4'!$A$3:$A$501,"=573",'Unos rashoda P4'!$S$3:$S$501,"=36")</f>
        <v>0</v>
      </c>
      <c r="Q27" s="171">
        <f>SUMIFS('Unos rashoda i izdataka'!$K$3:$K$501,'Unos rashoda i izdataka'!$C$3:$C$501,"=575",'Unos rashoda i izdataka'!$P$3:$P$501,"=36")+SUMIFS('Unos rashoda P4'!$I$3:$I$501,'Unos rashoda P4'!$A$3:$A$501,"=575",'Unos rashoda P4'!$S$3:$S$501,"=36")</f>
        <v>0</v>
      </c>
      <c r="R27" s="171">
        <f>SUMIFS('Unos rashoda i izdataka'!$K$3:$K$501,'Unos rashoda i izdataka'!$Q$3:$Q$501,"=576",'Unos rashoda i izdataka'!$P$3:$P$501,"=36")+SUMIFS('Unos rashoda P4'!$I$3:$I$501,'Unos rashoda P4'!$A$3:$A$501,"=576",'Unos rashoda P4'!$S$3:$S$501,"=36")</f>
        <v>0</v>
      </c>
      <c r="S27" s="171">
        <f>SUMIFS('Unos rashoda i izdataka'!$K$3:$K$501,'Unos rashoda i izdataka'!$C$3:$C$501,"=581",'Unos rashoda i izdataka'!$P$3:$P$501,"=36")+SUMIFS('Unos rashoda P4'!$I$3:$I$501,'Unos rashoda P4'!$A$3:$A$501,"=581",'Unos rashoda P4'!$S$3:$S$501,"=36")</f>
        <v>0</v>
      </c>
      <c r="T27" s="171">
        <f>SUMIFS('Unos rashoda i izdataka'!$K$3:$K$501,'Unos rashoda i izdataka'!$C$3:$C$501,"=61",'Unos rashoda i izdataka'!$P$3:$P$501,"=36")+SUMIFS('Unos rashoda P4'!$I$3:$I$501,'Unos rashoda P4'!$A$3:$A$501,"=61",'Unos rashoda P4'!$S$3:$S$501,"=36")</f>
        <v>0</v>
      </c>
      <c r="U27" s="171">
        <f>SUMIFS('Unos rashoda i izdataka'!$K$3:$K$501,'Unos rashoda i izdataka'!$C$3:$C$501,"=63",'Unos rashoda i izdataka'!$P$3:$P$501,"=36")+SUMIFS('Unos rashoda P4'!$I$3:$I$501,'Unos rashoda P4'!$A$3:$A$501,"=63",'Unos rashoda P4'!$S$3:$S$501,"=36")</f>
        <v>0</v>
      </c>
      <c r="V27" s="171">
        <f>SUMIFS('Unos rashoda i izdataka'!$K$3:$K$501,'Unos rashoda i izdataka'!$C$3:$C$501,"=71",'Unos rashoda i izdataka'!$P$3:$P$501,"=36")+SUMIFS('Unos rashoda P4'!$I$3:$I$501,'Unos rashoda P4'!$A$3:$A$501,"=71",'Unos rashoda P4'!$S$3:$S$501,"=36")</f>
        <v>0</v>
      </c>
      <c r="W27" s="171">
        <f>SUMIFS('Unos rashoda i izdataka'!$K$3:$K$501,'Unos rashoda i izdataka'!$C$3:$C$501,"=81",'Unos rashoda i izdataka'!$P$3:$P$501,"=36")+SUMIFS('Unos rashoda P4'!$I$3:$I$501,'Unos rashoda P4'!$A$3:$A$501,"=81",'Unos rashoda P4'!$S$3:$S$501,"=36")</f>
        <v>0</v>
      </c>
      <c r="GL27" s="173"/>
      <c r="GM27" s="173"/>
      <c r="GN27" s="173"/>
      <c r="GO27" s="173"/>
      <c r="GP27" s="173"/>
      <c r="GQ27" s="173"/>
      <c r="GR27" s="173"/>
      <c r="GS27" s="173"/>
      <c r="GT27" s="173"/>
      <c r="GU27" s="173"/>
      <c r="GV27" s="173"/>
      <c r="GW27" s="173"/>
      <c r="GX27" s="173"/>
      <c r="GY27" s="173"/>
      <c r="GZ27" s="173"/>
      <c r="HA27" s="173"/>
      <c r="HB27" s="173"/>
      <c r="HC27" s="173"/>
      <c r="HD27" s="173"/>
      <c r="HE27" s="173"/>
    </row>
    <row r="28" spans="1:213" s="190" customFormat="1" ht="12.6" customHeight="1">
      <c r="A28" s="160">
        <v>2023</v>
      </c>
      <c r="B28" s="174">
        <v>37</v>
      </c>
      <c r="C28" s="175" t="s">
        <v>3248</v>
      </c>
      <c r="D28" s="176">
        <f t="shared" si="10"/>
        <v>2172</v>
      </c>
      <c r="E28" s="171">
        <f>SUMIFS('Unos rashoda i izdataka'!$K$3:$K$501,'Unos rashoda i izdataka'!$C$3:$C$501,"=11",'Unos rashoda i izdataka'!$P$3:$P$501,"=37")+SUMIFS('Unos rashoda P4'!$I$3:$I$501,'Unos rashoda P4'!$A$3:$A$501,"=11",'Unos rashoda P4'!$S$3:$S$501,"=37")</f>
        <v>972</v>
      </c>
      <c r="F28" s="171">
        <f>SUMIFS('Unos rashoda i izdataka'!$K$3:$K$501,'Unos rashoda i izdataka'!$C$3:$C$501,"=12",'Unos rashoda i izdataka'!$P$3:$P$501,"=37")+SUMIFS('Unos rashoda P4'!$I$3:$I$501,'Unos rashoda P4'!$A$3:$A$501,"=12",'Unos rashoda P4'!$S$3:$S$501,"=37")</f>
        <v>0</v>
      </c>
      <c r="G28" s="171">
        <f>SUMIFS('Unos rashoda i izdataka'!$K$3:$K$501,'Unos rashoda i izdataka'!$C$3:$C$501,"=31",'Unos rashoda i izdataka'!$P$3:$P$501,"=37")+SUMIFS('Unos rashoda P4'!$I$3:$I$501,'Unos rashoda P4'!$A$3:$A$501,"=31",'Unos rashoda P4'!$S$3:$S$501,"=37")</f>
        <v>0</v>
      </c>
      <c r="H28" s="171">
        <f>SUMIFS('Unos rashoda i izdataka'!$K$3:$K$501,'Unos rashoda i izdataka'!$C$3:$C$501,"=41",'Unos rashoda i izdataka'!$P$3:$P$501,"=37")+SUMIFS('Unos rashoda P4'!$I$3:$I$501,'Unos rashoda P4'!$A$3:$A$501,"=41",'Unos rashoda P4'!$S$3:$S$501,"=37")</f>
        <v>0</v>
      </c>
      <c r="I28" s="171">
        <f>SUMIFS('Unos rashoda i izdataka'!$K$3:$K$501,'Unos rashoda i izdataka'!$C$3:$C$501,"=43",'Unos rashoda i izdataka'!$P$3:$P$501,"=37")+SUMIFS('Unos rashoda P4'!$I$3:$I$501,'Unos rashoda P4'!$A$3:$A$501,"=43",'Unos rashoda P4'!$S$3:$S$501,"=37")</f>
        <v>1200</v>
      </c>
      <c r="J28" s="171">
        <f>SUMIFS('Unos rashoda i izdataka'!$K$3:$K$501,'Unos rashoda i izdataka'!$C$3:$C$501,"=51",'Unos rashoda i izdataka'!$P$3:$P$501,"=37")+SUMIFS('Unos rashoda P4'!$I$3:$I$501,'Unos rashoda P4'!$A$3:$A$501,"=51",'Unos rashoda P4'!$S$3:$S$501,"=37")</f>
        <v>0</v>
      </c>
      <c r="K28" s="171">
        <f>SUMIFS('Unos rashoda i izdataka'!$K$3:$K$501,'Unos rashoda i izdataka'!$C$3:$C$501,"=52",'Unos rashoda i izdataka'!$P$3:$P$501,"=37")+SUMIFS('Unos rashoda P4'!$I$3:$I$501,'Unos rashoda P4'!$A$3:$A$501,"=52",'Unos rashoda P4'!$S$3:$S$501,"=37")</f>
        <v>0</v>
      </c>
      <c r="L28" s="171">
        <f>SUMIFS('Unos rashoda i izdataka'!$K$3:$K$501,'Unos rashoda i izdataka'!$C$3:$C$501,"=552",'Unos rashoda i izdataka'!$P$3:$P$501,"=37")+SUMIFS('Unos rashoda P4'!$I$3:$I$501,'Unos rashoda P4'!$A$3:$A$501,"=552",'Unos rashoda P4'!$S$3:$S$501,"=37")</f>
        <v>0</v>
      </c>
      <c r="M28" s="171">
        <f>SUMIFS('Unos rashoda i izdataka'!$K$3:$K$501,'Unos rashoda i izdataka'!$C$3:$C$501,"=559",'Unos rashoda i izdataka'!$P$3:$P$501,"=37")+SUMIFS('Unos rashoda P4'!$I$3:$I$501,'Unos rashoda P4'!$A$3:$A$501,"=559",'Unos rashoda P4'!$S$3:$S$501,"=37")</f>
        <v>0</v>
      </c>
      <c r="N28" s="171">
        <f>SUMIFS('Unos rashoda i izdataka'!$K$3:$K$501,'Unos rashoda i izdataka'!$C$3:$C$501,"=561",'Unos rashoda i izdataka'!$P$3:$P$501,"=37")+SUMIFS('Unos rashoda P4'!$I$3:$I$501,'Unos rashoda P4'!$A$3:$A$501,"=561",'Unos rashoda P4'!$S$3:$S$501,"=37")</f>
        <v>0</v>
      </c>
      <c r="O28" s="171">
        <f>SUMIFS('Unos rashoda i izdataka'!$K$3:$K$501,'Unos rashoda i izdataka'!$C$3:$C$501,"=563",'Unos rashoda i izdataka'!$P$3:$P$501,"=37")+SUMIFS('Unos rashoda P4'!$I$3:$I$501,'Unos rashoda P4'!$A$3:$A$501,"=563",'Unos rashoda P4'!$S$3:$S$501,"=37")</f>
        <v>0</v>
      </c>
      <c r="P28" s="171">
        <f>SUMIFS('Unos rashoda i izdataka'!$K$3:$K$501,'Unos rashoda i izdataka'!$C$3:$C$501,"=573",'Unos rashoda i izdataka'!$P$3:$P$501,"=37")+SUMIFS('Unos rashoda P4'!$I$3:$I$501,'Unos rashoda P4'!$A$3:$A$501,"=573",'Unos rashoda P4'!$S$3:$S$501,"=37")</f>
        <v>0</v>
      </c>
      <c r="Q28" s="171">
        <f>SUMIFS('Unos rashoda i izdataka'!$K$3:$K$501,'Unos rashoda i izdataka'!$C$3:$C$501,"=575",'Unos rashoda i izdataka'!$P$3:$P$501,"=37")+SUMIFS('Unos rashoda P4'!$I$3:$I$501,'Unos rashoda P4'!$A$3:$A$501,"=575",'Unos rashoda P4'!$S$3:$S$501,"=37")</f>
        <v>0</v>
      </c>
      <c r="R28" s="171">
        <f>SUMIFS('Unos rashoda i izdataka'!$K$3:$K$501,'Unos rashoda i izdataka'!$Q$3:$Q$501,"=576",'Unos rashoda i izdataka'!$P$3:$P$501,"=37")+SUMIFS('Unos rashoda P4'!$I$3:$I$501,'Unos rashoda P4'!$A$3:$A$501,"=576",'Unos rashoda P4'!$S$3:$S$501,"=37")</f>
        <v>0</v>
      </c>
      <c r="S28" s="171">
        <f>SUMIFS('Unos rashoda i izdataka'!$K$3:$K$501,'Unos rashoda i izdataka'!$C$3:$C$501,"=581",'Unos rashoda i izdataka'!$P$3:$P$501,"=37")+SUMIFS('Unos rashoda P4'!$I$3:$I$501,'Unos rashoda P4'!$A$3:$A$501,"=581",'Unos rashoda P4'!$S$3:$S$501,"=37")</f>
        <v>0</v>
      </c>
      <c r="T28" s="171">
        <f>SUMIFS('Unos rashoda i izdataka'!$K$3:$K$501,'Unos rashoda i izdataka'!$C$3:$C$501,"=61",'Unos rashoda i izdataka'!$P$3:$P$501,"=37")+SUMIFS('Unos rashoda P4'!$I$3:$I$501,'Unos rashoda P4'!$A$3:$A$501,"=61",'Unos rashoda P4'!$S$3:$S$501,"=37")</f>
        <v>0</v>
      </c>
      <c r="U28" s="171">
        <f>SUMIFS('Unos rashoda i izdataka'!$K$3:$K$501,'Unos rashoda i izdataka'!$C$3:$C$501,"=63",'Unos rashoda i izdataka'!$P$3:$P$501,"=37")+SUMIFS('Unos rashoda P4'!$I$3:$I$501,'Unos rashoda P4'!$A$3:$A$501,"=63",'Unos rashoda P4'!$S$3:$S$501,"=37")</f>
        <v>0</v>
      </c>
      <c r="V28" s="171">
        <f>SUMIFS('Unos rashoda i izdataka'!$K$3:$K$501,'Unos rashoda i izdataka'!$C$3:$C$501,"=71",'Unos rashoda i izdataka'!$P$3:$P$501,"=37")+SUMIFS('Unos rashoda P4'!$I$3:$I$501,'Unos rashoda P4'!$A$3:$A$501,"=71",'Unos rashoda P4'!$S$3:$S$501,"=37")</f>
        <v>0</v>
      </c>
      <c r="W28" s="171">
        <f>SUMIFS('Unos rashoda i izdataka'!$K$3:$K$501,'Unos rashoda i izdataka'!$C$3:$C$501,"=81",'Unos rashoda i izdataka'!$P$3:$P$501,"=37")+SUMIFS('Unos rashoda P4'!$I$3:$I$501,'Unos rashoda P4'!$A$3:$A$501,"=81",'Unos rashoda P4'!$S$3:$S$501,"=37")</f>
        <v>0</v>
      </c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172"/>
      <c r="BN28" s="172"/>
      <c r="BO28" s="172"/>
      <c r="BP28" s="172"/>
      <c r="BQ28" s="172"/>
      <c r="BR28" s="172"/>
      <c r="BS28" s="172"/>
      <c r="BT28" s="172"/>
      <c r="BU28" s="172"/>
      <c r="BV28" s="172"/>
      <c r="BW28" s="172"/>
      <c r="BX28" s="172"/>
      <c r="BY28" s="172"/>
      <c r="BZ28" s="172"/>
      <c r="CA28" s="172"/>
      <c r="CB28" s="172"/>
      <c r="CC28" s="172"/>
      <c r="CD28" s="172"/>
      <c r="CE28" s="172"/>
      <c r="CF28" s="172"/>
      <c r="CG28" s="172"/>
      <c r="CH28" s="172"/>
      <c r="CI28" s="172"/>
      <c r="CJ28" s="172"/>
      <c r="CK28" s="172"/>
      <c r="CL28" s="172"/>
      <c r="CM28" s="172"/>
      <c r="CN28" s="172"/>
      <c r="CO28" s="172"/>
      <c r="CP28" s="172"/>
      <c r="CQ28" s="172"/>
      <c r="CR28" s="172"/>
      <c r="CS28" s="172"/>
      <c r="CT28" s="172"/>
      <c r="CU28" s="172"/>
      <c r="CV28" s="172"/>
      <c r="CW28" s="172"/>
      <c r="CX28" s="172"/>
      <c r="CY28" s="172"/>
      <c r="CZ28" s="172"/>
      <c r="DA28" s="172"/>
      <c r="DB28" s="172"/>
      <c r="DC28" s="172"/>
      <c r="DD28" s="172"/>
      <c r="DE28" s="172"/>
      <c r="DF28" s="172"/>
      <c r="DG28" s="172"/>
      <c r="DH28" s="172"/>
      <c r="DI28" s="172"/>
      <c r="DJ28" s="172"/>
      <c r="DK28" s="172"/>
      <c r="DL28" s="172"/>
      <c r="DM28" s="172"/>
      <c r="DN28" s="172"/>
      <c r="DO28" s="172"/>
      <c r="DP28" s="172"/>
      <c r="DQ28" s="172"/>
      <c r="DR28" s="172"/>
      <c r="DS28" s="172"/>
      <c r="DT28" s="172"/>
      <c r="DU28" s="172"/>
      <c r="DV28" s="172"/>
      <c r="DW28" s="172"/>
      <c r="DX28" s="172"/>
      <c r="DY28" s="172"/>
      <c r="DZ28" s="172"/>
      <c r="EA28" s="172"/>
      <c r="EB28" s="172"/>
      <c r="EC28" s="172"/>
      <c r="ED28" s="172"/>
      <c r="EE28" s="172"/>
      <c r="EF28" s="172"/>
      <c r="EG28" s="172"/>
      <c r="EH28" s="172"/>
      <c r="EI28" s="172"/>
      <c r="EJ28" s="172"/>
      <c r="EK28" s="172"/>
      <c r="EL28" s="172"/>
      <c r="EM28" s="172"/>
      <c r="EN28" s="172"/>
      <c r="EO28" s="172"/>
      <c r="EP28" s="172"/>
      <c r="EQ28" s="172"/>
      <c r="ER28" s="172"/>
      <c r="ES28" s="172"/>
      <c r="ET28" s="172"/>
      <c r="EU28" s="172"/>
      <c r="EV28" s="172"/>
      <c r="EW28" s="172"/>
      <c r="EX28" s="172"/>
      <c r="EY28" s="172"/>
      <c r="EZ28" s="172"/>
      <c r="FA28" s="172"/>
      <c r="FB28" s="172"/>
      <c r="FC28" s="172"/>
      <c r="FD28" s="172"/>
      <c r="FE28" s="172"/>
      <c r="FF28" s="172"/>
      <c r="FG28" s="172"/>
      <c r="FH28" s="172"/>
      <c r="FI28" s="172"/>
      <c r="FJ28" s="172"/>
      <c r="FK28" s="172"/>
      <c r="FL28" s="172"/>
      <c r="FM28" s="172"/>
      <c r="FN28" s="172"/>
      <c r="FO28" s="172"/>
      <c r="FP28" s="172"/>
      <c r="FQ28" s="172"/>
      <c r="FR28" s="172"/>
      <c r="FS28" s="172"/>
      <c r="FT28" s="172"/>
      <c r="FU28" s="172"/>
      <c r="FV28" s="172"/>
      <c r="FW28" s="172"/>
      <c r="FX28" s="172"/>
      <c r="FY28" s="172"/>
      <c r="FZ28" s="172"/>
      <c r="GA28" s="172"/>
      <c r="GB28" s="172"/>
      <c r="GC28" s="172"/>
      <c r="GD28" s="172"/>
      <c r="GE28" s="172"/>
      <c r="GF28" s="172"/>
      <c r="GG28" s="172"/>
      <c r="GH28" s="172"/>
      <c r="GI28" s="172"/>
      <c r="GJ28" s="172"/>
      <c r="GK28" s="172"/>
      <c r="GL28" s="173"/>
      <c r="GM28" s="173"/>
      <c r="GN28" s="173"/>
      <c r="GO28" s="173"/>
      <c r="GP28" s="173"/>
      <c r="GQ28" s="173"/>
      <c r="GR28" s="173"/>
      <c r="GS28" s="173"/>
      <c r="GT28" s="173"/>
      <c r="GU28" s="173"/>
      <c r="GV28" s="173"/>
      <c r="GW28" s="173"/>
      <c r="GX28" s="173"/>
      <c r="GY28" s="173"/>
      <c r="GZ28" s="173"/>
      <c r="HA28" s="173"/>
      <c r="HB28" s="173"/>
      <c r="HC28" s="173"/>
      <c r="HD28" s="173"/>
      <c r="HE28" s="173"/>
    </row>
    <row r="29" spans="1:213" s="190" customFormat="1" ht="12.6" customHeight="1">
      <c r="A29" s="160">
        <v>2023</v>
      </c>
      <c r="B29" s="174">
        <v>38</v>
      </c>
      <c r="C29" s="175" t="s">
        <v>3249</v>
      </c>
      <c r="D29" s="176">
        <f t="shared" si="10"/>
        <v>15716</v>
      </c>
      <c r="E29" s="171">
        <f>SUMIFS('Unos rashoda i izdataka'!$K$3:$K$501,'Unos rashoda i izdataka'!$C$3:$C$501,"=11",'Unos rashoda i izdataka'!$P$3:$P$501,"=38")+SUMIFS('Unos rashoda P4'!$I$3:$I$501,'Unos rashoda P4'!$A$3:$A$501,"=11",'Unos rashoda P4'!$S$3:$S$501,"=38")</f>
        <v>0</v>
      </c>
      <c r="F29" s="171">
        <f>SUMIFS('Unos rashoda i izdataka'!$K$3:$K$501,'Unos rashoda i izdataka'!$C$3:$C$501,"=12",'Unos rashoda i izdataka'!$P$3:$P$501,"=38")+SUMIFS('Unos rashoda P4'!$I$3:$I$501,'Unos rashoda P4'!$A$3:$A$501,"=12",'Unos rashoda P4'!$S$3:$S$501,"=38")</f>
        <v>0</v>
      </c>
      <c r="G29" s="171">
        <f>SUMIFS('Unos rashoda i izdataka'!$K$3:$K$501,'Unos rashoda i izdataka'!$C$3:$C$501,"=31",'Unos rashoda i izdataka'!$P$3:$P$501,"=38")+SUMIFS('Unos rashoda P4'!$I$3:$I$501,'Unos rashoda P4'!$A$3:$A$501,"=31",'Unos rashoda P4'!$S$3:$S$501,"=38")</f>
        <v>14216</v>
      </c>
      <c r="H29" s="171">
        <f>SUMIFS('Unos rashoda i izdataka'!$K$3:$K$501,'Unos rashoda i izdataka'!$C$3:$C$501,"=41",'Unos rashoda i izdataka'!$P$3:$P$501,"=38")+SUMIFS('Unos rashoda P4'!$I$3:$I$501,'Unos rashoda P4'!$A$3:$A$501,"=41",'Unos rashoda P4'!$S$3:$S$501,"=38")</f>
        <v>0</v>
      </c>
      <c r="I29" s="171">
        <f>SUMIFS('Unos rashoda i izdataka'!$K$3:$K$501,'Unos rashoda i izdataka'!$C$3:$C$501,"=43",'Unos rashoda i izdataka'!$P$3:$P$501,"=38")+SUMIFS('Unos rashoda P4'!$I$3:$I$501,'Unos rashoda P4'!$A$3:$A$501,"=43",'Unos rashoda P4'!$S$3:$S$501,"=38")</f>
        <v>1500</v>
      </c>
      <c r="J29" s="171">
        <f>SUMIFS('Unos rashoda i izdataka'!$K$3:$K$501,'Unos rashoda i izdataka'!$C$3:$C$501,"=51",'Unos rashoda i izdataka'!$P$3:$P$501,"=38")+SUMIFS('Unos rashoda P4'!$I$3:$I$501,'Unos rashoda P4'!$A$3:$A$501,"=51",'Unos rashoda P4'!$S$3:$S$501,"=38")</f>
        <v>0</v>
      </c>
      <c r="K29" s="171">
        <f>SUMIFS('Unos rashoda i izdataka'!$K$3:$K$501,'Unos rashoda i izdataka'!$C$3:$C$501,"=52",'Unos rashoda i izdataka'!$P$3:$P$501,"=38")+SUMIFS('Unos rashoda P4'!$I$3:$I$501,'Unos rashoda P4'!$A$3:$A$501,"=52",'Unos rashoda P4'!$S$3:$S$501,"=38")</f>
        <v>0</v>
      </c>
      <c r="L29" s="171">
        <f>SUMIFS('Unos rashoda i izdataka'!$K$3:$K$501,'Unos rashoda i izdataka'!$C$3:$C$501,"=552",'Unos rashoda i izdataka'!$P$3:$P$501,"=38")+SUMIFS('Unos rashoda P4'!$I$3:$I$501,'Unos rashoda P4'!$A$3:$A$501,"=552",'Unos rashoda P4'!$S$3:$S$501,"=38")</f>
        <v>0</v>
      </c>
      <c r="M29" s="171">
        <f>SUMIFS('Unos rashoda i izdataka'!$K$3:$K$501,'Unos rashoda i izdataka'!$C$3:$C$501,"=559",'Unos rashoda i izdataka'!$P$3:$P$501,"=38")+SUMIFS('Unos rashoda P4'!$I$3:$I$501,'Unos rashoda P4'!$A$3:$A$501,"=559",'Unos rashoda P4'!$S$3:$S$501,"=38")</f>
        <v>0</v>
      </c>
      <c r="N29" s="171">
        <f>SUMIFS('Unos rashoda i izdataka'!$K$3:$K$501,'Unos rashoda i izdataka'!$C$3:$C$501,"=561",'Unos rashoda i izdataka'!$P$3:$P$501,"=38")+SUMIFS('Unos rashoda P4'!$I$3:$I$501,'Unos rashoda P4'!$A$3:$A$501,"=561",'Unos rashoda P4'!$S$3:$S$501,"=38")</f>
        <v>0</v>
      </c>
      <c r="O29" s="171">
        <f>SUMIFS('Unos rashoda i izdataka'!$K$3:$K$501,'Unos rashoda i izdataka'!$C$3:$C$501,"=563",'Unos rashoda i izdataka'!$P$3:$P$501,"=38")+SUMIFS('Unos rashoda P4'!$I$3:$I$501,'Unos rashoda P4'!$A$3:$A$501,"=563",'Unos rashoda P4'!$S$3:$S$501,"=38")</f>
        <v>0</v>
      </c>
      <c r="P29" s="171">
        <f>SUMIFS('Unos rashoda i izdataka'!$K$3:$K$501,'Unos rashoda i izdataka'!$C$3:$C$501,"=573",'Unos rashoda i izdataka'!$P$3:$P$501,"=38")+SUMIFS('Unos rashoda P4'!$I$3:$I$501,'Unos rashoda P4'!$A$3:$A$501,"=573",'Unos rashoda P4'!$S$3:$S$501,"=38")</f>
        <v>0</v>
      </c>
      <c r="Q29" s="171">
        <f>SUMIFS('Unos rashoda i izdataka'!$K$3:$K$501,'Unos rashoda i izdataka'!$C$3:$C$501,"=575",'Unos rashoda i izdataka'!$P$3:$P$501,"=38")+SUMIFS('Unos rashoda P4'!$I$3:$I$501,'Unos rashoda P4'!$A$3:$A$501,"=575",'Unos rashoda P4'!$S$3:$S$501,"=38")</f>
        <v>0</v>
      </c>
      <c r="R29" s="171">
        <f>SUMIFS('Unos rashoda i izdataka'!$K$3:$K$501,'Unos rashoda i izdataka'!$Q$3:$Q$501,"=576",'Unos rashoda i izdataka'!$P$3:$P$501,"=38")+SUMIFS('Unos rashoda P4'!$I$3:$I$501,'Unos rashoda P4'!$A$3:$A$501,"=576",'Unos rashoda P4'!$S$3:$S$501,"=38")</f>
        <v>0</v>
      </c>
      <c r="S29" s="171">
        <f>SUMIFS('Unos rashoda i izdataka'!$K$3:$K$501,'Unos rashoda i izdataka'!$C$3:$C$501,"=581",'Unos rashoda i izdataka'!$P$3:$P$501,"=38")+SUMIFS('Unos rashoda P4'!$I$3:$I$501,'Unos rashoda P4'!$A$3:$A$501,"=581",'Unos rashoda P4'!$S$3:$S$501,"=38")</f>
        <v>0</v>
      </c>
      <c r="T29" s="171">
        <f>SUMIFS('Unos rashoda i izdataka'!$K$3:$K$501,'Unos rashoda i izdataka'!$C$3:$C$501,"=61",'Unos rashoda i izdataka'!$P$3:$P$501,"=38")+SUMIFS('Unos rashoda P4'!$I$3:$I$501,'Unos rashoda P4'!$A$3:$A$501,"=61",'Unos rashoda P4'!$S$3:$S$501,"=38")</f>
        <v>0</v>
      </c>
      <c r="U29" s="171">
        <f>SUMIFS('Unos rashoda i izdataka'!$K$3:$K$501,'Unos rashoda i izdataka'!$C$3:$C$501,"=63",'Unos rashoda i izdataka'!$P$3:$P$501,"=38")+SUMIFS('Unos rashoda P4'!$I$3:$I$501,'Unos rashoda P4'!$A$3:$A$501,"=63",'Unos rashoda P4'!$S$3:$S$501,"=38")</f>
        <v>0</v>
      </c>
      <c r="V29" s="171">
        <f>SUMIFS('Unos rashoda i izdataka'!$K$3:$K$501,'Unos rashoda i izdataka'!$C$3:$C$501,"=71",'Unos rashoda i izdataka'!$P$3:$P$501,"=38")+SUMIFS('Unos rashoda P4'!$I$3:$I$501,'Unos rashoda P4'!$A$3:$A$501,"=71",'Unos rashoda P4'!$S$3:$S$501,"=38")</f>
        <v>0</v>
      </c>
      <c r="W29" s="171">
        <f>SUMIFS('Unos rashoda i izdataka'!$K$3:$K$501,'Unos rashoda i izdataka'!$C$3:$C$501,"=81",'Unos rashoda i izdataka'!$P$3:$P$501,"=38")+SUMIFS('Unos rashoda P4'!$I$3:$I$501,'Unos rashoda P4'!$A$3:$A$501,"=81",'Unos rashoda P4'!$S$3:$S$501,"=38")</f>
        <v>0</v>
      </c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  <c r="AX29" s="172"/>
      <c r="AY29" s="172"/>
      <c r="AZ29" s="172"/>
      <c r="BA29" s="172"/>
      <c r="BB29" s="172"/>
      <c r="BC29" s="172"/>
      <c r="BD29" s="172"/>
      <c r="BE29" s="172"/>
      <c r="BF29" s="172"/>
      <c r="BG29" s="172"/>
      <c r="BH29" s="172"/>
      <c r="BI29" s="172"/>
      <c r="BJ29" s="172"/>
      <c r="BK29" s="172"/>
      <c r="BL29" s="172"/>
      <c r="BM29" s="172"/>
      <c r="BN29" s="172"/>
      <c r="BO29" s="172"/>
      <c r="BP29" s="172"/>
      <c r="BQ29" s="172"/>
      <c r="BR29" s="172"/>
      <c r="BS29" s="172"/>
      <c r="BT29" s="172"/>
      <c r="BU29" s="172"/>
      <c r="BV29" s="172"/>
      <c r="BW29" s="172"/>
      <c r="BX29" s="172"/>
      <c r="BY29" s="172"/>
      <c r="BZ29" s="172"/>
      <c r="CA29" s="172"/>
      <c r="CB29" s="172"/>
      <c r="CC29" s="172"/>
      <c r="CD29" s="172"/>
      <c r="CE29" s="172"/>
      <c r="CF29" s="172"/>
      <c r="CG29" s="172"/>
      <c r="CH29" s="172"/>
      <c r="CI29" s="172"/>
      <c r="CJ29" s="172"/>
      <c r="CK29" s="172"/>
      <c r="CL29" s="172"/>
      <c r="CM29" s="172"/>
      <c r="CN29" s="172"/>
      <c r="CO29" s="172"/>
      <c r="CP29" s="172"/>
      <c r="CQ29" s="172"/>
      <c r="CR29" s="172"/>
      <c r="CS29" s="172"/>
      <c r="CT29" s="172"/>
      <c r="CU29" s="172"/>
      <c r="CV29" s="172"/>
      <c r="CW29" s="172"/>
      <c r="CX29" s="172"/>
      <c r="CY29" s="172"/>
      <c r="CZ29" s="172"/>
      <c r="DA29" s="172"/>
      <c r="DB29" s="172"/>
      <c r="DC29" s="172"/>
      <c r="DD29" s="172"/>
      <c r="DE29" s="172"/>
      <c r="DF29" s="172"/>
      <c r="DG29" s="172"/>
      <c r="DH29" s="172"/>
      <c r="DI29" s="172"/>
      <c r="DJ29" s="172"/>
      <c r="DK29" s="172"/>
      <c r="DL29" s="172"/>
      <c r="DM29" s="172"/>
      <c r="DN29" s="172"/>
      <c r="DO29" s="172"/>
      <c r="DP29" s="172"/>
      <c r="DQ29" s="172"/>
      <c r="DR29" s="172"/>
      <c r="DS29" s="172"/>
      <c r="DT29" s="172"/>
      <c r="DU29" s="172"/>
      <c r="DV29" s="172"/>
      <c r="DW29" s="172"/>
      <c r="DX29" s="172"/>
      <c r="DY29" s="172"/>
      <c r="DZ29" s="172"/>
      <c r="EA29" s="172"/>
      <c r="EB29" s="172"/>
      <c r="EC29" s="172"/>
      <c r="ED29" s="172"/>
      <c r="EE29" s="172"/>
      <c r="EF29" s="172"/>
      <c r="EG29" s="172"/>
      <c r="EH29" s="172"/>
      <c r="EI29" s="172"/>
      <c r="EJ29" s="172"/>
      <c r="EK29" s="172"/>
      <c r="EL29" s="172"/>
      <c r="EM29" s="172"/>
      <c r="EN29" s="172"/>
      <c r="EO29" s="172"/>
      <c r="EP29" s="172"/>
      <c r="EQ29" s="172"/>
      <c r="ER29" s="172"/>
      <c r="ES29" s="172"/>
      <c r="ET29" s="172"/>
      <c r="EU29" s="172"/>
      <c r="EV29" s="172"/>
      <c r="EW29" s="172"/>
      <c r="EX29" s="172"/>
      <c r="EY29" s="172"/>
      <c r="EZ29" s="172"/>
      <c r="FA29" s="172"/>
      <c r="FB29" s="172"/>
      <c r="FC29" s="172"/>
      <c r="FD29" s="172"/>
      <c r="FE29" s="172"/>
      <c r="FF29" s="172"/>
      <c r="FG29" s="172"/>
      <c r="FH29" s="172"/>
      <c r="FI29" s="172"/>
      <c r="FJ29" s="172"/>
      <c r="FK29" s="172"/>
      <c r="FL29" s="172"/>
      <c r="FM29" s="172"/>
      <c r="FN29" s="172"/>
      <c r="FO29" s="172"/>
      <c r="FP29" s="172"/>
      <c r="FQ29" s="172"/>
      <c r="FR29" s="172"/>
      <c r="FS29" s="172"/>
      <c r="FT29" s="172"/>
      <c r="FU29" s="172"/>
      <c r="FV29" s="172"/>
      <c r="FW29" s="172"/>
      <c r="FX29" s="172"/>
      <c r="FY29" s="172"/>
      <c r="FZ29" s="172"/>
      <c r="GA29" s="172"/>
      <c r="GB29" s="172"/>
      <c r="GC29" s="172"/>
      <c r="GD29" s="172"/>
      <c r="GE29" s="172"/>
      <c r="GF29" s="172"/>
      <c r="GG29" s="172"/>
      <c r="GH29" s="172"/>
      <c r="GI29" s="172"/>
      <c r="GJ29" s="172"/>
      <c r="GK29" s="172"/>
      <c r="GL29" s="173"/>
      <c r="GM29" s="173"/>
      <c r="GN29" s="173"/>
      <c r="GO29" s="173"/>
      <c r="GP29" s="173"/>
      <c r="GQ29" s="173"/>
      <c r="GR29" s="173"/>
      <c r="GS29" s="173"/>
      <c r="GT29" s="173"/>
      <c r="GU29" s="173"/>
      <c r="GV29" s="173"/>
      <c r="GW29" s="173"/>
      <c r="GX29" s="173"/>
      <c r="GY29" s="173"/>
      <c r="GZ29" s="173"/>
      <c r="HA29" s="173"/>
      <c r="HB29" s="173"/>
      <c r="HC29" s="173"/>
      <c r="HD29" s="173"/>
      <c r="HE29" s="173"/>
    </row>
    <row r="30" spans="1:213" s="138" customFormat="1" ht="12.6" customHeight="1">
      <c r="A30" s="160">
        <v>2023</v>
      </c>
      <c r="B30" s="178">
        <v>4</v>
      </c>
      <c r="C30" s="179" t="s">
        <v>3250</v>
      </c>
      <c r="D30" s="180">
        <f t="shared" si="10"/>
        <v>323150</v>
      </c>
      <c r="E30" s="181">
        <f t="shared" ref="E30:G30" si="13">SUM(E31:E35)</f>
        <v>10846</v>
      </c>
      <c r="F30" s="181">
        <f t="shared" si="13"/>
        <v>6361</v>
      </c>
      <c r="G30" s="181">
        <f t="shared" si="13"/>
        <v>500</v>
      </c>
      <c r="H30" s="181">
        <f>SUM(H31:H35)</f>
        <v>0</v>
      </c>
      <c r="I30" s="181">
        <f t="shared" ref="I30:K30" si="14">SUM(I31:I35)</f>
        <v>127257</v>
      </c>
      <c r="J30" s="181">
        <f t="shared" si="14"/>
        <v>136070</v>
      </c>
      <c r="K30" s="181">
        <f t="shared" si="14"/>
        <v>3361</v>
      </c>
      <c r="L30" s="181">
        <f>SUM(L31:L35)</f>
        <v>0</v>
      </c>
      <c r="M30" s="181">
        <f t="shared" ref="M30:O30" si="15">SUM(M31:M35)</f>
        <v>0</v>
      </c>
      <c r="N30" s="181">
        <f t="shared" si="15"/>
        <v>36042</v>
      </c>
      <c r="O30" s="181">
        <f t="shared" si="15"/>
        <v>0</v>
      </c>
      <c r="P30" s="181">
        <f>SUM(P31:P35)</f>
        <v>0</v>
      </c>
      <c r="Q30" s="181">
        <f>SUM(Q31:Q35)</f>
        <v>0</v>
      </c>
      <c r="R30" s="181">
        <f>SUM(R31:R35)</f>
        <v>0</v>
      </c>
      <c r="S30" s="181">
        <f>SUM(S31:S35)</f>
        <v>0</v>
      </c>
      <c r="T30" s="181">
        <f t="shared" ref="T30:W30" si="16">SUM(T31:T35)</f>
        <v>1991</v>
      </c>
      <c r="U30" s="181">
        <f t="shared" si="16"/>
        <v>0</v>
      </c>
      <c r="V30" s="181">
        <f t="shared" si="16"/>
        <v>722</v>
      </c>
      <c r="W30" s="181">
        <f t="shared" si="16"/>
        <v>0</v>
      </c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/>
      <c r="BU30" s="156"/>
      <c r="BV30" s="156"/>
      <c r="BW30" s="156"/>
      <c r="BX30" s="156"/>
      <c r="BY30" s="156"/>
      <c r="BZ30" s="156"/>
      <c r="CA30" s="156"/>
      <c r="CB30" s="156"/>
      <c r="CC30" s="156"/>
      <c r="CD30" s="156"/>
      <c r="CE30" s="156"/>
      <c r="CF30" s="156"/>
      <c r="CG30" s="156"/>
      <c r="CH30" s="156"/>
      <c r="CI30" s="156"/>
      <c r="CJ30" s="156"/>
      <c r="CK30" s="156"/>
      <c r="CL30" s="156"/>
      <c r="CM30" s="156"/>
      <c r="CN30" s="156"/>
      <c r="CO30" s="156"/>
      <c r="CP30" s="156"/>
      <c r="CQ30" s="156"/>
      <c r="CR30" s="156"/>
      <c r="CS30" s="156"/>
      <c r="CT30" s="156"/>
      <c r="CU30" s="156"/>
      <c r="CV30" s="156"/>
      <c r="CW30" s="156"/>
      <c r="CX30" s="156"/>
      <c r="CY30" s="156"/>
      <c r="CZ30" s="156"/>
      <c r="DA30" s="156"/>
      <c r="DB30" s="156"/>
      <c r="DC30" s="156"/>
      <c r="DD30" s="156"/>
      <c r="DE30" s="156"/>
      <c r="DF30" s="156"/>
      <c r="DG30" s="156"/>
      <c r="DH30" s="156"/>
      <c r="DI30" s="156"/>
      <c r="DJ30" s="156"/>
      <c r="DK30" s="156"/>
      <c r="DL30" s="156"/>
      <c r="DM30" s="156"/>
      <c r="DN30" s="156"/>
      <c r="DO30" s="156"/>
      <c r="DP30" s="156"/>
      <c r="DQ30" s="156"/>
      <c r="DR30" s="156"/>
      <c r="DS30" s="156"/>
      <c r="DT30" s="156"/>
      <c r="DU30" s="156"/>
      <c r="DV30" s="156"/>
      <c r="DW30" s="156"/>
      <c r="DX30" s="156"/>
      <c r="DY30" s="156"/>
      <c r="DZ30" s="156"/>
      <c r="EA30" s="156"/>
      <c r="EB30" s="156"/>
      <c r="EC30" s="156"/>
      <c r="ED30" s="156"/>
      <c r="EE30" s="156"/>
      <c r="EF30" s="156"/>
      <c r="EG30" s="156"/>
      <c r="EH30" s="156"/>
      <c r="EI30" s="156"/>
      <c r="EJ30" s="156"/>
      <c r="EK30" s="156"/>
      <c r="EL30" s="156"/>
      <c r="EM30" s="156"/>
      <c r="EN30" s="156"/>
      <c r="EO30" s="156"/>
      <c r="EP30" s="156"/>
      <c r="EQ30" s="156"/>
      <c r="ER30" s="156"/>
      <c r="ES30" s="156"/>
      <c r="ET30" s="156"/>
      <c r="EU30" s="156"/>
      <c r="EV30" s="156"/>
      <c r="EW30" s="156"/>
      <c r="EX30" s="156"/>
      <c r="EY30" s="156"/>
      <c r="EZ30" s="156"/>
      <c r="FA30" s="156"/>
      <c r="FB30" s="156"/>
      <c r="FC30" s="156"/>
      <c r="FD30" s="156"/>
      <c r="FE30" s="156"/>
      <c r="FF30" s="156"/>
      <c r="FG30" s="156"/>
      <c r="FH30" s="156"/>
      <c r="FI30" s="156"/>
      <c r="FJ30" s="156"/>
      <c r="FK30" s="156"/>
      <c r="FL30" s="156"/>
      <c r="FM30" s="156"/>
      <c r="FN30" s="156"/>
      <c r="FO30" s="156"/>
      <c r="FP30" s="156"/>
      <c r="FQ30" s="156"/>
      <c r="FR30" s="156"/>
      <c r="FS30" s="156"/>
      <c r="FT30" s="156"/>
      <c r="FU30" s="156"/>
      <c r="FV30" s="156"/>
      <c r="FW30" s="156"/>
      <c r="FX30" s="156"/>
      <c r="FY30" s="156"/>
      <c r="FZ30" s="156"/>
      <c r="GA30" s="156"/>
      <c r="GB30" s="156"/>
      <c r="GC30" s="156"/>
      <c r="GD30" s="156"/>
      <c r="GE30" s="156"/>
      <c r="GF30" s="156"/>
      <c r="GG30" s="156"/>
      <c r="GH30" s="156"/>
      <c r="GI30" s="156"/>
      <c r="GJ30" s="156"/>
      <c r="GK30" s="156"/>
      <c r="GL30" s="155"/>
      <c r="GM30" s="155"/>
      <c r="GN30" s="155"/>
      <c r="GO30" s="155"/>
      <c r="GP30" s="155"/>
      <c r="GQ30" s="155"/>
      <c r="GR30" s="155"/>
      <c r="GS30" s="155"/>
      <c r="GT30" s="155"/>
      <c r="GU30" s="155"/>
      <c r="GV30" s="155"/>
      <c r="GW30" s="155"/>
      <c r="GX30" s="155"/>
      <c r="GY30" s="155"/>
      <c r="GZ30" s="155"/>
      <c r="HA30" s="155"/>
      <c r="HB30" s="155"/>
      <c r="HC30" s="155"/>
      <c r="HD30" s="155"/>
      <c r="HE30" s="155"/>
    </row>
    <row r="31" spans="1:213" s="188" customFormat="1" ht="12.6" customHeight="1">
      <c r="A31" s="160">
        <v>2023</v>
      </c>
      <c r="B31" s="168">
        <v>41</v>
      </c>
      <c r="C31" s="169" t="s">
        <v>3251</v>
      </c>
      <c r="D31" s="176">
        <f t="shared" si="10"/>
        <v>85025</v>
      </c>
      <c r="E31" s="171">
        <f>SUMIFS('Unos rashoda i izdataka'!$K$3:$K$501,'Unos rashoda i izdataka'!$C$3:$C$501,"=11",'Unos rashoda i izdataka'!$P$3:$P$501,"=41")+SUMIFS('Unos rashoda P4'!$I$3:$I$501,'Unos rashoda P4'!$A$3:$A$501,"=11",'Unos rashoda P4'!$S$3:$S$501,"=41")</f>
        <v>5000</v>
      </c>
      <c r="F31" s="171">
        <f>SUMIFS('Unos rashoda i izdataka'!$K$3:$K$501,'Unos rashoda i izdataka'!$C$3:$C$501,"=12",'Unos rashoda i izdataka'!$P$3:$P$501,"=41")+SUMIFS('Unos rashoda P4'!$I$3:$I$501,'Unos rashoda P4'!$A$3:$A$501,"=12",'Unos rashoda P4'!$S$3:$S$501,"=41")</f>
        <v>0</v>
      </c>
      <c r="G31" s="171">
        <f>SUMIFS('Unos rashoda i izdataka'!$K$3:$K$501,'Unos rashoda i izdataka'!$C$3:$C$501,"=31",'Unos rashoda i izdataka'!$P$3:$P$501,"=41")+SUMIFS('Unos rashoda P4'!$I$3:$I$501,'Unos rashoda P4'!$A$3:$A$501,"=31",'Unos rashoda P4'!$S$3:$S$501,"=41")</f>
        <v>0</v>
      </c>
      <c r="H31" s="171">
        <f>SUMIFS('Unos rashoda i izdataka'!$K$3:$K$501,'Unos rashoda i izdataka'!$C$3:$C$501,"=41",'Unos rashoda i izdataka'!$P$3:$P$501,"=41")+SUMIFS('Unos rashoda P4'!$I$3:$I$501,'Unos rashoda P4'!$A$3:$A$501,"=41",'Unos rashoda P4'!$S$3:$S$501,"=41")</f>
        <v>0</v>
      </c>
      <c r="I31" s="171">
        <f>SUMIFS('Unos rashoda i izdataka'!$K$3:$K$501,'Unos rashoda i izdataka'!$C$3:$C$501,"=43",'Unos rashoda i izdataka'!$P$3:$P$501,"=41")+SUMIFS('Unos rashoda P4'!$I$3:$I$501,'Unos rashoda P4'!$A$3:$A$501,"=43",'Unos rashoda P4'!$S$3:$S$501,"=41")</f>
        <v>10625</v>
      </c>
      <c r="J31" s="171">
        <f>SUMIFS('Unos rashoda i izdataka'!$K$3:$K$501,'Unos rashoda i izdataka'!$C$3:$C$501,"=51",'Unos rashoda i izdataka'!$P$3:$P$501,"=41")+SUMIFS('Unos rashoda P4'!$I$3:$I$501,'Unos rashoda P4'!$A$3:$A$501,"=51",'Unos rashoda P4'!$S$3:$S$501,"=41")</f>
        <v>69400</v>
      </c>
      <c r="K31" s="171">
        <f>SUMIFS('Unos rashoda i izdataka'!$K$3:$K$501,'Unos rashoda i izdataka'!$C$3:$C$501,"=52",'Unos rashoda i izdataka'!$P$3:$P$501,"=41")+SUMIFS('Unos rashoda P4'!$I$3:$I$501,'Unos rashoda P4'!$A$3:$A$501,"=52",'Unos rashoda P4'!$S$3:$S$501,"=41")</f>
        <v>0</v>
      </c>
      <c r="L31" s="171">
        <f>SUMIFS('Unos rashoda i izdataka'!$K$3:$K$501,'Unos rashoda i izdataka'!$C$3:$C$501,"=552",'Unos rashoda i izdataka'!$P$3:$P$501,"=41")+SUMIFS('Unos rashoda P4'!$I$3:$I$501,'Unos rashoda P4'!$A$3:$A$501,"=552",'Unos rashoda P4'!$S$3:$S$501,"=41")</f>
        <v>0</v>
      </c>
      <c r="M31" s="171">
        <f>SUMIFS('Unos rashoda i izdataka'!$K$3:$K$501,'Unos rashoda i izdataka'!$C$3:$C$501,"=559",'Unos rashoda i izdataka'!$P$3:$P$501,"=41")+SUMIFS('Unos rashoda P4'!$I$3:$I$501,'Unos rashoda P4'!$A$3:$A$501,"=559",'Unos rashoda P4'!$S$3:$S$501,"=41")</f>
        <v>0</v>
      </c>
      <c r="N31" s="171">
        <f>SUMIFS('Unos rashoda i izdataka'!$K$3:$K$501,'Unos rashoda i izdataka'!$C$3:$C$501,"=561",'Unos rashoda i izdataka'!$P$3:$P$501,"=41")+SUMIFS('Unos rashoda P4'!$I$3:$I$501,'Unos rashoda P4'!$A$3:$A$501,"=561",'Unos rashoda P4'!$S$3:$S$501,"=41")</f>
        <v>0</v>
      </c>
      <c r="O31" s="171">
        <f>SUMIFS('Unos rashoda i izdataka'!$K$3:$K$501,'Unos rashoda i izdataka'!$C$3:$C$501,"=563",'Unos rashoda i izdataka'!$P$3:$P$501,"=41")+SUMIFS('Unos rashoda P4'!$I$3:$I$501,'Unos rashoda P4'!$A$3:$A$501,"=563",'Unos rashoda P4'!$S$3:$S$501,"=41")</f>
        <v>0</v>
      </c>
      <c r="P31" s="171">
        <f>SUMIFS('Unos rashoda i izdataka'!$K$3:$K$501,'Unos rashoda i izdataka'!$C$3:$C$501,"=573",'Unos rashoda i izdataka'!$P$3:$P$501,"=41")+SUMIFS('Unos rashoda P4'!$I$3:$I$501,'Unos rashoda P4'!$A$3:$A$501,"=573",'Unos rashoda P4'!$S$3:$S$501,"=41")</f>
        <v>0</v>
      </c>
      <c r="Q31" s="171">
        <f>SUMIFS('Unos rashoda i izdataka'!$K$3:$K$501,'Unos rashoda i izdataka'!$C$3:$C$501,"=575",'Unos rashoda i izdataka'!$P$3:$P$501,"=41")+SUMIFS('Unos rashoda P4'!$I$3:$I$501,'Unos rashoda P4'!$A$3:$A$501,"=575",'Unos rashoda P4'!$S$3:$S$501,"=41")</f>
        <v>0</v>
      </c>
      <c r="R31" s="171">
        <f>SUMIFS('Unos rashoda i izdataka'!$K$3:$K$501,'Unos rashoda i izdataka'!$Q$3:$Q$501,"=576",'Unos rashoda i izdataka'!$P$3:$P$501,"=41")+SUMIFS('Unos rashoda P4'!$I$3:$I$501,'Unos rashoda P4'!$A$3:$A$501,"=576",'Unos rashoda P4'!$S$3:$S$501,"=41")</f>
        <v>0</v>
      </c>
      <c r="S31" s="171">
        <f>SUMIFS('Unos rashoda i izdataka'!$K$3:$K$501,'Unos rashoda i izdataka'!$C$3:$C$501,"=581",'Unos rashoda i izdataka'!$P$3:$P$501,"=41")+SUMIFS('Unos rashoda P4'!$I$3:$I$501,'Unos rashoda P4'!$A$3:$A$501,"=581",'Unos rashoda P4'!$S$3:$S$501,"=41")</f>
        <v>0</v>
      </c>
      <c r="T31" s="171">
        <f>SUMIFS('Unos rashoda i izdataka'!$K$3:$K$501,'Unos rashoda i izdataka'!$C$3:$C$501,"=61",'Unos rashoda i izdataka'!$P$3:$P$501,"=41")+SUMIFS('Unos rashoda P4'!$I$3:$I$501,'Unos rashoda P4'!$A$3:$A$501,"=61",'Unos rashoda P4'!$S$3:$S$501,"=41")</f>
        <v>0</v>
      </c>
      <c r="U31" s="171">
        <f>SUMIFS('Unos rashoda i izdataka'!$K$3:$K$501,'Unos rashoda i izdataka'!$C$3:$C$501,"=63",'Unos rashoda i izdataka'!$P$3:$P$501,"=41")+SUMIFS('Unos rashoda P4'!$I$3:$I$501,'Unos rashoda P4'!$A$3:$A$501,"=63",'Unos rashoda P4'!$S$3:$S$501,"=41")</f>
        <v>0</v>
      </c>
      <c r="V31" s="171">
        <f>SUMIFS('Unos rashoda i izdataka'!$K$3:$K$501,'Unos rashoda i izdataka'!$C$3:$C$501,"=71",'Unos rashoda i izdataka'!$P$3:$P$501,"=41")+SUMIFS('Unos rashoda P4'!$I$3:$I$501,'Unos rashoda P4'!$A$3:$A$501,"=71",'Unos rashoda P4'!$S$3:$S$501,"=41")</f>
        <v>0</v>
      </c>
      <c r="W31" s="171">
        <f>SUMIFS('Unos rashoda i izdataka'!$K$3:$K$501,'Unos rashoda i izdataka'!$C$3:$C$501,"=81",'Unos rashoda i izdataka'!$P$3:$P$501,"=41")+SUMIFS('Unos rashoda P4'!$I$3:$I$501,'Unos rashoda P4'!$A$3:$A$501,"=81",'Unos rashoda P4'!$S$3:$S$501,"=41")</f>
        <v>0</v>
      </c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172"/>
      <c r="AX31" s="172"/>
      <c r="AY31" s="172"/>
      <c r="AZ31" s="172"/>
      <c r="BA31" s="172"/>
      <c r="BB31" s="172"/>
      <c r="BC31" s="172"/>
      <c r="BD31" s="172"/>
      <c r="BE31" s="172"/>
      <c r="BF31" s="172"/>
      <c r="BG31" s="172"/>
      <c r="BH31" s="172"/>
      <c r="BI31" s="172"/>
      <c r="BJ31" s="172"/>
      <c r="BK31" s="172"/>
      <c r="BL31" s="172"/>
      <c r="BM31" s="172"/>
      <c r="BN31" s="172"/>
      <c r="BO31" s="172"/>
      <c r="BP31" s="172"/>
      <c r="BQ31" s="172"/>
      <c r="BR31" s="172"/>
      <c r="BS31" s="172"/>
      <c r="BT31" s="172"/>
      <c r="BU31" s="172"/>
      <c r="BV31" s="172"/>
      <c r="BW31" s="172"/>
      <c r="BX31" s="172"/>
      <c r="BY31" s="172"/>
      <c r="BZ31" s="172"/>
      <c r="CA31" s="172"/>
      <c r="CB31" s="172"/>
      <c r="CC31" s="172"/>
      <c r="CD31" s="172"/>
      <c r="CE31" s="172"/>
      <c r="CF31" s="172"/>
      <c r="CG31" s="172"/>
      <c r="CH31" s="172"/>
      <c r="CI31" s="172"/>
      <c r="CJ31" s="172"/>
      <c r="CK31" s="172"/>
      <c r="CL31" s="172"/>
      <c r="CM31" s="172"/>
      <c r="CN31" s="172"/>
      <c r="CO31" s="172"/>
      <c r="CP31" s="172"/>
      <c r="CQ31" s="172"/>
      <c r="CR31" s="172"/>
      <c r="CS31" s="172"/>
      <c r="CT31" s="172"/>
      <c r="CU31" s="172"/>
      <c r="CV31" s="172"/>
      <c r="CW31" s="172"/>
      <c r="CX31" s="172"/>
      <c r="CY31" s="172"/>
      <c r="CZ31" s="172"/>
      <c r="DA31" s="172"/>
      <c r="DB31" s="172"/>
      <c r="DC31" s="172"/>
      <c r="DD31" s="172"/>
      <c r="DE31" s="172"/>
      <c r="DF31" s="172"/>
      <c r="DG31" s="172"/>
      <c r="DH31" s="172"/>
      <c r="DI31" s="172"/>
      <c r="DJ31" s="172"/>
      <c r="DK31" s="172"/>
      <c r="DL31" s="172"/>
      <c r="DM31" s="172"/>
      <c r="DN31" s="172"/>
      <c r="DO31" s="172"/>
      <c r="DP31" s="172"/>
      <c r="DQ31" s="172"/>
      <c r="DR31" s="172"/>
      <c r="DS31" s="172"/>
      <c r="DT31" s="172"/>
      <c r="DU31" s="172"/>
      <c r="DV31" s="172"/>
      <c r="DW31" s="172"/>
      <c r="DX31" s="172"/>
      <c r="DY31" s="172"/>
      <c r="DZ31" s="172"/>
      <c r="EA31" s="172"/>
      <c r="EB31" s="172"/>
      <c r="EC31" s="172"/>
      <c r="ED31" s="172"/>
      <c r="EE31" s="172"/>
      <c r="EF31" s="172"/>
      <c r="EG31" s="172"/>
      <c r="EH31" s="172"/>
      <c r="EI31" s="172"/>
      <c r="EJ31" s="172"/>
      <c r="EK31" s="172"/>
      <c r="EL31" s="172"/>
      <c r="EM31" s="172"/>
      <c r="EN31" s="172"/>
      <c r="EO31" s="172"/>
      <c r="EP31" s="172"/>
      <c r="EQ31" s="172"/>
      <c r="ER31" s="172"/>
      <c r="ES31" s="172"/>
      <c r="ET31" s="172"/>
      <c r="EU31" s="172"/>
      <c r="EV31" s="172"/>
      <c r="EW31" s="172"/>
      <c r="EX31" s="172"/>
      <c r="EY31" s="172"/>
      <c r="EZ31" s="172"/>
      <c r="FA31" s="172"/>
      <c r="FB31" s="172"/>
      <c r="FC31" s="172"/>
      <c r="FD31" s="172"/>
      <c r="FE31" s="172"/>
      <c r="FF31" s="172"/>
      <c r="FG31" s="172"/>
      <c r="FH31" s="172"/>
      <c r="FI31" s="172"/>
      <c r="FJ31" s="172"/>
      <c r="FK31" s="172"/>
      <c r="FL31" s="172"/>
      <c r="FM31" s="172"/>
      <c r="FN31" s="172"/>
      <c r="FO31" s="172"/>
      <c r="FP31" s="172"/>
      <c r="FQ31" s="172"/>
      <c r="FR31" s="172"/>
      <c r="FS31" s="172"/>
      <c r="FT31" s="172"/>
      <c r="FU31" s="172"/>
      <c r="FV31" s="172"/>
      <c r="FW31" s="172"/>
      <c r="FX31" s="172"/>
      <c r="FY31" s="172"/>
      <c r="FZ31" s="172"/>
      <c r="GA31" s="172"/>
      <c r="GB31" s="172"/>
      <c r="GC31" s="172"/>
      <c r="GD31" s="172"/>
      <c r="GE31" s="172"/>
      <c r="GF31" s="172"/>
      <c r="GG31" s="172"/>
      <c r="GH31" s="172"/>
      <c r="GI31" s="172"/>
      <c r="GJ31" s="172"/>
      <c r="GK31" s="172"/>
      <c r="GL31" s="173"/>
      <c r="GM31" s="173"/>
      <c r="GN31" s="173"/>
      <c r="GO31" s="173"/>
      <c r="GP31" s="173"/>
      <c r="GQ31" s="173"/>
      <c r="GR31" s="173"/>
      <c r="GS31" s="173"/>
      <c r="GT31" s="173"/>
      <c r="GU31" s="173"/>
      <c r="GV31" s="173"/>
      <c r="GW31" s="173"/>
      <c r="GX31" s="173"/>
      <c r="GY31" s="173"/>
      <c r="GZ31" s="173"/>
      <c r="HA31" s="173"/>
      <c r="HB31" s="173"/>
      <c r="HC31" s="173"/>
      <c r="HD31" s="173"/>
      <c r="HE31" s="173"/>
    </row>
    <row r="32" spans="1:213" s="190" customFormat="1" ht="12.6" customHeight="1">
      <c r="A32" s="160">
        <v>2023</v>
      </c>
      <c r="B32" s="174">
        <v>42</v>
      </c>
      <c r="C32" s="175" t="s">
        <v>3252</v>
      </c>
      <c r="D32" s="176">
        <f t="shared" si="10"/>
        <v>238125</v>
      </c>
      <c r="E32" s="171">
        <f>SUMIFS('Unos rashoda i izdataka'!$K$3:$K$501,'Unos rashoda i izdataka'!$C$3:$C$501,"=11",'Unos rashoda i izdataka'!$P$3:$P$501,"=42")+SUMIFS('Unos rashoda P4'!$I$3:$I$501,'Unos rashoda P4'!$A$3:$A$501,"=11",'Unos rashoda P4'!$S$3:$S$501,"=42")</f>
        <v>5846</v>
      </c>
      <c r="F32" s="171">
        <f>SUMIFS('Unos rashoda i izdataka'!$K$3:$K$501,'Unos rashoda i izdataka'!$C$3:$C$501,"=12",'Unos rashoda i izdataka'!$P$3:$P$501,"=42")+SUMIFS('Unos rashoda P4'!$I$3:$I$501,'Unos rashoda P4'!$A$3:$A$501,"=12",'Unos rashoda P4'!$S$3:$S$501,"=42")</f>
        <v>6361</v>
      </c>
      <c r="G32" s="171">
        <f>SUMIFS('Unos rashoda i izdataka'!$K$3:$K$501,'Unos rashoda i izdataka'!$C$3:$C$501,"=31",'Unos rashoda i izdataka'!$P$3:$P$501,"=42")+SUMIFS('Unos rashoda P4'!$I$3:$I$501,'Unos rashoda P4'!$A$3:$A$501,"=31",'Unos rashoda P4'!$S$3:$S$501,"=42")</f>
        <v>500</v>
      </c>
      <c r="H32" s="171">
        <f>SUMIFS('Unos rashoda i izdataka'!$K$3:$K$501,'Unos rashoda i izdataka'!$C$3:$C$501,"=41",'Unos rashoda i izdataka'!$P$3:$P$501,"=42")+SUMIFS('Unos rashoda P4'!$I$3:$I$501,'Unos rashoda P4'!$A$3:$A$501,"=41",'Unos rashoda P4'!$S$3:$S$501,"=42")</f>
        <v>0</v>
      </c>
      <c r="I32" s="171">
        <f>SUMIFS('Unos rashoda i izdataka'!$K$3:$K$501,'Unos rashoda i izdataka'!$C$3:$C$501,"=43",'Unos rashoda i izdataka'!$P$3:$P$501,"=42")+SUMIFS('Unos rashoda P4'!$I$3:$I$501,'Unos rashoda P4'!$A$3:$A$501,"=43",'Unos rashoda P4'!$S$3:$S$501,"=42")</f>
        <v>116632</v>
      </c>
      <c r="J32" s="171">
        <f>SUMIFS('Unos rashoda i izdataka'!$K$3:$K$501,'Unos rashoda i izdataka'!$C$3:$C$501,"=51",'Unos rashoda i izdataka'!$P$3:$P$501,"=42")+SUMIFS('Unos rashoda P4'!$I$3:$I$501,'Unos rashoda P4'!$A$3:$A$501,"=51",'Unos rashoda P4'!$S$3:$S$501,"=42")</f>
        <v>66670</v>
      </c>
      <c r="K32" s="171">
        <f>SUMIFS('Unos rashoda i izdataka'!$K$3:$K$501,'Unos rashoda i izdataka'!$C$3:$C$501,"=52",'Unos rashoda i izdataka'!$P$3:$P$501,"=42")+SUMIFS('Unos rashoda P4'!$I$3:$I$501,'Unos rashoda P4'!$A$3:$A$501,"=52",'Unos rashoda P4'!$S$3:$S$501,"=42")</f>
        <v>3361</v>
      </c>
      <c r="L32" s="171">
        <f>SUMIFS('Unos rashoda i izdataka'!$K$3:$K$501,'Unos rashoda i izdataka'!$C$3:$C$501,"=552",'Unos rashoda i izdataka'!$P$3:$P$501,"=42")+SUMIFS('Unos rashoda P4'!$I$3:$I$501,'Unos rashoda P4'!$A$3:$A$501,"=552",'Unos rashoda P4'!$S$3:$S$501,"=42")</f>
        <v>0</v>
      </c>
      <c r="M32" s="171">
        <f>SUMIFS('Unos rashoda i izdataka'!$K$3:$K$501,'Unos rashoda i izdataka'!$C$3:$C$501,"=559",'Unos rashoda i izdataka'!$P$3:$P$501,"=42")+SUMIFS('Unos rashoda P4'!$I$3:$I$501,'Unos rashoda P4'!$A$3:$A$501,"=559",'Unos rashoda P4'!$S$3:$S$501,"=42")</f>
        <v>0</v>
      </c>
      <c r="N32" s="171">
        <f>SUMIFS('Unos rashoda i izdataka'!$K$3:$K$501,'Unos rashoda i izdataka'!$C$3:$C$501,"=561",'Unos rashoda i izdataka'!$P$3:$P$501,"=42")+SUMIFS('Unos rashoda P4'!$I$3:$I$501,'Unos rashoda P4'!$A$3:$A$501,"=561",'Unos rashoda P4'!$S$3:$S$501,"=42")</f>
        <v>36042</v>
      </c>
      <c r="O32" s="171">
        <f>SUMIFS('Unos rashoda i izdataka'!$K$3:$K$501,'Unos rashoda i izdataka'!$C$3:$C$501,"=563",'Unos rashoda i izdataka'!$P$3:$P$501,"=42")+SUMIFS('Unos rashoda P4'!$I$3:$I$501,'Unos rashoda P4'!$A$3:$A$501,"=563",'Unos rashoda P4'!$S$3:$S$501,"=42")</f>
        <v>0</v>
      </c>
      <c r="P32" s="171">
        <f>SUMIFS('Unos rashoda i izdataka'!$K$3:$K$501,'Unos rashoda i izdataka'!$C$3:$C$501,"=573",'Unos rashoda i izdataka'!$P$3:$P$501,"=42")+SUMIFS('Unos rashoda P4'!$I$3:$I$501,'Unos rashoda P4'!$A$3:$A$501,"=573",'Unos rashoda P4'!$S$3:$S$501,"=42")</f>
        <v>0</v>
      </c>
      <c r="Q32" s="171">
        <f>SUMIFS('Unos rashoda i izdataka'!$K$3:$K$501,'Unos rashoda i izdataka'!$C$3:$C$501,"=575",'Unos rashoda i izdataka'!$P$3:$P$501,"=42")+SUMIFS('Unos rashoda P4'!$I$3:$I$501,'Unos rashoda P4'!$A$3:$A$501,"=575",'Unos rashoda P4'!$S$3:$S$501,"=42")</f>
        <v>0</v>
      </c>
      <c r="R32" s="171">
        <f>SUMIFS('Unos rashoda i izdataka'!$K$3:$K$501,'Unos rashoda i izdataka'!$Q$3:$Q$501,"=576",'Unos rashoda i izdataka'!$P$3:$P$501,"=42")+SUMIFS('Unos rashoda P4'!$I$3:$I$501,'Unos rashoda P4'!$A$3:$A$501,"=576",'Unos rashoda P4'!$S$3:$S$501,"=42")</f>
        <v>0</v>
      </c>
      <c r="S32" s="171">
        <f>SUMIFS('Unos rashoda i izdataka'!$K$3:$K$501,'Unos rashoda i izdataka'!$C$3:$C$501,"=581",'Unos rashoda i izdataka'!$P$3:$P$501,"=42")+SUMIFS('Unos rashoda P4'!$I$3:$I$501,'Unos rashoda P4'!$A$3:$A$501,"=581",'Unos rashoda P4'!$S$3:$S$501,"=42")</f>
        <v>0</v>
      </c>
      <c r="T32" s="171">
        <f>SUMIFS('Unos rashoda i izdataka'!$K$3:$K$501,'Unos rashoda i izdataka'!$C$3:$C$501,"=61",'Unos rashoda i izdataka'!$P$3:$P$501,"=42")+SUMIFS('Unos rashoda P4'!$I$3:$I$501,'Unos rashoda P4'!$A$3:$A$501,"=61",'Unos rashoda P4'!$S$3:$S$501,"=42")</f>
        <v>1991</v>
      </c>
      <c r="U32" s="171">
        <f>SUMIFS('Unos rashoda i izdataka'!$K$3:$K$501,'Unos rashoda i izdataka'!$C$3:$C$501,"=63",'Unos rashoda i izdataka'!$P$3:$P$501,"=42")+SUMIFS('Unos rashoda P4'!$I$3:$I$501,'Unos rashoda P4'!$A$3:$A$501,"=63",'Unos rashoda P4'!$S$3:$S$501,"=42")</f>
        <v>0</v>
      </c>
      <c r="V32" s="171">
        <f>SUMIFS('Unos rashoda i izdataka'!$K$3:$K$501,'Unos rashoda i izdataka'!$C$3:$C$501,"=71",'Unos rashoda i izdataka'!$P$3:$P$501,"=42")+SUMIFS('Unos rashoda P4'!$I$3:$I$501,'Unos rashoda P4'!$A$3:$A$501,"=71",'Unos rashoda P4'!$S$3:$S$501,"=42")</f>
        <v>722</v>
      </c>
      <c r="W32" s="171">
        <f>SUMIFS('Unos rashoda i izdataka'!$K$3:$K$501,'Unos rashoda i izdataka'!$C$3:$C$501,"=81",'Unos rashoda i izdataka'!$P$3:$P$501,"=42")+SUMIFS('Unos rashoda P4'!$I$3:$I$501,'Unos rashoda P4'!$A$3:$A$501,"=81",'Unos rashoda P4'!$S$3:$S$501,"=42")</f>
        <v>0</v>
      </c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  <c r="AU32" s="172"/>
      <c r="AV32" s="172"/>
      <c r="AW32" s="172"/>
      <c r="AX32" s="172"/>
      <c r="AY32" s="172"/>
      <c r="AZ32" s="172"/>
      <c r="BA32" s="172"/>
      <c r="BB32" s="172"/>
      <c r="BC32" s="172"/>
      <c r="BD32" s="172"/>
      <c r="BE32" s="172"/>
      <c r="BF32" s="172"/>
      <c r="BG32" s="172"/>
      <c r="BH32" s="172"/>
      <c r="BI32" s="172"/>
      <c r="BJ32" s="172"/>
      <c r="BK32" s="172"/>
      <c r="BL32" s="172"/>
      <c r="BM32" s="172"/>
      <c r="BN32" s="172"/>
      <c r="BO32" s="172"/>
      <c r="BP32" s="172"/>
      <c r="BQ32" s="172"/>
      <c r="BR32" s="172"/>
      <c r="BS32" s="172"/>
      <c r="BT32" s="172"/>
      <c r="BU32" s="172"/>
      <c r="BV32" s="172"/>
      <c r="BW32" s="172"/>
      <c r="BX32" s="172"/>
      <c r="BY32" s="172"/>
      <c r="BZ32" s="172"/>
      <c r="CA32" s="172"/>
      <c r="CB32" s="172"/>
      <c r="CC32" s="172"/>
      <c r="CD32" s="172"/>
      <c r="CE32" s="172"/>
      <c r="CF32" s="172"/>
      <c r="CG32" s="172"/>
      <c r="CH32" s="172"/>
      <c r="CI32" s="172"/>
      <c r="CJ32" s="172"/>
      <c r="CK32" s="172"/>
      <c r="CL32" s="172"/>
      <c r="CM32" s="172"/>
      <c r="CN32" s="172"/>
      <c r="CO32" s="172"/>
      <c r="CP32" s="172"/>
      <c r="CQ32" s="172"/>
      <c r="CR32" s="172"/>
      <c r="CS32" s="172"/>
      <c r="CT32" s="172"/>
      <c r="CU32" s="172"/>
      <c r="CV32" s="172"/>
      <c r="CW32" s="172"/>
      <c r="CX32" s="172"/>
      <c r="CY32" s="172"/>
      <c r="CZ32" s="172"/>
      <c r="DA32" s="172"/>
      <c r="DB32" s="172"/>
      <c r="DC32" s="172"/>
      <c r="DD32" s="172"/>
      <c r="DE32" s="172"/>
      <c r="DF32" s="172"/>
      <c r="DG32" s="172"/>
      <c r="DH32" s="172"/>
      <c r="DI32" s="172"/>
      <c r="DJ32" s="172"/>
      <c r="DK32" s="172"/>
      <c r="DL32" s="172"/>
      <c r="DM32" s="172"/>
      <c r="DN32" s="172"/>
      <c r="DO32" s="172"/>
      <c r="DP32" s="172"/>
      <c r="DQ32" s="172"/>
      <c r="DR32" s="172"/>
      <c r="DS32" s="172"/>
      <c r="DT32" s="172"/>
      <c r="DU32" s="172"/>
      <c r="DV32" s="172"/>
      <c r="DW32" s="172"/>
      <c r="DX32" s="172"/>
      <c r="DY32" s="172"/>
      <c r="DZ32" s="172"/>
      <c r="EA32" s="172"/>
      <c r="EB32" s="172"/>
      <c r="EC32" s="172"/>
      <c r="ED32" s="172"/>
      <c r="EE32" s="172"/>
      <c r="EF32" s="172"/>
      <c r="EG32" s="172"/>
      <c r="EH32" s="172"/>
      <c r="EI32" s="172"/>
      <c r="EJ32" s="172"/>
      <c r="EK32" s="172"/>
      <c r="EL32" s="172"/>
      <c r="EM32" s="172"/>
      <c r="EN32" s="172"/>
      <c r="EO32" s="172"/>
      <c r="EP32" s="172"/>
      <c r="EQ32" s="172"/>
      <c r="ER32" s="172"/>
      <c r="ES32" s="172"/>
      <c r="ET32" s="172"/>
      <c r="EU32" s="172"/>
      <c r="EV32" s="172"/>
      <c r="EW32" s="172"/>
      <c r="EX32" s="172"/>
      <c r="EY32" s="172"/>
      <c r="EZ32" s="172"/>
      <c r="FA32" s="172"/>
      <c r="FB32" s="172"/>
      <c r="FC32" s="172"/>
      <c r="FD32" s="172"/>
      <c r="FE32" s="172"/>
      <c r="FF32" s="172"/>
      <c r="FG32" s="172"/>
      <c r="FH32" s="172"/>
      <c r="FI32" s="172"/>
      <c r="FJ32" s="172"/>
      <c r="FK32" s="172"/>
      <c r="FL32" s="172"/>
      <c r="FM32" s="172"/>
      <c r="FN32" s="172"/>
      <c r="FO32" s="172"/>
      <c r="FP32" s="172"/>
      <c r="FQ32" s="172"/>
      <c r="FR32" s="172"/>
      <c r="FS32" s="172"/>
      <c r="FT32" s="172"/>
      <c r="FU32" s="172"/>
      <c r="FV32" s="172"/>
      <c r="FW32" s="172"/>
      <c r="FX32" s="172"/>
      <c r="FY32" s="172"/>
      <c r="FZ32" s="172"/>
      <c r="GA32" s="172"/>
      <c r="GB32" s="172"/>
      <c r="GC32" s="172"/>
      <c r="GD32" s="172"/>
      <c r="GE32" s="172"/>
      <c r="GF32" s="172"/>
      <c r="GG32" s="172"/>
      <c r="GH32" s="172"/>
      <c r="GI32" s="172"/>
      <c r="GJ32" s="172"/>
      <c r="GK32" s="172"/>
      <c r="GL32" s="173"/>
      <c r="GM32" s="173"/>
      <c r="GN32" s="173"/>
      <c r="GO32" s="173"/>
      <c r="GP32" s="173"/>
      <c r="GQ32" s="173"/>
      <c r="GR32" s="173"/>
      <c r="GS32" s="173"/>
      <c r="GT32" s="173"/>
      <c r="GU32" s="173"/>
      <c r="GV32" s="173"/>
      <c r="GW32" s="173"/>
      <c r="GX32" s="173"/>
      <c r="GY32" s="173"/>
      <c r="GZ32" s="173"/>
      <c r="HA32" s="173"/>
      <c r="HB32" s="173"/>
      <c r="HC32" s="173"/>
      <c r="HD32" s="173"/>
      <c r="HE32" s="173"/>
    </row>
    <row r="33" spans="1:213" s="188" customFormat="1" ht="12.6" customHeight="1">
      <c r="A33" s="160">
        <v>2023</v>
      </c>
      <c r="B33" s="168">
        <v>43</v>
      </c>
      <c r="C33" s="169" t="s">
        <v>3253</v>
      </c>
      <c r="D33" s="176">
        <f t="shared" si="10"/>
        <v>0</v>
      </c>
      <c r="E33" s="171">
        <f>SUMIFS('Unos rashoda i izdataka'!$K$3:$K$501,'Unos rashoda i izdataka'!$C$3:$C$501,"=11",'Unos rashoda i izdataka'!$P$3:$P$501,"=43")+SUMIFS('Unos rashoda P4'!$I$3:$I$501,'Unos rashoda P4'!$A$3:$A$501,"=11",'Unos rashoda P4'!$S$3:$S$501,"=43")</f>
        <v>0</v>
      </c>
      <c r="F33" s="171">
        <f>SUMIFS('Unos rashoda i izdataka'!$K$3:$K$501,'Unos rashoda i izdataka'!$C$3:$C$501,"=12",'Unos rashoda i izdataka'!$P$3:$P$501,"=43")+SUMIFS('Unos rashoda P4'!$I$3:$I$501,'Unos rashoda P4'!$A$3:$A$501,"=12",'Unos rashoda P4'!$S$3:$S$501,"=43")</f>
        <v>0</v>
      </c>
      <c r="G33" s="171">
        <f>SUMIFS('Unos rashoda i izdataka'!$K$3:$K$501,'Unos rashoda i izdataka'!$C$3:$C$501,"=31",'Unos rashoda i izdataka'!$P$3:$P$501,"=43")+SUMIFS('Unos rashoda P4'!$I$3:$I$501,'Unos rashoda P4'!$A$3:$A$501,"=31",'Unos rashoda P4'!$S$3:$S$501,"=43")</f>
        <v>0</v>
      </c>
      <c r="H33" s="171">
        <f>SUMIFS('Unos rashoda i izdataka'!$K$3:$K$501,'Unos rashoda i izdataka'!$C$3:$C$501,"=41",'Unos rashoda i izdataka'!$P$3:$P$501,"=43")+SUMIFS('Unos rashoda P4'!$I$3:$I$501,'Unos rashoda P4'!$A$3:$A$501,"=41",'Unos rashoda P4'!$S$3:$S$501,"=43")</f>
        <v>0</v>
      </c>
      <c r="I33" s="171">
        <f>SUMIFS('Unos rashoda i izdataka'!$K$3:$K$501,'Unos rashoda i izdataka'!$C$3:$C$501,"=43",'Unos rashoda i izdataka'!$P$3:$P$501,"=43")+SUMIFS('Unos rashoda P4'!$I$3:$I$501,'Unos rashoda P4'!$A$3:$A$501,"=43",'Unos rashoda P4'!$S$3:$S$501,"=43")</f>
        <v>0</v>
      </c>
      <c r="J33" s="171">
        <f>SUMIFS('Unos rashoda i izdataka'!$K$3:$K$501,'Unos rashoda i izdataka'!$C$3:$C$501,"=51",'Unos rashoda i izdataka'!$P$3:$P$501,"=43")+SUMIFS('Unos rashoda P4'!$I$3:$I$501,'Unos rashoda P4'!$A$3:$A$501,"=51",'Unos rashoda P4'!$S$3:$S$501,"=43")</f>
        <v>0</v>
      </c>
      <c r="K33" s="171">
        <f>SUMIFS('Unos rashoda i izdataka'!$K$3:$K$501,'Unos rashoda i izdataka'!$C$3:$C$501,"=52",'Unos rashoda i izdataka'!$P$3:$P$501,"=43")+SUMIFS('Unos rashoda P4'!$I$3:$I$501,'Unos rashoda P4'!$A$3:$A$501,"=52",'Unos rashoda P4'!$S$3:$S$501,"=43")</f>
        <v>0</v>
      </c>
      <c r="L33" s="171">
        <f>SUMIFS('Unos rashoda i izdataka'!$K$3:$K$501,'Unos rashoda i izdataka'!$C$3:$C$501,"=552",'Unos rashoda i izdataka'!$P$3:$P$501,"=43")+SUMIFS('Unos rashoda P4'!$I$3:$I$501,'Unos rashoda P4'!$A$3:$A$501,"=552",'Unos rashoda P4'!$S$3:$S$501,"=43")</f>
        <v>0</v>
      </c>
      <c r="M33" s="171">
        <f>SUMIFS('Unos rashoda i izdataka'!$K$3:$K$501,'Unos rashoda i izdataka'!$C$3:$C$501,"=559",'Unos rashoda i izdataka'!$P$3:$P$501,"=43")+SUMIFS('Unos rashoda P4'!$I$3:$I$501,'Unos rashoda P4'!$A$3:$A$501,"=559",'Unos rashoda P4'!$S$3:$S$501,"=43")</f>
        <v>0</v>
      </c>
      <c r="N33" s="171">
        <f>SUMIFS('Unos rashoda i izdataka'!$K$3:$K$501,'Unos rashoda i izdataka'!$C$3:$C$501,"=561",'Unos rashoda i izdataka'!$P$3:$P$501,"=43")+SUMIFS('Unos rashoda P4'!$I$3:$I$501,'Unos rashoda P4'!$A$3:$A$501,"=561",'Unos rashoda P4'!$S$3:$S$501,"=43")</f>
        <v>0</v>
      </c>
      <c r="O33" s="171">
        <f>SUMIFS('Unos rashoda i izdataka'!$K$3:$K$501,'Unos rashoda i izdataka'!$C$3:$C$501,"=563",'Unos rashoda i izdataka'!$P$3:$P$501,"=43")+SUMIFS('Unos rashoda P4'!$I$3:$I$501,'Unos rashoda P4'!$A$3:$A$501,"=563",'Unos rashoda P4'!$S$3:$S$501,"=43")</f>
        <v>0</v>
      </c>
      <c r="P33" s="171">
        <f>SUMIFS('Unos rashoda i izdataka'!$K$3:$K$501,'Unos rashoda i izdataka'!$C$3:$C$501,"=573",'Unos rashoda i izdataka'!$P$3:$P$501,"=43")+SUMIFS('Unos rashoda P4'!$I$3:$I$501,'Unos rashoda P4'!$A$3:$A$501,"=573",'Unos rashoda P4'!$S$3:$S$501,"=43")</f>
        <v>0</v>
      </c>
      <c r="Q33" s="171">
        <f>SUMIFS('Unos rashoda i izdataka'!$K$3:$K$501,'Unos rashoda i izdataka'!$C$3:$C$501,"=575",'Unos rashoda i izdataka'!$P$3:$P$501,"=43")+SUMIFS('Unos rashoda P4'!$I$3:$I$501,'Unos rashoda P4'!$A$3:$A$501,"=575",'Unos rashoda P4'!$S$3:$S$501,"=43")</f>
        <v>0</v>
      </c>
      <c r="R33" s="171">
        <f>SUMIFS('Unos rashoda i izdataka'!$K$3:$K$501,'Unos rashoda i izdataka'!$Q$3:$Q$501,"=576",'Unos rashoda i izdataka'!$P$3:$P$501,"=43")+SUMIFS('Unos rashoda P4'!$I$3:$I$501,'Unos rashoda P4'!$A$3:$A$501,"=576",'Unos rashoda P4'!$S$3:$S$501,"=43")</f>
        <v>0</v>
      </c>
      <c r="S33" s="171">
        <f>SUMIFS('Unos rashoda i izdataka'!$K$3:$K$501,'Unos rashoda i izdataka'!$C$3:$C$501,"=581",'Unos rashoda i izdataka'!$P$3:$P$501,"=43")+SUMIFS('Unos rashoda P4'!$I$3:$I$501,'Unos rashoda P4'!$A$3:$A$501,"=581",'Unos rashoda P4'!$S$3:$S$501,"=43")</f>
        <v>0</v>
      </c>
      <c r="T33" s="171">
        <f>SUMIFS('Unos rashoda i izdataka'!$K$3:$K$501,'Unos rashoda i izdataka'!$C$3:$C$501,"=61",'Unos rashoda i izdataka'!$P$3:$P$501,"=43")+SUMIFS('Unos rashoda P4'!$I$3:$I$501,'Unos rashoda P4'!$A$3:$A$501,"=61",'Unos rashoda P4'!$S$3:$S$501,"=43")</f>
        <v>0</v>
      </c>
      <c r="U33" s="171">
        <f>SUMIFS('Unos rashoda i izdataka'!$K$3:$K$501,'Unos rashoda i izdataka'!$C$3:$C$501,"=63",'Unos rashoda i izdataka'!$P$3:$P$501,"=43")+SUMIFS('Unos rashoda P4'!$I$3:$I$501,'Unos rashoda P4'!$A$3:$A$501,"=63",'Unos rashoda P4'!$S$3:$S$501,"=43")</f>
        <v>0</v>
      </c>
      <c r="V33" s="171">
        <f>SUMIFS('Unos rashoda i izdataka'!$K$3:$K$501,'Unos rashoda i izdataka'!$C$3:$C$501,"=71",'Unos rashoda i izdataka'!$P$3:$P$501,"=43")+SUMIFS('Unos rashoda P4'!$I$3:$I$501,'Unos rashoda P4'!$A$3:$A$501,"=71",'Unos rashoda P4'!$S$3:$S$501,"=43")</f>
        <v>0</v>
      </c>
      <c r="W33" s="171">
        <f>SUMIFS('Unos rashoda i izdataka'!$K$3:$K$501,'Unos rashoda i izdataka'!$C$3:$C$501,"=81",'Unos rashoda i izdataka'!$P$3:$P$501,"=43")+SUMIFS('Unos rashoda P4'!$I$3:$I$501,'Unos rashoda P4'!$A$3:$A$501,"=81",'Unos rashoda P4'!$S$3:$S$501,"=43")</f>
        <v>0</v>
      </c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/>
      <c r="BF33" s="182"/>
      <c r="BG33" s="182"/>
      <c r="BH33" s="182"/>
      <c r="BI33" s="182"/>
      <c r="BJ33" s="182"/>
      <c r="BK33" s="182"/>
      <c r="BL33" s="182"/>
      <c r="BM33" s="182"/>
      <c r="BN33" s="182"/>
      <c r="BO33" s="182"/>
      <c r="BP33" s="182"/>
      <c r="BQ33" s="182"/>
      <c r="BR33" s="182"/>
      <c r="BS33" s="182"/>
      <c r="BT33" s="182"/>
      <c r="BU33" s="182"/>
      <c r="BV33" s="182"/>
      <c r="BW33" s="182"/>
      <c r="BX33" s="182"/>
      <c r="BY33" s="182"/>
      <c r="BZ33" s="182"/>
      <c r="CA33" s="182"/>
      <c r="CB33" s="182"/>
      <c r="CC33" s="182"/>
      <c r="CD33" s="182"/>
      <c r="CE33" s="182"/>
      <c r="CF33" s="182"/>
      <c r="CG33" s="182"/>
      <c r="CH33" s="182"/>
      <c r="CI33" s="182"/>
      <c r="CJ33" s="182"/>
      <c r="CK33" s="182"/>
      <c r="CL33" s="182"/>
      <c r="CM33" s="182"/>
      <c r="CN33" s="182"/>
      <c r="CO33" s="182"/>
      <c r="CP33" s="182"/>
      <c r="CQ33" s="182"/>
      <c r="CR33" s="182"/>
      <c r="CS33" s="182"/>
      <c r="CT33" s="182"/>
      <c r="CU33" s="182"/>
      <c r="CV33" s="182"/>
      <c r="CW33" s="182"/>
      <c r="CX33" s="182"/>
      <c r="CY33" s="182"/>
      <c r="CZ33" s="182"/>
      <c r="DA33" s="182"/>
      <c r="DB33" s="182"/>
      <c r="DC33" s="182"/>
      <c r="DD33" s="182"/>
      <c r="DE33" s="182"/>
      <c r="DF33" s="182"/>
      <c r="DG33" s="182"/>
      <c r="DH33" s="182"/>
      <c r="DI33" s="182"/>
      <c r="DJ33" s="182"/>
      <c r="DK33" s="182"/>
      <c r="DL33" s="182"/>
      <c r="DM33" s="182"/>
      <c r="DN33" s="182"/>
      <c r="DO33" s="182"/>
      <c r="DP33" s="182"/>
      <c r="DQ33" s="182"/>
      <c r="DR33" s="182"/>
      <c r="DS33" s="182"/>
      <c r="DT33" s="182"/>
      <c r="DU33" s="182"/>
      <c r="DV33" s="182"/>
      <c r="DW33" s="182"/>
      <c r="DX33" s="182"/>
      <c r="DY33" s="182"/>
      <c r="DZ33" s="182"/>
      <c r="EA33" s="182"/>
      <c r="EB33" s="182"/>
      <c r="EC33" s="182"/>
      <c r="ED33" s="182"/>
      <c r="EE33" s="182"/>
      <c r="EF33" s="182"/>
      <c r="EG33" s="182"/>
      <c r="EH33" s="182"/>
      <c r="EI33" s="182"/>
      <c r="EJ33" s="182"/>
      <c r="EK33" s="182"/>
      <c r="EL33" s="182"/>
      <c r="EM33" s="182"/>
      <c r="EN33" s="182"/>
      <c r="EO33" s="182"/>
      <c r="EP33" s="182"/>
      <c r="EQ33" s="182"/>
      <c r="ER33" s="182"/>
      <c r="ES33" s="182"/>
      <c r="ET33" s="182"/>
      <c r="EU33" s="182"/>
      <c r="EV33" s="182"/>
      <c r="EW33" s="182"/>
      <c r="EX33" s="182"/>
      <c r="EY33" s="182"/>
      <c r="EZ33" s="182"/>
      <c r="FA33" s="182"/>
      <c r="FB33" s="182"/>
      <c r="FC33" s="182"/>
      <c r="FD33" s="182"/>
      <c r="FE33" s="182"/>
      <c r="FF33" s="182"/>
      <c r="FG33" s="182"/>
      <c r="FH33" s="182"/>
      <c r="FI33" s="182"/>
      <c r="FJ33" s="182"/>
      <c r="FK33" s="182"/>
      <c r="FL33" s="182"/>
      <c r="FM33" s="182"/>
      <c r="FN33" s="182"/>
      <c r="FO33" s="182"/>
      <c r="FP33" s="182"/>
      <c r="FQ33" s="182"/>
      <c r="FR33" s="182"/>
      <c r="FS33" s="182"/>
      <c r="FT33" s="182"/>
      <c r="FU33" s="182"/>
      <c r="FV33" s="182"/>
      <c r="FW33" s="182"/>
      <c r="FX33" s="182"/>
      <c r="FY33" s="182"/>
      <c r="FZ33" s="182"/>
      <c r="GA33" s="182"/>
      <c r="GB33" s="182"/>
      <c r="GC33" s="182"/>
      <c r="GD33" s="182"/>
      <c r="GE33" s="182"/>
      <c r="GF33" s="182"/>
      <c r="GG33" s="182"/>
      <c r="GH33" s="182"/>
      <c r="GI33" s="182"/>
      <c r="GJ33" s="182"/>
      <c r="GK33" s="182"/>
      <c r="GL33" s="183"/>
      <c r="GM33" s="183"/>
      <c r="GN33" s="183"/>
      <c r="GO33" s="183"/>
      <c r="GP33" s="183"/>
      <c r="GQ33" s="183"/>
      <c r="GR33" s="183"/>
      <c r="GS33" s="183"/>
      <c r="GT33" s="183"/>
      <c r="GU33" s="183"/>
      <c r="GV33" s="183"/>
      <c r="GW33" s="183"/>
      <c r="GX33" s="183"/>
      <c r="GY33" s="183"/>
      <c r="GZ33" s="183"/>
      <c r="HA33" s="183"/>
      <c r="HB33" s="183"/>
      <c r="HC33" s="183"/>
      <c r="HD33" s="183"/>
      <c r="HE33" s="183"/>
    </row>
    <row r="34" spans="1:213" s="188" customFormat="1" ht="12.6" customHeight="1">
      <c r="A34" s="160">
        <v>2023</v>
      </c>
      <c r="B34" s="168">
        <v>44</v>
      </c>
      <c r="C34" s="169" t="s">
        <v>3254</v>
      </c>
      <c r="D34" s="176">
        <f t="shared" si="10"/>
        <v>0</v>
      </c>
      <c r="E34" s="171">
        <f>SUMIFS('Unos rashoda i izdataka'!$K$3:$K$501,'Unos rashoda i izdataka'!$C$3:$C$501,"=11",'Unos rashoda i izdataka'!$P$3:$P$501,"=44")+SUMIFS('Unos rashoda P4'!$I$3:$I$501,'Unos rashoda P4'!$A$3:$A$501,"=11",'Unos rashoda P4'!$S$3:$S$501,"=44")</f>
        <v>0</v>
      </c>
      <c r="F34" s="171">
        <f>SUMIFS('Unos rashoda i izdataka'!$K$3:$K$501,'Unos rashoda i izdataka'!$C$3:$C$501,"=12",'Unos rashoda i izdataka'!$P$3:$P$501,"=44")+SUMIFS('Unos rashoda P4'!$I$3:$I$501,'Unos rashoda P4'!$A$3:$A$501,"=12",'Unos rashoda P4'!$S$3:$S$501,"=44")</f>
        <v>0</v>
      </c>
      <c r="G34" s="171">
        <f>SUMIFS('Unos rashoda i izdataka'!$K$3:$K$501,'Unos rashoda i izdataka'!$C$3:$C$501,"=31",'Unos rashoda i izdataka'!$P$3:$P$501,"=44")+SUMIFS('Unos rashoda P4'!$I$3:$I$501,'Unos rashoda P4'!$A$3:$A$501,"=31",'Unos rashoda P4'!$S$3:$S$501,"=44")</f>
        <v>0</v>
      </c>
      <c r="H34" s="171">
        <f>SUMIFS('Unos rashoda i izdataka'!$K$3:$K$501,'Unos rashoda i izdataka'!$C$3:$C$501,"=41",'Unos rashoda i izdataka'!$P$3:$P$501,"=44")+SUMIFS('Unos rashoda P4'!$I$3:$I$501,'Unos rashoda P4'!$A$3:$A$501,"=41",'Unos rashoda P4'!$S$3:$S$501,"=44")</f>
        <v>0</v>
      </c>
      <c r="I34" s="171">
        <f>SUMIFS('Unos rashoda i izdataka'!$K$3:$K$501,'Unos rashoda i izdataka'!$C$3:$C$501,"=43",'Unos rashoda i izdataka'!$P$3:$P$501,"=44")+SUMIFS('Unos rashoda P4'!$I$3:$I$501,'Unos rashoda P4'!$A$3:$A$501,"=43",'Unos rashoda P4'!$S$3:$S$501,"=44")</f>
        <v>0</v>
      </c>
      <c r="J34" s="171">
        <f>SUMIFS('Unos rashoda i izdataka'!$K$3:$K$501,'Unos rashoda i izdataka'!$C$3:$C$501,"=51",'Unos rashoda i izdataka'!$P$3:$P$501,"=44")+SUMIFS('Unos rashoda P4'!$I$3:$I$501,'Unos rashoda P4'!$A$3:$A$501,"=51",'Unos rashoda P4'!$S$3:$S$501,"=44")</f>
        <v>0</v>
      </c>
      <c r="K34" s="171">
        <f>SUMIFS('Unos rashoda i izdataka'!$K$3:$K$501,'Unos rashoda i izdataka'!$C$3:$C$501,"=52",'Unos rashoda i izdataka'!$P$3:$P$501,"=44")+SUMIFS('Unos rashoda P4'!$I$3:$I$501,'Unos rashoda P4'!$A$3:$A$501,"=52",'Unos rashoda P4'!$S$3:$S$501,"=44")</f>
        <v>0</v>
      </c>
      <c r="L34" s="171">
        <f>SUMIFS('Unos rashoda i izdataka'!$K$3:$K$501,'Unos rashoda i izdataka'!$C$3:$C$501,"=552",'Unos rashoda i izdataka'!$P$3:$P$501,"=44")+SUMIFS('Unos rashoda P4'!$I$3:$I$501,'Unos rashoda P4'!$A$3:$A$501,"=552",'Unos rashoda P4'!$S$3:$S$501,"=44")</f>
        <v>0</v>
      </c>
      <c r="M34" s="171">
        <f>SUMIFS('Unos rashoda i izdataka'!$K$3:$K$501,'Unos rashoda i izdataka'!$C$3:$C$501,"=559",'Unos rashoda i izdataka'!$P$3:$P$501,"=44")+SUMIFS('Unos rashoda P4'!$I$3:$I$501,'Unos rashoda P4'!$A$3:$A$501,"=559",'Unos rashoda P4'!$S$3:$S$501,"=44")</f>
        <v>0</v>
      </c>
      <c r="N34" s="171">
        <f>SUMIFS('Unos rashoda i izdataka'!$K$3:$K$501,'Unos rashoda i izdataka'!$C$3:$C$501,"=561",'Unos rashoda i izdataka'!$P$3:$P$501,"=44")+SUMIFS('Unos rashoda P4'!$I$3:$I$501,'Unos rashoda P4'!$A$3:$A$501,"=561",'Unos rashoda P4'!$S$3:$S$501,"=44")</f>
        <v>0</v>
      </c>
      <c r="O34" s="171">
        <f>SUMIFS('Unos rashoda i izdataka'!$K$3:$K$501,'Unos rashoda i izdataka'!$C$3:$C$501,"=563",'Unos rashoda i izdataka'!$P$3:$P$501,"=44")+SUMIFS('Unos rashoda P4'!$I$3:$I$501,'Unos rashoda P4'!$A$3:$A$501,"=563",'Unos rashoda P4'!$S$3:$S$501,"=44")</f>
        <v>0</v>
      </c>
      <c r="P34" s="171">
        <f>SUMIFS('Unos rashoda i izdataka'!$K$3:$K$501,'Unos rashoda i izdataka'!$C$3:$C$501,"=573",'Unos rashoda i izdataka'!$P$3:$P$501,"=44")+SUMIFS('Unos rashoda P4'!$I$3:$I$501,'Unos rashoda P4'!$A$3:$A$501,"=573",'Unos rashoda P4'!$S$3:$S$501,"=44")</f>
        <v>0</v>
      </c>
      <c r="Q34" s="171">
        <f>SUMIFS('Unos rashoda i izdataka'!$K$3:$K$501,'Unos rashoda i izdataka'!$C$3:$C$501,"=575",'Unos rashoda i izdataka'!$P$3:$P$501,"=44")+SUMIFS('Unos rashoda P4'!$I$3:$I$501,'Unos rashoda P4'!$A$3:$A$501,"=575",'Unos rashoda P4'!$S$3:$S$501,"=44")</f>
        <v>0</v>
      </c>
      <c r="R34" s="171">
        <f>SUMIFS('Unos rashoda i izdataka'!$K$3:$K$501,'Unos rashoda i izdataka'!$Q$3:$Q$501,"=576",'Unos rashoda i izdataka'!$P$3:$P$501,"=44")+SUMIFS('Unos rashoda P4'!$I$3:$I$501,'Unos rashoda P4'!$A$3:$A$501,"=576",'Unos rashoda P4'!$S$3:$S$501,"=44")</f>
        <v>0</v>
      </c>
      <c r="S34" s="171">
        <f>SUMIFS('Unos rashoda i izdataka'!$K$3:$K$501,'Unos rashoda i izdataka'!$C$3:$C$501,"=581",'Unos rashoda i izdataka'!$P$3:$P$501,"=44")+SUMIFS('Unos rashoda P4'!$I$3:$I$501,'Unos rashoda P4'!$A$3:$A$501,"=581",'Unos rashoda P4'!$S$3:$S$501,"=44")</f>
        <v>0</v>
      </c>
      <c r="T34" s="171">
        <f>SUMIFS('Unos rashoda i izdataka'!$K$3:$K$501,'Unos rashoda i izdataka'!$C$3:$C$501,"=61",'Unos rashoda i izdataka'!$P$3:$P$501,"=44")+SUMIFS('Unos rashoda P4'!$I$3:$I$501,'Unos rashoda P4'!$A$3:$A$501,"=61",'Unos rashoda P4'!$S$3:$S$501,"=44")</f>
        <v>0</v>
      </c>
      <c r="U34" s="171">
        <f>SUMIFS('Unos rashoda i izdataka'!$K$3:$K$501,'Unos rashoda i izdataka'!$C$3:$C$501,"=63",'Unos rashoda i izdataka'!$P$3:$P$501,"=44")+SUMIFS('Unos rashoda P4'!$I$3:$I$501,'Unos rashoda P4'!$A$3:$A$501,"=63",'Unos rashoda P4'!$S$3:$S$501,"=44")</f>
        <v>0</v>
      </c>
      <c r="V34" s="171">
        <f>SUMIFS('Unos rashoda i izdataka'!$K$3:$K$501,'Unos rashoda i izdataka'!$C$3:$C$501,"=71",'Unos rashoda i izdataka'!$P$3:$P$501,"=44")+SUMIFS('Unos rashoda P4'!$I$3:$I$501,'Unos rashoda P4'!$A$3:$A$501,"=71",'Unos rashoda P4'!$S$3:$S$501,"=44")</f>
        <v>0</v>
      </c>
      <c r="W34" s="171">
        <f>SUMIFS('Unos rashoda i izdataka'!$K$3:$K$501,'Unos rashoda i izdataka'!$C$3:$C$501,"=81",'Unos rashoda i izdataka'!$P$3:$P$501,"=44")+SUMIFS('Unos rashoda P4'!$I$3:$I$501,'Unos rashoda P4'!$A$3:$A$501,"=81",'Unos rashoda P4'!$S$3:$S$501,"=44")</f>
        <v>0</v>
      </c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  <c r="AZ34" s="182"/>
      <c r="BA34" s="182"/>
      <c r="BB34" s="182"/>
      <c r="BC34" s="182"/>
      <c r="BD34" s="182"/>
      <c r="BE34" s="182"/>
      <c r="BF34" s="182"/>
      <c r="BG34" s="182"/>
      <c r="BH34" s="182"/>
      <c r="BI34" s="182"/>
      <c r="BJ34" s="182"/>
      <c r="BK34" s="182"/>
      <c r="BL34" s="182"/>
      <c r="BM34" s="182"/>
      <c r="BN34" s="182"/>
      <c r="BO34" s="182"/>
      <c r="BP34" s="182"/>
      <c r="BQ34" s="182"/>
      <c r="BR34" s="182"/>
      <c r="BS34" s="182"/>
      <c r="BT34" s="182"/>
      <c r="BU34" s="182"/>
      <c r="BV34" s="182"/>
      <c r="BW34" s="182"/>
      <c r="BX34" s="182"/>
      <c r="BY34" s="182"/>
      <c r="BZ34" s="182"/>
      <c r="CA34" s="182"/>
      <c r="CB34" s="182"/>
      <c r="CC34" s="182"/>
      <c r="CD34" s="182"/>
      <c r="CE34" s="182"/>
      <c r="CF34" s="182"/>
      <c r="CG34" s="182"/>
      <c r="CH34" s="182"/>
      <c r="CI34" s="182"/>
      <c r="CJ34" s="182"/>
      <c r="CK34" s="182"/>
      <c r="CL34" s="182"/>
      <c r="CM34" s="182"/>
      <c r="CN34" s="182"/>
      <c r="CO34" s="182"/>
      <c r="CP34" s="182"/>
      <c r="CQ34" s="182"/>
      <c r="CR34" s="182"/>
      <c r="CS34" s="182"/>
      <c r="CT34" s="182"/>
      <c r="CU34" s="182"/>
      <c r="CV34" s="182"/>
      <c r="CW34" s="182"/>
      <c r="CX34" s="182"/>
      <c r="CY34" s="182"/>
      <c r="CZ34" s="182"/>
      <c r="DA34" s="182"/>
      <c r="DB34" s="182"/>
      <c r="DC34" s="182"/>
      <c r="DD34" s="182"/>
      <c r="DE34" s="182"/>
      <c r="DF34" s="182"/>
      <c r="DG34" s="182"/>
      <c r="DH34" s="182"/>
      <c r="DI34" s="182"/>
      <c r="DJ34" s="182"/>
      <c r="DK34" s="182"/>
      <c r="DL34" s="182"/>
      <c r="DM34" s="182"/>
      <c r="DN34" s="182"/>
      <c r="DO34" s="182"/>
      <c r="DP34" s="182"/>
      <c r="DQ34" s="182"/>
      <c r="DR34" s="182"/>
      <c r="DS34" s="182"/>
      <c r="DT34" s="182"/>
      <c r="DU34" s="182"/>
      <c r="DV34" s="182"/>
      <c r="DW34" s="182"/>
      <c r="DX34" s="182"/>
      <c r="DY34" s="182"/>
      <c r="DZ34" s="182"/>
      <c r="EA34" s="182"/>
      <c r="EB34" s="182"/>
      <c r="EC34" s="182"/>
      <c r="ED34" s="182"/>
      <c r="EE34" s="182"/>
      <c r="EF34" s="182"/>
      <c r="EG34" s="182"/>
      <c r="EH34" s="182"/>
      <c r="EI34" s="182"/>
      <c r="EJ34" s="182"/>
      <c r="EK34" s="182"/>
      <c r="EL34" s="182"/>
      <c r="EM34" s="182"/>
      <c r="EN34" s="182"/>
      <c r="EO34" s="182"/>
      <c r="EP34" s="182"/>
      <c r="EQ34" s="182"/>
      <c r="ER34" s="182"/>
      <c r="ES34" s="182"/>
      <c r="ET34" s="182"/>
      <c r="EU34" s="182"/>
      <c r="EV34" s="182"/>
      <c r="EW34" s="182"/>
      <c r="EX34" s="182"/>
      <c r="EY34" s="182"/>
      <c r="EZ34" s="182"/>
      <c r="FA34" s="182"/>
      <c r="FB34" s="182"/>
      <c r="FC34" s="182"/>
      <c r="FD34" s="182"/>
      <c r="FE34" s="182"/>
      <c r="FF34" s="182"/>
      <c r="FG34" s="182"/>
      <c r="FH34" s="182"/>
      <c r="FI34" s="182"/>
      <c r="FJ34" s="182"/>
      <c r="FK34" s="182"/>
      <c r="FL34" s="182"/>
      <c r="FM34" s="182"/>
      <c r="FN34" s="182"/>
      <c r="FO34" s="182"/>
      <c r="FP34" s="182"/>
      <c r="FQ34" s="182"/>
      <c r="FR34" s="182"/>
      <c r="FS34" s="182"/>
      <c r="FT34" s="182"/>
      <c r="FU34" s="182"/>
      <c r="FV34" s="182"/>
      <c r="FW34" s="182"/>
      <c r="FX34" s="182"/>
      <c r="FY34" s="182"/>
      <c r="FZ34" s="182"/>
      <c r="GA34" s="182"/>
      <c r="GB34" s="182"/>
      <c r="GC34" s="182"/>
      <c r="GD34" s="182"/>
      <c r="GE34" s="182"/>
      <c r="GF34" s="182"/>
      <c r="GG34" s="182"/>
      <c r="GH34" s="182"/>
      <c r="GI34" s="182"/>
      <c r="GJ34" s="182"/>
      <c r="GK34" s="182"/>
      <c r="GL34" s="183"/>
      <c r="GM34" s="183"/>
      <c r="GN34" s="183"/>
      <c r="GO34" s="183"/>
      <c r="GP34" s="183"/>
      <c r="GQ34" s="183"/>
      <c r="GR34" s="183"/>
      <c r="GS34" s="183"/>
      <c r="GT34" s="183"/>
      <c r="GU34" s="183"/>
      <c r="GV34" s="183"/>
      <c r="GW34" s="183"/>
      <c r="GX34" s="183"/>
      <c r="GY34" s="183"/>
      <c r="GZ34" s="183"/>
      <c r="HA34" s="183"/>
      <c r="HB34" s="183"/>
      <c r="HC34" s="183"/>
      <c r="HD34" s="183"/>
      <c r="HE34" s="183"/>
    </row>
    <row r="35" spans="1:213" s="190" customFormat="1" ht="12.6" customHeight="1">
      <c r="A35" s="160">
        <v>2023</v>
      </c>
      <c r="B35" s="174">
        <v>45</v>
      </c>
      <c r="C35" s="175" t="s">
        <v>3255</v>
      </c>
      <c r="D35" s="176">
        <f t="shared" si="10"/>
        <v>0</v>
      </c>
      <c r="E35" s="171">
        <f>SUMIFS('Unos rashoda i izdataka'!$K$3:$K$501,'Unos rashoda i izdataka'!$C$3:$C$501,"=11",'Unos rashoda i izdataka'!$P$3:$P$501,"=45")+SUMIFS('Unos rashoda P4'!$I$3:$I$501,'Unos rashoda P4'!$A$3:$A$501,"=11",'Unos rashoda P4'!$S$3:$S$501,"=45")</f>
        <v>0</v>
      </c>
      <c r="F35" s="171">
        <f>SUMIFS('Unos rashoda i izdataka'!$K$3:$K$501,'Unos rashoda i izdataka'!$C$3:$C$501,"=12",'Unos rashoda i izdataka'!$P$3:$P$501,"=45")+SUMIFS('Unos rashoda P4'!$I$3:$I$501,'Unos rashoda P4'!$A$3:$A$501,"=12",'Unos rashoda P4'!$S$3:$S$501,"=45")</f>
        <v>0</v>
      </c>
      <c r="G35" s="171">
        <f>SUMIFS('Unos rashoda i izdataka'!$K$3:$K$501,'Unos rashoda i izdataka'!$C$3:$C$501,"=31",'Unos rashoda i izdataka'!$P$3:$P$501,"=45")+SUMIFS('Unos rashoda P4'!$I$3:$I$501,'Unos rashoda P4'!$A$3:$A$501,"=31",'Unos rashoda P4'!$S$3:$S$501,"=45")</f>
        <v>0</v>
      </c>
      <c r="H35" s="171">
        <f>SUMIFS('Unos rashoda i izdataka'!$K$3:$K$501,'Unos rashoda i izdataka'!$C$3:$C$501,"=41",'Unos rashoda i izdataka'!$P$3:$P$501,"=45")+SUMIFS('Unos rashoda P4'!$I$3:$I$501,'Unos rashoda P4'!$A$3:$A$501,"=41",'Unos rashoda P4'!$S$3:$S$501,"=45")</f>
        <v>0</v>
      </c>
      <c r="I35" s="171">
        <f>SUMIFS('Unos rashoda i izdataka'!$K$3:$K$501,'Unos rashoda i izdataka'!$C$3:$C$501,"=43",'Unos rashoda i izdataka'!$P$3:$P$501,"=45")+SUMIFS('Unos rashoda P4'!$I$3:$I$501,'Unos rashoda P4'!$A$3:$A$501,"=43",'Unos rashoda P4'!$S$3:$S$501,"=45")</f>
        <v>0</v>
      </c>
      <c r="J35" s="171">
        <f>SUMIFS('Unos rashoda i izdataka'!$K$3:$K$501,'Unos rashoda i izdataka'!$C$3:$C$501,"=51",'Unos rashoda i izdataka'!$P$3:$P$501,"=45")+SUMIFS('Unos rashoda P4'!$I$3:$I$501,'Unos rashoda P4'!$A$3:$A$501,"=51",'Unos rashoda P4'!$S$3:$S$501,"=45")</f>
        <v>0</v>
      </c>
      <c r="K35" s="171">
        <f>SUMIFS('Unos rashoda i izdataka'!$K$3:$K$501,'Unos rashoda i izdataka'!$C$3:$C$501,"=52",'Unos rashoda i izdataka'!$P$3:$P$501,"=45")+SUMIFS('Unos rashoda P4'!$I$3:$I$501,'Unos rashoda P4'!$A$3:$A$501,"=52",'Unos rashoda P4'!$S$3:$S$501,"=45")</f>
        <v>0</v>
      </c>
      <c r="L35" s="171">
        <f>SUMIFS('Unos rashoda i izdataka'!$K$3:$K$501,'Unos rashoda i izdataka'!$C$3:$C$501,"=552",'Unos rashoda i izdataka'!$P$3:$P$501,"=45")+SUMIFS('Unos rashoda P4'!$I$3:$I$501,'Unos rashoda P4'!$A$3:$A$501,"=552",'Unos rashoda P4'!$S$3:$S$501,"=45")</f>
        <v>0</v>
      </c>
      <c r="M35" s="171">
        <f>SUMIFS('Unos rashoda i izdataka'!$K$3:$K$501,'Unos rashoda i izdataka'!$C$3:$C$501,"=559",'Unos rashoda i izdataka'!$P$3:$P$501,"=45")+SUMIFS('Unos rashoda P4'!$I$3:$I$501,'Unos rashoda P4'!$A$3:$A$501,"=559",'Unos rashoda P4'!$S$3:$S$501,"=45")</f>
        <v>0</v>
      </c>
      <c r="N35" s="171">
        <f>SUMIFS('Unos rashoda i izdataka'!$K$3:$K$501,'Unos rashoda i izdataka'!$C$3:$C$501,"=561",'Unos rashoda i izdataka'!$P$3:$P$501,"=45")+SUMIFS('Unos rashoda P4'!$I$3:$I$501,'Unos rashoda P4'!$A$3:$A$501,"=561",'Unos rashoda P4'!$S$3:$S$501,"=45")</f>
        <v>0</v>
      </c>
      <c r="O35" s="171">
        <f>SUMIFS('Unos rashoda i izdataka'!$K$3:$K$501,'Unos rashoda i izdataka'!$C$3:$C$501,"=563",'Unos rashoda i izdataka'!$P$3:$P$501,"=45")+SUMIFS('Unos rashoda P4'!$I$3:$I$501,'Unos rashoda P4'!$A$3:$A$501,"=563",'Unos rashoda P4'!$S$3:$S$501,"=45")</f>
        <v>0</v>
      </c>
      <c r="P35" s="171">
        <f>SUMIFS('Unos rashoda i izdataka'!$K$3:$K$501,'Unos rashoda i izdataka'!$C$3:$C$501,"=573",'Unos rashoda i izdataka'!$P$3:$P$501,"=45")+SUMIFS('Unos rashoda P4'!$I$3:$I$501,'Unos rashoda P4'!$A$3:$A$501,"=573",'Unos rashoda P4'!$S$3:$S$501,"=45")</f>
        <v>0</v>
      </c>
      <c r="Q35" s="171">
        <f>SUMIFS('Unos rashoda i izdataka'!$K$3:$K$501,'Unos rashoda i izdataka'!$C$3:$C$501,"=575",'Unos rashoda i izdataka'!$P$3:$P$501,"=45")+SUMIFS('Unos rashoda P4'!$I$3:$I$501,'Unos rashoda P4'!$A$3:$A$501,"=575",'Unos rashoda P4'!$S$3:$S$501,"=45")</f>
        <v>0</v>
      </c>
      <c r="R35" s="171">
        <f>SUMIFS('Unos rashoda i izdataka'!$K$3:$K$501,'Unos rashoda i izdataka'!$Q$3:$Q$501,"=576",'Unos rashoda i izdataka'!$P$3:$P$501,"=45")+SUMIFS('Unos rashoda P4'!$I$3:$I$501,'Unos rashoda P4'!$A$3:$A$501,"=576",'Unos rashoda P4'!$S$3:$S$501,"=45")</f>
        <v>0</v>
      </c>
      <c r="S35" s="171">
        <f>SUMIFS('Unos rashoda i izdataka'!$K$3:$K$501,'Unos rashoda i izdataka'!$C$3:$C$501,"=581",'Unos rashoda i izdataka'!$P$3:$P$501,"=45")+SUMIFS('Unos rashoda P4'!$I$3:$I$501,'Unos rashoda P4'!$A$3:$A$501,"=581",'Unos rashoda P4'!$S$3:$S$501,"=45")</f>
        <v>0</v>
      </c>
      <c r="T35" s="171">
        <f>SUMIFS('Unos rashoda i izdataka'!$K$3:$K$501,'Unos rashoda i izdataka'!$C$3:$C$501,"=61",'Unos rashoda i izdataka'!$P$3:$P$501,"=45")+SUMIFS('Unos rashoda P4'!$I$3:$I$501,'Unos rashoda P4'!$A$3:$A$501,"=61",'Unos rashoda P4'!$S$3:$S$501,"=45")</f>
        <v>0</v>
      </c>
      <c r="U35" s="171">
        <f>SUMIFS('Unos rashoda i izdataka'!$K$3:$K$501,'Unos rashoda i izdataka'!$C$3:$C$501,"=63",'Unos rashoda i izdataka'!$P$3:$P$501,"=45")+SUMIFS('Unos rashoda P4'!$I$3:$I$501,'Unos rashoda P4'!$A$3:$A$501,"=63",'Unos rashoda P4'!$S$3:$S$501,"=45")</f>
        <v>0</v>
      </c>
      <c r="V35" s="171">
        <f>SUMIFS('Unos rashoda i izdataka'!$K$3:$K$501,'Unos rashoda i izdataka'!$C$3:$C$501,"=71",'Unos rashoda i izdataka'!$P$3:$P$501,"=45")+SUMIFS('Unos rashoda P4'!$I$3:$I$501,'Unos rashoda P4'!$A$3:$A$501,"=71",'Unos rashoda P4'!$S$3:$S$501,"=45")</f>
        <v>0</v>
      </c>
      <c r="W35" s="171">
        <f>SUMIFS('Unos rashoda i izdataka'!$K$3:$K$501,'Unos rashoda i izdataka'!$C$3:$C$501,"=81",'Unos rashoda i izdataka'!$P$3:$P$501,"=45")+SUMIFS('Unos rashoda P4'!$I$3:$I$501,'Unos rashoda P4'!$A$3:$A$501,"=81",'Unos rashoda P4'!$S$3:$S$501,"=45")</f>
        <v>0</v>
      </c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172"/>
      <c r="BR35" s="172"/>
      <c r="BS35" s="172"/>
      <c r="BT35" s="172"/>
      <c r="BU35" s="172"/>
      <c r="BV35" s="172"/>
      <c r="BW35" s="172"/>
      <c r="BX35" s="172"/>
      <c r="BY35" s="172"/>
      <c r="BZ35" s="172"/>
      <c r="CA35" s="172"/>
      <c r="CB35" s="172"/>
      <c r="CC35" s="172"/>
      <c r="CD35" s="172"/>
      <c r="CE35" s="172"/>
      <c r="CF35" s="172"/>
      <c r="CG35" s="172"/>
      <c r="CH35" s="172"/>
      <c r="CI35" s="172"/>
      <c r="CJ35" s="172"/>
      <c r="CK35" s="172"/>
      <c r="CL35" s="172"/>
      <c r="CM35" s="172"/>
      <c r="CN35" s="172"/>
      <c r="CO35" s="172"/>
      <c r="CP35" s="172"/>
      <c r="CQ35" s="172"/>
      <c r="CR35" s="172"/>
      <c r="CS35" s="172"/>
      <c r="CT35" s="172"/>
      <c r="CU35" s="172"/>
      <c r="CV35" s="172"/>
      <c r="CW35" s="172"/>
      <c r="CX35" s="172"/>
      <c r="CY35" s="172"/>
      <c r="CZ35" s="172"/>
      <c r="DA35" s="172"/>
      <c r="DB35" s="172"/>
      <c r="DC35" s="172"/>
      <c r="DD35" s="172"/>
      <c r="DE35" s="172"/>
      <c r="DF35" s="172"/>
      <c r="DG35" s="172"/>
      <c r="DH35" s="172"/>
      <c r="DI35" s="172"/>
      <c r="DJ35" s="172"/>
      <c r="DK35" s="172"/>
      <c r="DL35" s="172"/>
      <c r="DM35" s="172"/>
      <c r="DN35" s="172"/>
      <c r="DO35" s="172"/>
      <c r="DP35" s="172"/>
      <c r="DQ35" s="172"/>
      <c r="DR35" s="172"/>
      <c r="DS35" s="172"/>
      <c r="DT35" s="172"/>
      <c r="DU35" s="172"/>
      <c r="DV35" s="172"/>
      <c r="DW35" s="172"/>
      <c r="DX35" s="172"/>
      <c r="DY35" s="172"/>
      <c r="DZ35" s="172"/>
      <c r="EA35" s="172"/>
      <c r="EB35" s="172"/>
      <c r="EC35" s="172"/>
      <c r="ED35" s="172"/>
      <c r="EE35" s="172"/>
      <c r="EF35" s="172"/>
      <c r="EG35" s="172"/>
      <c r="EH35" s="172"/>
      <c r="EI35" s="172"/>
      <c r="EJ35" s="172"/>
      <c r="EK35" s="172"/>
      <c r="EL35" s="172"/>
      <c r="EM35" s="172"/>
      <c r="EN35" s="172"/>
      <c r="EO35" s="172"/>
      <c r="EP35" s="172"/>
      <c r="EQ35" s="172"/>
      <c r="ER35" s="172"/>
      <c r="ES35" s="172"/>
      <c r="ET35" s="172"/>
      <c r="EU35" s="172"/>
      <c r="EV35" s="172"/>
      <c r="EW35" s="172"/>
      <c r="EX35" s="172"/>
      <c r="EY35" s="172"/>
      <c r="EZ35" s="172"/>
      <c r="FA35" s="172"/>
      <c r="FB35" s="172"/>
      <c r="FC35" s="172"/>
      <c r="FD35" s="172"/>
      <c r="FE35" s="172"/>
      <c r="FF35" s="172"/>
      <c r="FG35" s="172"/>
      <c r="FH35" s="172"/>
      <c r="FI35" s="172"/>
      <c r="FJ35" s="172"/>
      <c r="FK35" s="172"/>
      <c r="FL35" s="172"/>
      <c r="FM35" s="172"/>
      <c r="FN35" s="172"/>
      <c r="FO35" s="172"/>
      <c r="FP35" s="172"/>
      <c r="FQ35" s="172"/>
      <c r="FR35" s="172"/>
      <c r="FS35" s="172"/>
      <c r="FT35" s="172"/>
      <c r="FU35" s="172"/>
      <c r="FV35" s="172"/>
      <c r="FW35" s="172"/>
      <c r="FX35" s="172"/>
      <c r="FY35" s="172"/>
      <c r="FZ35" s="172"/>
      <c r="GA35" s="172"/>
      <c r="GB35" s="172"/>
      <c r="GC35" s="172"/>
      <c r="GD35" s="172"/>
      <c r="GE35" s="172"/>
      <c r="GF35" s="172"/>
      <c r="GG35" s="172"/>
      <c r="GH35" s="172"/>
      <c r="GI35" s="172"/>
      <c r="GJ35" s="172"/>
      <c r="GK35" s="172"/>
      <c r="GL35" s="173"/>
      <c r="GM35" s="173"/>
      <c r="GN35" s="173"/>
      <c r="GO35" s="173"/>
      <c r="GP35" s="173"/>
      <c r="GQ35" s="173"/>
      <c r="GR35" s="173"/>
      <c r="GS35" s="173"/>
      <c r="GT35" s="173"/>
      <c r="GU35" s="173"/>
      <c r="GV35" s="173"/>
      <c r="GW35" s="173"/>
      <c r="GX35" s="173"/>
      <c r="GY35" s="173"/>
      <c r="GZ35" s="173"/>
      <c r="HA35" s="173"/>
      <c r="HB35" s="173"/>
      <c r="HC35" s="173"/>
      <c r="HD35" s="173"/>
      <c r="HE35" s="173"/>
    </row>
    <row r="36" spans="1:213" s="156" customFormat="1"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GL36" s="155"/>
      <c r="GM36" s="155"/>
      <c r="GN36" s="155"/>
      <c r="GO36" s="155"/>
      <c r="GP36" s="155"/>
      <c r="GQ36" s="155"/>
      <c r="GR36" s="155"/>
      <c r="GS36" s="155"/>
      <c r="GT36" s="155"/>
      <c r="GU36" s="155"/>
      <c r="GV36" s="155"/>
      <c r="GW36" s="155"/>
      <c r="GX36" s="155"/>
      <c r="GY36" s="155"/>
      <c r="GZ36" s="155"/>
      <c r="HA36" s="155"/>
      <c r="HB36" s="155"/>
      <c r="HC36" s="155"/>
      <c r="HD36" s="155"/>
      <c r="HE36" s="155"/>
    </row>
    <row r="37" spans="1:213" s="159" customFormat="1" ht="71.400000000000006" customHeight="1">
      <c r="A37" s="158" t="s">
        <v>3176</v>
      </c>
      <c r="B37" s="117" t="s">
        <v>3233</v>
      </c>
      <c r="C37" s="117" t="s">
        <v>3234</v>
      </c>
      <c r="D37" s="117" t="s">
        <v>3257</v>
      </c>
      <c r="E37" s="117" t="s">
        <v>3236</v>
      </c>
      <c r="F37" s="117" t="s">
        <v>3181</v>
      </c>
      <c r="G37" s="117" t="s">
        <v>3182</v>
      </c>
      <c r="H37" s="117" t="s">
        <v>3237</v>
      </c>
      <c r="I37" s="117" t="s">
        <v>3184</v>
      </c>
      <c r="J37" s="117" t="s">
        <v>3185</v>
      </c>
      <c r="K37" s="117" t="s">
        <v>3186</v>
      </c>
      <c r="L37" s="117" t="s">
        <v>3187</v>
      </c>
      <c r="M37" s="117" t="s">
        <v>3188</v>
      </c>
      <c r="N37" s="117" t="s">
        <v>3189</v>
      </c>
      <c r="O37" s="117" t="s">
        <v>3190</v>
      </c>
      <c r="P37" s="117" t="s">
        <v>3191</v>
      </c>
      <c r="Q37" s="117" t="s">
        <v>3238</v>
      </c>
      <c r="R37" s="117" t="s">
        <v>3239</v>
      </c>
      <c r="S37" s="117" t="s">
        <v>3194</v>
      </c>
      <c r="T37" s="117" t="s">
        <v>3195</v>
      </c>
      <c r="U37" s="117" t="s">
        <v>3196</v>
      </c>
      <c r="V37" s="117" t="s">
        <v>3240</v>
      </c>
      <c r="W37" s="117" t="s">
        <v>3198</v>
      </c>
      <c r="GL37" s="155"/>
      <c r="GM37" s="155"/>
      <c r="GN37" s="155"/>
      <c r="GO37" s="155"/>
      <c r="GP37" s="155"/>
      <c r="GQ37" s="155"/>
      <c r="GR37" s="155"/>
      <c r="GS37" s="155"/>
      <c r="GT37" s="155"/>
      <c r="GU37" s="155"/>
      <c r="GV37" s="155"/>
      <c r="GW37" s="155"/>
      <c r="GX37" s="155"/>
      <c r="GY37" s="155"/>
      <c r="GZ37" s="155"/>
      <c r="HA37" s="155"/>
      <c r="HB37" s="155"/>
      <c r="HC37" s="155"/>
      <c r="HD37" s="155"/>
      <c r="HE37" s="155"/>
    </row>
    <row r="38" spans="1:213" s="187" customFormat="1" ht="19.5" customHeight="1">
      <c r="A38" s="160">
        <v>2023</v>
      </c>
      <c r="B38" s="130">
        <v>2023</v>
      </c>
      <c r="C38" s="130" t="s">
        <v>3241</v>
      </c>
      <c r="D38" s="131">
        <f t="shared" ref="D38:D52" si="17">SUM(E38:W38)</f>
        <v>159480</v>
      </c>
      <c r="E38" s="161">
        <f>E39+E47</f>
        <v>-297009</v>
      </c>
      <c r="F38" s="161">
        <f t="shared" ref="F38:W38" si="18">F39+F47</f>
        <v>-4677</v>
      </c>
      <c r="G38" s="161">
        <f t="shared" si="18"/>
        <v>43555</v>
      </c>
      <c r="H38" s="161">
        <f t="shared" si="18"/>
        <v>0</v>
      </c>
      <c r="I38" s="161">
        <f t="shared" si="18"/>
        <v>49284</v>
      </c>
      <c r="J38" s="161">
        <f t="shared" si="18"/>
        <v>318756</v>
      </c>
      <c r="K38" s="161">
        <f t="shared" si="18"/>
        <v>63777</v>
      </c>
      <c r="L38" s="161">
        <f t="shared" si="18"/>
        <v>0</v>
      </c>
      <c r="M38" s="161">
        <f t="shared" si="18"/>
        <v>0</v>
      </c>
      <c r="N38" s="161">
        <f t="shared" si="18"/>
        <v>-26507</v>
      </c>
      <c r="O38" s="161">
        <f t="shared" si="18"/>
        <v>0</v>
      </c>
      <c r="P38" s="161">
        <f t="shared" si="18"/>
        <v>0</v>
      </c>
      <c r="Q38" s="161">
        <f t="shared" si="18"/>
        <v>0</v>
      </c>
      <c r="R38" s="161">
        <f t="shared" si="18"/>
        <v>0</v>
      </c>
      <c r="S38" s="161">
        <f t="shared" si="18"/>
        <v>0</v>
      </c>
      <c r="T38" s="161">
        <f t="shared" si="18"/>
        <v>12375</v>
      </c>
      <c r="U38" s="161">
        <f t="shared" si="18"/>
        <v>0</v>
      </c>
      <c r="V38" s="161">
        <f t="shared" si="18"/>
        <v>-74</v>
      </c>
      <c r="W38" s="161">
        <f t="shared" si="18"/>
        <v>0</v>
      </c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62"/>
      <c r="AO38" s="162"/>
      <c r="AP38" s="162"/>
      <c r="AQ38" s="162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  <c r="EO38" s="108"/>
      <c r="EP38" s="108"/>
      <c r="EQ38" s="108"/>
      <c r="ER38" s="108"/>
      <c r="ES38" s="108"/>
      <c r="ET38" s="108"/>
      <c r="EU38" s="108"/>
      <c r="EV38" s="108"/>
      <c r="EW38" s="108"/>
      <c r="EX38" s="108"/>
      <c r="EY38" s="108"/>
      <c r="EZ38" s="108"/>
      <c r="FA38" s="108"/>
      <c r="FB38" s="108"/>
      <c r="FC38" s="108"/>
      <c r="FD38" s="108"/>
      <c r="FE38" s="108"/>
      <c r="FF38" s="108"/>
      <c r="FG38" s="108"/>
      <c r="FH38" s="108"/>
      <c r="FI38" s="108"/>
      <c r="FJ38" s="108"/>
      <c r="FK38" s="108"/>
      <c r="FL38" s="108"/>
      <c r="FM38" s="108"/>
      <c r="FN38" s="108"/>
      <c r="FO38" s="108"/>
      <c r="FP38" s="108"/>
      <c r="FQ38" s="108"/>
      <c r="FR38" s="108"/>
      <c r="FS38" s="108"/>
      <c r="FT38" s="108"/>
      <c r="FU38" s="108"/>
      <c r="FV38" s="108"/>
      <c r="FW38" s="108"/>
      <c r="FX38" s="108"/>
      <c r="FY38" s="108"/>
      <c r="FZ38" s="108"/>
      <c r="GA38" s="108"/>
      <c r="GB38" s="108"/>
      <c r="GC38" s="108"/>
      <c r="GD38" s="108"/>
      <c r="GE38" s="108"/>
      <c r="GF38" s="108"/>
      <c r="GG38" s="108"/>
      <c r="GH38" s="108"/>
      <c r="GI38" s="108"/>
      <c r="GJ38" s="108"/>
      <c r="GK38" s="108"/>
      <c r="GL38" s="162"/>
      <c r="GM38" s="162"/>
      <c r="GN38" s="162"/>
      <c r="GO38" s="162"/>
      <c r="GP38" s="162"/>
      <c r="GQ38" s="162"/>
      <c r="GR38" s="162"/>
      <c r="GS38" s="162"/>
      <c r="GT38" s="162"/>
      <c r="GU38" s="162"/>
      <c r="GV38" s="162"/>
      <c r="GW38" s="162"/>
      <c r="GX38" s="162"/>
      <c r="GY38" s="162"/>
      <c r="GZ38" s="162"/>
      <c r="HA38" s="162"/>
      <c r="HB38" s="162"/>
      <c r="HC38" s="162"/>
      <c r="HD38" s="162"/>
      <c r="HE38" s="162"/>
    </row>
    <row r="39" spans="1:213" s="167" customFormat="1" ht="12.6" customHeight="1">
      <c r="A39" s="160">
        <v>2023</v>
      </c>
      <c r="B39" s="163">
        <v>3</v>
      </c>
      <c r="C39" s="164" t="s">
        <v>3242</v>
      </c>
      <c r="D39" s="165">
        <f t="shared" si="17"/>
        <v>118067</v>
      </c>
      <c r="E39" s="166">
        <f t="shared" ref="E39:G39" si="19">SUM(E40:E46)</f>
        <v>-306759</v>
      </c>
      <c r="F39" s="166">
        <f t="shared" si="19"/>
        <v>-11038</v>
      </c>
      <c r="G39" s="166">
        <f t="shared" si="19"/>
        <v>70927</v>
      </c>
      <c r="H39" s="166">
        <f>SUM(H40:H46)</f>
        <v>0</v>
      </c>
      <c r="I39" s="166">
        <f t="shared" ref="I39:K39" si="20">SUM(I40:I46)</f>
        <v>158009</v>
      </c>
      <c r="J39" s="166">
        <f t="shared" si="20"/>
        <v>196686</v>
      </c>
      <c r="K39" s="166">
        <f t="shared" si="20"/>
        <v>60416</v>
      </c>
      <c r="L39" s="166">
        <f>SUM(L40:L46)</f>
        <v>0</v>
      </c>
      <c r="M39" s="166">
        <f t="shared" ref="M39:O39" si="21">SUM(M40:M46)</f>
        <v>0</v>
      </c>
      <c r="N39" s="166">
        <f t="shared" si="21"/>
        <v>-62549</v>
      </c>
      <c r="O39" s="166">
        <f t="shared" si="21"/>
        <v>0</v>
      </c>
      <c r="P39" s="166">
        <f>SUM(P40:P46)</f>
        <v>0</v>
      </c>
      <c r="Q39" s="166">
        <f>SUM(Q40:Q46)</f>
        <v>0</v>
      </c>
      <c r="R39" s="166">
        <f>SUM(R40:R46)</f>
        <v>0</v>
      </c>
      <c r="S39" s="166">
        <f>SUM(S40:S46)</f>
        <v>0</v>
      </c>
      <c r="T39" s="166">
        <f t="shared" ref="T39:W39" si="22">SUM(T40:T46)</f>
        <v>12375</v>
      </c>
      <c r="U39" s="166">
        <f t="shared" si="22"/>
        <v>0</v>
      </c>
      <c r="V39" s="166">
        <f t="shared" si="22"/>
        <v>0</v>
      </c>
      <c r="W39" s="166">
        <f t="shared" si="22"/>
        <v>0</v>
      </c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6"/>
      <c r="BM39" s="156"/>
      <c r="BN39" s="156"/>
      <c r="BO39" s="156"/>
      <c r="BP39" s="156"/>
      <c r="BQ39" s="156"/>
      <c r="BR39" s="156"/>
      <c r="BS39" s="156"/>
      <c r="BT39" s="156"/>
      <c r="BU39" s="156"/>
      <c r="BV39" s="156"/>
      <c r="BW39" s="156"/>
      <c r="BX39" s="156"/>
      <c r="BY39" s="156"/>
      <c r="BZ39" s="156"/>
      <c r="CA39" s="156"/>
      <c r="CB39" s="156"/>
      <c r="CC39" s="156"/>
      <c r="CD39" s="156"/>
      <c r="CE39" s="156"/>
      <c r="CF39" s="156"/>
      <c r="CG39" s="156"/>
      <c r="CH39" s="156"/>
      <c r="CI39" s="156"/>
      <c r="CJ39" s="156"/>
      <c r="CK39" s="156"/>
      <c r="CL39" s="156"/>
      <c r="CM39" s="156"/>
      <c r="CN39" s="156"/>
      <c r="CO39" s="156"/>
      <c r="CP39" s="156"/>
      <c r="CQ39" s="156"/>
      <c r="CR39" s="156"/>
      <c r="CS39" s="156"/>
      <c r="CT39" s="156"/>
      <c r="CU39" s="156"/>
      <c r="CV39" s="156"/>
      <c r="CW39" s="156"/>
      <c r="CX39" s="156"/>
      <c r="CY39" s="156"/>
      <c r="CZ39" s="156"/>
      <c r="DA39" s="156"/>
      <c r="DB39" s="156"/>
      <c r="DC39" s="156"/>
      <c r="DD39" s="156"/>
      <c r="DE39" s="156"/>
      <c r="DF39" s="156"/>
      <c r="DG39" s="156"/>
      <c r="DH39" s="156"/>
      <c r="DI39" s="156"/>
      <c r="DJ39" s="156"/>
      <c r="DK39" s="156"/>
      <c r="DL39" s="156"/>
      <c r="DM39" s="156"/>
      <c r="DN39" s="156"/>
      <c r="DO39" s="156"/>
      <c r="DP39" s="156"/>
      <c r="DQ39" s="156"/>
      <c r="DR39" s="156"/>
      <c r="DS39" s="156"/>
      <c r="DT39" s="156"/>
      <c r="DU39" s="156"/>
      <c r="DV39" s="156"/>
      <c r="DW39" s="156"/>
      <c r="DX39" s="156"/>
      <c r="DY39" s="156"/>
      <c r="DZ39" s="156"/>
      <c r="EA39" s="156"/>
      <c r="EB39" s="156"/>
      <c r="EC39" s="156"/>
      <c r="ED39" s="156"/>
      <c r="EE39" s="156"/>
      <c r="EF39" s="156"/>
      <c r="EG39" s="156"/>
      <c r="EH39" s="156"/>
      <c r="EI39" s="156"/>
      <c r="EJ39" s="156"/>
      <c r="EK39" s="156"/>
      <c r="EL39" s="156"/>
      <c r="EM39" s="156"/>
      <c r="EN39" s="156"/>
      <c r="EO39" s="156"/>
      <c r="EP39" s="156"/>
      <c r="EQ39" s="156"/>
      <c r="ER39" s="156"/>
      <c r="ES39" s="156"/>
      <c r="ET39" s="156"/>
      <c r="EU39" s="156"/>
      <c r="EV39" s="156"/>
      <c r="EW39" s="156"/>
      <c r="EX39" s="156"/>
      <c r="EY39" s="156"/>
      <c r="EZ39" s="156"/>
      <c r="FA39" s="156"/>
      <c r="FB39" s="156"/>
      <c r="FC39" s="156"/>
      <c r="FD39" s="156"/>
      <c r="FE39" s="156"/>
      <c r="FF39" s="156"/>
      <c r="FG39" s="156"/>
      <c r="FH39" s="156"/>
      <c r="FI39" s="156"/>
      <c r="FJ39" s="156"/>
      <c r="FK39" s="156"/>
      <c r="FL39" s="156"/>
      <c r="FM39" s="156"/>
      <c r="FN39" s="156"/>
      <c r="FO39" s="156"/>
      <c r="FP39" s="156"/>
      <c r="FQ39" s="156"/>
      <c r="FR39" s="156"/>
      <c r="FS39" s="156"/>
      <c r="FT39" s="156"/>
      <c r="FU39" s="156"/>
      <c r="FV39" s="156"/>
      <c r="FW39" s="156"/>
      <c r="FX39" s="156"/>
      <c r="FY39" s="156"/>
      <c r="FZ39" s="156"/>
      <c r="GA39" s="156"/>
      <c r="GB39" s="156"/>
      <c r="GC39" s="156"/>
      <c r="GD39" s="156"/>
      <c r="GE39" s="156"/>
      <c r="GF39" s="156"/>
      <c r="GG39" s="156"/>
      <c r="GH39" s="156"/>
      <c r="GI39" s="156"/>
      <c r="GJ39" s="156"/>
      <c r="GK39" s="156"/>
      <c r="GL39" s="155"/>
      <c r="GM39" s="155"/>
      <c r="GN39" s="155"/>
      <c r="GO39" s="155"/>
      <c r="GP39" s="155"/>
      <c r="GQ39" s="155"/>
      <c r="GR39" s="155"/>
      <c r="GS39" s="155"/>
      <c r="GT39" s="155"/>
      <c r="GU39" s="155"/>
      <c r="GV39" s="155"/>
      <c r="GW39" s="155"/>
      <c r="GX39" s="155"/>
      <c r="GY39" s="155"/>
      <c r="GZ39" s="155"/>
      <c r="HA39" s="155"/>
      <c r="HB39" s="155"/>
      <c r="HC39" s="155"/>
      <c r="HD39" s="155"/>
      <c r="HE39" s="155"/>
    </row>
    <row r="40" spans="1:213" s="188" customFormat="1" ht="12.6" customHeight="1">
      <c r="A40" s="160">
        <v>2023</v>
      </c>
      <c r="B40" s="168">
        <v>31</v>
      </c>
      <c r="C40" s="169" t="s">
        <v>3243</v>
      </c>
      <c r="D40" s="170">
        <f t="shared" si="17"/>
        <v>99662</v>
      </c>
      <c r="E40" s="171">
        <f>SUMIFS('Unos rashoda i izdataka'!$L$3:$L$501,'Unos rashoda i izdataka'!$C$3:$C$501,"=11",'Unos rashoda i izdataka'!$P$3:$P$501,"=31")+SUMIFS('Unos rashoda P4'!$J$3:$J$501,'Unos rashoda P4'!$A$3:$A$501,"=11",'Unos rashoda P4'!$S$3:$S$501,"=31")</f>
        <v>-141771</v>
      </c>
      <c r="F40" s="171">
        <f>SUMIFS('Unos rashoda i izdataka'!$L$3:$L$501,'Unos rashoda i izdataka'!$C$3:$C$501,"=12",'Unos rashoda i izdataka'!$P$3:$P$501,"=31")+SUMIFS('Unos rashoda P4'!$J$3:$J$501,'Unos rashoda P4'!$A$3:$A$501,"=12",'Unos rashoda P4'!$S$3:$S$501,"=31")</f>
        <v>-13142</v>
      </c>
      <c r="G40" s="171">
        <f>SUMIFS('Unos rashoda i izdataka'!$L$3:$L$501,'Unos rashoda i izdataka'!$C$3:$C$501,"=31",'Unos rashoda i izdataka'!$P$3:$P$501,"=31")+SUMIFS('Unos rashoda P4'!$J$3:$J$501,'Unos rashoda P4'!$A$3:$A$501,"=31",'Unos rashoda P4'!$S$3:$S$501,"=31")</f>
        <v>-38130</v>
      </c>
      <c r="H40" s="171">
        <f>SUMIFS('Unos rashoda i izdataka'!$L$3:$L$501,'Unos rashoda i izdataka'!$C$3:$C$501,"=41",'Unos rashoda i izdataka'!$P$3:$P$501,"=31")+SUMIFS('Unos rashoda P4'!$J$3:$J$501,'Unos rashoda P4'!$A$3:$A$501,"=41",'Unos rashoda P4'!$S$3:$S$501,"=31")</f>
        <v>0</v>
      </c>
      <c r="I40" s="171">
        <f>SUMIFS('Unos rashoda i izdataka'!$L$3:$L$501,'Unos rashoda i izdataka'!$C$3:$C$501,"=43",'Unos rashoda i izdataka'!$P$3:$P$501,"=31")+SUMIFS('Unos rashoda P4'!$J$3:$J$501,'Unos rashoda P4'!$A$3:$A$501,"=43",'Unos rashoda P4'!$S$3:$S$501,"=31")</f>
        <v>172164</v>
      </c>
      <c r="J40" s="171">
        <f>SUMIFS('Unos rashoda i izdataka'!$L$3:$L$501,'Unos rashoda i izdataka'!$C$3:$C$501,"=51",'Unos rashoda i izdataka'!$P$3:$P$501,"=31")+SUMIFS('Unos rashoda P4'!$J$3:$J$501,'Unos rashoda P4'!$A$3:$A$501,"=51",'Unos rashoda P4'!$S$3:$S$501,"=31")</f>
        <v>148463</v>
      </c>
      <c r="K40" s="171">
        <f>SUMIFS('Unos rashoda i izdataka'!$L$3:$L$501,'Unos rashoda i izdataka'!$C$3:$C$501,"=52",'Unos rashoda i izdataka'!$P$3:$P$501,"=31")+SUMIFS('Unos rashoda P4'!$J$3:$J$501,'Unos rashoda P4'!$A$3:$A$501,"=52",'Unos rashoda P4'!$S$3:$S$501,"=31")</f>
        <v>39506</v>
      </c>
      <c r="L40" s="171">
        <f>SUMIFS('Unos rashoda i izdataka'!$L$3:$L$501,'Unos rashoda i izdataka'!$C$3:$C$501,"=552",'Unos rashoda i izdataka'!$P$3:$P$501,"=31")+SUMIFS('Unos rashoda P4'!$J$3:$J$501,'Unos rashoda P4'!$A$3:$A$501,"=552",'Unos rashoda P4'!$S$3:$S$501,"=31")</f>
        <v>0</v>
      </c>
      <c r="M40" s="171">
        <f>SUMIFS('Unos rashoda i izdataka'!$L$3:$L$501,'Unos rashoda i izdataka'!$C$3:$C$501,"=559",'Unos rashoda i izdataka'!$P$3:$P$501,"=31")+SUMIFS('Unos rashoda P4'!$J$3:$J$501,'Unos rashoda P4'!$A$3:$A$501,"=559",'Unos rashoda P4'!$S$3:$S$501,"=31")</f>
        <v>0</v>
      </c>
      <c r="N40" s="171">
        <f>SUMIFS('Unos rashoda i izdataka'!$L$3:$L$501,'Unos rashoda i izdataka'!$C$3:$C$501,"=561",'Unos rashoda i izdataka'!$P$3:$P$501,"=31")+SUMIFS('Unos rashoda P4'!$J$3:$J$501,'Unos rashoda P4'!$A$3:$A$501,"=561",'Unos rashoda P4'!$S$3:$S$501,"=31")</f>
        <v>-74469</v>
      </c>
      <c r="O40" s="171">
        <f>SUMIFS('Unos rashoda i izdataka'!$L$3:$L$501,'Unos rashoda i izdataka'!$C$3:$C$501,"=563",'Unos rashoda i izdataka'!$P$3:$P$501,"=31")+SUMIFS('Unos rashoda P4'!$J$3:$J$501,'Unos rashoda P4'!$A$3:$A$501,"=563",'Unos rashoda P4'!$S$3:$S$501,"=31")</f>
        <v>0</v>
      </c>
      <c r="P40" s="171">
        <f>SUMIFS('Unos rashoda i izdataka'!$L$3:$L$501,'Unos rashoda i izdataka'!$C$3:$C$501,"=573",'Unos rashoda i izdataka'!$P$3:$P$501,"=31")+SUMIFS('Unos rashoda P4'!$J$3:$J$501,'Unos rashoda P4'!$A$3:$A$501,"=573",'Unos rashoda P4'!$S$3:$S$501,"=31")</f>
        <v>0</v>
      </c>
      <c r="Q40" s="171">
        <f>SUMIFS('Unos rashoda i izdataka'!$L$3:$L$501,'Unos rashoda i izdataka'!$C$3:$C$501,"=575",'Unos rashoda i izdataka'!$P$3:$P$501,"=31")+SUMIFS('Unos rashoda P4'!$J$3:$J$501,'Unos rashoda P4'!$A$3:$A$501,"=575",'Unos rashoda P4'!$S$3:$S$501,"=31")</f>
        <v>0</v>
      </c>
      <c r="R40" s="171">
        <f>SUMIFS('Unos rashoda i izdataka'!$L$3:$L$501,'Unos rashoda i izdataka'!$Q$3:$Q$501,"=576",'Unos rashoda i izdataka'!$P$3:$P$501,"=31")+SUMIFS('Unos rashoda P4'!$J$3:$J$501,'Unos rashoda P4'!$A$3:$A$501,"=576",'Unos rashoda P4'!$S$3:$S$501,"=31")</f>
        <v>0</v>
      </c>
      <c r="S40" s="171">
        <f>SUMIFS('Unos rashoda i izdataka'!$L$3:$L$501,'Unos rashoda i izdataka'!$C$3:$C$501,"=581",'Unos rashoda i izdataka'!$P$3:$P$501,"=31")+SUMIFS('Unos rashoda P4'!$J$3:$J$501,'Unos rashoda P4'!$A$3:$A$501,"=581",'Unos rashoda P4'!$S$3:$S$501,"=31")</f>
        <v>0</v>
      </c>
      <c r="T40" s="171">
        <f>SUMIFS('Unos rashoda i izdataka'!$L$3:$L$501,'Unos rashoda i izdataka'!$C$3:$C$501,"=61",'Unos rashoda i izdataka'!$P$3:$P$501,"=31")+SUMIFS('Unos rashoda P4'!$J$3:$J$501,'Unos rashoda P4'!$A$3:$A$501,"=61",'Unos rashoda P4'!$S$3:$S$501,"=31")</f>
        <v>7041</v>
      </c>
      <c r="U40" s="171">
        <f>SUMIFS('Unos rashoda i izdataka'!$L$3:$L$501,'Unos rashoda i izdataka'!$C$3:$C$501,"=63",'Unos rashoda i izdataka'!$P$3:$P$501,"=31")+SUMIFS('Unos rashoda P4'!$J$3:$J$501,'Unos rashoda P4'!$A$3:$A$501,"=63",'Unos rashoda P4'!$S$3:$S$501,"=31")</f>
        <v>0</v>
      </c>
      <c r="V40" s="171">
        <f>SUMIFS('Unos rashoda i izdataka'!$L$3:$L$501,'Unos rashoda i izdataka'!$C$3:$C$501,"=71",'Unos rashoda i izdataka'!$P$3:$P$501,"=31")+SUMIFS('Unos rashoda P4'!$J$3:$J$501,'Unos rashoda P4'!$A$3:$A$501,"=71",'Unos rashoda P4'!$S$3:$S$501,"=31")</f>
        <v>0</v>
      </c>
      <c r="W40" s="171">
        <f>SUMIFS('Unos rashoda i izdataka'!$L$3:$L$501,'Unos rashoda i izdataka'!$C$3:$C$501,"=81",'Unos rashoda i izdataka'!$P$3:$P$501,"=31")+SUMIFS('Unos rashoda P4'!$J$3:$J$501,'Unos rashoda P4'!$A$3:$A$501,"=81",'Unos rashoda P4'!$S$3:$S$501,"=31")</f>
        <v>0</v>
      </c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2"/>
      <c r="BC40" s="172"/>
      <c r="BD40" s="172"/>
      <c r="BE40" s="172"/>
      <c r="BF40" s="172"/>
      <c r="BG40" s="172"/>
      <c r="BH40" s="172"/>
      <c r="BI40" s="172"/>
      <c r="BJ40" s="172"/>
      <c r="BK40" s="172"/>
      <c r="BL40" s="172"/>
      <c r="BM40" s="172"/>
      <c r="BN40" s="172"/>
      <c r="BO40" s="172"/>
      <c r="BP40" s="172"/>
      <c r="BQ40" s="172"/>
      <c r="BR40" s="172"/>
      <c r="BS40" s="172"/>
      <c r="BT40" s="172"/>
      <c r="BU40" s="172"/>
      <c r="BV40" s="172"/>
      <c r="BW40" s="172"/>
      <c r="BX40" s="172"/>
      <c r="BY40" s="172"/>
      <c r="BZ40" s="172"/>
      <c r="CA40" s="172"/>
      <c r="CB40" s="172"/>
      <c r="CC40" s="172"/>
      <c r="CD40" s="172"/>
      <c r="CE40" s="172"/>
      <c r="CF40" s="172"/>
      <c r="CG40" s="172"/>
      <c r="CH40" s="172"/>
      <c r="CI40" s="172"/>
      <c r="CJ40" s="172"/>
      <c r="CK40" s="172"/>
      <c r="CL40" s="172"/>
      <c r="CM40" s="172"/>
      <c r="CN40" s="172"/>
      <c r="CO40" s="172"/>
      <c r="CP40" s="172"/>
      <c r="CQ40" s="172"/>
      <c r="CR40" s="172"/>
      <c r="CS40" s="172"/>
      <c r="CT40" s="172"/>
      <c r="CU40" s="172"/>
      <c r="CV40" s="172"/>
      <c r="CW40" s="172"/>
      <c r="CX40" s="172"/>
      <c r="CY40" s="172"/>
      <c r="CZ40" s="172"/>
      <c r="DA40" s="172"/>
      <c r="DB40" s="172"/>
      <c r="DC40" s="172"/>
      <c r="DD40" s="172"/>
      <c r="DE40" s="172"/>
      <c r="DF40" s="172"/>
      <c r="DG40" s="172"/>
      <c r="DH40" s="172"/>
      <c r="DI40" s="172"/>
      <c r="DJ40" s="172"/>
      <c r="DK40" s="172"/>
      <c r="DL40" s="172"/>
      <c r="DM40" s="172"/>
      <c r="DN40" s="172"/>
      <c r="DO40" s="172"/>
      <c r="DP40" s="172"/>
      <c r="DQ40" s="172"/>
      <c r="DR40" s="172"/>
      <c r="DS40" s="172"/>
      <c r="DT40" s="172"/>
      <c r="DU40" s="172"/>
      <c r="DV40" s="172"/>
      <c r="DW40" s="172"/>
      <c r="DX40" s="172"/>
      <c r="DY40" s="172"/>
      <c r="DZ40" s="172"/>
      <c r="EA40" s="172"/>
      <c r="EB40" s="172"/>
      <c r="EC40" s="172"/>
      <c r="ED40" s="172"/>
      <c r="EE40" s="172"/>
      <c r="EF40" s="172"/>
      <c r="EG40" s="172"/>
      <c r="EH40" s="172"/>
      <c r="EI40" s="172"/>
      <c r="EJ40" s="172"/>
      <c r="EK40" s="172"/>
      <c r="EL40" s="172"/>
      <c r="EM40" s="172"/>
      <c r="EN40" s="172"/>
      <c r="EO40" s="172"/>
      <c r="EP40" s="172"/>
      <c r="EQ40" s="172"/>
      <c r="ER40" s="172"/>
      <c r="ES40" s="172"/>
      <c r="ET40" s="172"/>
      <c r="EU40" s="172"/>
      <c r="EV40" s="172"/>
      <c r="EW40" s="172"/>
      <c r="EX40" s="172"/>
      <c r="EY40" s="172"/>
      <c r="EZ40" s="172"/>
      <c r="FA40" s="172"/>
      <c r="FB40" s="172"/>
      <c r="FC40" s="172"/>
      <c r="FD40" s="172"/>
      <c r="FE40" s="172"/>
      <c r="FF40" s="172"/>
      <c r="FG40" s="172"/>
      <c r="FH40" s="172"/>
      <c r="FI40" s="172"/>
      <c r="FJ40" s="172"/>
      <c r="FK40" s="172"/>
      <c r="FL40" s="172"/>
      <c r="FM40" s="172"/>
      <c r="FN40" s="172"/>
      <c r="FO40" s="172"/>
      <c r="FP40" s="172"/>
      <c r="FQ40" s="172"/>
      <c r="FR40" s="172"/>
      <c r="FS40" s="172"/>
      <c r="FT40" s="172"/>
      <c r="FU40" s="172"/>
      <c r="FV40" s="172"/>
      <c r="FW40" s="172"/>
      <c r="FX40" s="172"/>
      <c r="FY40" s="172"/>
      <c r="FZ40" s="172"/>
      <c r="GA40" s="172"/>
      <c r="GB40" s="172"/>
      <c r="GC40" s="172"/>
      <c r="GD40" s="172"/>
      <c r="GE40" s="172"/>
      <c r="GF40" s="172"/>
      <c r="GG40" s="172"/>
      <c r="GH40" s="172"/>
      <c r="GI40" s="172"/>
      <c r="GJ40" s="172"/>
      <c r="GK40" s="172"/>
      <c r="GL40" s="173"/>
      <c r="GM40" s="173"/>
      <c r="GN40" s="173"/>
      <c r="GO40" s="173"/>
      <c r="GP40" s="173"/>
      <c r="GQ40" s="173"/>
      <c r="GR40" s="173"/>
      <c r="GS40" s="173"/>
      <c r="GT40" s="173"/>
      <c r="GU40" s="173"/>
      <c r="GV40" s="173"/>
      <c r="GW40" s="173"/>
      <c r="GX40" s="173"/>
      <c r="GY40" s="173"/>
      <c r="GZ40" s="173"/>
      <c r="HA40" s="173"/>
      <c r="HB40" s="173"/>
      <c r="HC40" s="173"/>
      <c r="HD40" s="173"/>
      <c r="HE40" s="173"/>
    </row>
    <row r="41" spans="1:213" s="172" customFormat="1" ht="12.6" customHeight="1">
      <c r="A41" s="160">
        <v>2023</v>
      </c>
      <c r="B41" s="174">
        <v>32</v>
      </c>
      <c r="C41" s="175" t="s">
        <v>3244</v>
      </c>
      <c r="D41" s="176">
        <f t="shared" si="17"/>
        <v>-11089</v>
      </c>
      <c r="E41" s="171">
        <f>SUMIFS('Unos rashoda i izdataka'!$L$3:$L$501,'Unos rashoda i izdataka'!$C$3:$C$501,"=11",'Unos rashoda i izdataka'!$P$3:$P$501,"=32")+SUMIFS('Unos rashoda P4'!$J$3:$J$501,'Unos rashoda P4'!$A$3:$A$501,"=11",'Unos rashoda P4'!$S$3:$S$501,"=32")</f>
        <v>-161882</v>
      </c>
      <c r="F41" s="171">
        <f>SUMIFS('Unos rashoda i izdataka'!$L$3:$L$501,'Unos rashoda i izdataka'!$C$3:$C$501,"=12",'Unos rashoda i izdataka'!$P$3:$P$501,"=32")+SUMIFS('Unos rashoda P4'!$J$3:$J$501,'Unos rashoda P4'!$A$3:$A$501,"=12",'Unos rashoda P4'!$S$3:$S$501,"=32")</f>
        <v>316</v>
      </c>
      <c r="G41" s="171">
        <f>SUMIFS('Unos rashoda i izdataka'!$L$3:$L$501,'Unos rashoda i izdataka'!$C$3:$C$501,"=31",'Unos rashoda i izdataka'!$P$3:$P$501,"=32")+SUMIFS('Unos rashoda P4'!$J$3:$J$501,'Unos rashoda P4'!$A$3:$A$501,"=31",'Unos rashoda P4'!$S$3:$S$501,"=32")</f>
        <v>96340</v>
      </c>
      <c r="H41" s="171">
        <f>SUMIFS('Unos rashoda i izdataka'!$L$3:$L$501,'Unos rashoda i izdataka'!$C$3:$C$501,"=41",'Unos rashoda i izdataka'!$P$3:$P$501,"=32")+SUMIFS('Unos rashoda P4'!$J$3:$J$501,'Unos rashoda P4'!$A$3:$A$501,"=41",'Unos rashoda P4'!$S$3:$S$501,"=32")</f>
        <v>0</v>
      </c>
      <c r="I41" s="171">
        <f>SUMIFS('Unos rashoda i izdataka'!$L$3:$L$501,'Unos rashoda i izdataka'!$C$3:$C$501,"=43",'Unos rashoda i izdataka'!$P$3:$P$501,"=32")+SUMIFS('Unos rashoda P4'!$J$3:$J$501,'Unos rashoda P4'!$A$3:$A$501,"=43",'Unos rashoda P4'!$S$3:$S$501,"=32")</f>
        <v>-23112</v>
      </c>
      <c r="J41" s="171">
        <f>SUMIFS('Unos rashoda i izdataka'!$L$3:$L$501,'Unos rashoda i izdataka'!$C$3:$C$501,"=51",'Unos rashoda i izdataka'!$P$3:$P$501,"=32")+SUMIFS('Unos rashoda P4'!$J$3:$J$501,'Unos rashoda P4'!$A$3:$A$501,"=51",'Unos rashoda P4'!$S$3:$S$501,"=32")</f>
        <v>48223</v>
      </c>
      <c r="K41" s="171">
        <f>SUMIFS('Unos rashoda i izdataka'!$L$3:$L$501,'Unos rashoda i izdataka'!$C$3:$C$501,"=52",'Unos rashoda i izdataka'!$P$3:$P$501,"=32")+SUMIFS('Unos rashoda P4'!$J$3:$J$501,'Unos rashoda P4'!$A$3:$A$501,"=52",'Unos rashoda P4'!$S$3:$S$501,"=32")</f>
        <v>21905</v>
      </c>
      <c r="L41" s="171">
        <f>SUMIFS('Unos rashoda i izdataka'!$L$3:$L$501,'Unos rashoda i izdataka'!$C$3:$C$501,"=552",'Unos rashoda i izdataka'!$P$3:$P$501,"=32")+SUMIFS('Unos rashoda P4'!$J$3:$J$501,'Unos rashoda P4'!$A$3:$A$501,"=552",'Unos rashoda P4'!$S$3:$S$501,"=32")</f>
        <v>0</v>
      </c>
      <c r="M41" s="171">
        <f>SUMIFS('Unos rashoda i izdataka'!$L$3:$L$501,'Unos rashoda i izdataka'!$C$3:$C$501,"=559",'Unos rashoda i izdataka'!$P$3:$P$501,"=32")+SUMIFS('Unos rashoda P4'!$J$3:$J$501,'Unos rashoda P4'!$A$3:$A$501,"=559",'Unos rashoda P4'!$S$3:$S$501,"=32")</f>
        <v>0</v>
      </c>
      <c r="N41" s="171">
        <f>SUMIFS('Unos rashoda i izdataka'!$L$3:$L$501,'Unos rashoda i izdataka'!$C$3:$C$501,"=561",'Unos rashoda i izdataka'!$P$3:$P$501,"=32")+SUMIFS('Unos rashoda P4'!$J$3:$J$501,'Unos rashoda P4'!$A$3:$A$501,"=561",'Unos rashoda P4'!$S$3:$S$501,"=32")</f>
        <v>1787</v>
      </c>
      <c r="O41" s="171">
        <f>SUMIFS('Unos rashoda i izdataka'!$L$3:$L$501,'Unos rashoda i izdataka'!$C$3:$C$501,"=563",'Unos rashoda i izdataka'!$P$3:$P$501,"=32")+SUMIFS('Unos rashoda P4'!$J$3:$J$501,'Unos rashoda P4'!$A$3:$A$501,"=563",'Unos rashoda P4'!$S$3:$S$501,"=32")</f>
        <v>0</v>
      </c>
      <c r="P41" s="171">
        <f>SUMIFS('Unos rashoda i izdataka'!$L$3:$L$501,'Unos rashoda i izdataka'!$C$3:$C$501,"=573",'Unos rashoda i izdataka'!$P$3:$P$501,"=32")+SUMIFS('Unos rashoda P4'!$J$3:$J$501,'Unos rashoda P4'!$A$3:$A$501,"=573",'Unos rashoda P4'!$S$3:$S$501,"=32")</f>
        <v>0</v>
      </c>
      <c r="Q41" s="171">
        <f>SUMIFS('Unos rashoda i izdataka'!$L$3:$L$501,'Unos rashoda i izdataka'!$C$3:$C$501,"=575",'Unos rashoda i izdataka'!$P$3:$P$501,"=32")+SUMIFS('Unos rashoda P4'!$J$3:$J$501,'Unos rashoda P4'!$A$3:$A$501,"=575",'Unos rashoda P4'!$S$3:$S$501,"=32")</f>
        <v>0</v>
      </c>
      <c r="R41" s="171">
        <f>SUMIFS('Unos rashoda i izdataka'!$L$3:$L$501,'Unos rashoda i izdataka'!$Q$3:$Q$501,"=576",'Unos rashoda i izdataka'!$P$3:$P$501,"=32")+SUMIFS('Unos rashoda P4'!$J$3:$J$501,'Unos rashoda P4'!$A$3:$A$501,"=576",'Unos rashoda P4'!$S$3:$S$501,"=32")</f>
        <v>0</v>
      </c>
      <c r="S41" s="171">
        <f>SUMIFS('Unos rashoda i izdataka'!$L$3:$L$501,'Unos rashoda i izdataka'!$C$3:$C$501,"=581",'Unos rashoda i izdataka'!$P$3:$P$501,"=32")+SUMIFS('Unos rashoda P4'!$J$3:$J$501,'Unos rashoda P4'!$A$3:$A$501,"=581",'Unos rashoda P4'!$S$3:$S$501,"=32")</f>
        <v>0</v>
      </c>
      <c r="T41" s="171">
        <f>SUMIFS('Unos rashoda i izdataka'!$L$3:$L$501,'Unos rashoda i izdataka'!$C$3:$C$501,"=61",'Unos rashoda i izdataka'!$P$3:$P$501,"=32")+SUMIFS('Unos rashoda P4'!$J$3:$J$501,'Unos rashoda P4'!$A$3:$A$501,"=61",'Unos rashoda P4'!$S$3:$S$501,"=32")</f>
        <v>5334</v>
      </c>
      <c r="U41" s="171">
        <f>SUMIFS('Unos rashoda i izdataka'!$L$3:$L$501,'Unos rashoda i izdataka'!$C$3:$C$501,"=63",'Unos rashoda i izdataka'!$P$3:$P$501,"=32")+SUMIFS('Unos rashoda P4'!$J$3:$J$501,'Unos rashoda P4'!$A$3:$A$501,"=63",'Unos rashoda P4'!$S$3:$S$501,"=32")</f>
        <v>0</v>
      </c>
      <c r="V41" s="171">
        <f>SUMIFS('Unos rashoda i izdataka'!$L$3:$L$501,'Unos rashoda i izdataka'!$C$3:$C$501,"=71",'Unos rashoda i izdataka'!$P$3:$P$501,"=32")+SUMIFS('Unos rashoda P4'!$J$3:$J$501,'Unos rashoda P4'!$A$3:$A$501,"=71",'Unos rashoda P4'!$S$3:$S$501,"=32")</f>
        <v>0</v>
      </c>
      <c r="W41" s="171">
        <f>SUMIFS('Unos rashoda i izdataka'!$L$3:$L$501,'Unos rashoda i izdataka'!$C$3:$C$501,"=81",'Unos rashoda i izdataka'!$P$3:$P$501,"=32")+SUMIFS('Unos rashoda P4'!$J$3:$J$501,'Unos rashoda P4'!$A$3:$A$501,"=81",'Unos rashoda P4'!$S$3:$S$501,"=32")</f>
        <v>0</v>
      </c>
      <c r="GL41" s="173"/>
      <c r="GM41" s="173"/>
      <c r="GN41" s="173"/>
      <c r="GO41" s="173"/>
      <c r="GP41" s="173"/>
      <c r="GQ41" s="173"/>
      <c r="GR41" s="173"/>
      <c r="GS41" s="173"/>
      <c r="GT41" s="173"/>
      <c r="GU41" s="173"/>
      <c r="GV41" s="173"/>
      <c r="GW41" s="173"/>
      <c r="GX41" s="173"/>
      <c r="GY41" s="173"/>
      <c r="GZ41" s="173"/>
      <c r="HA41" s="173"/>
      <c r="HB41" s="173"/>
      <c r="HC41" s="173"/>
      <c r="HD41" s="173"/>
      <c r="HE41" s="173"/>
    </row>
    <row r="42" spans="1:213" s="189" customFormat="1" ht="12.6" customHeight="1">
      <c r="A42" s="160">
        <v>2023</v>
      </c>
      <c r="B42" s="174">
        <v>34</v>
      </c>
      <c r="C42" s="175" t="s">
        <v>3245</v>
      </c>
      <c r="D42" s="176">
        <f t="shared" si="17"/>
        <v>-251</v>
      </c>
      <c r="E42" s="171">
        <f>SUMIFS('Unos rashoda i izdataka'!$L$3:$L$501,'Unos rashoda i izdataka'!$C$3:$C$501,"=11",'Unos rashoda i izdataka'!$P$3:$P$501,"=34")+SUMIFS('Unos rashoda P4'!$J$3:$J$501,'Unos rashoda P4'!$A$3:$A$501,"=11",'Unos rashoda P4'!$S$3:$S$501,"=34")</f>
        <v>305</v>
      </c>
      <c r="F42" s="171">
        <f>SUMIFS('Unos rashoda i izdataka'!$L$3:$L$501,'Unos rashoda i izdataka'!$C$3:$C$501,"=12",'Unos rashoda i izdataka'!$P$3:$P$501,"=34")+SUMIFS('Unos rashoda P4'!$J$3:$J$501,'Unos rashoda P4'!$A$3:$A$501,"=12",'Unos rashoda P4'!$S$3:$S$501,"=34")</f>
        <v>0</v>
      </c>
      <c r="G42" s="171">
        <f>SUMIFS('Unos rashoda i izdataka'!$L$3:$L$501,'Unos rashoda i izdataka'!$C$3:$C$501,"=31",'Unos rashoda i izdataka'!$P$3:$P$501,"=34")+SUMIFS('Unos rashoda P4'!$J$3:$J$501,'Unos rashoda P4'!$A$3:$A$501,"=31",'Unos rashoda P4'!$S$3:$S$501,"=34")</f>
        <v>-1060</v>
      </c>
      <c r="H42" s="171">
        <f>SUMIFS('Unos rashoda i izdataka'!$L$3:$L$501,'Unos rashoda i izdataka'!$C$3:$C$501,"=41",'Unos rashoda i izdataka'!$P$3:$P$501,"=34")+SUMIFS('Unos rashoda P4'!$J$3:$J$501,'Unos rashoda P4'!$A$3:$A$501,"=41",'Unos rashoda P4'!$S$3:$S$501,"=34")</f>
        <v>0</v>
      </c>
      <c r="I42" s="171">
        <f>SUMIFS('Unos rashoda i izdataka'!$L$3:$L$501,'Unos rashoda i izdataka'!$C$3:$C$501,"=43",'Unos rashoda i izdataka'!$P$3:$P$501,"=34")+SUMIFS('Unos rashoda P4'!$J$3:$J$501,'Unos rashoda P4'!$A$3:$A$501,"=43",'Unos rashoda P4'!$S$3:$S$501,"=34")</f>
        <v>504</v>
      </c>
      <c r="J42" s="171">
        <f>SUMIFS('Unos rashoda i izdataka'!$L$3:$L$501,'Unos rashoda i izdataka'!$C$3:$C$501,"=51",'Unos rashoda i izdataka'!$P$3:$P$501,"=34")+SUMIFS('Unos rashoda P4'!$J$3:$J$501,'Unos rashoda P4'!$A$3:$A$501,"=51",'Unos rashoda P4'!$S$3:$S$501,"=34")</f>
        <v>0</v>
      </c>
      <c r="K42" s="171">
        <f>SUMIFS('Unos rashoda i izdataka'!$L$3:$L$501,'Unos rashoda i izdataka'!$C$3:$C$501,"=52",'Unos rashoda i izdataka'!$P$3:$P$501,"=34")+SUMIFS('Unos rashoda P4'!$J$3:$J$501,'Unos rashoda P4'!$A$3:$A$501,"=52",'Unos rashoda P4'!$S$3:$S$501,"=34")</f>
        <v>0</v>
      </c>
      <c r="L42" s="171">
        <f>SUMIFS('Unos rashoda i izdataka'!$L$3:$L$501,'Unos rashoda i izdataka'!$C$3:$C$501,"=552",'Unos rashoda i izdataka'!$P$3:$P$501,"=34")+SUMIFS('Unos rashoda P4'!$J$3:$J$501,'Unos rashoda P4'!$A$3:$A$501,"=552",'Unos rashoda P4'!$S$3:$S$501,"=34")</f>
        <v>0</v>
      </c>
      <c r="M42" s="171">
        <f>SUMIFS('Unos rashoda i izdataka'!$L$3:$L$501,'Unos rashoda i izdataka'!$C$3:$C$501,"=559",'Unos rashoda i izdataka'!$P$3:$P$501,"=34")+SUMIFS('Unos rashoda P4'!$J$3:$J$501,'Unos rashoda P4'!$A$3:$A$501,"=559",'Unos rashoda P4'!$S$3:$S$501,"=34")</f>
        <v>0</v>
      </c>
      <c r="N42" s="171">
        <f>SUMIFS('Unos rashoda i izdataka'!$L$3:$L$501,'Unos rashoda i izdataka'!$C$3:$C$501,"=561",'Unos rashoda i izdataka'!$P$3:$P$501,"=34")+SUMIFS('Unos rashoda P4'!$J$3:$J$501,'Unos rashoda P4'!$A$3:$A$501,"=561",'Unos rashoda P4'!$S$3:$S$501,"=34")</f>
        <v>0</v>
      </c>
      <c r="O42" s="171">
        <f>SUMIFS('Unos rashoda i izdataka'!$L$3:$L$501,'Unos rashoda i izdataka'!$C$3:$C$501,"=563",'Unos rashoda i izdataka'!$P$3:$P$501,"=34")+SUMIFS('Unos rashoda P4'!$J$3:$J$501,'Unos rashoda P4'!$A$3:$A$501,"=563",'Unos rashoda P4'!$S$3:$S$501,"=34")</f>
        <v>0</v>
      </c>
      <c r="P42" s="171">
        <f>SUMIFS('Unos rashoda i izdataka'!$L$3:$L$501,'Unos rashoda i izdataka'!$C$3:$C$501,"=573",'Unos rashoda i izdataka'!$P$3:$P$501,"=34")+SUMIFS('Unos rashoda P4'!$J$3:$J$501,'Unos rashoda P4'!$A$3:$A$501,"=573",'Unos rashoda P4'!$S$3:$S$501,"=34")</f>
        <v>0</v>
      </c>
      <c r="Q42" s="171">
        <f>SUMIFS('Unos rashoda i izdataka'!$L$3:$L$501,'Unos rashoda i izdataka'!$C$3:$C$501,"=575",'Unos rashoda i izdataka'!$P$3:$P$501,"=34")+SUMIFS('Unos rashoda P4'!$J$3:$J$501,'Unos rashoda P4'!$A$3:$A$501,"=575",'Unos rashoda P4'!$S$3:$S$501,"=34")</f>
        <v>0</v>
      </c>
      <c r="R42" s="171">
        <f>SUMIFS('Unos rashoda i izdataka'!$L$3:$L$501,'Unos rashoda i izdataka'!$Q$3:$Q$501,"=576",'Unos rashoda i izdataka'!$P$3:$P$501,"=34")+SUMIFS('Unos rashoda P4'!$J$3:$J$501,'Unos rashoda P4'!$A$3:$A$501,"=576",'Unos rashoda P4'!$S$3:$S$501,"=34")</f>
        <v>0</v>
      </c>
      <c r="S42" s="171">
        <f>SUMIFS('Unos rashoda i izdataka'!$L$3:$L$501,'Unos rashoda i izdataka'!$C$3:$C$501,"=581",'Unos rashoda i izdataka'!$P$3:$P$501,"=34")+SUMIFS('Unos rashoda P4'!$J$3:$J$501,'Unos rashoda P4'!$A$3:$A$501,"=581",'Unos rashoda P4'!$S$3:$S$501,"=34")</f>
        <v>0</v>
      </c>
      <c r="T42" s="171">
        <f>SUMIFS('Unos rashoda i izdataka'!$L$3:$L$501,'Unos rashoda i izdataka'!$C$3:$C$501,"=61",'Unos rashoda i izdataka'!$P$3:$P$501,"=34")+SUMIFS('Unos rashoda P4'!$J$3:$J$501,'Unos rashoda P4'!$A$3:$A$501,"=61",'Unos rashoda P4'!$S$3:$S$501,"=34")</f>
        <v>0</v>
      </c>
      <c r="U42" s="171">
        <f>SUMIFS('Unos rashoda i izdataka'!$L$3:$L$501,'Unos rashoda i izdataka'!$C$3:$C$501,"=63",'Unos rashoda i izdataka'!$P$3:$P$501,"=34")+SUMIFS('Unos rashoda P4'!$J$3:$J$501,'Unos rashoda P4'!$A$3:$A$501,"=63",'Unos rashoda P4'!$S$3:$S$501,"=34")</f>
        <v>0</v>
      </c>
      <c r="V42" s="171">
        <f>SUMIFS('Unos rashoda i izdataka'!$L$3:$L$501,'Unos rashoda i izdataka'!$C$3:$C$501,"=71",'Unos rashoda i izdataka'!$P$3:$P$501,"=34")+SUMIFS('Unos rashoda P4'!$J$3:$J$501,'Unos rashoda P4'!$A$3:$A$501,"=71",'Unos rashoda P4'!$S$3:$S$501,"=34")</f>
        <v>0</v>
      </c>
      <c r="W42" s="171">
        <f>SUMIFS('Unos rashoda i izdataka'!$L$3:$L$501,'Unos rashoda i izdataka'!$C$3:$C$501,"=81",'Unos rashoda i izdataka'!$P$3:$P$501,"=34")+SUMIFS('Unos rashoda P4'!$J$3:$J$501,'Unos rashoda P4'!$A$3:$A$501,"=81",'Unos rashoda P4'!$S$3:$S$501,"=34")</f>
        <v>0</v>
      </c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172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2"/>
      <c r="BC42" s="172"/>
      <c r="BD42" s="172"/>
      <c r="BE42" s="172"/>
      <c r="BF42" s="172"/>
      <c r="BG42" s="172"/>
      <c r="BH42" s="172"/>
      <c r="BI42" s="172"/>
      <c r="BJ42" s="172"/>
      <c r="BK42" s="172"/>
      <c r="BL42" s="172"/>
      <c r="BM42" s="172"/>
      <c r="BN42" s="172"/>
      <c r="BO42" s="172"/>
      <c r="BP42" s="172"/>
      <c r="BQ42" s="172"/>
      <c r="BR42" s="172"/>
      <c r="BS42" s="172"/>
      <c r="BT42" s="172"/>
      <c r="BU42" s="172"/>
      <c r="BV42" s="172"/>
      <c r="BW42" s="172"/>
      <c r="BX42" s="172"/>
      <c r="BY42" s="172"/>
      <c r="BZ42" s="172"/>
      <c r="CA42" s="172"/>
      <c r="CB42" s="172"/>
      <c r="CC42" s="172"/>
      <c r="CD42" s="172"/>
      <c r="CE42" s="172"/>
      <c r="CF42" s="172"/>
      <c r="CG42" s="172"/>
      <c r="CH42" s="172"/>
      <c r="CI42" s="172"/>
      <c r="CJ42" s="172"/>
      <c r="CK42" s="172"/>
      <c r="CL42" s="172"/>
      <c r="CM42" s="172"/>
      <c r="CN42" s="172"/>
      <c r="CO42" s="172"/>
      <c r="CP42" s="172"/>
      <c r="CQ42" s="172"/>
      <c r="CR42" s="172"/>
      <c r="CS42" s="172"/>
      <c r="CT42" s="172"/>
      <c r="CU42" s="172"/>
      <c r="CV42" s="172"/>
      <c r="CW42" s="172"/>
      <c r="CX42" s="172"/>
      <c r="CY42" s="172"/>
      <c r="CZ42" s="172"/>
      <c r="DA42" s="172"/>
      <c r="DB42" s="172"/>
      <c r="DC42" s="172"/>
      <c r="DD42" s="172"/>
      <c r="DE42" s="172"/>
      <c r="DF42" s="172"/>
      <c r="DG42" s="172"/>
      <c r="DH42" s="172"/>
      <c r="DI42" s="172"/>
      <c r="DJ42" s="172"/>
      <c r="DK42" s="172"/>
      <c r="DL42" s="172"/>
      <c r="DM42" s="172"/>
      <c r="DN42" s="172"/>
      <c r="DO42" s="172"/>
      <c r="DP42" s="172"/>
      <c r="DQ42" s="172"/>
      <c r="DR42" s="172"/>
      <c r="DS42" s="172"/>
      <c r="DT42" s="172"/>
      <c r="DU42" s="172"/>
      <c r="DV42" s="172"/>
      <c r="DW42" s="172"/>
      <c r="DX42" s="172"/>
      <c r="DY42" s="172"/>
      <c r="DZ42" s="172"/>
      <c r="EA42" s="172"/>
      <c r="EB42" s="172"/>
      <c r="EC42" s="172"/>
      <c r="ED42" s="172"/>
      <c r="EE42" s="172"/>
      <c r="EF42" s="172"/>
      <c r="EG42" s="172"/>
      <c r="EH42" s="172"/>
      <c r="EI42" s="172"/>
      <c r="EJ42" s="172"/>
      <c r="EK42" s="172"/>
      <c r="EL42" s="172"/>
      <c r="EM42" s="172"/>
      <c r="EN42" s="172"/>
      <c r="EO42" s="172"/>
      <c r="EP42" s="172"/>
      <c r="EQ42" s="172"/>
      <c r="ER42" s="172"/>
      <c r="ES42" s="172"/>
      <c r="ET42" s="172"/>
      <c r="EU42" s="172"/>
      <c r="EV42" s="172"/>
      <c r="EW42" s="172"/>
      <c r="EX42" s="172"/>
      <c r="EY42" s="172"/>
      <c r="EZ42" s="172"/>
      <c r="FA42" s="172"/>
      <c r="FB42" s="172"/>
      <c r="FC42" s="172"/>
      <c r="FD42" s="172"/>
      <c r="FE42" s="172"/>
      <c r="FF42" s="172"/>
      <c r="FG42" s="172"/>
      <c r="FH42" s="172"/>
      <c r="FI42" s="172"/>
      <c r="FJ42" s="172"/>
      <c r="FK42" s="172"/>
      <c r="FL42" s="172"/>
      <c r="FM42" s="172"/>
      <c r="FN42" s="172"/>
      <c r="FO42" s="172"/>
      <c r="FP42" s="172"/>
      <c r="FQ42" s="172"/>
      <c r="FR42" s="172"/>
      <c r="FS42" s="172"/>
      <c r="FT42" s="172"/>
      <c r="FU42" s="172"/>
      <c r="FV42" s="172"/>
      <c r="FW42" s="172"/>
      <c r="FX42" s="172"/>
      <c r="FY42" s="172"/>
      <c r="FZ42" s="172"/>
      <c r="GA42" s="172"/>
      <c r="GB42" s="172"/>
      <c r="GC42" s="172"/>
      <c r="GD42" s="172"/>
      <c r="GE42" s="172"/>
      <c r="GF42" s="172"/>
      <c r="GG42" s="172"/>
      <c r="GH42" s="172"/>
      <c r="GI42" s="172"/>
      <c r="GJ42" s="172"/>
      <c r="GK42" s="172"/>
      <c r="GL42" s="173"/>
      <c r="GM42" s="173"/>
      <c r="GN42" s="173"/>
      <c r="GO42" s="173"/>
      <c r="GP42" s="173"/>
      <c r="GQ42" s="173"/>
      <c r="GR42" s="173"/>
      <c r="GS42" s="173"/>
      <c r="GT42" s="173"/>
      <c r="GU42" s="173"/>
      <c r="GV42" s="173"/>
      <c r="GW42" s="173"/>
      <c r="GX42" s="173"/>
      <c r="GY42" s="173"/>
      <c r="GZ42" s="173"/>
      <c r="HA42" s="173"/>
      <c r="HB42" s="173"/>
      <c r="HC42" s="173"/>
      <c r="HD42" s="173"/>
      <c r="HE42" s="173"/>
    </row>
    <row r="43" spans="1:213" s="172" customFormat="1" ht="12.6" customHeight="1">
      <c r="A43" s="160">
        <v>2023</v>
      </c>
      <c r="B43" s="174">
        <v>35</v>
      </c>
      <c r="C43" s="175" t="s">
        <v>3246</v>
      </c>
      <c r="D43" s="176">
        <f t="shared" si="17"/>
        <v>11921</v>
      </c>
      <c r="E43" s="171">
        <f>SUMIFS('Unos rashoda i izdataka'!$L$3:$L$501,'Unos rashoda i izdataka'!$C$3:$C$501,"=11",'Unos rashoda i izdataka'!$P$3:$P$501,"=35")+SUMIFS('Unos rashoda P4'!$J$3:$J$501,'Unos rashoda P4'!$A$3:$A$501,"=11",'Unos rashoda P4'!$S$3:$S$501,"=35")</f>
        <v>0</v>
      </c>
      <c r="F43" s="171">
        <f>SUMIFS('Unos rashoda i izdataka'!$L$3:$L$501,'Unos rashoda i izdataka'!$C$3:$C$501,"=12",'Unos rashoda i izdataka'!$P$3:$P$501,"=35")+SUMIFS('Unos rashoda P4'!$J$3:$J$501,'Unos rashoda P4'!$A$3:$A$501,"=12",'Unos rashoda P4'!$S$3:$S$501,"=35")</f>
        <v>1788</v>
      </c>
      <c r="G43" s="171">
        <f>SUMIFS('Unos rashoda i izdataka'!$L$3:$L$501,'Unos rashoda i izdataka'!$C$3:$C$501,"=31",'Unos rashoda i izdataka'!$P$3:$P$501,"=35")+SUMIFS('Unos rashoda P4'!$J$3:$J$501,'Unos rashoda P4'!$A$3:$A$501,"=31",'Unos rashoda P4'!$S$3:$S$501,"=35")</f>
        <v>0</v>
      </c>
      <c r="H43" s="171">
        <f>SUMIFS('Unos rashoda i izdataka'!$L$3:$L$501,'Unos rashoda i izdataka'!$C$3:$C$501,"=41",'Unos rashoda i izdataka'!$P$3:$P$501,"=35")+SUMIFS('Unos rashoda P4'!$J$3:$J$501,'Unos rashoda P4'!$A$3:$A$501,"=41",'Unos rashoda P4'!$S$3:$S$501,"=35")</f>
        <v>0</v>
      </c>
      <c r="I43" s="171">
        <f>SUMIFS('Unos rashoda i izdataka'!$L$3:$L$501,'Unos rashoda i izdataka'!$C$3:$C$501,"=43",'Unos rashoda i izdataka'!$P$3:$P$501,"=35")+SUMIFS('Unos rashoda P4'!$J$3:$J$501,'Unos rashoda P4'!$A$3:$A$501,"=43",'Unos rashoda P4'!$S$3:$S$501,"=35")</f>
        <v>0</v>
      </c>
      <c r="J43" s="171">
        <f>SUMIFS('Unos rashoda i izdataka'!$L$3:$L$501,'Unos rashoda i izdataka'!$C$3:$C$501,"=51",'Unos rashoda i izdataka'!$P$3:$P$501,"=35")+SUMIFS('Unos rashoda P4'!$J$3:$J$501,'Unos rashoda P4'!$A$3:$A$501,"=51",'Unos rashoda P4'!$S$3:$S$501,"=35")</f>
        <v>0</v>
      </c>
      <c r="K43" s="171">
        <f>SUMIFS('Unos rashoda i izdataka'!$L$3:$L$501,'Unos rashoda i izdataka'!$C$3:$C$501,"=52",'Unos rashoda i izdataka'!$P$3:$P$501,"=35")+SUMIFS('Unos rashoda P4'!$J$3:$J$501,'Unos rashoda P4'!$A$3:$A$501,"=52",'Unos rashoda P4'!$S$3:$S$501,"=35")</f>
        <v>0</v>
      </c>
      <c r="L43" s="171">
        <f>SUMIFS('Unos rashoda i izdataka'!$L$3:$L$501,'Unos rashoda i izdataka'!$C$3:$C$501,"=552",'Unos rashoda i izdataka'!$P$3:$P$501,"=35")+SUMIFS('Unos rashoda P4'!$J$3:$J$501,'Unos rashoda P4'!$A$3:$A$501,"=552",'Unos rashoda P4'!$S$3:$S$501,"=35")</f>
        <v>0</v>
      </c>
      <c r="M43" s="171">
        <f>SUMIFS('Unos rashoda i izdataka'!$L$3:$L$501,'Unos rashoda i izdataka'!$C$3:$C$501,"=559",'Unos rashoda i izdataka'!$P$3:$P$501,"=35")+SUMIFS('Unos rashoda P4'!$J$3:$J$501,'Unos rashoda P4'!$A$3:$A$501,"=559",'Unos rashoda P4'!$S$3:$S$501,"=35")</f>
        <v>0</v>
      </c>
      <c r="N43" s="171">
        <f>SUMIFS('Unos rashoda i izdataka'!$L$3:$L$501,'Unos rashoda i izdataka'!$C$3:$C$501,"=561",'Unos rashoda i izdataka'!$P$3:$P$501,"=35")+SUMIFS('Unos rashoda P4'!$J$3:$J$501,'Unos rashoda P4'!$A$3:$A$501,"=561",'Unos rashoda P4'!$S$3:$S$501,"=35")</f>
        <v>10133</v>
      </c>
      <c r="O43" s="171">
        <f>SUMIFS('Unos rashoda i izdataka'!$L$3:$L$501,'Unos rashoda i izdataka'!$C$3:$C$501,"=563",'Unos rashoda i izdataka'!$P$3:$P$501,"=35")+SUMIFS('Unos rashoda P4'!$J$3:$J$501,'Unos rashoda P4'!$A$3:$A$501,"=563",'Unos rashoda P4'!$S$3:$S$501,"=35")</f>
        <v>0</v>
      </c>
      <c r="P43" s="171">
        <f>SUMIFS('Unos rashoda i izdataka'!$L$3:$L$501,'Unos rashoda i izdataka'!$C$3:$C$501,"=573",'Unos rashoda i izdataka'!$P$3:$P$501,"=35")+SUMIFS('Unos rashoda P4'!$J$3:$J$501,'Unos rashoda P4'!$A$3:$A$501,"=573",'Unos rashoda P4'!$S$3:$S$501,"=35")</f>
        <v>0</v>
      </c>
      <c r="Q43" s="171">
        <f>SUMIFS('Unos rashoda i izdataka'!$L$3:$L$501,'Unos rashoda i izdataka'!$C$3:$C$501,"=575",'Unos rashoda i izdataka'!$P$3:$P$501,"=35")+SUMIFS('Unos rashoda P4'!$J$3:$J$501,'Unos rashoda P4'!$A$3:$A$501,"=575",'Unos rashoda P4'!$S$3:$S$501,"=35")</f>
        <v>0</v>
      </c>
      <c r="R43" s="171">
        <f>SUMIFS('Unos rashoda i izdataka'!$L$3:$L$501,'Unos rashoda i izdataka'!$Q$3:$Q$501,"=576",'Unos rashoda i izdataka'!$P$3:$P$501,"=35")+SUMIFS('Unos rashoda P4'!$J$3:$J$501,'Unos rashoda P4'!$A$3:$A$501,"=576",'Unos rashoda P4'!$S$3:$S$501,"=35")</f>
        <v>0</v>
      </c>
      <c r="S43" s="171">
        <f>SUMIFS('Unos rashoda i izdataka'!$L$3:$L$501,'Unos rashoda i izdataka'!$C$3:$C$501,"=581",'Unos rashoda i izdataka'!$P$3:$P$501,"=35")+SUMIFS('Unos rashoda P4'!$J$3:$J$501,'Unos rashoda P4'!$A$3:$A$501,"=581",'Unos rashoda P4'!$S$3:$S$501,"=35")</f>
        <v>0</v>
      </c>
      <c r="T43" s="171">
        <f>SUMIFS('Unos rashoda i izdataka'!$L$3:$L$501,'Unos rashoda i izdataka'!$C$3:$C$501,"=61",'Unos rashoda i izdataka'!$P$3:$P$501,"=35")+SUMIFS('Unos rashoda P4'!$J$3:$J$501,'Unos rashoda P4'!$A$3:$A$501,"=61",'Unos rashoda P4'!$S$3:$S$501,"=35")</f>
        <v>0</v>
      </c>
      <c r="U43" s="171">
        <f>SUMIFS('Unos rashoda i izdataka'!$L$3:$L$501,'Unos rashoda i izdataka'!$C$3:$C$501,"=63",'Unos rashoda i izdataka'!$P$3:$P$501,"=35")+SUMIFS('Unos rashoda P4'!$J$3:$J$501,'Unos rashoda P4'!$A$3:$A$501,"=63",'Unos rashoda P4'!$S$3:$S$501,"=35")</f>
        <v>0</v>
      </c>
      <c r="V43" s="171">
        <f>SUMIFS('Unos rashoda i izdataka'!$L$3:$L$501,'Unos rashoda i izdataka'!$C$3:$C$501,"=71",'Unos rashoda i izdataka'!$P$3:$P$501,"=35")+SUMIFS('Unos rashoda P4'!$J$3:$J$501,'Unos rashoda P4'!$A$3:$A$501,"=71",'Unos rashoda P4'!$S$3:$S$501,"=35")</f>
        <v>0</v>
      </c>
      <c r="W43" s="171">
        <f>SUMIFS('Unos rashoda i izdataka'!$L$3:$L$501,'Unos rashoda i izdataka'!$C$3:$C$501,"=81",'Unos rashoda i izdataka'!$P$3:$P$501,"=35")+SUMIFS('Unos rashoda P4'!$J$3:$J$501,'Unos rashoda P4'!$A$3:$A$501,"=81",'Unos rashoda P4'!$S$3:$S$501,"=35")</f>
        <v>0</v>
      </c>
      <c r="GL43" s="173"/>
      <c r="GM43" s="173"/>
      <c r="GN43" s="173"/>
      <c r="GO43" s="173"/>
      <c r="GP43" s="173"/>
      <c r="GQ43" s="173"/>
      <c r="GR43" s="173"/>
      <c r="GS43" s="173"/>
      <c r="GT43" s="173"/>
      <c r="GU43" s="173"/>
      <c r="GV43" s="173"/>
      <c r="GW43" s="173"/>
      <c r="GX43" s="173"/>
      <c r="GY43" s="173"/>
      <c r="GZ43" s="173"/>
      <c r="HA43" s="173"/>
      <c r="HB43" s="173"/>
      <c r="HC43" s="173"/>
      <c r="HD43" s="173"/>
      <c r="HE43" s="173"/>
    </row>
    <row r="44" spans="1:213" s="172" customFormat="1" ht="12.6" customHeight="1">
      <c r="A44" s="160">
        <v>2023</v>
      </c>
      <c r="B44" s="174">
        <v>36</v>
      </c>
      <c r="C44" s="177" t="s">
        <v>3247</v>
      </c>
      <c r="D44" s="176">
        <f t="shared" si="17"/>
        <v>15268</v>
      </c>
      <c r="E44" s="171">
        <f>SUMIFS('Unos rashoda i izdataka'!$L$3:$L$501,'Unos rashoda i izdataka'!$C$3:$C$501,"=11",'Unos rashoda i izdataka'!$P$3:$P$501,"=36")+SUMIFS('Unos rashoda P4'!$J$3:$J$501,'Unos rashoda P4'!$A$3:$A$501,"=11",'Unos rashoda P4'!$S$3:$S$501,"=36")</f>
        <v>0</v>
      </c>
      <c r="F44" s="171">
        <f>SUMIFS('Unos rashoda i izdataka'!$L$3:$L$501,'Unos rashoda i izdataka'!$C$3:$C$501,"=12",'Unos rashoda i izdataka'!$P$3:$P$501,"=36")+SUMIFS('Unos rashoda P4'!$J$3:$J$501,'Unos rashoda P4'!$A$3:$A$501,"=12",'Unos rashoda P4'!$S$3:$S$501,"=36")</f>
        <v>0</v>
      </c>
      <c r="G44" s="171">
        <f>SUMIFS('Unos rashoda i izdataka'!$L$3:$L$501,'Unos rashoda i izdataka'!$C$3:$C$501,"=31",'Unos rashoda i izdataka'!$P$3:$P$501,"=36")+SUMIFS('Unos rashoda P4'!$J$3:$J$501,'Unos rashoda P4'!$A$3:$A$501,"=31",'Unos rashoda P4'!$S$3:$S$501,"=36")</f>
        <v>9515</v>
      </c>
      <c r="H44" s="171">
        <f>SUMIFS('Unos rashoda i izdataka'!$L$3:$L$501,'Unos rashoda i izdataka'!$C$3:$C$501,"=41",'Unos rashoda i izdataka'!$P$3:$P$501,"=36")+SUMIFS('Unos rashoda P4'!$J$3:$J$501,'Unos rashoda P4'!$A$3:$A$501,"=41",'Unos rashoda P4'!$S$3:$S$501,"=36")</f>
        <v>0</v>
      </c>
      <c r="I44" s="171">
        <f>SUMIFS('Unos rashoda i izdataka'!$L$3:$L$501,'Unos rashoda i izdataka'!$C$3:$C$501,"=43",'Unos rashoda i izdataka'!$P$3:$P$501,"=36")+SUMIFS('Unos rashoda P4'!$J$3:$J$501,'Unos rashoda P4'!$A$3:$A$501,"=43",'Unos rashoda P4'!$S$3:$S$501,"=36")</f>
        <v>5753</v>
      </c>
      <c r="J44" s="171">
        <f>SUMIFS('Unos rashoda i izdataka'!$L$3:$L$501,'Unos rashoda i izdataka'!$C$3:$C$501,"=51",'Unos rashoda i izdataka'!$P$3:$P$501,"=36")+SUMIFS('Unos rashoda P4'!$J$3:$J$501,'Unos rashoda P4'!$A$3:$A$501,"=51",'Unos rashoda P4'!$S$3:$S$501,"=36")</f>
        <v>0</v>
      </c>
      <c r="K44" s="171">
        <f>SUMIFS('Unos rashoda i izdataka'!$L$3:$L$501,'Unos rashoda i izdataka'!$C$3:$C$501,"=52",'Unos rashoda i izdataka'!$P$3:$P$501,"=36")+SUMIFS('Unos rashoda P4'!$J$3:$J$501,'Unos rashoda P4'!$A$3:$A$501,"=52",'Unos rashoda P4'!$S$3:$S$501,"=36")</f>
        <v>0</v>
      </c>
      <c r="L44" s="171">
        <f>SUMIFS('Unos rashoda i izdataka'!$L$3:$L$501,'Unos rashoda i izdataka'!$C$3:$C$501,"=552",'Unos rashoda i izdataka'!$P$3:$P$501,"=36")+SUMIFS('Unos rashoda P4'!$J$3:$J$501,'Unos rashoda P4'!$A$3:$A$501,"=552",'Unos rashoda P4'!$S$3:$S$501,"=36")</f>
        <v>0</v>
      </c>
      <c r="M44" s="171">
        <f>SUMIFS('Unos rashoda i izdataka'!$L$3:$L$501,'Unos rashoda i izdataka'!$C$3:$C$501,"=559",'Unos rashoda i izdataka'!$P$3:$P$501,"=36")+SUMIFS('Unos rashoda P4'!$J$3:$J$501,'Unos rashoda P4'!$A$3:$A$501,"=559",'Unos rashoda P4'!$S$3:$S$501,"=36")</f>
        <v>0</v>
      </c>
      <c r="N44" s="171">
        <f>SUMIFS('Unos rashoda i izdataka'!$L$3:$L$501,'Unos rashoda i izdataka'!$C$3:$C$501,"=561",'Unos rashoda i izdataka'!$P$3:$P$501,"=36")+SUMIFS('Unos rashoda P4'!$J$3:$J$501,'Unos rashoda P4'!$A$3:$A$501,"=561",'Unos rashoda P4'!$S$3:$S$501,"=36")</f>
        <v>0</v>
      </c>
      <c r="O44" s="171">
        <f>SUMIFS('Unos rashoda i izdataka'!$L$3:$L$501,'Unos rashoda i izdataka'!$C$3:$C$501,"=563",'Unos rashoda i izdataka'!$P$3:$P$501,"=36")+SUMIFS('Unos rashoda P4'!$J$3:$J$501,'Unos rashoda P4'!$A$3:$A$501,"=563",'Unos rashoda P4'!$S$3:$S$501,"=36")</f>
        <v>0</v>
      </c>
      <c r="P44" s="171">
        <f>SUMIFS('Unos rashoda i izdataka'!$L$3:$L$501,'Unos rashoda i izdataka'!$C$3:$C$501,"=573",'Unos rashoda i izdataka'!$P$3:$P$501,"=36")+SUMIFS('Unos rashoda P4'!$J$3:$J$501,'Unos rashoda P4'!$A$3:$A$501,"=573",'Unos rashoda P4'!$S$3:$S$501,"=36")</f>
        <v>0</v>
      </c>
      <c r="Q44" s="171">
        <f>SUMIFS('Unos rashoda i izdataka'!$L$3:$L$501,'Unos rashoda i izdataka'!$C$3:$C$501,"=575",'Unos rashoda i izdataka'!$P$3:$P$501,"=36")+SUMIFS('Unos rashoda P4'!$J$3:$J$501,'Unos rashoda P4'!$A$3:$A$501,"=575",'Unos rashoda P4'!$S$3:$S$501,"=36")</f>
        <v>0</v>
      </c>
      <c r="R44" s="171">
        <f>SUMIFS('Unos rashoda i izdataka'!$L$3:$L$501,'Unos rashoda i izdataka'!$Q$3:$Q$501,"=576",'Unos rashoda i izdataka'!$P$3:$P$501,"=36")+SUMIFS('Unos rashoda P4'!$J$3:$J$501,'Unos rashoda P4'!$A$3:$A$501,"=576",'Unos rashoda P4'!$S$3:$S$501,"=36")</f>
        <v>0</v>
      </c>
      <c r="S44" s="171">
        <f>SUMIFS('Unos rashoda i izdataka'!$L$3:$L$501,'Unos rashoda i izdataka'!$C$3:$C$501,"=581",'Unos rashoda i izdataka'!$P$3:$P$501,"=36")+SUMIFS('Unos rashoda P4'!$J$3:$J$501,'Unos rashoda P4'!$A$3:$A$501,"=581",'Unos rashoda P4'!$S$3:$S$501,"=36")</f>
        <v>0</v>
      </c>
      <c r="T44" s="171">
        <f>SUMIFS('Unos rashoda i izdataka'!$L$3:$L$501,'Unos rashoda i izdataka'!$C$3:$C$501,"=61",'Unos rashoda i izdataka'!$P$3:$P$501,"=36")+SUMIFS('Unos rashoda P4'!$J$3:$J$501,'Unos rashoda P4'!$A$3:$A$501,"=61",'Unos rashoda P4'!$S$3:$S$501,"=36")</f>
        <v>0</v>
      </c>
      <c r="U44" s="171">
        <f>SUMIFS('Unos rashoda i izdataka'!$L$3:$L$501,'Unos rashoda i izdataka'!$C$3:$C$501,"=63",'Unos rashoda i izdataka'!$P$3:$P$501,"=36")+SUMIFS('Unos rashoda P4'!$J$3:$J$501,'Unos rashoda P4'!$A$3:$A$501,"=63",'Unos rashoda P4'!$S$3:$S$501,"=36")</f>
        <v>0</v>
      </c>
      <c r="V44" s="171">
        <f>SUMIFS('Unos rashoda i izdataka'!$L$3:$L$501,'Unos rashoda i izdataka'!$C$3:$C$501,"=71",'Unos rashoda i izdataka'!$P$3:$P$501,"=36")+SUMIFS('Unos rashoda P4'!$J$3:$J$501,'Unos rashoda P4'!$A$3:$A$501,"=71",'Unos rashoda P4'!$S$3:$S$501,"=36")</f>
        <v>0</v>
      </c>
      <c r="W44" s="171">
        <f>SUMIFS('Unos rashoda i izdataka'!$L$3:$L$501,'Unos rashoda i izdataka'!$C$3:$C$501,"=81",'Unos rashoda i izdataka'!$P$3:$P$501,"=36")+SUMIFS('Unos rashoda P4'!$J$3:$J$501,'Unos rashoda P4'!$A$3:$A$501,"=81",'Unos rashoda P4'!$S$3:$S$501,"=36")</f>
        <v>0</v>
      </c>
      <c r="GL44" s="173"/>
      <c r="GM44" s="173"/>
      <c r="GN44" s="173"/>
      <c r="GO44" s="173"/>
      <c r="GP44" s="173"/>
      <c r="GQ44" s="173"/>
      <c r="GR44" s="173"/>
      <c r="GS44" s="173"/>
      <c r="GT44" s="173"/>
      <c r="GU44" s="173"/>
      <c r="GV44" s="173"/>
      <c r="GW44" s="173"/>
      <c r="GX44" s="173"/>
      <c r="GY44" s="173"/>
      <c r="GZ44" s="173"/>
      <c r="HA44" s="173"/>
      <c r="HB44" s="173"/>
      <c r="HC44" s="173"/>
      <c r="HD44" s="173"/>
      <c r="HE44" s="173"/>
    </row>
    <row r="45" spans="1:213" s="190" customFormat="1" ht="12.6" customHeight="1">
      <c r="A45" s="160">
        <v>2023</v>
      </c>
      <c r="B45" s="174">
        <v>37</v>
      </c>
      <c r="C45" s="175" t="s">
        <v>3248</v>
      </c>
      <c r="D45" s="176">
        <f t="shared" si="17"/>
        <v>-3206</v>
      </c>
      <c r="E45" s="171">
        <f>SUMIFS('Unos rashoda i izdataka'!$L$3:$L$501,'Unos rashoda i izdataka'!$C$3:$C$501,"=11",'Unos rashoda i izdataka'!$P$3:$P$501,"=37")+SUMIFS('Unos rashoda P4'!$J$3:$J$501,'Unos rashoda P4'!$A$3:$A$501,"=11",'Unos rashoda P4'!$S$3:$S$501,"=37")</f>
        <v>-3411</v>
      </c>
      <c r="F45" s="171">
        <f>SUMIFS('Unos rashoda i izdataka'!$L$3:$L$501,'Unos rashoda i izdataka'!$C$3:$C$501,"=12",'Unos rashoda i izdataka'!$P$3:$P$501,"=37")+SUMIFS('Unos rashoda P4'!$J$3:$J$501,'Unos rashoda P4'!$A$3:$A$501,"=12",'Unos rashoda P4'!$S$3:$S$501,"=37")</f>
        <v>0</v>
      </c>
      <c r="G45" s="171">
        <f>SUMIFS('Unos rashoda i izdataka'!$L$3:$L$501,'Unos rashoda i izdataka'!$C$3:$C$501,"=31",'Unos rashoda i izdataka'!$P$3:$P$501,"=37")+SUMIFS('Unos rashoda P4'!$J$3:$J$501,'Unos rashoda P4'!$A$3:$A$501,"=31",'Unos rashoda P4'!$S$3:$S$501,"=37")</f>
        <v>0</v>
      </c>
      <c r="H45" s="171">
        <f>SUMIFS('Unos rashoda i izdataka'!$L$3:$L$501,'Unos rashoda i izdataka'!$C$3:$C$501,"=41",'Unos rashoda i izdataka'!$P$3:$P$501,"=37")+SUMIFS('Unos rashoda P4'!$J$3:$J$501,'Unos rashoda P4'!$A$3:$A$501,"=41",'Unos rashoda P4'!$S$3:$S$501,"=37")</f>
        <v>0</v>
      </c>
      <c r="I45" s="171">
        <f>SUMIFS('Unos rashoda i izdataka'!$L$3:$L$501,'Unos rashoda i izdataka'!$C$3:$C$501,"=43",'Unos rashoda i izdataka'!$P$3:$P$501,"=37")+SUMIFS('Unos rashoda P4'!$J$3:$J$501,'Unos rashoda P4'!$A$3:$A$501,"=43",'Unos rashoda P4'!$S$3:$S$501,"=37")</f>
        <v>1200</v>
      </c>
      <c r="J45" s="171">
        <f>SUMIFS('Unos rashoda i izdataka'!$L$3:$L$501,'Unos rashoda i izdataka'!$C$3:$C$501,"=51",'Unos rashoda i izdataka'!$P$3:$P$501,"=37")+SUMIFS('Unos rashoda P4'!$J$3:$J$501,'Unos rashoda P4'!$A$3:$A$501,"=51",'Unos rashoda P4'!$S$3:$S$501,"=37")</f>
        <v>0</v>
      </c>
      <c r="K45" s="171">
        <f>SUMIFS('Unos rashoda i izdataka'!$L$3:$L$501,'Unos rashoda i izdataka'!$C$3:$C$501,"=52",'Unos rashoda i izdataka'!$P$3:$P$501,"=37")+SUMIFS('Unos rashoda P4'!$J$3:$J$501,'Unos rashoda P4'!$A$3:$A$501,"=52",'Unos rashoda P4'!$S$3:$S$501,"=37")</f>
        <v>-995</v>
      </c>
      <c r="L45" s="171">
        <f>SUMIFS('Unos rashoda i izdataka'!$L$3:$L$501,'Unos rashoda i izdataka'!$C$3:$C$501,"=552",'Unos rashoda i izdataka'!$P$3:$P$501,"=37")+SUMIFS('Unos rashoda P4'!$J$3:$J$501,'Unos rashoda P4'!$A$3:$A$501,"=552",'Unos rashoda P4'!$S$3:$S$501,"=37")</f>
        <v>0</v>
      </c>
      <c r="M45" s="171">
        <f>SUMIFS('Unos rashoda i izdataka'!$L$3:$L$501,'Unos rashoda i izdataka'!$C$3:$C$501,"=559",'Unos rashoda i izdataka'!$P$3:$P$501,"=37")+SUMIFS('Unos rashoda P4'!$J$3:$J$501,'Unos rashoda P4'!$A$3:$A$501,"=559",'Unos rashoda P4'!$S$3:$S$501,"=37")</f>
        <v>0</v>
      </c>
      <c r="N45" s="171">
        <f>SUMIFS('Unos rashoda i izdataka'!$L$3:$L$501,'Unos rashoda i izdataka'!$C$3:$C$501,"=561",'Unos rashoda i izdataka'!$P$3:$P$501,"=37")+SUMIFS('Unos rashoda P4'!$J$3:$J$501,'Unos rashoda P4'!$A$3:$A$501,"=561",'Unos rashoda P4'!$S$3:$S$501,"=37")</f>
        <v>0</v>
      </c>
      <c r="O45" s="171">
        <f>SUMIFS('Unos rashoda i izdataka'!$L$3:$L$501,'Unos rashoda i izdataka'!$C$3:$C$501,"=563",'Unos rashoda i izdataka'!$P$3:$P$501,"=37")+SUMIFS('Unos rashoda P4'!$J$3:$J$501,'Unos rashoda P4'!$A$3:$A$501,"=563",'Unos rashoda P4'!$S$3:$S$501,"=37")</f>
        <v>0</v>
      </c>
      <c r="P45" s="171">
        <f>SUMIFS('Unos rashoda i izdataka'!$L$3:$L$501,'Unos rashoda i izdataka'!$C$3:$C$501,"=573",'Unos rashoda i izdataka'!$P$3:$P$501,"=37")+SUMIFS('Unos rashoda P4'!$J$3:$J$501,'Unos rashoda P4'!$A$3:$A$501,"=573",'Unos rashoda P4'!$S$3:$S$501,"=37")</f>
        <v>0</v>
      </c>
      <c r="Q45" s="171">
        <f>SUMIFS('Unos rashoda i izdataka'!$L$3:$L$501,'Unos rashoda i izdataka'!$C$3:$C$501,"=575",'Unos rashoda i izdataka'!$P$3:$P$501,"=37")+SUMIFS('Unos rashoda P4'!$J$3:$J$501,'Unos rashoda P4'!$A$3:$A$501,"=575",'Unos rashoda P4'!$S$3:$S$501,"=37")</f>
        <v>0</v>
      </c>
      <c r="R45" s="171">
        <f>SUMIFS('Unos rashoda i izdataka'!$L$3:$L$501,'Unos rashoda i izdataka'!$Q$3:$Q$501,"=576",'Unos rashoda i izdataka'!$P$3:$P$501,"=37")+SUMIFS('Unos rashoda P4'!$J$3:$J$501,'Unos rashoda P4'!$A$3:$A$501,"=576",'Unos rashoda P4'!$S$3:$S$501,"=37")</f>
        <v>0</v>
      </c>
      <c r="S45" s="171">
        <f>SUMIFS('Unos rashoda i izdataka'!$L$3:$L$501,'Unos rashoda i izdataka'!$C$3:$C$501,"=581",'Unos rashoda i izdataka'!$P$3:$P$501,"=37")+SUMIFS('Unos rashoda P4'!$J$3:$J$501,'Unos rashoda P4'!$A$3:$A$501,"=581",'Unos rashoda P4'!$S$3:$S$501,"=37")</f>
        <v>0</v>
      </c>
      <c r="T45" s="171">
        <f>SUMIFS('Unos rashoda i izdataka'!$L$3:$L$501,'Unos rashoda i izdataka'!$C$3:$C$501,"=61",'Unos rashoda i izdataka'!$P$3:$P$501,"=37")+SUMIFS('Unos rashoda P4'!$J$3:$J$501,'Unos rashoda P4'!$A$3:$A$501,"=61",'Unos rashoda P4'!$S$3:$S$501,"=37")</f>
        <v>0</v>
      </c>
      <c r="U45" s="171">
        <f>SUMIFS('Unos rashoda i izdataka'!$L$3:$L$501,'Unos rashoda i izdataka'!$C$3:$C$501,"=63",'Unos rashoda i izdataka'!$P$3:$P$501,"=37")+SUMIFS('Unos rashoda P4'!$J$3:$J$501,'Unos rashoda P4'!$A$3:$A$501,"=63",'Unos rashoda P4'!$S$3:$S$501,"=37")</f>
        <v>0</v>
      </c>
      <c r="V45" s="171">
        <f>SUMIFS('Unos rashoda i izdataka'!$L$3:$L$501,'Unos rashoda i izdataka'!$C$3:$C$501,"=71",'Unos rashoda i izdataka'!$P$3:$P$501,"=37")+SUMIFS('Unos rashoda P4'!$J$3:$J$501,'Unos rashoda P4'!$A$3:$A$501,"=71",'Unos rashoda P4'!$S$3:$S$501,"=37")</f>
        <v>0</v>
      </c>
      <c r="W45" s="171">
        <f>SUMIFS('Unos rashoda i izdataka'!$L$3:$L$501,'Unos rashoda i izdataka'!$C$3:$C$501,"=81",'Unos rashoda i izdataka'!$P$3:$P$501,"=37")+SUMIFS('Unos rashoda P4'!$J$3:$J$501,'Unos rashoda P4'!$A$3:$A$501,"=81",'Unos rashoda P4'!$S$3:$S$501,"=37")</f>
        <v>0</v>
      </c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2"/>
      <c r="BC45" s="172"/>
      <c r="BD45" s="172"/>
      <c r="BE45" s="172"/>
      <c r="BF45" s="172"/>
      <c r="BG45" s="172"/>
      <c r="BH45" s="172"/>
      <c r="BI45" s="172"/>
      <c r="BJ45" s="172"/>
      <c r="BK45" s="172"/>
      <c r="BL45" s="172"/>
      <c r="BM45" s="172"/>
      <c r="BN45" s="172"/>
      <c r="BO45" s="172"/>
      <c r="BP45" s="172"/>
      <c r="BQ45" s="172"/>
      <c r="BR45" s="172"/>
      <c r="BS45" s="172"/>
      <c r="BT45" s="172"/>
      <c r="BU45" s="172"/>
      <c r="BV45" s="172"/>
      <c r="BW45" s="172"/>
      <c r="BX45" s="172"/>
      <c r="BY45" s="172"/>
      <c r="BZ45" s="172"/>
      <c r="CA45" s="172"/>
      <c r="CB45" s="172"/>
      <c r="CC45" s="172"/>
      <c r="CD45" s="172"/>
      <c r="CE45" s="172"/>
      <c r="CF45" s="172"/>
      <c r="CG45" s="172"/>
      <c r="CH45" s="172"/>
      <c r="CI45" s="172"/>
      <c r="CJ45" s="172"/>
      <c r="CK45" s="172"/>
      <c r="CL45" s="172"/>
      <c r="CM45" s="172"/>
      <c r="CN45" s="172"/>
      <c r="CO45" s="172"/>
      <c r="CP45" s="172"/>
      <c r="CQ45" s="172"/>
      <c r="CR45" s="172"/>
      <c r="CS45" s="172"/>
      <c r="CT45" s="172"/>
      <c r="CU45" s="172"/>
      <c r="CV45" s="172"/>
      <c r="CW45" s="172"/>
      <c r="CX45" s="172"/>
      <c r="CY45" s="172"/>
      <c r="CZ45" s="172"/>
      <c r="DA45" s="172"/>
      <c r="DB45" s="172"/>
      <c r="DC45" s="172"/>
      <c r="DD45" s="172"/>
      <c r="DE45" s="172"/>
      <c r="DF45" s="172"/>
      <c r="DG45" s="172"/>
      <c r="DH45" s="172"/>
      <c r="DI45" s="172"/>
      <c r="DJ45" s="172"/>
      <c r="DK45" s="172"/>
      <c r="DL45" s="172"/>
      <c r="DM45" s="172"/>
      <c r="DN45" s="172"/>
      <c r="DO45" s="172"/>
      <c r="DP45" s="172"/>
      <c r="DQ45" s="172"/>
      <c r="DR45" s="172"/>
      <c r="DS45" s="172"/>
      <c r="DT45" s="172"/>
      <c r="DU45" s="172"/>
      <c r="DV45" s="172"/>
      <c r="DW45" s="172"/>
      <c r="DX45" s="172"/>
      <c r="DY45" s="172"/>
      <c r="DZ45" s="172"/>
      <c r="EA45" s="172"/>
      <c r="EB45" s="172"/>
      <c r="EC45" s="172"/>
      <c r="ED45" s="172"/>
      <c r="EE45" s="172"/>
      <c r="EF45" s="172"/>
      <c r="EG45" s="172"/>
      <c r="EH45" s="172"/>
      <c r="EI45" s="172"/>
      <c r="EJ45" s="172"/>
      <c r="EK45" s="172"/>
      <c r="EL45" s="172"/>
      <c r="EM45" s="172"/>
      <c r="EN45" s="172"/>
      <c r="EO45" s="172"/>
      <c r="EP45" s="172"/>
      <c r="EQ45" s="172"/>
      <c r="ER45" s="172"/>
      <c r="ES45" s="172"/>
      <c r="ET45" s="172"/>
      <c r="EU45" s="172"/>
      <c r="EV45" s="172"/>
      <c r="EW45" s="172"/>
      <c r="EX45" s="172"/>
      <c r="EY45" s="172"/>
      <c r="EZ45" s="172"/>
      <c r="FA45" s="172"/>
      <c r="FB45" s="172"/>
      <c r="FC45" s="172"/>
      <c r="FD45" s="172"/>
      <c r="FE45" s="172"/>
      <c r="FF45" s="172"/>
      <c r="FG45" s="172"/>
      <c r="FH45" s="172"/>
      <c r="FI45" s="172"/>
      <c r="FJ45" s="172"/>
      <c r="FK45" s="172"/>
      <c r="FL45" s="172"/>
      <c r="FM45" s="172"/>
      <c r="FN45" s="172"/>
      <c r="FO45" s="172"/>
      <c r="FP45" s="172"/>
      <c r="FQ45" s="172"/>
      <c r="FR45" s="172"/>
      <c r="FS45" s="172"/>
      <c r="FT45" s="172"/>
      <c r="FU45" s="172"/>
      <c r="FV45" s="172"/>
      <c r="FW45" s="172"/>
      <c r="FX45" s="172"/>
      <c r="FY45" s="172"/>
      <c r="FZ45" s="172"/>
      <c r="GA45" s="172"/>
      <c r="GB45" s="172"/>
      <c r="GC45" s="172"/>
      <c r="GD45" s="172"/>
      <c r="GE45" s="172"/>
      <c r="GF45" s="172"/>
      <c r="GG45" s="172"/>
      <c r="GH45" s="172"/>
      <c r="GI45" s="172"/>
      <c r="GJ45" s="172"/>
      <c r="GK45" s="172"/>
      <c r="GL45" s="173"/>
      <c r="GM45" s="173"/>
      <c r="GN45" s="173"/>
      <c r="GO45" s="173"/>
      <c r="GP45" s="173"/>
      <c r="GQ45" s="173"/>
      <c r="GR45" s="173"/>
      <c r="GS45" s="173"/>
      <c r="GT45" s="173"/>
      <c r="GU45" s="173"/>
      <c r="GV45" s="173"/>
      <c r="GW45" s="173"/>
      <c r="GX45" s="173"/>
      <c r="GY45" s="173"/>
      <c r="GZ45" s="173"/>
      <c r="HA45" s="173"/>
      <c r="HB45" s="173"/>
      <c r="HC45" s="173"/>
      <c r="HD45" s="173"/>
      <c r="HE45" s="173"/>
    </row>
    <row r="46" spans="1:213" s="190" customFormat="1" ht="12.6" customHeight="1">
      <c r="A46" s="160">
        <v>2023</v>
      </c>
      <c r="B46" s="174">
        <v>38</v>
      </c>
      <c r="C46" s="175" t="s">
        <v>3249</v>
      </c>
      <c r="D46" s="176">
        <f t="shared" si="17"/>
        <v>5762</v>
      </c>
      <c r="E46" s="171">
        <f>SUMIFS('Unos rashoda i izdataka'!$L$3:$L$501,'Unos rashoda i izdataka'!$C$3:$C$501,"=11",'Unos rashoda i izdataka'!$P$3:$P$501,"=38")+SUMIFS('Unos rashoda P4'!$J$3:$J$501,'Unos rashoda P4'!$A$3:$A$501,"=11",'Unos rashoda P4'!$S$3:$S$501,"=38")</f>
        <v>0</v>
      </c>
      <c r="F46" s="171">
        <f>SUMIFS('Unos rashoda i izdataka'!$L$3:$L$501,'Unos rashoda i izdataka'!$C$3:$C$501,"=12",'Unos rashoda i izdataka'!$P$3:$P$501,"=38")+SUMIFS('Unos rashoda P4'!$J$3:$J$501,'Unos rashoda P4'!$A$3:$A$501,"=12",'Unos rashoda P4'!$S$3:$S$501,"=38")</f>
        <v>0</v>
      </c>
      <c r="G46" s="171">
        <f>SUMIFS('Unos rashoda i izdataka'!$L$3:$L$501,'Unos rashoda i izdataka'!$C$3:$C$501,"=31",'Unos rashoda i izdataka'!$P$3:$P$501,"=38")+SUMIFS('Unos rashoda P4'!$J$3:$J$501,'Unos rashoda P4'!$A$3:$A$501,"=31",'Unos rashoda P4'!$S$3:$S$501,"=38")</f>
        <v>4262</v>
      </c>
      <c r="H46" s="171">
        <f>SUMIFS('Unos rashoda i izdataka'!$L$3:$L$501,'Unos rashoda i izdataka'!$C$3:$C$501,"=41",'Unos rashoda i izdataka'!$P$3:$P$501,"=38")+SUMIFS('Unos rashoda P4'!$J$3:$J$501,'Unos rashoda P4'!$A$3:$A$501,"=41",'Unos rashoda P4'!$S$3:$S$501,"=38")</f>
        <v>0</v>
      </c>
      <c r="I46" s="171">
        <f>SUMIFS('Unos rashoda i izdataka'!$L$3:$L$501,'Unos rashoda i izdataka'!$C$3:$C$501,"=43",'Unos rashoda i izdataka'!$P$3:$P$501,"=38")+SUMIFS('Unos rashoda P4'!$J$3:$J$501,'Unos rashoda P4'!$A$3:$A$501,"=43",'Unos rashoda P4'!$S$3:$S$501,"=38")</f>
        <v>1500</v>
      </c>
      <c r="J46" s="171">
        <f>SUMIFS('Unos rashoda i izdataka'!$L$3:$L$501,'Unos rashoda i izdataka'!$C$3:$C$501,"=51",'Unos rashoda i izdataka'!$P$3:$P$501,"=38")+SUMIFS('Unos rashoda P4'!$J$3:$J$501,'Unos rashoda P4'!$A$3:$A$501,"=51",'Unos rashoda P4'!$S$3:$S$501,"=38")</f>
        <v>0</v>
      </c>
      <c r="K46" s="171">
        <f>SUMIFS('Unos rashoda i izdataka'!$L$3:$L$501,'Unos rashoda i izdataka'!$C$3:$C$501,"=52",'Unos rashoda i izdataka'!$P$3:$P$501,"=38")+SUMIFS('Unos rashoda P4'!$J$3:$J$501,'Unos rashoda P4'!$A$3:$A$501,"=52",'Unos rashoda P4'!$S$3:$S$501,"=38")</f>
        <v>0</v>
      </c>
      <c r="L46" s="171">
        <f>SUMIFS('Unos rashoda i izdataka'!$L$3:$L$501,'Unos rashoda i izdataka'!$C$3:$C$501,"=552",'Unos rashoda i izdataka'!$P$3:$P$501,"=38")+SUMIFS('Unos rashoda P4'!$J$3:$J$501,'Unos rashoda P4'!$A$3:$A$501,"=552",'Unos rashoda P4'!$S$3:$S$501,"=38")</f>
        <v>0</v>
      </c>
      <c r="M46" s="171">
        <f>SUMIFS('Unos rashoda i izdataka'!$L$3:$L$501,'Unos rashoda i izdataka'!$C$3:$C$501,"=559",'Unos rashoda i izdataka'!$P$3:$P$501,"=38")+SUMIFS('Unos rashoda P4'!$J$3:$J$501,'Unos rashoda P4'!$A$3:$A$501,"=559",'Unos rashoda P4'!$S$3:$S$501,"=38")</f>
        <v>0</v>
      </c>
      <c r="N46" s="171">
        <f>SUMIFS('Unos rashoda i izdataka'!$L$3:$L$501,'Unos rashoda i izdataka'!$C$3:$C$501,"=561",'Unos rashoda i izdataka'!$P$3:$P$501,"=38")+SUMIFS('Unos rashoda P4'!$J$3:$J$501,'Unos rashoda P4'!$A$3:$A$501,"=561",'Unos rashoda P4'!$S$3:$S$501,"=38")</f>
        <v>0</v>
      </c>
      <c r="O46" s="171">
        <f>SUMIFS('Unos rashoda i izdataka'!$L$3:$L$501,'Unos rashoda i izdataka'!$C$3:$C$501,"=563",'Unos rashoda i izdataka'!$P$3:$P$501,"=38")+SUMIFS('Unos rashoda P4'!$J$3:$J$501,'Unos rashoda P4'!$A$3:$A$501,"=563",'Unos rashoda P4'!$S$3:$S$501,"=38")</f>
        <v>0</v>
      </c>
      <c r="P46" s="171">
        <f>SUMIFS('Unos rashoda i izdataka'!$L$3:$L$501,'Unos rashoda i izdataka'!$C$3:$C$501,"=573",'Unos rashoda i izdataka'!$P$3:$P$501,"=38")+SUMIFS('Unos rashoda P4'!$J$3:$J$501,'Unos rashoda P4'!$A$3:$A$501,"=573",'Unos rashoda P4'!$S$3:$S$501,"=38")</f>
        <v>0</v>
      </c>
      <c r="Q46" s="171">
        <f>SUMIFS('Unos rashoda i izdataka'!$L$3:$L$501,'Unos rashoda i izdataka'!$C$3:$C$501,"=575",'Unos rashoda i izdataka'!$P$3:$P$501,"=38")+SUMIFS('Unos rashoda P4'!$J$3:$J$501,'Unos rashoda P4'!$A$3:$A$501,"=575",'Unos rashoda P4'!$S$3:$S$501,"=38")</f>
        <v>0</v>
      </c>
      <c r="R46" s="171">
        <f>SUMIFS('Unos rashoda i izdataka'!$L$3:$L$501,'Unos rashoda i izdataka'!$Q$3:$Q$501,"=576",'Unos rashoda i izdataka'!$P$3:$P$501,"=38")+SUMIFS('Unos rashoda P4'!$J$3:$J$501,'Unos rashoda P4'!$A$3:$A$501,"=576",'Unos rashoda P4'!$S$3:$S$501,"=38")</f>
        <v>0</v>
      </c>
      <c r="S46" s="171">
        <f>SUMIFS('Unos rashoda i izdataka'!$L$3:$L$501,'Unos rashoda i izdataka'!$C$3:$C$501,"=581",'Unos rashoda i izdataka'!$P$3:$P$501,"=38")+SUMIFS('Unos rashoda P4'!$J$3:$J$501,'Unos rashoda P4'!$A$3:$A$501,"=581",'Unos rashoda P4'!$S$3:$S$501,"=38")</f>
        <v>0</v>
      </c>
      <c r="T46" s="171">
        <f>SUMIFS('Unos rashoda i izdataka'!$L$3:$L$501,'Unos rashoda i izdataka'!$C$3:$C$501,"=61",'Unos rashoda i izdataka'!$P$3:$P$501,"=38")+SUMIFS('Unos rashoda P4'!$J$3:$J$501,'Unos rashoda P4'!$A$3:$A$501,"=61",'Unos rashoda P4'!$S$3:$S$501,"=38")</f>
        <v>0</v>
      </c>
      <c r="U46" s="171">
        <f>SUMIFS('Unos rashoda i izdataka'!$L$3:$L$501,'Unos rashoda i izdataka'!$C$3:$C$501,"=63",'Unos rashoda i izdataka'!$P$3:$P$501,"=38")+SUMIFS('Unos rashoda P4'!$J$3:$J$501,'Unos rashoda P4'!$A$3:$A$501,"=63",'Unos rashoda P4'!$S$3:$S$501,"=38")</f>
        <v>0</v>
      </c>
      <c r="V46" s="171">
        <f>SUMIFS('Unos rashoda i izdataka'!$L$3:$L$501,'Unos rashoda i izdataka'!$C$3:$C$501,"=71",'Unos rashoda i izdataka'!$P$3:$P$501,"=38")+SUMIFS('Unos rashoda P4'!$J$3:$J$501,'Unos rashoda P4'!$A$3:$A$501,"=71",'Unos rashoda P4'!$S$3:$S$501,"=38")</f>
        <v>0</v>
      </c>
      <c r="W46" s="171">
        <f>SUMIFS('Unos rashoda i izdataka'!$L$3:$L$501,'Unos rashoda i izdataka'!$C$3:$C$501,"=81",'Unos rashoda i izdataka'!$P$3:$P$501,"=38")+SUMIFS('Unos rashoda P4'!$J$3:$J$501,'Unos rashoda P4'!$A$3:$A$501,"=81",'Unos rashoda P4'!$S$3:$S$501,"=38")</f>
        <v>0</v>
      </c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72"/>
      <c r="AN46" s="172"/>
      <c r="AO46" s="172"/>
      <c r="AP46" s="172"/>
      <c r="AQ46" s="172"/>
      <c r="AR46" s="172"/>
      <c r="AS46" s="172"/>
      <c r="AT46" s="172"/>
      <c r="AU46" s="172"/>
      <c r="AV46" s="172"/>
      <c r="AW46" s="172"/>
      <c r="AX46" s="172"/>
      <c r="AY46" s="172"/>
      <c r="AZ46" s="172"/>
      <c r="BA46" s="172"/>
      <c r="BB46" s="172"/>
      <c r="BC46" s="172"/>
      <c r="BD46" s="172"/>
      <c r="BE46" s="172"/>
      <c r="BF46" s="172"/>
      <c r="BG46" s="172"/>
      <c r="BH46" s="172"/>
      <c r="BI46" s="172"/>
      <c r="BJ46" s="172"/>
      <c r="BK46" s="172"/>
      <c r="BL46" s="172"/>
      <c r="BM46" s="172"/>
      <c r="BN46" s="172"/>
      <c r="BO46" s="172"/>
      <c r="BP46" s="172"/>
      <c r="BQ46" s="172"/>
      <c r="BR46" s="172"/>
      <c r="BS46" s="172"/>
      <c r="BT46" s="172"/>
      <c r="BU46" s="172"/>
      <c r="BV46" s="172"/>
      <c r="BW46" s="172"/>
      <c r="BX46" s="172"/>
      <c r="BY46" s="172"/>
      <c r="BZ46" s="172"/>
      <c r="CA46" s="172"/>
      <c r="CB46" s="172"/>
      <c r="CC46" s="172"/>
      <c r="CD46" s="172"/>
      <c r="CE46" s="172"/>
      <c r="CF46" s="172"/>
      <c r="CG46" s="172"/>
      <c r="CH46" s="172"/>
      <c r="CI46" s="172"/>
      <c r="CJ46" s="172"/>
      <c r="CK46" s="172"/>
      <c r="CL46" s="172"/>
      <c r="CM46" s="172"/>
      <c r="CN46" s="172"/>
      <c r="CO46" s="172"/>
      <c r="CP46" s="172"/>
      <c r="CQ46" s="172"/>
      <c r="CR46" s="172"/>
      <c r="CS46" s="172"/>
      <c r="CT46" s="172"/>
      <c r="CU46" s="172"/>
      <c r="CV46" s="172"/>
      <c r="CW46" s="172"/>
      <c r="CX46" s="172"/>
      <c r="CY46" s="172"/>
      <c r="CZ46" s="172"/>
      <c r="DA46" s="172"/>
      <c r="DB46" s="172"/>
      <c r="DC46" s="172"/>
      <c r="DD46" s="172"/>
      <c r="DE46" s="172"/>
      <c r="DF46" s="172"/>
      <c r="DG46" s="172"/>
      <c r="DH46" s="172"/>
      <c r="DI46" s="172"/>
      <c r="DJ46" s="172"/>
      <c r="DK46" s="172"/>
      <c r="DL46" s="172"/>
      <c r="DM46" s="172"/>
      <c r="DN46" s="172"/>
      <c r="DO46" s="172"/>
      <c r="DP46" s="172"/>
      <c r="DQ46" s="172"/>
      <c r="DR46" s="172"/>
      <c r="DS46" s="172"/>
      <c r="DT46" s="172"/>
      <c r="DU46" s="172"/>
      <c r="DV46" s="172"/>
      <c r="DW46" s="172"/>
      <c r="DX46" s="172"/>
      <c r="DY46" s="172"/>
      <c r="DZ46" s="172"/>
      <c r="EA46" s="172"/>
      <c r="EB46" s="172"/>
      <c r="EC46" s="172"/>
      <c r="ED46" s="172"/>
      <c r="EE46" s="172"/>
      <c r="EF46" s="172"/>
      <c r="EG46" s="172"/>
      <c r="EH46" s="172"/>
      <c r="EI46" s="172"/>
      <c r="EJ46" s="172"/>
      <c r="EK46" s="172"/>
      <c r="EL46" s="172"/>
      <c r="EM46" s="172"/>
      <c r="EN46" s="172"/>
      <c r="EO46" s="172"/>
      <c r="EP46" s="172"/>
      <c r="EQ46" s="172"/>
      <c r="ER46" s="172"/>
      <c r="ES46" s="172"/>
      <c r="ET46" s="172"/>
      <c r="EU46" s="172"/>
      <c r="EV46" s="172"/>
      <c r="EW46" s="172"/>
      <c r="EX46" s="172"/>
      <c r="EY46" s="172"/>
      <c r="EZ46" s="172"/>
      <c r="FA46" s="172"/>
      <c r="FB46" s="172"/>
      <c r="FC46" s="172"/>
      <c r="FD46" s="172"/>
      <c r="FE46" s="172"/>
      <c r="FF46" s="172"/>
      <c r="FG46" s="172"/>
      <c r="FH46" s="172"/>
      <c r="FI46" s="172"/>
      <c r="FJ46" s="172"/>
      <c r="FK46" s="172"/>
      <c r="FL46" s="172"/>
      <c r="FM46" s="172"/>
      <c r="FN46" s="172"/>
      <c r="FO46" s="172"/>
      <c r="FP46" s="172"/>
      <c r="FQ46" s="172"/>
      <c r="FR46" s="172"/>
      <c r="FS46" s="172"/>
      <c r="FT46" s="172"/>
      <c r="FU46" s="172"/>
      <c r="FV46" s="172"/>
      <c r="FW46" s="172"/>
      <c r="FX46" s="172"/>
      <c r="FY46" s="172"/>
      <c r="FZ46" s="172"/>
      <c r="GA46" s="172"/>
      <c r="GB46" s="172"/>
      <c r="GC46" s="172"/>
      <c r="GD46" s="172"/>
      <c r="GE46" s="172"/>
      <c r="GF46" s="172"/>
      <c r="GG46" s="172"/>
      <c r="GH46" s="172"/>
      <c r="GI46" s="172"/>
      <c r="GJ46" s="172"/>
      <c r="GK46" s="172"/>
      <c r="GL46" s="173"/>
      <c r="GM46" s="173"/>
      <c r="GN46" s="173"/>
      <c r="GO46" s="173"/>
      <c r="GP46" s="173"/>
      <c r="GQ46" s="173"/>
      <c r="GR46" s="173"/>
      <c r="GS46" s="173"/>
      <c r="GT46" s="173"/>
      <c r="GU46" s="173"/>
      <c r="GV46" s="173"/>
      <c r="GW46" s="173"/>
      <c r="GX46" s="173"/>
      <c r="GY46" s="173"/>
      <c r="GZ46" s="173"/>
      <c r="HA46" s="173"/>
      <c r="HB46" s="173"/>
      <c r="HC46" s="173"/>
      <c r="HD46" s="173"/>
      <c r="HE46" s="173"/>
    </row>
    <row r="47" spans="1:213" s="138" customFormat="1" ht="12.6" customHeight="1">
      <c r="A47" s="160">
        <v>2023</v>
      </c>
      <c r="B47" s="178">
        <v>4</v>
      </c>
      <c r="C47" s="179" t="s">
        <v>3250</v>
      </c>
      <c r="D47" s="180">
        <f t="shared" si="17"/>
        <v>41413</v>
      </c>
      <c r="E47" s="181">
        <f t="shared" ref="E47:G47" si="23">SUM(E48:E52)</f>
        <v>9750</v>
      </c>
      <c r="F47" s="181">
        <f t="shared" si="23"/>
        <v>6361</v>
      </c>
      <c r="G47" s="181">
        <f t="shared" si="23"/>
        <v>-27372</v>
      </c>
      <c r="H47" s="181">
        <f>SUM(H48:H52)</f>
        <v>0</v>
      </c>
      <c r="I47" s="181">
        <f t="shared" ref="I47:K47" si="24">SUM(I48:I52)</f>
        <v>-108725</v>
      </c>
      <c r="J47" s="181">
        <f t="shared" si="24"/>
        <v>122070</v>
      </c>
      <c r="K47" s="181">
        <f t="shared" si="24"/>
        <v>3361</v>
      </c>
      <c r="L47" s="181">
        <f>SUM(L48:L52)</f>
        <v>0</v>
      </c>
      <c r="M47" s="181">
        <f t="shared" ref="M47:O47" si="25">SUM(M48:M52)</f>
        <v>0</v>
      </c>
      <c r="N47" s="181">
        <f t="shared" si="25"/>
        <v>36042</v>
      </c>
      <c r="O47" s="181">
        <f t="shared" si="25"/>
        <v>0</v>
      </c>
      <c r="P47" s="181">
        <f>SUM(P48:P52)</f>
        <v>0</v>
      </c>
      <c r="Q47" s="181">
        <f>SUM(Q48:Q52)</f>
        <v>0</v>
      </c>
      <c r="R47" s="181">
        <f>SUM(R48:R52)</f>
        <v>0</v>
      </c>
      <c r="S47" s="181">
        <f>SUM(S48:S52)</f>
        <v>0</v>
      </c>
      <c r="T47" s="181">
        <f t="shared" ref="T47:W47" si="26">SUM(T48:T52)</f>
        <v>0</v>
      </c>
      <c r="U47" s="181">
        <f t="shared" si="26"/>
        <v>0</v>
      </c>
      <c r="V47" s="181">
        <f t="shared" si="26"/>
        <v>-74</v>
      </c>
      <c r="W47" s="181">
        <f t="shared" si="26"/>
        <v>0</v>
      </c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  <c r="CK47" s="156"/>
      <c r="CL47" s="156"/>
      <c r="CM47" s="156"/>
      <c r="CN47" s="156"/>
      <c r="CO47" s="156"/>
      <c r="CP47" s="156"/>
      <c r="CQ47" s="156"/>
      <c r="CR47" s="156"/>
      <c r="CS47" s="156"/>
      <c r="CT47" s="156"/>
      <c r="CU47" s="156"/>
      <c r="CV47" s="156"/>
      <c r="CW47" s="156"/>
      <c r="CX47" s="156"/>
      <c r="CY47" s="156"/>
      <c r="CZ47" s="156"/>
      <c r="DA47" s="156"/>
      <c r="DB47" s="156"/>
      <c r="DC47" s="156"/>
      <c r="DD47" s="156"/>
      <c r="DE47" s="156"/>
      <c r="DF47" s="156"/>
      <c r="DG47" s="156"/>
      <c r="DH47" s="156"/>
      <c r="DI47" s="156"/>
      <c r="DJ47" s="156"/>
      <c r="DK47" s="156"/>
      <c r="DL47" s="156"/>
      <c r="DM47" s="156"/>
      <c r="DN47" s="156"/>
      <c r="DO47" s="156"/>
      <c r="DP47" s="156"/>
      <c r="DQ47" s="156"/>
      <c r="DR47" s="156"/>
      <c r="DS47" s="156"/>
      <c r="DT47" s="156"/>
      <c r="DU47" s="156"/>
      <c r="DV47" s="156"/>
      <c r="DW47" s="156"/>
      <c r="DX47" s="156"/>
      <c r="DY47" s="156"/>
      <c r="DZ47" s="156"/>
      <c r="EA47" s="156"/>
      <c r="EB47" s="156"/>
      <c r="EC47" s="156"/>
      <c r="ED47" s="156"/>
      <c r="EE47" s="156"/>
      <c r="EF47" s="156"/>
      <c r="EG47" s="156"/>
      <c r="EH47" s="156"/>
      <c r="EI47" s="156"/>
      <c r="EJ47" s="156"/>
      <c r="EK47" s="156"/>
      <c r="EL47" s="156"/>
      <c r="EM47" s="156"/>
      <c r="EN47" s="156"/>
      <c r="EO47" s="156"/>
      <c r="EP47" s="156"/>
      <c r="EQ47" s="156"/>
      <c r="ER47" s="156"/>
      <c r="ES47" s="156"/>
      <c r="ET47" s="156"/>
      <c r="EU47" s="156"/>
      <c r="EV47" s="156"/>
      <c r="EW47" s="156"/>
      <c r="EX47" s="156"/>
      <c r="EY47" s="156"/>
      <c r="EZ47" s="156"/>
      <c r="FA47" s="156"/>
      <c r="FB47" s="156"/>
      <c r="FC47" s="156"/>
      <c r="FD47" s="156"/>
      <c r="FE47" s="156"/>
      <c r="FF47" s="156"/>
      <c r="FG47" s="156"/>
      <c r="FH47" s="156"/>
      <c r="FI47" s="156"/>
      <c r="FJ47" s="156"/>
      <c r="FK47" s="156"/>
      <c r="FL47" s="156"/>
      <c r="FM47" s="156"/>
      <c r="FN47" s="156"/>
      <c r="FO47" s="156"/>
      <c r="FP47" s="156"/>
      <c r="FQ47" s="156"/>
      <c r="FR47" s="156"/>
      <c r="FS47" s="156"/>
      <c r="FT47" s="156"/>
      <c r="FU47" s="156"/>
      <c r="FV47" s="156"/>
      <c r="FW47" s="156"/>
      <c r="FX47" s="156"/>
      <c r="FY47" s="156"/>
      <c r="FZ47" s="156"/>
      <c r="GA47" s="156"/>
      <c r="GB47" s="156"/>
      <c r="GC47" s="156"/>
      <c r="GD47" s="156"/>
      <c r="GE47" s="156"/>
      <c r="GF47" s="156"/>
      <c r="GG47" s="156"/>
      <c r="GH47" s="156"/>
      <c r="GI47" s="156"/>
      <c r="GJ47" s="156"/>
      <c r="GK47" s="156"/>
      <c r="GL47" s="155"/>
      <c r="GM47" s="155"/>
      <c r="GN47" s="155"/>
      <c r="GO47" s="155"/>
      <c r="GP47" s="155"/>
      <c r="GQ47" s="155"/>
      <c r="GR47" s="155"/>
      <c r="GS47" s="155"/>
      <c r="GT47" s="155"/>
      <c r="GU47" s="155"/>
      <c r="GV47" s="155"/>
      <c r="GW47" s="155"/>
      <c r="GX47" s="155"/>
      <c r="GY47" s="155"/>
      <c r="GZ47" s="155"/>
      <c r="HA47" s="155"/>
      <c r="HB47" s="155"/>
      <c r="HC47" s="155"/>
      <c r="HD47" s="155"/>
      <c r="HE47" s="155"/>
    </row>
    <row r="48" spans="1:213" s="188" customFormat="1" ht="12.6" customHeight="1">
      <c r="A48" s="160">
        <v>2023</v>
      </c>
      <c r="B48" s="168">
        <v>41</v>
      </c>
      <c r="C48" s="169" t="s">
        <v>3251</v>
      </c>
      <c r="D48" s="176">
        <f t="shared" si="17"/>
        <v>81043</v>
      </c>
      <c r="E48" s="171">
        <f>SUMIFS('Unos rashoda i izdataka'!$L$3:$L$501,'Unos rashoda i izdataka'!$C$3:$C$501,"=11",'Unos rashoda i izdataka'!$P$3:$P$501,"=41")+SUMIFS('Unos rashoda P4'!$J$3:$J$501,'Unos rashoda P4'!$A$3:$A$501,"=11",'Unos rashoda P4'!$S$3:$S$501,"=41")</f>
        <v>5000</v>
      </c>
      <c r="F48" s="171">
        <f>SUMIFS('Unos rashoda i izdataka'!$L$3:$L$501,'Unos rashoda i izdataka'!$C$3:$C$501,"=12",'Unos rashoda i izdataka'!$P$3:$P$501,"=41")+SUMIFS('Unos rashoda P4'!$J$3:$J$501,'Unos rashoda P4'!$A$3:$A$501,"=12",'Unos rashoda P4'!$S$3:$S$501,"=41")</f>
        <v>0</v>
      </c>
      <c r="G48" s="171">
        <f>SUMIFS('Unos rashoda i izdataka'!$L$3:$L$501,'Unos rashoda i izdataka'!$C$3:$C$501,"=31",'Unos rashoda i izdataka'!$P$3:$P$501,"=41")+SUMIFS('Unos rashoda P4'!$J$3:$J$501,'Unos rashoda P4'!$A$3:$A$501,"=31",'Unos rashoda P4'!$S$3:$S$501,"=41")</f>
        <v>0</v>
      </c>
      <c r="H48" s="171">
        <f>SUMIFS('Unos rashoda i izdataka'!$L$3:$L$501,'Unos rashoda i izdataka'!$C$3:$C$501,"=41",'Unos rashoda i izdataka'!$P$3:$P$501,"=41")+SUMIFS('Unos rashoda P4'!$J$3:$J$501,'Unos rashoda P4'!$A$3:$A$501,"=41",'Unos rashoda P4'!$S$3:$S$501,"=41")</f>
        <v>0</v>
      </c>
      <c r="I48" s="171">
        <f>SUMIFS('Unos rashoda i izdataka'!$L$3:$L$501,'Unos rashoda i izdataka'!$C$3:$C$501,"=43",'Unos rashoda i izdataka'!$P$3:$P$501,"=41")+SUMIFS('Unos rashoda P4'!$J$3:$J$501,'Unos rashoda P4'!$A$3:$A$501,"=43",'Unos rashoda P4'!$S$3:$S$501,"=41")</f>
        <v>6643</v>
      </c>
      <c r="J48" s="171">
        <f>SUMIFS('Unos rashoda i izdataka'!$L$3:$L$501,'Unos rashoda i izdataka'!$C$3:$C$501,"=51",'Unos rashoda i izdataka'!$P$3:$P$501,"=41")+SUMIFS('Unos rashoda P4'!$J$3:$J$501,'Unos rashoda P4'!$A$3:$A$501,"=51",'Unos rashoda P4'!$S$3:$S$501,"=41")</f>
        <v>69400</v>
      </c>
      <c r="K48" s="171">
        <f>SUMIFS('Unos rashoda i izdataka'!$L$3:$L$501,'Unos rashoda i izdataka'!$C$3:$C$501,"=52",'Unos rashoda i izdataka'!$P$3:$P$501,"=41")+SUMIFS('Unos rashoda P4'!$J$3:$J$501,'Unos rashoda P4'!$A$3:$A$501,"=52",'Unos rashoda P4'!$S$3:$S$501,"=41")</f>
        <v>0</v>
      </c>
      <c r="L48" s="171">
        <f>SUMIFS('Unos rashoda i izdataka'!$L$3:$L$501,'Unos rashoda i izdataka'!$C$3:$C$501,"=552",'Unos rashoda i izdataka'!$P$3:$P$501,"=41")+SUMIFS('Unos rashoda P4'!$J$3:$J$501,'Unos rashoda P4'!$A$3:$A$501,"=552",'Unos rashoda P4'!$S$3:$S$501,"=41")</f>
        <v>0</v>
      </c>
      <c r="M48" s="171">
        <f>SUMIFS('Unos rashoda i izdataka'!$L$3:$L$501,'Unos rashoda i izdataka'!$C$3:$C$501,"=559",'Unos rashoda i izdataka'!$P$3:$P$501,"=41")+SUMIFS('Unos rashoda P4'!$J$3:$J$501,'Unos rashoda P4'!$A$3:$A$501,"=559",'Unos rashoda P4'!$S$3:$S$501,"=41")</f>
        <v>0</v>
      </c>
      <c r="N48" s="171">
        <f>SUMIFS('Unos rashoda i izdataka'!$L$3:$L$501,'Unos rashoda i izdataka'!$C$3:$C$501,"=561",'Unos rashoda i izdataka'!$P$3:$P$501,"=41")+SUMIFS('Unos rashoda P4'!$J$3:$J$501,'Unos rashoda P4'!$A$3:$A$501,"=561",'Unos rashoda P4'!$S$3:$S$501,"=41")</f>
        <v>0</v>
      </c>
      <c r="O48" s="171">
        <f>SUMIFS('Unos rashoda i izdataka'!$L$3:$L$501,'Unos rashoda i izdataka'!$C$3:$C$501,"=563",'Unos rashoda i izdataka'!$P$3:$P$501,"=41")+SUMIFS('Unos rashoda P4'!$J$3:$J$501,'Unos rashoda P4'!$A$3:$A$501,"=563",'Unos rashoda P4'!$S$3:$S$501,"=41")</f>
        <v>0</v>
      </c>
      <c r="P48" s="171">
        <f>SUMIFS('Unos rashoda i izdataka'!$L$3:$L$501,'Unos rashoda i izdataka'!$C$3:$C$501,"=573",'Unos rashoda i izdataka'!$P$3:$P$501,"=41")+SUMIFS('Unos rashoda P4'!$J$3:$J$501,'Unos rashoda P4'!$A$3:$A$501,"=573",'Unos rashoda P4'!$S$3:$S$501,"=41")</f>
        <v>0</v>
      </c>
      <c r="Q48" s="171">
        <f>SUMIFS('Unos rashoda i izdataka'!$L$3:$L$501,'Unos rashoda i izdataka'!$C$3:$C$501,"=575",'Unos rashoda i izdataka'!$P$3:$P$501,"=41")+SUMIFS('Unos rashoda P4'!$J$3:$J$501,'Unos rashoda P4'!$A$3:$A$501,"=575",'Unos rashoda P4'!$S$3:$S$501,"=41")</f>
        <v>0</v>
      </c>
      <c r="R48" s="171">
        <f>SUMIFS('Unos rashoda i izdataka'!$L$3:$L$501,'Unos rashoda i izdataka'!$Q$3:$Q$501,"=576",'Unos rashoda i izdataka'!$P$3:$P$501,"=41")+SUMIFS('Unos rashoda P4'!$J$3:$J$501,'Unos rashoda P4'!$A$3:$A$501,"=576",'Unos rashoda P4'!$S$3:$S$501,"=41")</f>
        <v>0</v>
      </c>
      <c r="S48" s="171">
        <f>SUMIFS('Unos rashoda i izdataka'!$L$3:$L$501,'Unos rashoda i izdataka'!$C$3:$C$501,"=581",'Unos rashoda i izdataka'!$P$3:$P$501,"=41")+SUMIFS('Unos rashoda P4'!$J$3:$J$501,'Unos rashoda P4'!$A$3:$A$501,"=581",'Unos rashoda P4'!$S$3:$S$501,"=41")</f>
        <v>0</v>
      </c>
      <c r="T48" s="171">
        <f>SUMIFS('Unos rashoda i izdataka'!$L$3:$L$501,'Unos rashoda i izdataka'!$C$3:$C$501,"=61",'Unos rashoda i izdataka'!$P$3:$P$501,"=41")+SUMIFS('Unos rashoda P4'!$J$3:$J$501,'Unos rashoda P4'!$A$3:$A$501,"=61",'Unos rashoda P4'!$S$3:$S$501,"=41")</f>
        <v>0</v>
      </c>
      <c r="U48" s="171">
        <f>SUMIFS('Unos rashoda i izdataka'!$L$3:$L$501,'Unos rashoda i izdataka'!$C$3:$C$501,"=63",'Unos rashoda i izdataka'!$P$3:$P$501,"=41")+SUMIFS('Unos rashoda P4'!$J$3:$J$501,'Unos rashoda P4'!$A$3:$A$501,"=63",'Unos rashoda P4'!$S$3:$S$501,"=41")</f>
        <v>0</v>
      </c>
      <c r="V48" s="171">
        <f>SUMIFS('Unos rashoda i izdataka'!$L$3:$L$501,'Unos rashoda i izdataka'!$C$3:$C$501,"=71",'Unos rashoda i izdataka'!$P$3:$P$501,"=41")+SUMIFS('Unos rashoda P4'!$J$3:$J$501,'Unos rashoda P4'!$A$3:$A$501,"=71",'Unos rashoda P4'!$S$3:$S$501,"=41")</f>
        <v>0</v>
      </c>
      <c r="W48" s="171">
        <f>SUMIFS('Unos rashoda i izdataka'!$L$3:$L$501,'Unos rashoda i izdataka'!$C$3:$C$501,"=81",'Unos rashoda i izdataka'!$P$3:$P$501,"=41")+SUMIFS('Unos rashoda P4'!$J$3:$J$501,'Unos rashoda P4'!$A$3:$A$501,"=81",'Unos rashoda P4'!$S$3:$S$501,"=41")</f>
        <v>0</v>
      </c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172"/>
      <c r="BB48" s="172"/>
      <c r="BC48" s="172"/>
      <c r="BD48" s="172"/>
      <c r="BE48" s="172"/>
      <c r="BF48" s="172"/>
      <c r="BG48" s="172"/>
      <c r="BH48" s="172"/>
      <c r="BI48" s="172"/>
      <c r="BJ48" s="172"/>
      <c r="BK48" s="172"/>
      <c r="BL48" s="172"/>
      <c r="BM48" s="172"/>
      <c r="BN48" s="172"/>
      <c r="BO48" s="172"/>
      <c r="BP48" s="172"/>
      <c r="BQ48" s="172"/>
      <c r="BR48" s="172"/>
      <c r="BS48" s="172"/>
      <c r="BT48" s="172"/>
      <c r="BU48" s="172"/>
      <c r="BV48" s="172"/>
      <c r="BW48" s="172"/>
      <c r="BX48" s="172"/>
      <c r="BY48" s="172"/>
      <c r="BZ48" s="172"/>
      <c r="CA48" s="172"/>
      <c r="CB48" s="172"/>
      <c r="CC48" s="172"/>
      <c r="CD48" s="172"/>
      <c r="CE48" s="172"/>
      <c r="CF48" s="172"/>
      <c r="CG48" s="172"/>
      <c r="CH48" s="172"/>
      <c r="CI48" s="172"/>
      <c r="CJ48" s="172"/>
      <c r="CK48" s="172"/>
      <c r="CL48" s="172"/>
      <c r="CM48" s="172"/>
      <c r="CN48" s="172"/>
      <c r="CO48" s="172"/>
      <c r="CP48" s="172"/>
      <c r="CQ48" s="172"/>
      <c r="CR48" s="172"/>
      <c r="CS48" s="172"/>
      <c r="CT48" s="172"/>
      <c r="CU48" s="172"/>
      <c r="CV48" s="172"/>
      <c r="CW48" s="172"/>
      <c r="CX48" s="172"/>
      <c r="CY48" s="172"/>
      <c r="CZ48" s="172"/>
      <c r="DA48" s="172"/>
      <c r="DB48" s="172"/>
      <c r="DC48" s="172"/>
      <c r="DD48" s="172"/>
      <c r="DE48" s="172"/>
      <c r="DF48" s="172"/>
      <c r="DG48" s="172"/>
      <c r="DH48" s="172"/>
      <c r="DI48" s="172"/>
      <c r="DJ48" s="172"/>
      <c r="DK48" s="172"/>
      <c r="DL48" s="172"/>
      <c r="DM48" s="172"/>
      <c r="DN48" s="172"/>
      <c r="DO48" s="172"/>
      <c r="DP48" s="172"/>
      <c r="DQ48" s="172"/>
      <c r="DR48" s="172"/>
      <c r="DS48" s="172"/>
      <c r="DT48" s="172"/>
      <c r="DU48" s="172"/>
      <c r="DV48" s="172"/>
      <c r="DW48" s="172"/>
      <c r="DX48" s="172"/>
      <c r="DY48" s="172"/>
      <c r="DZ48" s="172"/>
      <c r="EA48" s="172"/>
      <c r="EB48" s="172"/>
      <c r="EC48" s="172"/>
      <c r="ED48" s="172"/>
      <c r="EE48" s="172"/>
      <c r="EF48" s="172"/>
      <c r="EG48" s="172"/>
      <c r="EH48" s="172"/>
      <c r="EI48" s="172"/>
      <c r="EJ48" s="172"/>
      <c r="EK48" s="172"/>
      <c r="EL48" s="172"/>
      <c r="EM48" s="172"/>
      <c r="EN48" s="172"/>
      <c r="EO48" s="172"/>
      <c r="EP48" s="172"/>
      <c r="EQ48" s="172"/>
      <c r="ER48" s="172"/>
      <c r="ES48" s="172"/>
      <c r="ET48" s="172"/>
      <c r="EU48" s="172"/>
      <c r="EV48" s="172"/>
      <c r="EW48" s="172"/>
      <c r="EX48" s="172"/>
      <c r="EY48" s="172"/>
      <c r="EZ48" s="172"/>
      <c r="FA48" s="172"/>
      <c r="FB48" s="172"/>
      <c r="FC48" s="172"/>
      <c r="FD48" s="172"/>
      <c r="FE48" s="172"/>
      <c r="FF48" s="172"/>
      <c r="FG48" s="172"/>
      <c r="FH48" s="172"/>
      <c r="FI48" s="172"/>
      <c r="FJ48" s="172"/>
      <c r="FK48" s="172"/>
      <c r="FL48" s="172"/>
      <c r="FM48" s="172"/>
      <c r="FN48" s="172"/>
      <c r="FO48" s="172"/>
      <c r="FP48" s="172"/>
      <c r="FQ48" s="172"/>
      <c r="FR48" s="172"/>
      <c r="FS48" s="172"/>
      <c r="FT48" s="172"/>
      <c r="FU48" s="172"/>
      <c r="FV48" s="172"/>
      <c r="FW48" s="172"/>
      <c r="FX48" s="172"/>
      <c r="FY48" s="172"/>
      <c r="FZ48" s="172"/>
      <c r="GA48" s="172"/>
      <c r="GB48" s="172"/>
      <c r="GC48" s="172"/>
      <c r="GD48" s="172"/>
      <c r="GE48" s="172"/>
      <c r="GF48" s="172"/>
      <c r="GG48" s="172"/>
      <c r="GH48" s="172"/>
      <c r="GI48" s="172"/>
      <c r="GJ48" s="172"/>
      <c r="GK48" s="172"/>
      <c r="GL48" s="173"/>
      <c r="GM48" s="173"/>
      <c r="GN48" s="173"/>
      <c r="GO48" s="173"/>
      <c r="GP48" s="173"/>
      <c r="GQ48" s="173"/>
      <c r="GR48" s="173"/>
      <c r="GS48" s="173"/>
      <c r="GT48" s="173"/>
      <c r="GU48" s="173"/>
      <c r="GV48" s="173"/>
      <c r="GW48" s="173"/>
      <c r="GX48" s="173"/>
      <c r="GY48" s="173"/>
      <c r="GZ48" s="173"/>
      <c r="HA48" s="173"/>
      <c r="HB48" s="173"/>
      <c r="HC48" s="173"/>
      <c r="HD48" s="173"/>
      <c r="HE48" s="173"/>
    </row>
    <row r="49" spans="1:213" s="190" customFormat="1" ht="12.6" customHeight="1">
      <c r="A49" s="160">
        <v>2023</v>
      </c>
      <c r="B49" s="174">
        <v>42</v>
      </c>
      <c r="C49" s="175" t="s">
        <v>3252</v>
      </c>
      <c r="D49" s="176">
        <f t="shared" si="17"/>
        <v>-39630</v>
      </c>
      <c r="E49" s="171">
        <f>SUMIFS('Unos rashoda i izdataka'!$L$3:$L$501,'Unos rashoda i izdataka'!$C$3:$C$501,"=11",'Unos rashoda i izdataka'!$P$3:$P$501,"=42")+SUMIFS('Unos rashoda P4'!$J$3:$J$501,'Unos rashoda P4'!$A$3:$A$501,"=11",'Unos rashoda P4'!$S$3:$S$501,"=42")</f>
        <v>4750</v>
      </c>
      <c r="F49" s="171">
        <f>SUMIFS('Unos rashoda i izdataka'!$L$3:$L$501,'Unos rashoda i izdataka'!$C$3:$C$501,"=12",'Unos rashoda i izdataka'!$P$3:$P$501,"=42")+SUMIFS('Unos rashoda P4'!$J$3:$J$501,'Unos rashoda P4'!$A$3:$A$501,"=12",'Unos rashoda P4'!$S$3:$S$501,"=42")</f>
        <v>6361</v>
      </c>
      <c r="G49" s="171">
        <f>SUMIFS('Unos rashoda i izdataka'!$L$3:$L$501,'Unos rashoda i izdataka'!$C$3:$C$501,"=31",'Unos rashoda i izdataka'!$P$3:$P$501,"=42")+SUMIFS('Unos rashoda P4'!$J$3:$J$501,'Unos rashoda P4'!$A$3:$A$501,"=31",'Unos rashoda P4'!$S$3:$S$501,"=42")</f>
        <v>-27372</v>
      </c>
      <c r="H49" s="171">
        <f>SUMIFS('Unos rashoda i izdataka'!$L$3:$L$501,'Unos rashoda i izdataka'!$C$3:$C$501,"=41",'Unos rashoda i izdataka'!$P$3:$P$501,"=42")+SUMIFS('Unos rashoda P4'!$J$3:$J$501,'Unos rashoda P4'!$A$3:$A$501,"=41",'Unos rashoda P4'!$S$3:$S$501,"=42")</f>
        <v>0</v>
      </c>
      <c r="I49" s="171">
        <f>SUMIFS('Unos rashoda i izdataka'!$L$3:$L$501,'Unos rashoda i izdataka'!$C$3:$C$501,"=43",'Unos rashoda i izdataka'!$P$3:$P$501,"=42")+SUMIFS('Unos rashoda P4'!$J$3:$J$501,'Unos rashoda P4'!$A$3:$A$501,"=43",'Unos rashoda P4'!$S$3:$S$501,"=42")</f>
        <v>-115368</v>
      </c>
      <c r="J49" s="171">
        <f>SUMIFS('Unos rashoda i izdataka'!$L$3:$L$501,'Unos rashoda i izdataka'!$C$3:$C$501,"=51",'Unos rashoda i izdataka'!$P$3:$P$501,"=42")+SUMIFS('Unos rashoda P4'!$J$3:$J$501,'Unos rashoda P4'!$A$3:$A$501,"=51",'Unos rashoda P4'!$S$3:$S$501,"=42")</f>
        <v>52670</v>
      </c>
      <c r="K49" s="171">
        <f>SUMIFS('Unos rashoda i izdataka'!$L$3:$L$501,'Unos rashoda i izdataka'!$C$3:$C$501,"=52",'Unos rashoda i izdataka'!$P$3:$P$501,"=42")+SUMIFS('Unos rashoda P4'!$J$3:$J$501,'Unos rashoda P4'!$A$3:$A$501,"=52",'Unos rashoda P4'!$S$3:$S$501,"=42")</f>
        <v>3361</v>
      </c>
      <c r="L49" s="171">
        <f>SUMIFS('Unos rashoda i izdataka'!$L$3:$L$501,'Unos rashoda i izdataka'!$C$3:$C$501,"=552",'Unos rashoda i izdataka'!$P$3:$P$501,"=42")+SUMIFS('Unos rashoda P4'!$J$3:$J$501,'Unos rashoda P4'!$A$3:$A$501,"=552",'Unos rashoda P4'!$S$3:$S$501,"=42")</f>
        <v>0</v>
      </c>
      <c r="M49" s="171">
        <f>SUMIFS('Unos rashoda i izdataka'!$L$3:$L$501,'Unos rashoda i izdataka'!$C$3:$C$501,"=559",'Unos rashoda i izdataka'!$P$3:$P$501,"=42")+SUMIFS('Unos rashoda P4'!$J$3:$J$501,'Unos rashoda P4'!$A$3:$A$501,"=559",'Unos rashoda P4'!$S$3:$S$501,"=42")</f>
        <v>0</v>
      </c>
      <c r="N49" s="171">
        <f>SUMIFS('Unos rashoda i izdataka'!$L$3:$L$501,'Unos rashoda i izdataka'!$C$3:$C$501,"=561",'Unos rashoda i izdataka'!$P$3:$P$501,"=42")+SUMIFS('Unos rashoda P4'!$J$3:$J$501,'Unos rashoda P4'!$A$3:$A$501,"=561",'Unos rashoda P4'!$S$3:$S$501,"=42")</f>
        <v>36042</v>
      </c>
      <c r="O49" s="171">
        <f>SUMIFS('Unos rashoda i izdataka'!$L$3:$L$501,'Unos rashoda i izdataka'!$C$3:$C$501,"=563",'Unos rashoda i izdataka'!$P$3:$P$501,"=42")+SUMIFS('Unos rashoda P4'!$J$3:$J$501,'Unos rashoda P4'!$A$3:$A$501,"=563",'Unos rashoda P4'!$S$3:$S$501,"=42")</f>
        <v>0</v>
      </c>
      <c r="P49" s="171">
        <f>SUMIFS('Unos rashoda i izdataka'!$L$3:$L$501,'Unos rashoda i izdataka'!$C$3:$C$501,"=573",'Unos rashoda i izdataka'!$P$3:$P$501,"=42")+SUMIFS('Unos rashoda P4'!$J$3:$J$501,'Unos rashoda P4'!$A$3:$A$501,"=573",'Unos rashoda P4'!$S$3:$S$501,"=42")</f>
        <v>0</v>
      </c>
      <c r="Q49" s="171">
        <f>SUMIFS('Unos rashoda i izdataka'!$L$3:$L$501,'Unos rashoda i izdataka'!$C$3:$C$501,"=575",'Unos rashoda i izdataka'!$P$3:$P$501,"=42")+SUMIFS('Unos rashoda P4'!$J$3:$J$501,'Unos rashoda P4'!$A$3:$A$501,"=575",'Unos rashoda P4'!$S$3:$S$501,"=42")</f>
        <v>0</v>
      </c>
      <c r="R49" s="171">
        <f>SUMIFS('Unos rashoda i izdataka'!$L$3:$L$501,'Unos rashoda i izdataka'!$Q$3:$Q$501,"=576",'Unos rashoda i izdataka'!$P$3:$P$501,"=42")+SUMIFS('Unos rashoda P4'!$J$3:$J$501,'Unos rashoda P4'!$A$3:$A$501,"=576",'Unos rashoda P4'!$S$3:$S$501,"=42")</f>
        <v>0</v>
      </c>
      <c r="S49" s="171">
        <f>SUMIFS('Unos rashoda i izdataka'!$L$3:$L$501,'Unos rashoda i izdataka'!$C$3:$C$501,"=581",'Unos rashoda i izdataka'!$P$3:$P$501,"=42")+SUMIFS('Unos rashoda P4'!$J$3:$J$501,'Unos rashoda P4'!$A$3:$A$501,"=581",'Unos rashoda P4'!$S$3:$S$501,"=42")</f>
        <v>0</v>
      </c>
      <c r="T49" s="171">
        <f>SUMIFS('Unos rashoda i izdataka'!$L$3:$L$501,'Unos rashoda i izdataka'!$C$3:$C$501,"=61",'Unos rashoda i izdataka'!$P$3:$P$501,"=42")+SUMIFS('Unos rashoda P4'!$J$3:$J$501,'Unos rashoda P4'!$A$3:$A$501,"=61",'Unos rashoda P4'!$S$3:$S$501,"=42")</f>
        <v>0</v>
      </c>
      <c r="U49" s="171">
        <f>SUMIFS('Unos rashoda i izdataka'!$L$3:$L$501,'Unos rashoda i izdataka'!$C$3:$C$501,"=63",'Unos rashoda i izdataka'!$P$3:$P$501,"=42")+SUMIFS('Unos rashoda P4'!$J$3:$J$501,'Unos rashoda P4'!$A$3:$A$501,"=63",'Unos rashoda P4'!$S$3:$S$501,"=42")</f>
        <v>0</v>
      </c>
      <c r="V49" s="171">
        <f>SUMIFS('Unos rashoda i izdataka'!$L$3:$L$501,'Unos rashoda i izdataka'!$C$3:$C$501,"=71",'Unos rashoda i izdataka'!$P$3:$P$501,"=42")+SUMIFS('Unos rashoda P4'!$J$3:$J$501,'Unos rashoda P4'!$A$3:$A$501,"=71",'Unos rashoda P4'!$S$3:$S$501,"=42")</f>
        <v>-74</v>
      </c>
      <c r="W49" s="171">
        <f>SUMIFS('Unos rashoda i izdataka'!$L$3:$L$501,'Unos rashoda i izdataka'!$C$3:$C$501,"=81",'Unos rashoda i izdataka'!$P$3:$P$501,"=42")+SUMIFS('Unos rashoda P4'!$J$3:$J$501,'Unos rashoda P4'!$A$3:$A$501,"=81",'Unos rashoda P4'!$S$3:$S$501,"=42")</f>
        <v>0</v>
      </c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2"/>
      <c r="AK49" s="172"/>
      <c r="AL49" s="172"/>
      <c r="AM49" s="172"/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  <c r="BI49" s="172"/>
      <c r="BJ49" s="172"/>
      <c r="BK49" s="172"/>
      <c r="BL49" s="172"/>
      <c r="BM49" s="172"/>
      <c r="BN49" s="172"/>
      <c r="BO49" s="172"/>
      <c r="BP49" s="172"/>
      <c r="BQ49" s="172"/>
      <c r="BR49" s="172"/>
      <c r="BS49" s="172"/>
      <c r="BT49" s="172"/>
      <c r="BU49" s="172"/>
      <c r="BV49" s="172"/>
      <c r="BW49" s="172"/>
      <c r="BX49" s="172"/>
      <c r="BY49" s="172"/>
      <c r="BZ49" s="172"/>
      <c r="CA49" s="172"/>
      <c r="CB49" s="172"/>
      <c r="CC49" s="172"/>
      <c r="CD49" s="172"/>
      <c r="CE49" s="172"/>
      <c r="CF49" s="172"/>
      <c r="CG49" s="172"/>
      <c r="CH49" s="172"/>
      <c r="CI49" s="172"/>
      <c r="CJ49" s="172"/>
      <c r="CK49" s="172"/>
      <c r="CL49" s="172"/>
      <c r="CM49" s="172"/>
      <c r="CN49" s="172"/>
      <c r="CO49" s="172"/>
      <c r="CP49" s="172"/>
      <c r="CQ49" s="172"/>
      <c r="CR49" s="172"/>
      <c r="CS49" s="172"/>
      <c r="CT49" s="172"/>
      <c r="CU49" s="172"/>
      <c r="CV49" s="172"/>
      <c r="CW49" s="172"/>
      <c r="CX49" s="172"/>
      <c r="CY49" s="172"/>
      <c r="CZ49" s="172"/>
      <c r="DA49" s="172"/>
      <c r="DB49" s="172"/>
      <c r="DC49" s="172"/>
      <c r="DD49" s="172"/>
      <c r="DE49" s="172"/>
      <c r="DF49" s="172"/>
      <c r="DG49" s="172"/>
      <c r="DH49" s="172"/>
      <c r="DI49" s="172"/>
      <c r="DJ49" s="172"/>
      <c r="DK49" s="172"/>
      <c r="DL49" s="172"/>
      <c r="DM49" s="172"/>
      <c r="DN49" s="172"/>
      <c r="DO49" s="172"/>
      <c r="DP49" s="172"/>
      <c r="DQ49" s="172"/>
      <c r="DR49" s="172"/>
      <c r="DS49" s="172"/>
      <c r="DT49" s="172"/>
      <c r="DU49" s="172"/>
      <c r="DV49" s="172"/>
      <c r="DW49" s="172"/>
      <c r="DX49" s="172"/>
      <c r="DY49" s="172"/>
      <c r="DZ49" s="172"/>
      <c r="EA49" s="172"/>
      <c r="EB49" s="172"/>
      <c r="EC49" s="172"/>
      <c r="ED49" s="172"/>
      <c r="EE49" s="172"/>
      <c r="EF49" s="172"/>
      <c r="EG49" s="172"/>
      <c r="EH49" s="172"/>
      <c r="EI49" s="172"/>
      <c r="EJ49" s="172"/>
      <c r="EK49" s="172"/>
      <c r="EL49" s="172"/>
      <c r="EM49" s="172"/>
      <c r="EN49" s="172"/>
      <c r="EO49" s="172"/>
      <c r="EP49" s="172"/>
      <c r="EQ49" s="172"/>
      <c r="ER49" s="172"/>
      <c r="ES49" s="172"/>
      <c r="ET49" s="172"/>
      <c r="EU49" s="172"/>
      <c r="EV49" s="172"/>
      <c r="EW49" s="172"/>
      <c r="EX49" s="172"/>
      <c r="EY49" s="172"/>
      <c r="EZ49" s="172"/>
      <c r="FA49" s="172"/>
      <c r="FB49" s="172"/>
      <c r="FC49" s="172"/>
      <c r="FD49" s="172"/>
      <c r="FE49" s="172"/>
      <c r="FF49" s="172"/>
      <c r="FG49" s="172"/>
      <c r="FH49" s="172"/>
      <c r="FI49" s="172"/>
      <c r="FJ49" s="172"/>
      <c r="FK49" s="172"/>
      <c r="FL49" s="172"/>
      <c r="FM49" s="172"/>
      <c r="FN49" s="172"/>
      <c r="FO49" s="172"/>
      <c r="FP49" s="172"/>
      <c r="FQ49" s="172"/>
      <c r="FR49" s="172"/>
      <c r="FS49" s="172"/>
      <c r="FT49" s="172"/>
      <c r="FU49" s="172"/>
      <c r="FV49" s="172"/>
      <c r="FW49" s="172"/>
      <c r="FX49" s="172"/>
      <c r="FY49" s="172"/>
      <c r="FZ49" s="172"/>
      <c r="GA49" s="172"/>
      <c r="GB49" s="172"/>
      <c r="GC49" s="172"/>
      <c r="GD49" s="172"/>
      <c r="GE49" s="172"/>
      <c r="GF49" s="172"/>
      <c r="GG49" s="172"/>
      <c r="GH49" s="172"/>
      <c r="GI49" s="172"/>
      <c r="GJ49" s="172"/>
      <c r="GK49" s="172"/>
      <c r="GL49" s="173"/>
      <c r="GM49" s="173"/>
      <c r="GN49" s="173"/>
      <c r="GO49" s="173"/>
      <c r="GP49" s="173"/>
      <c r="GQ49" s="173"/>
      <c r="GR49" s="173"/>
      <c r="GS49" s="173"/>
      <c r="GT49" s="173"/>
      <c r="GU49" s="173"/>
      <c r="GV49" s="173"/>
      <c r="GW49" s="173"/>
      <c r="GX49" s="173"/>
      <c r="GY49" s="173"/>
      <c r="GZ49" s="173"/>
      <c r="HA49" s="173"/>
      <c r="HB49" s="173"/>
      <c r="HC49" s="173"/>
      <c r="HD49" s="173"/>
      <c r="HE49" s="173"/>
    </row>
    <row r="50" spans="1:213" s="188" customFormat="1" ht="12.6" customHeight="1">
      <c r="A50" s="160">
        <v>2023</v>
      </c>
      <c r="B50" s="168">
        <v>43</v>
      </c>
      <c r="C50" s="169" t="s">
        <v>3253</v>
      </c>
      <c r="D50" s="176">
        <f t="shared" si="17"/>
        <v>0</v>
      </c>
      <c r="E50" s="171">
        <f>SUMIFS('Unos rashoda i izdataka'!$L$3:$L$501,'Unos rashoda i izdataka'!$C$3:$C$501,"=11",'Unos rashoda i izdataka'!$P$3:$P$501,"=43")+SUMIFS('Unos rashoda P4'!$J$3:$J$501,'Unos rashoda P4'!$A$3:$A$501,"=11",'Unos rashoda P4'!$S$3:$S$501,"=43")</f>
        <v>0</v>
      </c>
      <c r="F50" s="171">
        <f>SUMIFS('Unos rashoda i izdataka'!$L$3:$L$501,'Unos rashoda i izdataka'!$C$3:$C$501,"=12",'Unos rashoda i izdataka'!$P$3:$P$501,"=43")+SUMIFS('Unos rashoda P4'!$J$3:$J$501,'Unos rashoda P4'!$A$3:$A$501,"=12",'Unos rashoda P4'!$S$3:$S$501,"=43")</f>
        <v>0</v>
      </c>
      <c r="G50" s="171">
        <f>SUMIFS('Unos rashoda i izdataka'!$L$3:$L$501,'Unos rashoda i izdataka'!$C$3:$C$501,"=31",'Unos rashoda i izdataka'!$P$3:$P$501,"=43")+SUMIFS('Unos rashoda P4'!$J$3:$J$501,'Unos rashoda P4'!$A$3:$A$501,"=31",'Unos rashoda P4'!$S$3:$S$501,"=43")</f>
        <v>0</v>
      </c>
      <c r="H50" s="171">
        <f>SUMIFS('Unos rashoda i izdataka'!$L$3:$L$501,'Unos rashoda i izdataka'!$C$3:$C$501,"=41",'Unos rashoda i izdataka'!$P$3:$P$501,"=43")+SUMIFS('Unos rashoda P4'!$J$3:$J$501,'Unos rashoda P4'!$A$3:$A$501,"=41",'Unos rashoda P4'!$S$3:$S$501,"=43")</f>
        <v>0</v>
      </c>
      <c r="I50" s="171">
        <f>SUMIFS('Unos rashoda i izdataka'!$L$3:$L$501,'Unos rashoda i izdataka'!$C$3:$C$501,"=43",'Unos rashoda i izdataka'!$P$3:$P$501,"=43")+SUMIFS('Unos rashoda P4'!$J$3:$J$501,'Unos rashoda P4'!$A$3:$A$501,"=43",'Unos rashoda P4'!$S$3:$S$501,"=43")</f>
        <v>0</v>
      </c>
      <c r="J50" s="171">
        <f>SUMIFS('Unos rashoda i izdataka'!$L$3:$L$501,'Unos rashoda i izdataka'!$C$3:$C$501,"=51",'Unos rashoda i izdataka'!$P$3:$P$501,"=43")+SUMIFS('Unos rashoda P4'!$J$3:$J$501,'Unos rashoda P4'!$A$3:$A$501,"=51",'Unos rashoda P4'!$S$3:$S$501,"=43")</f>
        <v>0</v>
      </c>
      <c r="K50" s="171">
        <f>SUMIFS('Unos rashoda i izdataka'!$L$3:$L$501,'Unos rashoda i izdataka'!$C$3:$C$501,"=52",'Unos rashoda i izdataka'!$P$3:$P$501,"=43")+SUMIFS('Unos rashoda P4'!$J$3:$J$501,'Unos rashoda P4'!$A$3:$A$501,"=52",'Unos rashoda P4'!$S$3:$S$501,"=43")</f>
        <v>0</v>
      </c>
      <c r="L50" s="171">
        <f>SUMIFS('Unos rashoda i izdataka'!$L$3:$L$501,'Unos rashoda i izdataka'!$C$3:$C$501,"=552",'Unos rashoda i izdataka'!$P$3:$P$501,"=43")+SUMIFS('Unos rashoda P4'!$J$3:$J$501,'Unos rashoda P4'!$A$3:$A$501,"=552",'Unos rashoda P4'!$S$3:$S$501,"=43")</f>
        <v>0</v>
      </c>
      <c r="M50" s="171">
        <f>SUMIFS('Unos rashoda i izdataka'!$L$3:$L$501,'Unos rashoda i izdataka'!$C$3:$C$501,"=559",'Unos rashoda i izdataka'!$P$3:$P$501,"=43")+SUMIFS('Unos rashoda P4'!$J$3:$J$501,'Unos rashoda P4'!$A$3:$A$501,"=559",'Unos rashoda P4'!$S$3:$S$501,"=43")</f>
        <v>0</v>
      </c>
      <c r="N50" s="171">
        <f>SUMIFS('Unos rashoda i izdataka'!$L$3:$L$501,'Unos rashoda i izdataka'!$C$3:$C$501,"=561",'Unos rashoda i izdataka'!$P$3:$P$501,"=43")+SUMIFS('Unos rashoda P4'!$J$3:$J$501,'Unos rashoda P4'!$A$3:$A$501,"=561",'Unos rashoda P4'!$S$3:$S$501,"=43")</f>
        <v>0</v>
      </c>
      <c r="O50" s="171">
        <f>SUMIFS('Unos rashoda i izdataka'!$L$3:$L$501,'Unos rashoda i izdataka'!$C$3:$C$501,"=563",'Unos rashoda i izdataka'!$P$3:$P$501,"=43")+SUMIFS('Unos rashoda P4'!$J$3:$J$501,'Unos rashoda P4'!$A$3:$A$501,"=563",'Unos rashoda P4'!$S$3:$S$501,"=43")</f>
        <v>0</v>
      </c>
      <c r="P50" s="171">
        <f>SUMIFS('Unos rashoda i izdataka'!$L$3:$L$501,'Unos rashoda i izdataka'!$C$3:$C$501,"=573",'Unos rashoda i izdataka'!$P$3:$P$501,"=43")+SUMIFS('Unos rashoda P4'!$J$3:$J$501,'Unos rashoda P4'!$A$3:$A$501,"=573",'Unos rashoda P4'!$S$3:$S$501,"=43")</f>
        <v>0</v>
      </c>
      <c r="Q50" s="171">
        <f>SUMIFS('Unos rashoda i izdataka'!$L$3:$L$501,'Unos rashoda i izdataka'!$C$3:$C$501,"=575",'Unos rashoda i izdataka'!$P$3:$P$501,"=43")+SUMIFS('Unos rashoda P4'!$J$3:$J$501,'Unos rashoda P4'!$A$3:$A$501,"=575",'Unos rashoda P4'!$S$3:$S$501,"=43")</f>
        <v>0</v>
      </c>
      <c r="R50" s="171">
        <f>SUMIFS('Unos rashoda i izdataka'!$L$3:$L$501,'Unos rashoda i izdataka'!$Q$3:$Q$501,"=576",'Unos rashoda i izdataka'!$P$3:$P$501,"=43")+SUMIFS('Unos rashoda P4'!$J$3:$J$501,'Unos rashoda P4'!$A$3:$A$501,"=576",'Unos rashoda P4'!$S$3:$S$501,"=43")</f>
        <v>0</v>
      </c>
      <c r="S50" s="171">
        <f>SUMIFS('Unos rashoda i izdataka'!$L$3:$L$501,'Unos rashoda i izdataka'!$C$3:$C$501,"=581",'Unos rashoda i izdataka'!$P$3:$P$501,"=43")+SUMIFS('Unos rashoda P4'!$J$3:$J$501,'Unos rashoda P4'!$A$3:$A$501,"=581",'Unos rashoda P4'!$S$3:$S$501,"=43")</f>
        <v>0</v>
      </c>
      <c r="T50" s="171">
        <f>SUMIFS('Unos rashoda i izdataka'!$L$3:$L$501,'Unos rashoda i izdataka'!$C$3:$C$501,"=61",'Unos rashoda i izdataka'!$P$3:$P$501,"=43")+SUMIFS('Unos rashoda P4'!$J$3:$J$501,'Unos rashoda P4'!$A$3:$A$501,"=61",'Unos rashoda P4'!$S$3:$S$501,"=43")</f>
        <v>0</v>
      </c>
      <c r="U50" s="171">
        <f>SUMIFS('Unos rashoda i izdataka'!$L$3:$L$501,'Unos rashoda i izdataka'!$C$3:$C$501,"=63",'Unos rashoda i izdataka'!$P$3:$P$501,"=43")+SUMIFS('Unos rashoda P4'!$J$3:$J$501,'Unos rashoda P4'!$A$3:$A$501,"=63",'Unos rashoda P4'!$S$3:$S$501,"=43")</f>
        <v>0</v>
      </c>
      <c r="V50" s="171">
        <f>SUMIFS('Unos rashoda i izdataka'!$L$3:$L$501,'Unos rashoda i izdataka'!$C$3:$C$501,"=71",'Unos rashoda i izdataka'!$P$3:$P$501,"=43")+SUMIFS('Unos rashoda P4'!$J$3:$J$501,'Unos rashoda P4'!$A$3:$A$501,"=71",'Unos rashoda P4'!$S$3:$S$501,"=43")</f>
        <v>0</v>
      </c>
      <c r="W50" s="171">
        <f>SUMIFS('Unos rashoda i izdataka'!$L$3:$L$501,'Unos rashoda i izdataka'!$C$3:$C$501,"=81",'Unos rashoda i izdataka'!$P$3:$P$501,"=43")+SUMIFS('Unos rashoda P4'!$J$3:$J$501,'Unos rashoda P4'!$A$3:$A$501,"=81",'Unos rashoda P4'!$S$3:$S$501,"=43")</f>
        <v>0</v>
      </c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  <c r="AZ50" s="182"/>
      <c r="BA50" s="182"/>
      <c r="BB50" s="182"/>
      <c r="BC50" s="182"/>
      <c r="BD50" s="182"/>
      <c r="BE50" s="182"/>
      <c r="BF50" s="182"/>
      <c r="BG50" s="182"/>
      <c r="BH50" s="182"/>
      <c r="BI50" s="182"/>
      <c r="BJ50" s="182"/>
      <c r="BK50" s="182"/>
      <c r="BL50" s="182"/>
      <c r="BM50" s="182"/>
      <c r="BN50" s="182"/>
      <c r="BO50" s="182"/>
      <c r="BP50" s="182"/>
      <c r="BQ50" s="182"/>
      <c r="BR50" s="182"/>
      <c r="BS50" s="182"/>
      <c r="BT50" s="182"/>
      <c r="BU50" s="182"/>
      <c r="BV50" s="182"/>
      <c r="BW50" s="182"/>
      <c r="BX50" s="182"/>
      <c r="BY50" s="182"/>
      <c r="BZ50" s="182"/>
      <c r="CA50" s="182"/>
      <c r="CB50" s="182"/>
      <c r="CC50" s="182"/>
      <c r="CD50" s="182"/>
      <c r="CE50" s="182"/>
      <c r="CF50" s="182"/>
      <c r="CG50" s="182"/>
      <c r="CH50" s="182"/>
      <c r="CI50" s="182"/>
      <c r="CJ50" s="182"/>
      <c r="CK50" s="182"/>
      <c r="CL50" s="182"/>
      <c r="CM50" s="182"/>
      <c r="CN50" s="182"/>
      <c r="CO50" s="182"/>
      <c r="CP50" s="182"/>
      <c r="CQ50" s="182"/>
      <c r="CR50" s="182"/>
      <c r="CS50" s="182"/>
      <c r="CT50" s="182"/>
      <c r="CU50" s="182"/>
      <c r="CV50" s="182"/>
      <c r="CW50" s="182"/>
      <c r="CX50" s="182"/>
      <c r="CY50" s="182"/>
      <c r="CZ50" s="182"/>
      <c r="DA50" s="182"/>
      <c r="DB50" s="182"/>
      <c r="DC50" s="182"/>
      <c r="DD50" s="182"/>
      <c r="DE50" s="182"/>
      <c r="DF50" s="182"/>
      <c r="DG50" s="182"/>
      <c r="DH50" s="182"/>
      <c r="DI50" s="182"/>
      <c r="DJ50" s="182"/>
      <c r="DK50" s="182"/>
      <c r="DL50" s="182"/>
      <c r="DM50" s="182"/>
      <c r="DN50" s="182"/>
      <c r="DO50" s="182"/>
      <c r="DP50" s="182"/>
      <c r="DQ50" s="182"/>
      <c r="DR50" s="182"/>
      <c r="DS50" s="182"/>
      <c r="DT50" s="182"/>
      <c r="DU50" s="182"/>
      <c r="DV50" s="182"/>
      <c r="DW50" s="182"/>
      <c r="DX50" s="182"/>
      <c r="DY50" s="182"/>
      <c r="DZ50" s="182"/>
      <c r="EA50" s="182"/>
      <c r="EB50" s="182"/>
      <c r="EC50" s="182"/>
      <c r="ED50" s="182"/>
      <c r="EE50" s="182"/>
      <c r="EF50" s="182"/>
      <c r="EG50" s="182"/>
      <c r="EH50" s="182"/>
      <c r="EI50" s="182"/>
      <c r="EJ50" s="182"/>
      <c r="EK50" s="182"/>
      <c r="EL50" s="182"/>
      <c r="EM50" s="182"/>
      <c r="EN50" s="182"/>
      <c r="EO50" s="182"/>
      <c r="EP50" s="182"/>
      <c r="EQ50" s="182"/>
      <c r="ER50" s="182"/>
      <c r="ES50" s="182"/>
      <c r="ET50" s="182"/>
      <c r="EU50" s="182"/>
      <c r="EV50" s="182"/>
      <c r="EW50" s="182"/>
      <c r="EX50" s="182"/>
      <c r="EY50" s="182"/>
      <c r="EZ50" s="182"/>
      <c r="FA50" s="182"/>
      <c r="FB50" s="182"/>
      <c r="FC50" s="182"/>
      <c r="FD50" s="182"/>
      <c r="FE50" s="182"/>
      <c r="FF50" s="182"/>
      <c r="FG50" s="182"/>
      <c r="FH50" s="182"/>
      <c r="FI50" s="182"/>
      <c r="FJ50" s="182"/>
      <c r="FK50" s="182"/>
      <c r="FL50" s="182"/>
      <c r="FM50" s="182"/>
      <c r="FN50" s="182"/>
      <c r="FO50" s="182"/>
      <c r="FP50" s="182"/>
      <c r="FQ50" s="182"/>
      <c r="FR50" s="182"/>
      <c r="FS50" s="182"/>
      <c r="FT50" s="182"/>
      <c r="FU50" s="182"/>
      <c r="FV50" s="182"/>
      <c r="FW50" s="182"/>
      <c r="FX50" s="182"/>
      <c r="FY50" s="182"/>
      <c r="FZ50" s="182"/>
      <c r="GA50" s="182"/>
      <c r="GB50" s="182"/>
      <c r="GC50" s="182"/>
      <c r="GD50" s="182"/>
      <c r="GE50" s="182"/>
      <c r="GF50" s="182"/>
      <c r="GG50" s="182"/>
      <c r="GH50" s="182"/>
      <c r="GI50" s="182"/>
      <c r="GJ50" s="182"/>
      <c r="GK50" s="182"/>
      <c r="GL50" s="183"/>
      <c r="GM50" s="183"/>
      <c r="GN50" s="183"/>
      <c r="GO50" s="183"/>
      <c r="GP50" s="183"/>
      <c r="GQ50" s="183"/>
      <c r="GR50" s="183"/>
      <c r="GS50" s="183"/>
      <c r="GT50" s="183"/>
      <c r="GU50" s="183"/>
      <c r="GV50" s="183"/>
      <c r="GW50" s="183"/>
      <c r="GX50" s="183"/>
      <c r="GY50" s="183"/>
      <c r="GZ50" s="183"/>
      <c r="HA50" s="183"/>
      <c r="HB50" s="183"/>
      <c r="HC50" s="183"/>
      <c r="HD50" s="183"/>
      <c r="HE50" s="183"/>
    </row>
    <row r="51" spans="1:213" s="188" customFormat="1" ht="12.6" customHeight="1">
      <c r="A51" s="160">
        <v>2023</v>
      </c>
      <c r="B51" s="168">
        <v>44</v>
      </c>
      <c r="C51" s="169" t="s">
        <v>3254</v>
      </c>
      <c r="D51" s="176">
        <f t="shared" si="17"/>
        <v>0</v>
      </c>
      <c r="E51" s="171">
        <f>SUMIFS('Unos rashoda i izdataka'!$L$3:$L$501,'Unos rashoda i izdataka'!$C$3:$C$501,"=11",'Unos rashoda i izdataka'!$P$3:$P$501,"=44")+SUMIFS('Unos rashoda P4'!$J$3:$J$501,'Unos rashoda P4'!$A$3:$A$501,"=11",'Unos rashoda P4'!$S$3:$S$501,"=44")</f>
        <v>0</v>
      </c>
      <c r="F51" s="171">
        <f>SUMIFS('Unos rashoda i izdataka'!$L$3:$L$501,'Unos rashoda i izdataka'!$C$3:$C$501,"=12",'Unos rashoda i izdataka'!$P$3:$P$501,"=44")+SUMIFS('Unos rashoda P4'!$J$3:$J$501,'Unos rashoda P4'!$A$3:$A$501,"=12",'Unos rashoda P4'!$S$3:$S$501,"=44")</f>
        <v>0</v>
      </c>
      <c r="G51" s="171">
        <f>SUMIFS('Unos rashoda i izdataka'!$L$3:$L$501,'Unos rashoda i izdataka'!$C$3:$C$501,"=31",'Unos rashoda i izdataka'!$P$3:$P$501,"=44")+SUMIFS('Unos rashoda P4'!$J$3:$J$501,'Unos rashoda P4'!$A$3:$A$501,"=31",'Unos rashoda P4'!$S$3:$S$501,"=44")</f>
        <v>0</v>
      </c>
      <c r="H51" s="171">
        <f>SUMIFS('Unos rashoda i izdataka'!$L$3:$L$501,'Unos rashoda i izdataka'!$C$3:$C$501,"=41",'Unos rashoda i izdataka'!$P$3:$P$501,"=44")+SUMIFS('Unos rashoda P4'!$J$3:$J$501,'Unos rashoda P4'!$A$3:$A$501,"=41",'Unos rashoda P4'!$S$3:$S$501,"=44")</f>
        <v>0</v>
      </c>
      <c r="I51" s="171">
        <f>SUMIFS('Unos rashoda i izdataka'!$L$3:$L$501,'Unos rashoda i izdataka'!$C$3:$C$501,"=43",'Unos rashoda i izdataka'!$P$3:$P$501,"=44")+SUMIFS('Unos rashoda P4'!$J$3:$J$501,'Unos rashoda P4'!$A$3:$A$501,"=43",'Unos rashoda P4'!$S$3:$S$501,"=44")</f>
        <v>0</v>
      </c>
      <c r="J51" s="171">
        <f>SUMIFS('Unos rashoda i izdataka'!$L$3:$L$501,'Unos rashoda i izdataka'!$C$3:$C$501,"=51",'Unos rashoda i izdataka'!$P$3:$P$501,"=44")+SUMIFS('Unos rashoda P4'!$J$3:$J$501,'Unos rashoda P4'!$A$3:$A$501,"=51",'Unos rashoda P4'!$S$3:$S$501,"=44")</f>
        <v>0</v>
      </c>
      <c r="K51" s="171">
        <f>SUMIFS('Unos rashoda i izdataka'!$L$3:$L$501,'Unos rashoda i izdataka'!$C$3:$C$501,"=52",'Unos rashoda i izdataka'!$P$3:$P$501,"=44")+SUMIFS('Unos rashoda P4'!$J$3:$J$501,'Unos rashoda P4'!$A$3:$A$501,"=52",'Unos rashoda P4'!$S$3:$S$501,"=44")</f>
        <v>0</v>
      </c>
      <c r="L51" s="171">
        <f>SUMIFS('Unos rashoda i izdataka'!$L$3:$L$501,'Unos rashoda i izdataka'!$C$3:$C$501,"=552",'Unos rashoda i izdataka'!$P$3:$P$501,"=44")+SUMIFS('Unos rashoda P4'!$J$3:$J$501,'Unos rashoda P4'!$A$3:$A$501,"=552",'Unos rashoda P4'!$S$3:$S$501,"=44")</f>
        <v>0</v>
      </c>
      <c r="M51" s="171">
        <f>SUMIFS('Unos rashoda i izdataka'!$L$3:$L$501,'Unos rashoda i izdataka'!$C$3:$C$501,"=559",'Unos rashoda i izdataka'!$P$3:$P$501,"=44")+SUMIFS('Unos rashoda P4'!$J$3:$J$501,'Unos rashoda P4'!$A$3:$A$501,"=559",'Unos rashoda P4'!$S$3:$S$501,"=44")</f>
        <v>0</v>
      </c>
      <c r="N51" s="171">
        <f>SUMIFS('Unos rashoda i izdataka'!$L$3:$L$501,'Unos rashoda i izdataka'!$C$3:$C$501,"=561",'Unos rashoda i izdataka'!$P$3:$P$501,"=44")+SUMIFS('Unos rashoda P4'!$J$3:$J$501,'Unos rashoda P4'!$A$3:$A$501,"=561",'Unos rashoda P4'!$S$3:$S$501,"=44")</f>
        <v>0</v>
      </c>
      <c r="O51" s="171">
        <f>SUMIFS('Unos rashoda i izdataka'!$L$3:$L$501,'Unos rashoda i izdataka'!$C$3:$C$501,"=563",'Unos rashoda i izdataka'!$P$3:$P$501,"=44")+SUMIFS('Unos rashoda P4'!$J$3:$J$501,'Unos rashoda P4'!$A$3:$A$501,"=563",'Unos rashoda P4'!$S$3:$S$501,"=44")</f>
        <v>0</v>
      </c>
      <c r="P51" s="171">
        <f>SUMIFS('Unos rashoda i izdataka'!$L$3:$L$501,'Unos rashoda i izdataka'!$C$3:$C$501,"=573",'Unos rashoda i izdataka'!$P$3:$P$501,"=44")+SUMIFS('Unos rashoda P4'!$J$3:$J$501,'Unos rashoda P4'!$A$3:$A$501,"=573",'Unos rashoda P4'!$S$3:$S$501,"=44")</f>
        <v>0</v>
      </c>
      <c r="Q51" s="171">
        <f>SUMIFS('Unos rashoda i izdataka'!$L$3:$L$501,'Unos rashoda i izdataka'!$C$3:$C$501,"=575",'Unos rashoda i izdataka'!$P$3:$P$501,"=44")+SUMIFS('Unos rashoda P4'!$J$3:$J$501,'Unos rashoda P4'!$A$3:$A$501,"=575",'Unos rashoda P4'!$S$3:$S$501,"=44")</f>
        <v>0</v>
      </c>
      <c r="R51" s="171">
        <f>SUMIFS('Unos rashoda i izdataka'!$L$3:$L$501,'Unos rashoda i izdataka'!$Q$3:$Q$501,"=576",'Unos rashoda i izdataka'!$P$3:$P$501,"=44")+SUMIFS('Unos rashoda P4'!$J$3:$J$501,'Unos rashoda P4'!$A$3:$A$501,"=576",'Unos rashoda P4'!$S$3:$S$501,"=44")</f>
        <v>0</v>
      </c>
      <c r="S51" s="171">
        <f>SUMIFS('Unos rashoda i izdataka'!$L$3:$L$501,'Unos rashoda i izdataka'!$C$3:$C$501,"=581",'Unos rashoda i izdataka'!$P$3:$P$501,"=44")+SUMIFS('Unos rashoda P4'!$J$3:$J$501,'Unos rashoda P4'!$A$3:$A$501,"=581",'Unos rashoda P4'!$S$3:$S$501,"=44")</f>
        <v>0</v>
      </c>
      <c r="T51" s="171">
        <f>SUMIFS('Unos rashoda i izdataka'!$L$3:$L$501,'Unos rashoda i izdataka'!$C$3:$C$501,"=61",'Unos rashoda i izdataka'!$P$3:$P$501,"=44")+SUMIFS('Unos rashoda P4'!$J$3:$J$501,'Unos rashoda P4'!$A$3:$A$501,"=61",'Unos rashoda P4'!$S$3:$S$501,"=44")</f>
        <v>0</v>
      </c>
      <c r="U51" s="171">
        <f>SUMIFS('Unos rashoda i izdataka'!$L$3:$L$501,'Unos rashoda i izdataka'!$C$3:$C$501,"=63",'Unos rashoda i izdataka'!$P$3:$P$501,"=44")+SUMIFS('Unos rashoda P4'!$J$3:$J$501,'Unos rashoda P4'!$A$3:$A$501,"=63",'Unos rashoda P4'!$S$3:$S$501,"=44")</f>
        <v>0</v>
      </c>
      <c r="V51" s="171">
        <f>SUMIFS('Unos rashoda i izdataka'!$L$3:$L$501,'Unos rashoda i izdataka'!$C$3:$C$501,"=71",'Unos rashoda i izdataka'!$P$3:$P$501,"=44")+SUMIFS('Unos rashoda P4'!$J$3:$J$501,'Unos rashoda P4'!$A$3:$A$501,"=71",'Unos rashoda P4'!$S$3:$S$501,"=44")</f>
        <v>0</v>
      </c>
      <c r="W51" s="171">
        <f>SUMIFS('Unos rashoda i izdataka'!$L$3:$L$501,'Unos rashoda i izdataka'!$C$3:$C$501,"=81",'Unos rashoda i izdataka'!$P$3:$P$501,"=44")+SUMIFS('Unos rashoda P4'!$J$3:$J$501,'Unos rashoda P4'!$A$3:$A$501,"=81",'Unos rashoda P4'!$S$3:$S$501,"=44")</f>
        <v>0</v>
      </c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2"/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  <c r="AX51" s="182"/>
      <c r="AY51" s="182"/>
      <c r="AZ51" s="182"/>
      <c r="BA51" s="182"/>
      <c r="BB51" s="182"/>
      <c r="BC51" s="182"/>
      <c r="BD51" s="182"/>
      <c r="BE51" s="182"/>
      <c r="BF51" s="182"/>
      <c r="BG51" s="182"/>
      <c r="BH51" s="182"/>
      <c r="BI51" s="182"/>
      <c r="BJ51" s="182"/>
      <c r="BK51" s="182"/>
      <c r="BL51" s="182"/>
      <c r="BM51" s="182"/>
      <c r="BN51" s="182"/>
      <c r="BO51" s="182"/>
      <c r="BP51" s="182"/>
      <c r="BQ51" s="182"/>
      <c r="BR51" s="182"/>
      <c r="BS51" s="182"/>
      <c r="BT51" s="182"/>
      <c r="BU51" s="182"/>
      <c r="BV51" s="182"/>
      <c r="BW51" s="182"/>
      <c r="BX51" s="182"/>
      <c r="BY51" s="182"/>
      <c r="BZ51" s="182"/>
      <c r="CA51" s="182"/>
      <c r="CB51" s="182"/>
      <c r="CC51" s="182"/>
      <c r="CD51" s="182"/>
      <c r="CE51" s="182"/>
      <c r="CF51" s="182"/>
      <c r="CG51" s="182"/>
      <c r="CH51" s="182"/>
      <c r="CI51" s="182"/>
      <c r="CJ51" s="182"/>
      <c r="CK51" s="182"/>
      <c r="CL51" s="182"/>
      <c r="CM51" s="182"/>
      <c r="CN51" s="182"/>
      <c r="CO51" s="182"/>
      <c r="CP51" s="182"/>
      <c r="CQ51" s="182"/>
      <c r="CR51" s="182"/>
      <c r="CS51" s="182"/>
      <c r="CT51" s="182"/>
      <c r="CU51" s="182"/>
      <c r="CV51" s="182"/>
      <c r="CW51" s="182"/>
      <c r="CX51" s="182"/>
      <c r="CY51" s="182"/>
      <c r="CZ51" s="182"/>
      <c r="DA51" s="182"/>
      <c r="DB51" s="182"/>
      <c r="DC51" s="182"/>
      <c r="DD51" s="182"/>
      <c r="DE51" s="182"/>
      <c r="DF51" s="182"/>
      <c r="DG51" s="182"/>
      <c r="DH51" s="182"/>
      <c r="DI51" s="182"/>
      <c r="DJ51" s="182"/>
      <c r="DK51" s="182"/>
      <c r="DL51" s="182"/>
      <c r="DM51" s="182"/>
      <c r="DN51" s="182"/>
      <c r="DO51" s="182"/>
      <c r="DP51" s="182"/>
      <c r="DQ51" s="182"/>
      <c r="DR51" s="182"/>
      <c r="DS51" s="182"/>
      <c r="DT51" s="182"/>
      <c r="DU51" s="182"/>
      <c r="DV51" s="182"/>
      <c r="DW51" s="182"/>
      <c r="DX51" s="182"/>
      <c r="DY51" s="182"/>
      <c r="DZ51" s="182"/>
      <c r="EA51" s="182"/>
      <c r="EB51" s="182"/>
      <c r="EC51" s="182"/>
      <c r="ED51" s="182"/>
      <c r="EE51" s="182"/>
      <c r="EF51" s="182"/>
      <c r="EG51" s="182"/>
      <c r="EH51" s="182"/>
      <c r="EI51" s="182"/>
      <c r="EJ51" s="182"/>
      <c r="EK51" s="182"/>
      <c r="EL51" s="182"/>
      <c r="EM51" s="182"/>
      <c r="EN51" s="182"/>
      <c r="EO51" s="182"/>
      <c r="EP51" s="182"/>
      <c r="EQ51" s="182"/>
      <c r="ER51" s="182"/>
      <c r="ES51" s="182"/>
      <c r="ET51" s="182"/>
      <c r="EU51" s="182"/>
      <c r="EV51" s="182"/>
      <c r="EW51" s="182"/>
      <c r="EX51" s="182"/>
      <c r="EY51" s="182"/>
      <c r="EZ51" s="182"/>
      <c r="FA51" s="182"/>
      <c r="FB51" s="182"/>
      <c r="FC51" s="182"/>
      <c r="FD51" s="182"/>
      <c r="FE51" s="182"/>
      <c r="FF51" s="182"/>
      <c r="FG51" s="182"/>
      <c r="FH51" s="182"/>
      <c r="FI51" s="182"/>
      <c r="FJ51" s="182"/>
      <c r="FK51" s="182"/>
      <c r="FL51" s="182"/>
      <c r="FM51" s="182"/>
      <c r="FN51" s="182"/>
      <c r="FO51" s="182"/>
      <c r="FP51" s="182"/>
      <c r="FQ51" s="182"/>
      <c r="FR51" s="182"/>
      <c r="FS51" s="182"/>
      <c r="FT51" s="182"/>
      <c r="FU51" s="182"/>
      <c r="FV51" s="182"/>
      <c r="FW51" s="182"/>
      <c r="FX51" s="182"/>
      <c r="FY51" s="182"/>
      <c r="FZ51" s="182"/>
      <c r="GA51" s="182"/>
      <c r="GB51" s="182"/>
      <c r="GC51" s="182"/>
      <c r="GD51" s="182"/>
      <c r="GE51" s="182"/>
      <c r="GF51" s="182"/>
      <c r="GG51" s="182"/>
      <c r="GH51" s="182"/>
      <c r="GI51" s="182"/>
      <c r="GJ51" s="182"/>
      <c r="GK51" s="182"/>
      <c r="GL51" s="183"/>
      <c r="GM51" s="183"/>
      <c r="GN51" s="183"/>
      <c r="GO51" s="183"/>
      <c r="GP51" s="183"/>
      <c r="GQ51" s="183"/>
      <c r="GR51" s="183"/>
      <c r="GS51" s="183"/>
      <c r="GT51" s="183"/>
      <c r="GU51" s="183"/>
      <c r="GV51" s="183"/>
      <c r="GW51" s="183"/>
      <c r="GX51" s="183"/>
      <c r="GY51" s="183"/>
      <c r="GZ51" s="183"/>
      <c r="HA51" s="183"/>
      <c r="HB51" s="183"/>
      <c r="HC51" s="183"/>
      <c r="HD51" s="183"/>
      <c r="HE51" s="183"/>
    </row>
    <row r="52" spans="1:213" s="190" customFormat="1" ht="12.6" customHeight="1">
      <c r="A52" s="160">
        <v>2023</v>
      </c>
      <c r="B52" s="174">
        <v>45</v>
      </c>
      <c r="C52" s="175" t="s">
        <v>3255</v>
      </c>
      <c r="D52" s="176">
        <f t="shared" si="17"/>
        <v>0</v>
      </c>
      <c r="E52" s="171">
        <f>SUMIFS('Unos rashoda i izdataka'!$L$3:$L$501,'Unos rashoda i izdataka'!$C$3:$C$501,"=11",'Unos rashoda i izdataka'!$P$3:$P$501,"=45")+SUMIFS('Unos rashoda P4'!$J$3:$J$501,'Unos rashoda P4'!$A$3:$A$501,"=11",'Unos rashoda P4'!$S$3:$S$501,"=45")</f>
        <v>0</v>
      </c>
      <c r="F52" s="171">
        <f>SUMIFS('Unos rashoda i izdataka'!$L$3:$L$501,'Unos rashoda i izdataka'!$C$3:$C$501,"=12",'Unos rashoda i izdataka'!$P$3:$P$501,"=45")+SUMIFS('Unos rashoda P4'!$J$3:$J$501,'Unos rashoda P4'!$A$3:$A$501,"=12",'Unos rashoda P4'!$S$3:$S$501,"=45")</f>
        <v>0</v>
      </c>
      <c r="G52" s="171">
        <f>SUMIFS('Unos rashoda i izdataka'!$L$3:$L$501,'Unos rashoda i izdataka'!$C$3:$C$501,"=31",'Unos rashoda i izdataka'!$P$3:$P$501,"=45")+SUMIFS('Unos rashoda P4'!$J$3:$J$501,'Unos rashoda P4'!$A$3:$A$501,"=31",'Unos rashoda P4'!$S$3:$S$501,"=45")</f>
        <v>0</v>
      </c>
      <c r="H52" s="171">
        <f>SUMIFS('Unos rashoda i izdataka'!$L$3:$L$501,'Unos rashoda i izdataka'!$C$3:$C$501,"=41",'Unos rashoda i izdataka'!$P$3:$P$501,"=45")+SUMIFS('Unos rashoda P4'!$J$3:$J$501,'Unos rashoda P4'!$A$3:$A$501,"=41",'Unos rashoda P4'!$S$3:$S$501,"=45")</f>
        <v>0</v>
      </c>
      <c r="I52" s="171">
        <f>SUMIFS('Unos rashoda i izdataka'!$L$3:$L$501,'Unos rashoda i izdataka'!$C$3:$C$501,"=43",'Unos rashoda i izdataka'!$P$3:$P$501,"=45")+SUMIFS('Unos rashoda P4'!$J$3:$J$501,'Unos rashoda P4'!$A$3:$A$501,"=43",'Unos rashoda P4'!$S$3:$S$501,"=45")</f>
        <v>0</v>
      </c>
      <c r="J52" s="171">
        <f>SUMIFS('Unos rashoda i izdataka'!$L$3:$L$501,'Unos rashoda i izdataka'!$C$3:$C$501,"=51",'Unos rashoda i izdataka'!$P$3:$P$501,"=45")+SUMIFS('Unos rashoda P4'!$J$3:$J$501,'Unos rashoda P4'!$A$3:$A$501,"=51",'Unos rashoda P4'!$S$3:$S$501,"=45")</f>
        <v>0</v>
      </c>
      <c r="K52" s="171">
        <f>SUMIFS('Unos rashoda i izdataka'!$L$3:$L$501,'Unos rashoda i izdataka'!$C$3:$C$501,"=52",'Unos rashoda i izdataka'!$P$3:$P$501,"=45")+SUMIFS('Unos rashoda P4'!$J$3:$J$501,'Unos rashoda P4'!$A$3:$A$501,"=52",'Unos rashoda P4'!$S$3:$S$501,"=45")</f>
        <v>0</v>
      </c>
      <c r="L52" s="171">
        <f>SUMIFS('Unos rashoda i izdataka'!$L$3:$L$501,'Unos rashoda i izdataka'!$C$3:$C$501,"=552",'Unos rashoda i izdataka'!$P$3:$P$501,"=45")+SUMIFS('Unos rashoda P4'!$J$3:$J$501,'Unos rashoda P4'!$A$3:$A$501,"=552",'Unos rashoda P4'!$S$3:$S$501,"=45")</f>
        <v>0</v>
      </c>
      <c r="M52" s="171">
        <f>SUMIFS('Unos rashoda i izdataka'!$L$3:$L$501,'Unos rashoda i izdataka'!$C$3:$C$501,"=559",'Unos rashoda i izdataka'!$P$3:$P$501,"=45")+SUMIFS('Unos rashoda P4'!$J$3:$J$501,'Unos rashoda P4'!$A$3:$A$501,"=559",'Unos rashoda P4'!$S$3:$S$501,"=45")</f>
        <v>0</v>
      </c>
      <c r="N52" s="171">
        <f>SUMIFS('Unos rashoda i izdataka'!$L$3:$L$501,'Unos rashoda i izdataka'!$C$3:$C$501,"=561",'Unos rashoda i izdataka'!$P$3:$P$501,"=45")+SUMIFS('Unos rashoda P4'!$J$3:$J$501,'Unos rashoda P4'!$A$3:$A$501,"=561",'Unos rashoda P4'!$S$3:$S$501,"=45")</f>
        <v>0</v>
      </c>
      <c r="O52" s="171">
        <f>SUMIFS('Unos rashoda i izdataka'!$L$3:$L$501,'Unos rashoda i izdataka'!$C$3:$C$501,"=563",'Unos rashoda i izdataka'!$P$3:$P$501,"=45")+SUMIFS('Unos rashoda P4'!$J$3:$J$501,'Unos rashoda P4'!$A$3:$A$501,"=563",'Unos rashoda P4'!$S$3:$S$501,"=45")</f>
        <v>0</v>
      </c>
      <c r="P52" s="171">
        <f>SUMIFS('Unos rashoda i izdataka'!$L$3:$L$501,'Unos rashoda i izdataka'!$C$3:$C$501,"=573",'Unos rashoda i izdataka'!$P$3:$P$501,"=45")+SUMIFS('Unos rashoda P4'!$J$3:$J$501,'Unos rashoda P4'!$A$3:$A$501,"=573",'Unos rashoda P4'!$S$3:$S$501,"=45")</f>
        <v>0</v>
      </c>
      <c r="Q52" s="171">
        <f>SUMIFS('Unos rashoda i izdataka'!$L$3:$L$501,'Unos rashoda i izdataka'!$C$3:$C$501,"=575",'Unos rashoda i izdataka'!$P$3:$P$501,"=45")+SUMIFS('Unos rashoda P4'!$J$3:$J$501,'Unos rashoda P4'!$A$3:$A$501,"=575",'Unos rashoda P4'!$S$3:$S$501,"=45")</f>
        <v>0</v>
      </c>
      <c r="R52" s="171">
        <f>SUMIFS('Unos rashoda i izdataka'!$L$3:$L$501,'Unos rashoda i izdataka'!$Q$3:$Q$501,"=576",'Unos rashoda i izdataka'!$P$3:$P$501,"=45")+SUMIFS('Unos rashoda P4'!$J$3:$J$501,'Unos rashoda P4'!$A$3:$A$501,"=576",'Unos rashoda P4'!$S$3:$S$501,"=45")</f>
        <v>0</v>
      </c>
      <c r="S52" s="171">
        <f>SUMIFS('Unos rashoda i izdataka'!$L$3:$L$501,'Unos rashoda i izdataka'!$C$3:$C$501,"=581",'Unos rashoda i izdataka'!$P$3:$P$501,"=45")+SUMIFS('Unos rashoda P4'!$J$3:$J$501,'Unos rashoda P4'!$A$3:$A$501,"=581",'Unos rashoda P4'!$S$3:$S$501,"=45")</f>
        <v>0</v>
      </c>
      <c r="T52" s="171">
        <f>SUMIFS('Unos rashoda i izdataka'!$L$3:$L$501,'Unos rashoda i izdataka'!$C$3:$C$501,"=61",'Unos rashoda i izdataka'!$P$3:$P$501,"=45")+SUMIFS('Unos rashoda P4'!$J$3:$J$501,'Unos rashoda P4'!$A$3:$A$501,"=61",'Unos rashoda P4'!$S$3:$S$501,"=45")</f>
        <v>0</v>
      </c>
      <c r="U52" s="171">
        <f>SUMIFS('Unos rashoda i izdataka'!$L$3:$L$501,'Unos rashoda i izdataka'!$C$3:$C$501,"=63",'Unos rashoda i izdataka'!$P$3:$P$501,"=45")+SUMIFS('Unos rashoda P4'!$J$3:$J$501,'Unos rashoda P4'!$A$3:$A$501,"=63",'Unos rashoda P4'!$S$3:$S$501,"=45")</f>
        <v>0</v>
      </c>
      <c r="V52" s="171">
        <f>SUMIFS('Unos rashoda i izdataka'!$L$3:$L$501,'Unos rashoda i izdataka'!$C$3:$C$501,"=71",'Unos rashoda i izdataka'!$P$3:$P$501,"=45")+SUMIFS('Unos rashoda P4'!$J$3:$J$501,'Unos rashoda P4'!$A$3:$A$501,"=71",'Unos rashoda P4'!$S$3:$S$501,"=45")</f>
        <v>0</v>
      </c>
      <c r="W52" s="171">
        <f>SUMIFS('Unos rashoda i izdataka'!$L$3:$L$501,'Unos rashoda i izdataka'!$C$3:$C$501,"=81",'Unos rashoda i izdataka'!$P$3:$P$501,"=45")+SUMIFS('Unos rashoda P4'!$J$3:$J$501,'Unos rashoda P4'!$A$3:$A$501,"=81",'Unos rashoda P4'!$S$3:$S$501,"=45")</f>
        <v>0</v>
      </c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2"/>
      <c r="AK52" s="172"/>
      <c r="AL52" s="172"/>
      <c r="AM52" s="172"/>
      <c r="AN52" s="172"/>
      <c r="AO52" s="172"/>
      <c r="AP52" s="172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72"/>
      <c r="BC52" s="172"/>
      <c r="BD52" s="172"/>
      <c r="BE52" s="172"/>
      <c r="BF52" s="172"/>
      <c r="BG52" s="172"/>
      <c r="BH52" s="172"/>
      <c r="BI52" s="172"/>
      <c r="BJ52" s="172"/>
      <c r="BK52" s="172"/>
      <c r="BL52" s="172"/>
      <c r="BM52" s="172"/>
      <c r="BN52" s="172"/>
      <c r="BO52" s="172"/>
      <c r="BP52" s="172"/>
      <c r="BQ52" s="172"/>
      <c r="BR52" s="172"/>
      <c r="BS52" s="172"/>
      <c r="BT52" s="172"/>
      <c r="BU52" s="172"/>
      <c r="BV52" s="172"/>
      <c r="BW52" s="172"/>
      <c r="BX52" s="172"/>
      <c r="BY52" s="172"/>
      <c r="BZ52" s="172"/>
      <c r="CA52" s="172"/>
      <c r="CB52" s="172"/>
      <c r="CC52" s="172"/>
      <c r="CD52" s="172"/>
      <c r="CE52" s="172"/>
      <c r="CF52" s="172"/>
      <c r="CG52" s="172"/>
      <c r="CH52" s="172"/>
      <c r="CI52" s="172"/>
      <c r="CJ52" s="172"/>
      <c r="CK52" s="172"/>
      <c r="CL52" s="172"/>
      <c r="CM52" s="172"/>
      <c r="CN52" s="172"/>
      <c r="CO52" s="172"/>
      <c r="CP52" s="172"/>
      <c r="CQ52" s="172"/>
      <c r="CR52" s="172"/>
      <c r="CS52" s="172"/>
      <c r="CT52" s="172"/>
      <c r="CU52" s="172"/>
      <c r="CV52" s="172"/>
      <c r="CW52" s="172"/>
      <c r="CX52" s="172"/>
      <c r="CY52" s="172"/>
      <c r="CZ52" s="172"/>
      <c r="DA52" s="172"/>
      <c r="DB52" s="172"/>
      <c r="DC52" s="172"/>
      <c r="DD52" s="172"/>
      <c r="DE52" s="172"/>
      <c r="DF52" s="172"/>
      <c r="DG52" s="172"/>
      <c r="DH52" s="172"/>
      <c r="DI52" s="172"/>
      <c r="DJ52" s="172"/>
      <c r="DK52" s="172"/>
      <c r="DL52" s="172"/>
      <c r="DM52" s="172"/>
      <c r="DN52" s="172"/>
      <c r="DO52" s="172"/>
      <c r="DP52" s="172"/>
      <c r="DQ52" s="172"/>
      <c r="DR52" s="172"/>
      <c r="DS52" s="172"/>
      <c r="DT52" s="172"/>
      <c r="DU52" s="172"/>
      <c r="DV52" s="172"/>
      <c r="DW52" s="172"/>
      <c r="DX52" s="172"/>
      <c r="DY52" s="172"/>
      <c r="DZ52" s="172"/>
      <c r="EA52" s="172"/>
      <c r="EB52" s="172"/>
      <c r="EC52" s="172"/>
      <c r="ED52" s="172"/>
      <c r="EE52" s="172"/>
      <c r="EF52" s="172"/>
      <c r="EG52" s="172"/>
      <c r="EH52" s="172"/>
      <c r="EI52" s="172"/>
      <c r="EJ52" s="172"/>
      <c r="EK52" s="172"/>
      <c r="EL52" s="172"/>
      <c r="EM52" s="172"/>
      <c r="EN52" s="172"/>
      <c r="EO52" s="172"/>
      <c r="EP52" s="172"/>
      <c r="EQ52" s="172"/>
      <c r="ER52" s="172"/>
      <c r="ES52" s="172"/>
      <c r="ET52" s="172"/>
      <c r="EU52" s="172"/>
      <c r="EV52" s="172"/>
      <c r="EW52" s="172"/>
      <c r="EX52" s="172"/>
      <c r="EY52" s="172"/>
      <c r="EZ52" s="172"/>
      <c r="FA52" s="172"/>
      <c r="FB52" s="172"/>
      <c r="FC52" s="172"/>
      <c r="FD52" s="172"/>
      <c r="FE52" s="172"/>
      <c r="FF52" s="172"/>
      <c r="FG52" s="172"/>
      <c r="FH52" s="172"/>
      <c r="FI52" s="172"/>
      <c r="FJ52" s="172"/>
      <c r="FK52" s="172"/>
      <c r="FL52" s="172"/>
      <c r="FM52" s="172"/>
      <c r="FN52" s="172"/>
      <c r="FO52" s="172"/>
      <c r="FP52" s="172"/>
      <c r="FQ52" s="172"/>
      <c r="FR52" s="172"/>
      <c r="FS52" s="172"/>
      <c r="FT52" s="172"/>
      <c r="FU52" s="172"/>
      <c r="FV52" s="172"/>
      <c r="FW52" s="172"/>
      <c r="FX52" s="172"/>
      <c r="FY52" s="172"/>
      <c r="FZ52" s="172"/>
      <c r="GA52" s="172"/>
      <c r="GB52" s="172"/>
      <c r="GC52" s="172"/>
      <c r="GD52" s="172"/>
      <c r="GE52" s="172"/>
      <c r="GF52" s="172"/>
      <c r="GG52" s="172"/>
      <c r="GH52" s="172"/>
      <c r="GI52" s="172"/>
      <c r="GJ52" s="172"/>
      <c r="GK52" s="172"/>
      <c r="GL52" s="173"/>
      <c r="GM52" s="173"/>
      <c r="GN52" s="173"/>
      <c r="GO52" s="173"/>
      <c r="GP52" s="173"/>
      <c r="GQ52" s="173"/>
      <c r="GR52" s="173"/>
      <c r="GS52" s="173"/>
      <c r="GT52" s="173"/>
      <c r="GU52" s="173"/>
      <c r="GV52" s="173"/>
      <c r="GW52" s="173"/>
      <c r="GX52" s="173"/>
      <c r="GY52" s="173"/>
      <c r="GZ52" s="173"/>
      <c r="HA52" s="173"/>
      <c r="HB52" s="173"/>
      <c r="HC52" s="173"/>
      <c r="HD52" s="173"/>
      <c r="HE52" s="173"/>
    </row>
    <row r="53" spans="1:213" s="156" customFormat="1"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GL53" s="155"/>
      <c r="GM53" s="155"/>
      <c r="GN53" s="155"/>
      <c r="GO53" s="155"/>
      <c r="GP53" s="155"/>
      <c r="GQ53" s="155"/>
      <c r="GR53" s="155"/>
      <c r="GS53" s="155"/>
      <c r="GT53" s="155"/>
      <c r="GU53" s="155"/>
      <c r="GV53" s="155"/>
      <c r="GW53" s="155"/>
      <c r="GX53" s="155"/>
      <c r="GY53" s="155"/>
      <c r="GZ53" s="155"/>
      <c r="HA53" s="155"/>
      <c r="HB53" s="155"/>
      <c r="HC53" s="155"/>
      <c r="HD53" s="155"/>
      <c r="HE53" s="155"/>
    </row>
    <row r="54" spans="1:213" s="156" customFormat="1">
      <c r="B54" s="155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GL54" s="155"/>
      <c r="GM54" s="155"/>
      <c r="GN54" s="155"/>
      <c r="GO54" s="155"/>
      <c r="GP54" s="155"/>
      <c r="GQ54" s="155"/>
      <c r="GR54" s="155"/>
      <c r="GS54" s="155"/>
      <c r="GT54" s="155"/>
      <c r="GU54" s="155"/>
      <c r="GV54" s="155"/>
      <c r="GW54" s="155"/>
      <c r="GX54" s="155"/>
      <c r="GY54" s="155"/>
      <c r="GZ54" s="155"/>
      <c r="HA54" s="155"/>
      <c r="HB54" s="155"/>
      <c r="HC54" s="155"/>
      <c r="HD54" s="155"/>
      <c r="HE54" s="155"/>
    </row>
    <row r="55" spans="1:213" s="156" customFormat="1" hidden="1">
      <c r="B55" s="155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GL55" s="155"/>
      <c r="GM55" s="155"/>
      <c r="GN55" s="155"/>
      <c r="GO55" s="155"/>
      <c r="GP55" s="155"/>
      <c r="GQ55" s="155"/>
      <c r="GR55" s="155"/>
      <c r="GS55" s="155"/>
      <c r="GT55" s="155"/>
      <c r="GU55" s="155"/>
      <c r="GV55" s="155"/>
      <c r="GW55" s="155"/>
      <c r="GX55" s="155"/>
      <c r="GY55" s="155"/>
      <c r="GZ55" s="155"/>
      <c r="HA55" s="155"/>
      <c r="HB55" s="155"/>
      <c r="HC55" s="155"/>
      <c r="HD55" s="155"/>
      <c r="HE55" s="155"/>
    </row>
    <row r="56" spans="1:213" s="156" customFormat="1" hidden="1"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GL56" s="155"/>
      <c r="GM56" s="155"/>
      <c r="GN56" s="155"/>
      <c r="GO56" s="155"/>
      <c r="GP56" s="155"/>
      <c r="GQ56" s="155"/>
      <c r="GR56" s="155"/>
      <c r="GS56" s="155"/>
      <c r="GT56" s="155"/>
      <c r="GU56" s="155"/>
      <c r="GV56" s="155"/>
      <c r="GW56" s="155"/>
      <c r="GX56" s="155"/>
      <c r="GY56" s="155"/>
      <c r="GZ56" s="155"/>
      <c r="HA56" s="155"/>
      <c r="HB56" s="155"/>
      <c r="HC56" s="155"/>
      <c r="HD56" s="155"/>
      <c r="HE56" s="155"/>
    </row>
    <row r="57" spans="1:213" s="156" customFormat="1" hidden="1"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GL57" s="155"/>
      <c r="GM57" s="155"/>
      <c r="GN57" s="155"/>
      <c r="GO57" s="155"/>
      <c r="GP57" s="155"/>
      <c r="GQ57" s="155"/>
      <c r="GR57" s="155"/>
      <c r="GS57" s="155"/>
      <c r="GT57" s="155"/>
      <c r="GU57" s="155"/>
      <c r="GV57" s="155"/>
      <c r="GW57" s="155"/>
      <c r="GX57" s="155"/>
      <c r="GY57" s="155"/>
      <c r="GZ57" s="155"/>
      <c r="HA57" s="155"/>
      <c r="HB57" s="155"/>
      <c r="HC57" s="155"/>
      <c r="HD57" s="155"/>
      <c r="HE57" s="155"/>
    </row>
    <row r="58" spans="1:213" s="156" customFormat="1" hidden="1"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GL58" s="155"/>
      <c r="GM58" s="155"/>
      <c r="GN58" s="155"/>
      <c r="GO58" s="155"/>
      <c r="GP58" s="155"/>
      <c r="GQ58" s="155"/>
      <c r="GR58" s="155"/>
      <c r="GS58" s="155"/>
      <c r="GT58" s="155"/>
      <c r="GU58" s="155"/>
      <c r="GV58" s="155"/>
      <c r="GW58" s="155"/>
      <c r="GX58" s="155"/>
      <c r="GY58" s="155"/>
      <c r="GZ58" s="155"/>
      <c r="HA58" s="155"/>
      <c r="HB58" s="155"/>
      <c r="HC58" s="155"/>
      <c r="HD58" s="155"/>
      <c r="HE58" s="155"/>
    </row>
    <row r="59" spans="1:213" s="156" customFormat="1" hidden="1"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GL59" s="155"/>
      <c r="GM59" s="155"/>
      <c r="GN59" s="155"/>
      <c r="GO59" s="155"/>
      <c r="GP59" s="155"/>
      <c r="GQ59" s="155"/>
      <c r="GR59" s="155"/>
      <c r="GS59" s="155"/>
      <c r="GT59" s="155"/>
      <c r="GU59" s="155"/>
      <c r="GV59" s="155"/>
      <c r="GW59" s="155"/>
      <c r="GX59" s="155"/>
      <c r="GY59" s="155"/>
      <c r="GZ59" s="155"/>
      <c r="HA59" s="155"/>
      <c r="HB59" s="155"/>
      <c r="HC59" s="155"/>
      <c r="HD59" s="155"/>
      <c r="HE59" s="155"/>
    </row>
    <row r="60" spans="1:213" s="156" customFormat="1" hidden="1">
      <c r="B60" s="155"/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GL60" s="155"/>
      <c r="GM60" s="155"/>
      <c r="GN60" s="155"/>
      <c r="GO60" s="155"/>
      <c r="GP60" s="155"/>
      <c r="GQ60" s="155"/>
      <c r="GR60" s="155"/>
      <c r="GS60" s="155"/>
      <c r="GT60" s="155"/>
      <c r="GU60" s="155"/>
      <c r="GV60" s="155"/>
      <c r="GW60" s="155"/>
      <c r="GX60" s="155"/>
      <c r="GY60" s="155"/>
      <c r="GZ60" s="155"/>
      <c r="HA60" s="155"/>
      <c r="HB60" s="155"/>
      <c r="HC60" s="155"/>
      <c r="HD60" s="155"/>
      <c r="HE60" s="155"/>
    </row>
    <row r="61" spans="1:213" s="156" customFormat="1" hidden="1"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GL61" s="155"/>
      <c r="GM61" s="155"/>
      <c r="GN61" s="155"/>
      <c r="GO61" s="155"/>
      <c r="GP61" s="155"/>
      <c r="GQ61" s="155"/>
      <c r="GR61" s="155"/>
      <c r="GS61" s="155"/>
      <c r="GT61" s="155"/>
      <c r="GU61" s="155"/>
      <c r="GV61" s="155"/>
      <c r="GW61" s="155"/>
      <c r="GX61" s="155"/>
      <c r="GY61" s="155"/>
      <c r="GZ61" s="155"/>
      <c r="HA61" s="155"/>
      <c r="HB61" s="155"/>
      <c r="HC61" s="155"/>
      <c r="HD61" s="155"/>
      <c r="HE61" s="155"/>
    </row>
    <row r="62" spans="1:213" s="156" customFormat="1" hidden="1"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GL62" s="155"/>
      <c r="GM62" s="155"/>
      <c r="GN62" s="155"/>
      <c r="GO62" s="155"/>
      <c r="GP62" s="155"/>
      <c r="GQ62" s="155"/>
      <c r="GR62" s="155"/>
      <c r="GS62" s="155"/>
      <c r="GT62" s="155"/>
      <c r="GU62" s="155"/>
      <c r="GV62" s="155"/>
      <c r="GW62" s="155"/>
      <c r="GX62" s="155"/>
      <c r="GY62" s="155"/>
      <c r="GZ62" s="155"/>
      <c r="HA62" s="155"/>
      <c r="HB62" s="155"/>
      <c r="HC62" s="155"/>
      <c r="HD62" s="155"/>
      <c r="HE62" s="155"/>
    </row>
    <row r="63" spans="1:213" s="156" customFormat="1" hidden="1">
      <c r="B63" s="155"/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GL63" s="155"/>
      <c r="GM63" s="155"/>
      <c r="GN63" s="155"/>
      <c r="GO63" s="155"/>
      <c r="GP63" s="155"/>
      <c r="GQ63" s="155"/>
      <c r="GR63" s="155"/>
      <c r="GS63" s="155"/>
      <c r="GT63" s="155"/>
      <c r="GU63" s="155"/>
      <c r="GV63" s="155"/>
      <c r="GW63" s="155"/>
      <c r="GX63" s="155"/>
      <c r="GY63" s="155"/>
      <c r="GZ63" s="155"/>
      <c r="HA63" s="155"/>
      <c r="HB63" s="155"/>
      <c r="HC63" s="155"/>
      <c r="HD63" s="155"/>
      <c r="HE63" s="155"/>
    </row>
    <row r="64" spans="1:213" s="156" customFormat="1" hidden="1">
      <c r="B64" s="155"/>
      <c r="C64" s="155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GL64" s="155"/>
      <c r="GM64" s="155"/>
      <c r="GN64" s="155"/>
      <c r="GO64" s="155"/>
      <c r="GP64" s="155"/>
      <c r="GQ64" s="155"/>
      <c r="GR64" s="155"/>
      <c r="GS64" s="155"/>
      <c r="GT64" s="155"/>
      <c r="GU64" s="155"/>
      <c r="GV64" s="155"/>
      <c r="GW64" s="155"/>
      <c r="GX64" s="155"/>
      <c r="GY64" s="155"/>
      <c r="GZ64" s="155"/>
      <c r="HA64" s="155"/>
      <c r="HB64" s="155"/>
      <c r="HC64" s="155"/>
      <c r="HD64" s="155"/>
      <c r="HE64" s="155"/>
    </row>
    <row r="65" spans="2:213" s="156" customFormat="1" hidden="1">
      <c r="B65" s="155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GL65" s="155"/>
      <c r="GM65" s="155"/>
      <c r="GN65" s="155"/>
      <c r="GO65" s="155"/>
      <c r="GP65" s="155"/>
      <c r="GQ65" s="155"/>
      <c r="GR65" s="155"/>
      <c r="GS65" s="155"/>
      <c r="GT65" s="155"/>
      <c r="GU65" s="155"/>
      <c r="GV65" s="155"/>
      <c r="GW65" s="155"/>
      <c r="GX65" s="155"/>
      <c r="GY65" s="155"/>
      <c r="GZ65" s="155"/>
      <c r="HA65" s="155"/>
      <c r="HB65" s="155"/>
      <c r="HC65" s="155"/>
      <c r="HD65" s="155"/>
      <c r="HE65" s="155"/>
    </row>
    <row r="66" spans="2:213" s="156" customFormat="1" hidden="1">
      <c r="B66" s="155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GL66" s="155"/>
      <c r="GM66" s="155"/>
      <c r="GN66" s="155"/>
      <c r="GO66" s="155"/>
      <c r="GP66" s="155"/>
      <c r="GQ66" s="155"/>
      <c r="GR66" s="155"/>
      <c r="GS66" s="155"/>
      <c r="GT66" s="155"/>
      <c r="GU66" s="155"/>
      <c r="GV66" s="155"/>
      <c r="GW66" s="155"/>
      <c r="GX66" s="155"/>
      <c r="GY66" s="155"/>
      <c r="GZ66" s="155"/>
      <c r="HA66" s="155"/>
      <c r="HB66" s="155"/>
      <c r="HC66" s="155"/>
      <c r="HD66" s="155"/>
      <c r="HE66" s="155"/>
    </row>
    <row r="67" spans="2:213" s="156" customFormat="1" hidden="1"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GL67" s="155"/>
      <c r="GM67" s="155"/>
      <c r="GN67" s="155"/>
      <c r="GO67" s="155"/>
      <c r="GP67" s="155"/>
      <c r="GQ67" s="155"/>
      <c r="GR67" s="155"/>
      <c r="GS67" s="155"/>
      <c r="GT67" s="155"/>
      <c r="GU67" s="155"/>
      <c r="GV67" s="155"/>
      <c r="GW67" s="155"/>
      <c r="GX67" s="155"/>
      <c r="GY67" s="155"/>
      <c r="GZ67" s="155"/>
      <c r="HA67" s="155"/>
      <c r="HB67" s="155"/>
      <c r="HC67" s="155"/>
      <c r="HD67" s="155"/>
      <c r="HE67" s="155"/>
    </row>
    <row r="68" spans="2:213" s="156" customFormat="1" hidden="1">
      <c r="B68" s="155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GL68" s="155"/>
      <c r="GM68" s="155"/>
      <c r="GN68" s="155"/>
      <c r="GO68" s="155"/>
      <c r="GP68" s="155"/>
      <c r="GQ68" s="155"/>
      <c r="GR68" s="155"/>
      <c r="GS68" s="155"/>
      <c r="GT68" s="155"/>
      <c r="GU68" s="155"/>
      <c r="GV68" s="155"/>
      <c r="GW68" s="155"/>
      <c r="GX68" s="155"/>
      <c r="GY68" s="155"/>
      <c r="GZ68" s="155"/>
      <c r="HA68" s="155"/>
      <c r="HB68" s="155"/>
      <c r="HC68" s="155"/>
      <c r="HD68" s="155"/>
      <c r="HE68" s="155"/>
    </row>
    <row r="69" spans="2:213" s="156" customFormat="1" hidden="1">
      <c r="B69" s="155"/>
      <c r="C69" s="155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GL69" s="155"/>
      <c r="GM69" s="155"/>
      <c r="GN69" s="155"/>
      <c r="GO69" s="155"/>
      <c r="GP69" s="155"/>
      <c r="GQ69" s="155"/>
      <c r="GR69" s="155"/>
      <c r="GS69" s="155"/>
      <c r="GT69" s="155"/>
      <c r="GU69" s="155"/>
      <c r="GV69" s="155"/>
      <c r="GW69" s="155"/>
      <c r="GX69" s="155"/>
      <c r="GY69" s="155"/>
      <c r="GZ69" s="155"/>
      <c r="HA69" s="155"/>
      <c r="HB69" s="155"/>
      <c r="HC69" s="155"/>
      <c r="HD69" s="155"/>
      <c r="HE69" s="155"/>
    </row>
    <row r="70" spans="2:213" s="156" customFormat="1" hidden="1">
      <c r="B70" s="155"/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GL70" s="155"/>
      <c r="GM70" s="155"/>
      <c r="GN70" s="155"/>
      <c r="GO70" s="155"/>
      <c r="GP70" s="155"/>
      <c r="GQ70" s="155"/>
      <c r="GR70" s="155"/>
      <c r="GS70" s="155"/>
      <c r="GT70" s="155"/>
      <c r="GU70" s="155"/>
      <c r="GV70" s="155"/>
      <c r="GW70" s="155"/>
      <c r="GX70" s="155"/>
      <c r="GY70" s="155"/>
      <c r="GZ70" s="155"/>
      <c r="HA70" s="155"/>
      <c r="HB70" s="155"/>
      <c r="HC70" s="155"/>
      <c r="HD70" s="155"/>
      <c r="HE70" s="155"/>
    </row>
    <row r="71" spans="2:213" s="156" customFormat="1" hidden="1"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GL71" s="155"/>
      <c r="GM71" s="155"/>
      <c r="GN71" s="155"/>
      <c r="GO71" s="155"/>
      <c r="GP71" s="155"/>
      <c r="GQ71" s="155"/>
      <c r="GR71" s="155"/>
      <c r="GS71" s="155"/>
      <c r="GT71" s="155"/>
      <c r="GU71" s="155"/>
      <c r="GV71" s="155"/>
      <c r="GW71" s="155"/>
      <c r="GX71" s="155"/>
      <c r="GY71" s="155"/>
      <c r="GZ71" s="155"/>
      <c r="HA71" s="155"/>
      <c r="HB71" s="155"/>
      <c r="HC71" s="155"/>
      <c r="HD71" s="155"/>
      <c r="HE71" s="155"/>
    </row>
    <row r="72" spans="2:213" s="156" customFormat="1" hidden="1">
      <c r="B72" s="155"/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GL72" s="155"/>
      <c r="GM72" s="155"/>
      <c r="GN72" s="155"/>
      <c r="GO72" s="155"/>
      <c r="GP72" s="155"/>
      <c r="GQ72" s="155"/>
      <c r="GR72" s="155"/>
      <c r="GS72" s="155"/>
      <c r="GT72" s="155"/>
      <c r="GU72" s="155"/>
      <c r="GV72" s="155"/>
      <c r="GW72" s="155"/>
      <c r="GX72" s="155"/>
      <c r="GY72" s="155"/>
      <c r="GZ72" s="155"/>
      <c r="HA72" s="155"/>
      <c r="HB72" s="155"/>
      <c r="HC72" s="155"/>
      <c r="HD72" s="155"/>
      <c r="HE72" s="155"/>
    </row>
    <row r="73" spans="2:213" s="156" customFormat="1" hidden="1">
      <c r="B73" s="155"/>
      <c r="C73" s="155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GL73" s="155"/>
      <c r="GM73" s="155"/>
      <c r="GN73" s="155"/>
      <c r="GO73" s="155"/>
      <c r="GP73" s="155"/>
      <c r="GQ73" s="155"/>
      <c r="GR73" s="155"/>
      <c r="GS73" s="155"/>
      <c r="GT73" s="155"/>
      <c r="GU73" s="155"/>
      <c r="GV73" s="155"/>
      <c r="GW73" s="155"/>
      <c r="GX73" s="155"/>
      <c r="GY73" s="155"/>
      <c r="GZ73" s="155"/>
      <c r="HA73" s="155"/>
      <c r="HB73" s="155"/>
      <c r="HC73" s="155"/>
      <c r="HD73" s="155"/>
      <c r="HE73" s="155"/>
    </row>
    <row r="74" spans="2:213" s="156" customFormat="1" hidden="1">
      <c r="B74" s="155"/>
      <c r="C74" s="155"/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GL74" s="155"/>
      <c r="GM74" s="155"/>
      <c r="GN74" s="155"/>
      <c r="GO74" s="155"/>
      <c r="GP74" s="155"/>
      <c r="GQ74" s="155"/>
      <c r="GR74" s="155"/>
      <c r="GS74" s="155"/>
      <c r="GT74" s="155"/>
      <c r="GU74" s="155"/>
      <c r="GV74" s="155"/>
      <c r="GW74" s="155"/>
      <c r="GX74" s="155"/>
      <c r="GY74" s="155"/>
      <c r="GZ74" s="155"/>
      <c r="HA74" s="155"/>
      <c r="HB74" s="155"/>
      <c r="HC74" s="155"/>
      <c r="HD74" s="155"/>
      <c r="HE74" s="155"/>
    </row>
    <row r="75" spans="2:213" s="156" customFormat="1" hidden="1">
      <c r="B75" s="155"/>
      <c r="C75" s="155"/>
      <c r="D75" s="155"/>
      <c r="E75" s="15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GL75" s="155"/>
      <c r="GM75" s="155"/>
      <c r="GN75" s="155"/>
      <c r="GO75" s="155"/>
      <c r="GP75" s="155"/>
      <c r="GQ75" s="155"/>
      <c r="GR75" s="155"/>
      <c r="GS75" s="155"/>
      <c r="GT75" s="155"/>
      <c r="GU75" s="155"/>
      <c r="GV75" s="155"/>
      <c r="GW75" s="155"/>
      <c r="GX75" s="155"/>
      <c r="GY75" s="155"/>
      <c r="GZ75" s="155"/>
      <c r="HA75" s="155"/>
      <c r="HB75" s="155"/>
      <c r="HC75" s="155"/>
      <c r="HD75" s="155"/>
      <c r="HE75" s="155"/>
    </row>
    <row r="76" spans="2:213" s="156" customFormat="1" hidden="1">
      <c r="B76" s="155"/>
      <c r="C76" s="155"/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GL76" s="155"/>
      <c r="GM76" s="155"/>
      <c r="GN76" s="155"/>
      <c r="GO76" s="155"/>
      <c r="GP76" s="155"/>
      <c r="GQ76" s="155"/>
      <c r="GR76" s="155"/>
      <c r="GS76" s="155"/>
      <c r="GT76" s="155"/>
      <c r="GU76" s="155"/>
      <c r="GV76" s="155"/>
      <c r="GW76" s="155"/>
      <c r="GX76" s="155"/>
      <c r="GY76" s="155"/>
      <c r="GZ76" s="155"/>
      <c r="HA76" s="155"/>
      <c r="HB76" s="155"/>
      <c r="HC76" s="155"/>
      <c r="HD76" s="155"/>
      <c r="HE76" s="155"/>
    </row>
    <row r="77" spans="2:213" s="156" customFormat="1" hidden="1">
      <c r="B77" s="155"/>
      <c r="C77" s="155"/>
      <c r="D77" s="155"/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GL77" s="155"/>
      <c r="GM77" s="155"/>
      <c r="GN77" s="155"/>
      <c r="GO77" s="155"/>
      <c r="GP77" s="155"/>
      <c r="GQ77" s="155"/>
      <c r="GR77" s="155"/>
      <c r="GS77" s="155"/>
      <c r="GT77" s="155"/>
      <c r="GU77" s="155"/>
      <c r="GV77" s="155"/>
      <c r="GW77" s="155"/>
      <c r="GX77" s="155"/>
      <c r="GY77" s="155"/>
      <c r="GZ77" s="155"/>
      <c r="HA77" s="155"/>
      <c r="HB77" s="155"/>
      <c r="HC77" s="155"/>
      <c r="HD77" s="155"/>
      <c r="HE77" s="155"/>
    </row>
    <row r="78" spans="2:213" s="156" customFormat="1" hidden="1">
      <c r="B78" s="155"/>
      <c r="C78" s="155"/>
      <c r="D78" s="155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GL78" s="155"/>
      <c r="GM78" s="155"/>
      <c r="GN78" s="155"/>
      <c r="GO78" s="155"/>
      <c r="GP78" s="155"/>
      <c r="GQ78" s="155"/>
      <c r="GR78" s="155"/>
      <c r="GS78" s="155"/>
      <c r="GT78" s="155"/>
      <c r="GU78" s="155"/>
      <c r="GV78" s="155"/>
      <c r="GW78" s="155"/>
      <c r="GX78" s="155"/>
      <c r="GY78" s="155"/>
      <c r="GZ78" s="155"/>
      <c r="HA78" s="155"/>
      <c r="HB78" s="155"/>
      <c r="HC78" s="155"/>
      <c r="HD78" s="155"/>
      <c r="HE78" s="155"/>
    </row>
    <row r="79" spans="2:213" s="156" customFormat="1" hidden="1">
      <c r="B79" s="155"/>
      <c r="C79" s="155"/>
      <c r="D79" s="155"/>
      <c r="E79" s="15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GL79" s="155"/>
      <c r="GM79" s="155"/>
      <c r="GN79" s="155"/>
      <c r="GO79" s="155"/>
      <c r="GP79" s="155"/>
      <c r="GQ79" s="155"/>
      <c r="GR79" s="155"/>
      <c r="GS79" s="155"/>
      <c r="GT79" s="155"/>
      <c r="GU79" s="155"/>
      <c r="GV79" s="155"/>
      <c r="GW79" s="155"/>
      <c r="GX79" s="155"/>
      <c r="GY79" s="155"/>
      <c r="GZ79" s="155"/>
      <c r="HA79" s="155"/>
      <c r="HB79" s="155"/>
      <c r="HC79" s="155"/>
      <c r="HD79" s="155"/>
      <c r="HE79" s="155"/>
    </row>
    <row r="80" spans="2:213" s="156" customFormat="1" hidden="1">
      <c r="B80" s="155"/>
      <c r="C80" s="155"/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GL80" s="155"/>
      <c r="GM80" s="155"/>
      <c r="GN80" s="155"/>
      <c r="GO80" s="155"/>
      <c r="GP80" s="155"/>
      <c r="GQ80" s="155"/>
      <c r="GR80" s="155"/>
      <c r="GS80" s="155"/>
      <c r="GT80" s="155"/>
      <c r="GU80" s="155"/>
      <c r="GV80" s="155"/>
      <c r="GW80" s="155"/>
      <c r="GX80" s="155"/>
      <c r="GY80" s="155"/>
      <c r="GZ80" s="155"/>
      <c r="HA80" s="155"/>
      <c r="HB80" s="155"/>
      <c r="HC80" s="155"/>
      <c r="HD80" s="155"/>
      <c r="HE80" s="155"/>
    </row>
    <row r="81" spans="2:213" s="156" customFormat="1" hidden="1">
      <c r="B81" s="155"/>
      <c r="C81" s="155"/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GL81" s="155"/>
      <c r="GM81" s="155"/>
      <c r="GN81" s="155"/>
      <c r="GO81" s="155"/>
      <c r="GP81" s="155"/>
      <c r="GQ81" s="155"/>
      <c r="GR81" s="155"/>
      <c r="GS81" s="155"/>
      <c r="GT81" s="155"/>
      <c r="GU81" s="155"/>
      <c r="GV81" s="155"/>
      <c r="GW81" s="155"/>
      <c r="GX81" s="155"/>
      <c r="GY81" s="155"/>
      <c r="GZ81" s="155"/>
      <c r="HA81" s="155"/>
      <c r="HB81" s="155"/>
      <c r="HC81" s="155"/>
      <c r="HD81" s="155"/>
      <c r="HE81" s="155"/>
    </row>
    <row r="82" spans="2:213" s="156" customFormat="1" hidden="1">
      <c r="B82" s="155"/>
      <c r="C82" s="155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GL82" s="155"/>
      <c r="GM82" s="155"/>
      <c r="GN82" s="155"/>
      <c r="GO82" s="155"/>
      <c r="GP82" s="155"/>
      <c r="GQ82" s="155"/>
      <c r="GR82" s="155"/>
      <c r="GS82" s="155"/>
      <c r="GT82" s="155"/>
      <c r="GU82" s="155"/>
      <c r="GV82" s="155"/>
      <c r="GW82" s="155"/>
      <c r="GX82" s="155"/>
      <c r="GY82" s="155"/>
      <c r="GZ82" s="155"/>
      <c r="HA82" s="155"/>
      <c r="HB82" s="155"/>
      <c r="HC82" s="155"/>
      <c r="HD82" s="155"/>
      <c r="HE82" s="155"/>
    </row>
    <row r="83" spans="2:213" s="156" customFormat="1" hidden="1">
      <c r="B83" s="155"/>
      <c r="C83" s="155"/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GL83" s="155"/>
      <c r="GM83" s="155"/>
      <c r="GN83" s="155"/>
      <c r="GO83" s="155"/>
      <c r="GP83" s="155"/>
      <c r="GQ83" s="155"/>
      <c r="GR83" s="155"/>
      <c r="GS83" s="155"/>
      <c r="GT83" s="155"/>
      <c r="GU83" s="155"/>
      <c r="GV83" s="155"/>
      <c r="GW83" s="155"/>
      <c r="GX83" s="155"/>
      <c r="GY83" s="155"/>
      <c r="GZ83" s="155"/>
      <c r="HA83" s="155"/>
      <c r="HB83" s="155"/>
      <c r="HC83" s="155"/>
      <c r="HD83" s="155"/>
      <c r="HE83" s="155"/>
    </row>
    <row r="84" spans="2:213" s="156" customFormat="1" hidden="1">
      <c r="B84" s="155"/>
      <c r="C84" s="155"/>
      <c r="D84" s="155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GL84" s="155"/>
      <c r="GM84" s="155"/>
      <c r="GN84" s="155"/>
      <c r="GO84" s="155"/>
      <c r="GP84" s="155"/>
      <c r="GQ84" s="155"/>
      <c r="GR84" s="155"/>
      <c r="GS84" s="155"/>
      <c r="GT84" s="155"/>
      <c r="GU84" s="155"/>
      <c r="GV84" s="155"/>
      <c r="GW84" s="155"/>
      <c r="GX84" s="155"/>
      <c r="GY84" s="155"/>
      <c r="GZ84" s="155"/>
      <c r="HA84" s="155"/>
      <c r="HB84" s="155"/>
      <c r="HC84" s="155"/>
      <c r="HD84" s="155"/>
      <c r="HE84" s="155"/>
    </row>
    <row r="85" spans="2:213" s="156" customFormat="1" hidden="1">
      <c r="B85" s="155"/>
      <c r="C85" s="155"/>
      <c r="D85" s="15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GL85" s="155"/>
      <c r="GM85" s="155"/>
      <c r="GN85" s="155"/>
      <c r="GO85" s="155"/>
      <c r="GP85" s="155"/>
      <c r="GQ85" s="155"/>
      <c r="GR85" s="155"/>
      <c r="GS85" s="155"/>
      <c r="GT85" s="155"/>
      <c r="GU85" s="155"/>
      <c r="GV85" s="155"/>
      <c r="GW85" s="155"/>
      <c r="GX85" s="155"/>
      <c r="GY85" s="155"/>
      <c r="GZ85" s="155"/>
      <c r="HA85" s="155"/>
      <c r="HB85" s="155"/>
      <c r="HC85" s="155"/>
      <c r="HD85" s="155"/>
      <c r="HE85" s="155"/>
    </row>
    <row r="86" spans="2:213" s="156" customFormat="1" hidden="1">
      <c r="B86" s="155"/>
      <c r="C86" s="155"/>
      <c r="D86" s="155"/>
      <c r="E86" s="155"/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GL86" s="155"/>
      <c r="GM86" s="155"/>
      <c r="GN86" s="155"/>
      <c r="GO86" s="155"/>
      <c r="GP86" s="155"/>
      <c r="GQ86" s="155"/>
      <c r="GR86" s="155"/>
      <c r="GS86" s="155"/>
      <c r="GT86" s="155"/>
      <c r="GU86" s="155"/>
      <c r="GV86" s="155"/>
      <c r="GW86" s="155"/>
      <c r="GX86" s="155"/>
      <c r="GY86" s="155"/>
      <c r="GZ86" s="155"/>
      <c r="HA86" s="155"/>
      <c r="HB86" s="155"/>
      <c r="HC86" s="155"/>
      <c r="HD86" s="155"/>
      <c r="HE86" s="155"/>
    </row>
    <row r="87" spans="2:213" s="156" customFormat="1" hidden="1">
      <c r="B87" s="155"/>
      <c r="C87" s="155"/>
      <c r="D87" s="155"/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GL87" s="155"/>
      <c r="GM87" s="155"/>
      <c r="GN87" s="155"/>
      <c r="GO87" s="155"/>
      <c r="GP87" s="155"/>
      <c r="GQ87" s="155"/>
      <c r="GR87" s="155"/>
      <c r="GS87" s="155"/>
      <c r="GT87" s="155"/>
      <c r="GU87" s="155"/>
      <c r="GV87" s="155"/>
      <c r="GW87" s="155"/>
      <c r="GX87" s="155"/>
      <c r="GY87" s="155"/>
      <c r="GZ87" s="155"/>
      <c r="HA87" s="155"/>
      <c r="HB87" s="155"/>
      <c r="HC87" s="155"/>
      <c r="HD87" s="155"/>
      <c r="HE87" s="155"/>
    </row>
    <row r="88" spans="2:213" s="156" customFormat="1" hidden="1">
      <c r="B88" s="155"/>
      <c r="C88" s="155"/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GL88" s="155"/>
      <c r="GM88" s="155"/>
      <c r="GN88" s="155"/>
      <c r="GO88" s="155"/>
      <c r="GP88" s="155"/>
      <c r="GQ88" s="155"/>
      <c r="GR88" s="155"/>
      <c r="GS88" s="155"/>
      <c r="GT88" s="155"/>
      <c r="GU88" s="155"/>
      <c r="GV88" s="155"/>
      <c r="GW88" s="155"/>
      <c r="GX88" s="155"/>
      <c r="GY88" s="155"/>
      <c r="GZ88" s="155"/>
      <c r="HA88" s="155"/>
      <c r="HB88" s="155"/>
      <c r="HC88" s="155"/>
      <c r="HD88" s="155"/>
      <c r="HE88" s="155"/>
    </row>
    <row r="89" spans="2:213" s="156" customFormat="1" hidden="1">
      <c r="B89" s="155"/>
      <c r="C89" s="155"/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GL89" s="155"/>
      <c r="GM89" s="155"/>
      <c r="GN89" s="155"/>
      <c r="GO89" s="155"/>
      <c r="GP89" s="155"/>
      <c r="GQ89" s="155"/>
      <c r="GR89" s="155"/>
      <c r="GS89" s="155"/>
      <c r="GT89" s="155"/>
      <c r="GU89" s="155"/>
      <c r="GV89" s="155"/>
      <c r="GW89" s="155"/>
      <c r="GX89" s="155"/>
      <c r="GY89" s="155"/>
      <c r="GZ89" s="155"/>
      <c r="HA89" s="155"/>
      <c r="HB89" s="155"/>
      <c r="HC89" s="155"/>
      <c r="HD89" s="155"/>
      <c r="HE89" s="155"/>
    </row>
    <row r="90" spans="2:213" s="156" customFormat="1" hidden="1">
      <c r="B90" s="155"/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GL90" s="155"/>
      <c r="GM90" s="155"/>
      <c r="GN90" s="155"/>
      <c r="GO90" s="155"/>
      <c r="GP90" s="155"/>
      <c r="GQ90" s="155"/>
      <c r="GR90" s="155"/>
      <c r="GS90" s="155"/>
      <c r="GT90" s="155"/>
      <c r="GU90" s="155"/>
      <c r="GV90" s="155"/>
      <c r="GW90" s="155"/>
      <c r="GX90" s="155"/>
      <c r="GY90" s="155"/>
      <c r="GZ90" s="155"/>
      <c r="HA90" s="155"/>
      <c r="HB90" s="155"/>
      <c r="HC90" s="155"/>
      <c r="HD90" s="155"/>
      <c r="HE90" s="155"/>
    </row>
    <row r="91" spans="2:213" s="156" customFormat="1" hidden="1">
      <c r="B91" s="155"/>
      <c r="C91" s="155"/>
      <c r="D91" s="155"/>
      <c r="E91" s="155"/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GL91" s="155"/>
      <c r="GM91" s="155"/>
      <c r="GN91" s="155"/>
      <c r="GO91" s="155"/>
      <c r="GP91" s="155"/>
      <c r="GQ91" s="155"/>
      <c r="GR91" s="155"/>
      <c r="GS91" s="155"/>
      <c r="GT91" s="155"/>
      <c r="GU91" s="155"/>
      <c r="GV91" s="155"/>
      <c r="GW91" s="155"/>
      <c r="GX91" s="155"/>
      <c r="GY91" s="155"/>
      <c r="GZ91" s="155"/>
      <c r="HA91" s="155"/>
      <c r="HB91" s="155"/>
      <c r="HC91" s="155"/>
      <c r="HD91" s="155"/>
      <c r="HE91" s="155"/>
    </row>
    <row r="92" spans="2:213" s="156" customFormat="1" hidden="1">
      <c r="B92" s="155"/>
      <c r="C92" s="155"/>
      <c r="D92" s="155"/>
      <c r="E92" s="155"/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GL92" s="155"/>
      <c r="GM92" s="155"/>
      <c r="GN92" s="155"/>
      <c r="GO92" s="155"/>
      <c r="GP92" s="155"/>
      <c r="GQ92" s="155"/>
      <c r="GR92" s="155"/>
      <c r="GS92" s="155"/>
      <c r="GT92" s="155"/>
      <c r="GU92" s="155"/>
      <c r="GV92" s="155"/>
      <c r="GW92" s="155"/>
      <c r="GX92" s="155"/>
      <c r="GY92" s="155"/>
      <c r="GZ92" s="155"/>
      <c r="HA92" s="155"/>
      <c r="HB92" s="155"/>
      <c r="HC92" s="155"/>
      <c r="HD92" s="155"/>
      <c r="HE92" s="155"/>
    </row>
    <row r="93" spans="2:213" s="156" customFormat="1" hidden="1">
      <c r="B93" s="155"/>
      <c r="C93" s="155"/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GL93" s="155"/>
      <c r="GM93" s="155"/>
      <c r="GN93" s="155"/>
      <c r="GO93" s="155"/>
      <c r="GP93" s="155"/>
      <c r="GQ93" s="155"/>
      <c r="GR93" s="155"/>
      <c r="GS93" s="155"/>
      <c r="GT93" s="155"/>
      <c r="GU93" s="155"/>
      <c r="GV93" s="155"/>
      <c r="GW93" s="155"/>
      <c r="GX93" s="155"/>
      <c r="GY93" s="155"/>
      <c r="GZ93" s="155"/>
      <c r="HA93" s="155"/>
      <c r="HB93" s="155"/>
      <c r="HC93" s="155"/>
      <c r="HD93" s="155"/>
      <c r="HE93" s="155"/>
    </row>
    <row r="94" spans="2:213" s="156" customFormat="1" hidden="1">
      <c r="B94" s="155"/>
      <c r="C94" s="155"/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GL94" s="155"/>
      <c r="GM94" s="155"/>
      <c r="GN94" s="155"/>
      <c r="GO94" s="155"/>
      <c r="GP94" s="155"/>
      <c r="GQ94" s="155"/>
      <c r="GR94" s="155"/>
      <c r="GS94" s="155"/>
      <c r="GT94" s="155"/>
      <c r="GU94" s="155"/>
      <c r="GV94" s="155"/>
      <c r="GW94" s="155"/>
      <c r="GX94" s="155"/>
      <c r="GY94" s="155"/>
      <c r="GZ94" s="155"/>
      <c r="HA94" s="155"/>
      <c r="HB94" s="155"/>
      <c r="HC94" s="155"/>
      <c r="HD94" s="155"/>
      <c r="HE94" s="155"/>
    </row>
    <row r="95" spans="2:213" s="156" customFormat="1" hidden="1">
      <c r="B95" s="155"/>
      <c r="C95" s="155"/>
      <c r="D95" s="155"/>
      <c r="E95" s="155"/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GL95" s="155"/>
      <c r="GM95" s="155"/>
      <c r="GN95" s="155"/>
      <c r="GO95" s="155"/>
      <c r="GP95" s="155"/>
      <c r="GQ95" s="155"/>
      <c r="GR95" s="155"/>
      <c r="GS95" s="155"/>
      <c r="GT95" s="155"/>
      <c r="GU95" s="155"/>
      <c r="GV95" s="155"/>
      <c r="GW95" s="155"/>
      <c r="GX95" s="155"/>
      <c r="GY95" s="155"/>
      <c r="GZ95" s="155"/>
      <c r="HA95" s="155"/>
      <c r="HB95" s="155"/>
      <c r="HC95" s="155"/>
      <c r="HD95" s="155"/>
      <c r="HE95" s="155"/>
    </row>
    <row r="96" spans="2:213" s="156" customFormat="1" hidden="1">
      <c r="B96" s="155"/>
      <c r="C96" s="155"/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GL96" s="155"/>
      <c r="GM96" s="155"/>
      <c r="GN96" s="155"/>
      <c r="GO96" s="155"/>
      <c r="GP96" s="155"/>
      <c r="GQ96" s="155"/>
      <c r="GR96" s="155"/>
      <c r="GS96" s="155"/>
      <c r="GT96" s="155"/>
      <c r="GU96" s="155"/>
      <c r="GV96" s="155"/>
      <c r="GW96" s="155"/>
      <c r="GX96" s="155"/>
      <c r="GY96" s="155"/>
      <c r="GZ96" s="155"/>
      <c r="HA96" s="155"/>
      <c r="HB96" s="155"/>
      <c r="HC96" s="155"/>
      <c r="HD96" s="155"/>
      <c r="HE96" s="155"/>
    </row>
    <row r="97" spans="2:213" s="156" customFormat="1" hidden="1">
      <c r="B97" s="155"/>
      <c r="C97" s="155"/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GL97" s="155"/>
      <c r="GM97" s="155"/>
      <c r="GN97" s="155"/>
      <c r="GO97" s="155"/>
      <c r="GP97" s="155"/>
      <c r="GQ97" s="155"/>
      <c r="GR97" s="155"/>
      <c r="GS97" s="155"/>
      <c r="GT97" s="155"/>
      <c r="GU97" s="155"/>
      <c r="GV97" s="155"/>
      <c r="GW97" s="155"/>
      <c r="GX97" s="155"/>
      <c r="GY97" s="155"/>
      <c r="GZ97" s="155"/>
      <c r="HA97" s="155"/>
      <c r="HB97" s="155"/>
      <c r="HC97" s="155"/>
      <c r="HD97" s="155"/>
      <c r="HE97" s="155"/>
    </row>
    <row r="98" spans="2:213" s="156" customFormat="1" hidden="1">
      <c r="B98" s="155"/>
      <c r="C98" s="155"/>
      <c r="D98" s="155"/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GL98" s="155"/>
      <c r="GM98" s="155"/>
      <c r="GN98" s="155"/>
      <c r="GO98" s="155"/>
      <c r="GP98" s="155"/>
      <c r="GQ98" s="155"/>
      <c r="GR98" s="155"/>
      <c r="GS98" s="155"/>
      <c r="GT98" s="155"/>
      <c r="GU98" s="155"/>
      <c r="GV98" s="155"/>
      <c r="GW98" s="155"/>
      <c r="GX98" s="155"/>
      <c r="GY98" s="155"/>
      <c r="GZ98" s="155"/>
      <c r="HA98" s="155"/>
      <c r="HB98" s="155"/>
      <c r="HC98" s="155"/>
      <c r="HD98" s="155"/>
      <c r="HE98" s="155"/>
    </row>
    <row r="99" spans="2:213" s="156" customFormat="1" hidden="1">
      <c r="B99" s="155"/>
      <c r="C99" s="155"/>
      <c r="D99" s="155"/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GL99" s="155"/>
      <c r="GM99" s="155"/>
      <c r="GN99" s="155"/>
      <c r="GO99" s="155"/>
      <c r="GP99" s="155"/>
      <c r="GQ99" s="155"/>
      <c r="GR99" s="155"/>
      <c r="GS99" s="155"/>
      <c r="GT99" s="155"/>
      <c r="GU99" s="155"/>
      <c r="GV99" s="155"/>
      <c r="GW99" s="155"/>
      <c r="GX99" s="155"/>
      <c r="GY99" s="155"/>
      <c r="GZ99" s="155"/>
      <c r="HA99" s="155"/>
      <c r="HB99" s="155"/>
      <c r="HC99" s="155"/>
      <c r="HD99" s="155"/>
      <c r="HE99" s="155"/>
    </row>
    <row r="100" spans="2:213" s="156" customFormat="1" hidden="1">
      <c r="B100" s="155"/>
      <c r="C100" s="155"/>
      <c r="D100" s="155"/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GL100" s="155"/>
      <c r="GM100" s="155"/>
      <c r="GN100" s="155"/>
      <c r="GO100" s="155"/>
      <c r="GP100" s="155"/>
      <c r="GQ100" s="155"/>
      <c r="GR100" s="155"/>
      <c r="GS100" s="155"/>
      <c r="GT100" s="155"/>
      <c r="GU100" s="155"/>
      <c r="GV100" s="155"/>
      <c r="GW100" s="155"/>
      <c r="GX100" s="155"/>
      <c r="GY100" s="155"/>
      <c r="GZ100" s="155"/>
      <c r="HA100" s="155"/>
      <c r="HB100" s="155"/>
      <c r="HC100" s="155"/>
      <c r="HD100" s="155"/>
      <c r="HE100" s="155"/>
    </row>
    <row r="101" spans="2:213" s="156" customFormat="1" hidden="1">
      <c r="B101" s="155"/>
      <c r="C101" s="155"/>
      <c r="D101" s="155"/>
      <c r="E101" s="155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GL101" s="155"/>
      <c r="GM101" s="155"/>
      <c r="GN101" s="155"/>
      <c r="GO101" s="155"/>
      <c r="GP101" s="155"/>
      <c r="GQ101" s="155"/>
      <c r="GR101" s="155"/>
      <c r="GS101" s="155"/>
      <c r="GT101" s="155"/>
      <c r="GU101" s="155"/>
      <c r="GV101" s="155"/>
      <c r="GW101" s="155"/>
      <c r="GX101" s="155"/>
      <c r="GY101" s="155"/>
      <c r="GZ101" s="155"/>
      <c r="HA101" s="155"/>
      <c r="HB101" s="155"/>
      <c r="HC101" s="155"/>
      <c r="HD101" s="155"/>
      <c r="HE101" s="155"/>
    </row>
    <row r="102" spans="2:213" s="156" customFormat="1" hidden="1">
      <c r="B102" s="155"/>
      <c r="C102" s="155"/>
      <c r="D102" s="155"/>
      <c r="E102" s="155"/>
      <c r="F102" s="155"/>
      <c r="G102" s="155"/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GL102" s="155"/>
      <c r="GM102" s="155"/>
      <c r="GN102" s="155"/>
      <c r="GO102" s="155"/>
      <c r="GP102" s="155"/>
      <c r="GQ102" s="155"/>
      <c r="GR102" s="155"/>
      <c r="GS102" s="155"/>
      <c r="GT102" s="155"/>
      <c r="GU102" s="155"/>
      <c r="GV102" s="155"/>
      <c r="GW102" s="155"/>
      <c r="GX102" s="155"/>
      <c r="GY102" s="155"/>
      <c r="GZ102" s="155"/>
      <c r="HA102" s="155"/>
      <c r="HB102" s="155"/>
      <c r="HC102" s="155"/>
      <c r="HD102" s="155"/>
      <c r="HE102" s="155"/>
    </row>
    <row r="103" spans="2:213" s="156" customFormat="1" hidden="1">
      <c r="B103" s="155"/>
      <c r="C103" s="155"/>
      <c r="D103" s="155"/>
      <c r="E103" s="155"/>
      <c r="F103" s="155"/>
      <c r="G103" s="155"/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GL103" s="155"/>
      <c r="GM103" s="155"/>
      <c r="GN103" s="155"/>
      <c r="GO103" s="155"/>
      <c r="GP103" s="155"/>
      <c r="GQ103" s="155"/>
      <c r="GR103" s="155"/>
      <c r="GS103" s="155"/>
      <c r="GT103" s="155"/>
      <c r="GU103" s="155"/>
      <c r="GV103" s="155"/>
      <c r="GW103" s="155"/>
      <c r="GX103" s="155"/>
      <c r="GY103" s="155"/>
      <c r="GZ103" s="155"/>
      <c r="HA103" s="155"/>
      <c r="HB103" s="155"/>
      <c r="HC103" s="155"/>
      <c r="HD103" s="155"/>
      <c r="HE103" s="155"/>
    </row>
    <row r="104" spans="2:213" s="156" customFormat="1" hidden="1">
      <c r="B104" s="155"/>
      <c r="C104" s="155"/>
      <c r="D104" s="155"/>
      <c r="E104" s="155"/>
      <c r="F104" s="155"/>
      <c r="G104" s="155"/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GL104" s="155"/>
      <c r="GM104" s="155"/>
      <c r="GN104" s="155"/>
      <c r="GO104" s="155"/>
      <c r="GP104" s="155"/>
      <c r="GQ104" s="155"/>
      <c r="GR104" s="155"/>
      <c r="GS104" s="155"/>
      <c r="GT104" s="155"/>
      <c r="GU104" s="155"/>
      <c r="GV104" s="155"/>
      <c r="GW104" s="155"/>
      <c r="GX104" s="155"/>
      <c r="GY104" s="155"/>
      <c r="GZ104" s="155"/>
      <c r="HA104" s="155"/>
      <c r="HB104" s="155"/>
      <c r="HC104" s="155"/>
      <c r="HD104" s="155"/>
      <c r="HE104" s="155"/>
    </row>
    <row r="105" spans="2:213" s="156" customFormat="1" hidden="1">
      <c r="B105" s="155"/>
      <c r="C105" s="155"/>
      <c r="D105" s="155"/>
      <c r="E105" s="155"/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GL105" s="155"/>
      <c r="GM105" s="155"/>
      <c r="GN105" s="155"/>
      <c r="GO105" s="155"/>
      <c r="GP105" s="155"/>
      <c r="GQ105" s="155"/>
      <c r="GR105" s="155"/>
      <c r="GS105" s="155"/>
      <c r="GT105" s="155"/>
      <c r="GU105" s="155"/>
      <c r="GV105" s="155"/>
      <c r="GW105" s="155"/>
      <c r="GX105" s="155"/>
      <c r="GY105" s="155"/>
      <c r="GZ105" s="155"/>
      <c r="HA105" s="155"/>
      <c r="HB105" s="155"/>
      <c r="HC105" s="155"/>
      <c r="HD105" s="155"/>
      <c r="HE105" s="155"/>
    </row>
    <row r="106" spans="2:213" s="156" customFormat="1" hidden="1">
      <c r="B106" s="155"/>
      <c r="C106" s="155"/>
      <c r="D106" s="155"/>
      <c r="E106" s="155"/>
      <c r="F106" s="155"/>
      <c r="G106" s="155"/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GL106" s="155"/>
      <c r="GM106" s="155"/>
      <c r="GN106" s="155"/>
      <c r="GO106" s="155"/>
      <c r="GP106" s="155"/>
      <c r="GQ106" s="155"/>
      <c r="GR106" s="155"/>
      <c r="GS106" s="155"/>
      <c r="GT106" s="155"/>
      <c r="GU106" s="155"/>
      <c r="GV106" s="155"/>
      <c r="GW106" s="155"/>
      <c r="GX106" s="155"/>
      <c r="GY106" s="155"/>
      <c r="GZ106" s="155"/>
      <c r="HA106" s="155"/>
      <c r="HB106" s="155"/>
      <c r="HC106" s="155"/>
      <c r="HD106" s="155"/>
      <c r="HE106" s="155"/>
    </row>
    <row r="107" spans="2:213" s="156" customFormat="1" hidden="1">
      <c r="B107" s="155"/>
      <c r="C107" s="155"/>
      <c r="D107" s="155"/>
      <c r="E107" s="155"/>
      <c r="F107" s="155"/>
      <c r="G107" s="155"/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GL107" s="155"/>
      <c r="GM107" s="155"/>
      <c r="GN107" s="155"/>
      <c r="GO107" s="155"/>
      <c r="GP107" s="155"/>
      <c r="GQ107" s="155"/>
      <c r="GR107" s="155"/>
      <c r="GS107" s="155"/>
      <c r="GT107" s="155"/>
      <c r="GU107" s="155"/>
      <c r="GV107" s="155"/>
      <c r="GW107" s="155"/>
      <c r="GX107" s="155"/>
      <c r="GY107" s="155"/>
      <c r="GZ107" s="155"/>
      <c r="HA107" s="155"/>
      <c r="HB107" s="155"/>
      <c r="HC107" s="155"/>
      <c r="HD107" s="155"/>
      <c r="HE107" s="155"/>
    </row>
    <row r="108" spans="2:213" s="156" customFormat="1" hidden="1">
      <c r="B108" s="155"/>
      <c r="C108" s="155"/>
      <c r="D108" s="155"/>
      <c r="E108" s="155"/>
      <c r="F108" s="155"/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GL108" s="155"/>
      <c r="GM108" s="155"/>
      <c r="GN108" s="155"/>
      <c r="GO108" s="155"/>
      <c r="GP108" s="155"/>
      <c r="GQ108" s="155"/>
      <c r="GR108" s="155"/>
      <c r="GS108" s="155"/>
      <c r="GT108" s="155"/>
      <c r="GU108" s="155"/>
      <c r="GV108" s="155"/>
      <c r="GW108" s="155"/>
      <c r="GX108" s="155"/>
      <c r="GY108" s="155"/>
      <c r="GZ108" s="155"/>
      <c r="HA108" s="155"/>
      <c r="HB108" s="155"/>
      <c r="HC108" s="155"/>
      <c r="HD108" s="155"/>
      <c r="HE108" s="155"/>
    </row>
    <row r="109" spans="2:213" s="156" customFormat="1" hidden="1">
      <c r="B109" s="155"/>
      <c r="C109" s="155"/>
      <c r="D109" s="155"/>
      <c r="E109" s="155"/>
      <c r="F109" s="155"/>
      <c r="G109" s="155"/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GL109" s="155"/>
      <c r="GM109" s="155"/>
      <c r="GN109" s="155"/>
      <c r="GO109" s="155"/>
      <c r="GP109" s="155"/>
      <c r="GQ109" s="155"/>
      <c r="GR109" s="155"/>
      <c r="GS109" s="155"/>
      <c r="GT109" s="155"/>
      <c r="GU109" s="155"/>
      <c r="GV109" s="155"/>
      <c r="GW109" s="155"/>
      <c r="GX109" s="155"/>
      <c r="GY109" s="155"/>
      <c r="GZ109" s="155"/>
      <c r="HA109" s="155"/>
      <c r="HB109" s="155"/>
      <c r="HC109" s="155"/>
      <c r="HD109" s="155"/>
      <c r="HE109" s="155"/>
    </row>
    <row r="110" spans="2:213" s="156" customFormat="1" hidden="1">
      <c r="B110" s="155"/>
      <c r="C110" s="155"/>
      <c r="D110" s="155"/>
      <c r="E110" s="155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GL110" s="155"/>
      <c r="GM110" s="155"/>
      <c r="GN110" s="155"/>
      <c r="GO110" s="155"/>
      <c r="GP110" s="155"/>
      <c r="GQ110" s="155"/>
      <c r="GR110" s="155"/>
      <c r="GS110" s="155"/>
      <c r="GT110" s="155"/>
      <c r="GU110" s="155"/>
      <c r="GV110" s="155"/>
      <c r="GW110" s="155"/>
      <c r="GX110" s="155"/>
      <c r="GY110" s="155"/>
      <c r="GZ110" s="155"/>
      <c r="HA110" s="155"/>
      <c r="HB110" s="155"/>
      <c r="HC110" s="155"/>
      <c r="HD110" s="155"/>
      <c r="HE110" s="155"/>
    </row>
    <row r="111" spans="2:213" s="156" customFormat="1" hidden="1">
      <c r="B111" s="155"/>
      <c r="C111" s="155"/>
      <c r="D111" s="155"/>
      <c r="E111" s="155"/>
      <c r="F111" s="155"/>
      <c r="G111" s="155"/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GL111" s="155"/>
      <c r="GM111" s="155"/>
      <c r="GN111" s="155"/>
      <c r="GO111" s="155"/>
      <c r="GP111" s="155"/>
      <c r="GQ111" s="155"/>
      <c r="GR111" s="155"/>
      <c r="GS111" s="155"/>
      <c r="GT111" s="155"/>
      <c r="GU111" s="155"/>
      <c r="GV111" s="155"/>
      <c r="GW111" s="155"/>
      <c r="GX111" s="155"/>
      <c r="GY111" s="155"/>
      <c r="GZ111" s="155"/>
      <c r="HA111" s="155"/>
      <c r="HB111" s="155"/>
      <c r="HC111" s="155"/>
      <c r="HD111" s="155"/>
      <c r="HE111" s="155"/>
    </row>
    <row r="112" spans="2:213" s="156" customFormat="1" hidden="1">
      <c r="B112" s="155"/>
      <c r="C112" s="155"/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GL112" s="155"/>
      <c r="GM112" s="155"/>
      <c r="GN112" s="155"/>
      <c r="GO112" s="155"/>
      <c r="GP112" s="155"/>
      <c r="GQ112" s="155"/>
      <c r="GR112" s="155"/>
      <c r="GS112" s="155"/>
      <c r="GT112" s="155"/>
      <c r="GU112" s="155"/>
      <c r="GV112" s="155"/>
      <c r="GW112" s="155"/>
      <c r="GX112" s="155"/>
      <c r="GY112" s="155"/>
      <c r="GZ112" s="155"/>
      <c r="HA112" s="155"/>
      <c r="HB112" s="155"/>
      <c r="HC112" s="155"/>
      <c r="HD112" s="155"/>
      <c r="HE112" s="155"/>
    </row>
    <row r="113" spans="2:213" s="156" customFormat="1" hidden="1">
      <c r="B113" s="155"/>
      <c r="C113" s="155"/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GL113" s="155"/>
      <c r="GM113" s="155"/>
      <c r="GN113" s="155"/>
      <c r="GO113" s="155"/>
      <c r="GP113" s="155"/>
      <c r="GQ113" s="155"/>
      <c r="GR113" s="155"/>
      <c r="GS113" s="155"/>
      <c r="GT113" s="155"/>
      <c r="GU113" s="155"/>
      <c r="GV113" s="155"/>
      <c r="GW113" s="155"/>
      <c r="GX113" s="155"/>
      <c r="GY113" s="155"/>
      <c r="GZ113" s="155"/>
      <c r="HA113" s="155"/>
      <c r="HB113" s="155"/>
      <c r="HC113" s="155"/>
      <c r="HD113" s="155"/>
      <c r="HE113" s="155"/>
    </row>
    <row r="114" spans="2:213" s="156" customFormat="1" hidden="1">
      <c r="B114" s="155"/>
      <c r="C114" s="155"/>
      <c r="D114" s="155"/>
      <c r="E114" s="155"/>
      <c r="F114" s="155"/>
      <c r="G114" s="155"/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  <c r="GL114" s="155"/>
      <c r="GM114" s="155"/>
      <c r="GN114" s="155"/>
      <c r="GO114" s="155"/>
      <c r="GP114" s="155"/>
      <c r="GQ114" s="155"/>
      <c r="GR114" s="155"/>
      <c r="GS114" s="155"/>
      <c r="GT114" s="155"/>
      <c r="GU114" s="155"/>
      <c r="GV114" s="155"/>
      <c r="GW114" s="155"/>
      <c r="GX114" s="155"/>
      <c r="GY114" s="155"/>
      <c r="GZ114" s="155"/>
      <c r="HA114" s="155"/>
      <c r="HB114" s="155"/>
      <c r="HC114" s="155"/>
      <c r="HD114" s="155"/>
      <c r="HE114" s="155"/>
    </row>
    <row r="115" spans="2:213" s="156" customFormat="1" hidden="1">
      <c r="B115" s="155"/>
      <c r="C115" s="155"/>
      <c r="D115" s="155"/>
      <c r="E115" s="155"/>
      <c r="F115" s="155"/>
      <c r="G115" s="155"/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GL115" s="155"/>
      <c r="GM115" s="155"/>
      <c r="GN115" s="155"/>
      <c r="GO115" s="155"/>
      <c r="GP115" s="155"/>
      <c r="GQ115" s="155"/>
      <c r="GR115" s="155"/>
      <c r="GS115" s="155"/>
      <c r="GT115" s="155"/>
      <c r="GU115" s="155"/>
      <c r="GV115" s="155"/>
      <c r="GW115" s="155"/>
      <c r="GX115" s="155"/>
      <c r="GY115" s="155"/>
      <c r="GZ115" s="155"/>
      <c r="HA115" s="155"/>
      <c r="HB115" s="155"/>
      <c r="HC115" s="155"/>
      <c r="HD115" s="155"/>
      <c r="HE115" s="155"/>
    </row>
    <row r="116" spans="2:213" s="156" customFormat="1" hidden="1">
      <c r="B116" s="155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GL116" s="155"/>
      <c r="GM116" s="155"/>
      <c r="GN116" s="155"/>
      <c r="GO116" s="155"/>
      <c r="GP116" s="155"/>
      <c r="GQ116" s="155"/>
      <c r="GR116" s="155"/>
      <c r="GS116" s="155"/>
      <c r="GT116" s="155"/>
      <c r="GU116" s="155"/>
      <c r="GV116" s="155"/>
      <c r="GW116" s="155"/>
      <c r="GX116" s="155"/>
      <c r="GY116" s="155"/>
      <c r="GZ116" s="155"/>
      <c r="HA116" s="155"/>
      <c r="HB116" s="155"/>
      <c r="HC116" s="155"/>
      <c r="HD116" s="155"/>
      <c r="HE116" s="155"/>
    </row>
    <row r="117" spans="2:213" s="156" customFormat="1" hidden="1">
      <c r="B117" s="155"/>
      <c r="C117" s="155"/>
      <c r="D117" s="155"/>
      <c r="E117" s="155"/>
      <c r="F117" s="155"/>
      <c r="G117" s="155"/>
      <c r="H117" s="155"/>
      <c r="I117" s="155"/>
      <c r="J117" s="155"/>
      <c r="K117" s="155"/>
      <c r="L117" s="155"/>
      <c r="M117" s="155"/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  <c r="GL117" s="155"/>
      <c r="GM117" s="155"/>
      <c r="GN117" s="155"/>
      <c r="GO117" s="155"/>
      <c r="GP117" s="155"/>
      <c r="GQ117" s="155"/>
      <c r="GR117" s="155"/>
      <c r="GS117" s="155"/>
      <c r="GT117" s="155"/>
      <c r="GU117" s="155"/>
      <c r="GV117" s="155"/>
      <c r="GW117" s="155"/>
      <c r="GX117" s="155"/>
      <c r="GY117" s="155"/>
      <c r="GZ117" s="155"/>
      <c r="HA117" s="155"/>
      <c r="HB117" s="155"/>
      <c r="HC117" s="155"/>
      <c r="HD117" s="155"/>
      <c r="HE117" s="155"/>
    </row>
    <row r="118" spans="2:213" s="156" customFormat="1" hidden="1">
      <c r="B118" s="155"/>
      <c r="C118" s="155"/>
      <c r="D118" s="155"/>
      <c r="E118" s="155"/>
      <c r="F118" s="155"/>
      <c r="G118" s="155"/>
      <c r="H118" s="155"/>
      <c r="I118" s="155"/>
      <c r="J118" s="155"/>
      <c r="K118" s="155"/>
      <c r="L118" s="155"/>
      <c r="M118" s="155"/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GL118" s="155"/>
      <c r="GM118" s="155"/>
      <c r="GN118" s="155"/>
      <c r="GO118" s="155"/>
      <c r="GP118" s="155"/>
      <c r="GQ118" s="155"/>
      <c r="GR118" s="155"/>
      <c r="GS118" s="155"/>
      <c r="GT118" s="155"/>
      <c r="GU118" s="155"/>
      <c r="GV118" s="155"/>
      <c r="GW118" s="155"/>
      <c r="GX118" s="155"/>
      <c r="GY118" s="155"/>
      <c r="GZ118" s="155"/>
      <c r="HA118" s="155"/>
      <c r="HB118" s="155"/>
      <c r="HC118" s="155"/>
      <c r="HD118" s="155"/>
      <c r="HE118" s="155"/>
    </row>
    <row r="119" spans="2:213" s="156" customFormat="1" hidden="1">
      <c r="B119" s="155"/>
      <c r="C119" s="155"/>
      <c r="D119" s="155"/>
      <c r="E119" s="155"/>
      <c r="F119" s="155"/>
      <c r="G119" s="155"/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GL119" s="155"/>
      <c r="GM119" s="155"/>
      <c r="GN119" s="155"/>
      <c r="GO119" s="155"/>
      <c r="GP119" s="155"/>
      <c r="GQ119" s="155"/>
      <c r="GR119" s="155"/>
      <c r="GS119" s="155"/>
      <c r="GT119" s="155"/>
      <c r="GU119" s="155"/>
      <c r="GV119" s="155"/>
      <c r="GW119" s="155"/>
      <c r="GX119" s="155"/>
      <c r="GY119" s="155"/>
      <c r="GZ119" s="155"/>
      <c r="HA119" s="155"/>
      <c r="HB119" s="155"/>
      <c r="HC119" s="155"/>
      <c r="HD119" s="155"/>
      <c r="HE119" s="155"/>
    </row>
    <row r="120" spans="2:213" s="156" customFormat="1" hidden="1">
      <c r="B120" s="155"/>
      <c r="C120" s="155"/>
      <c r="D120" s="155"/>
      <c r="E120" s="155"/>
      <c r="F120" s="155"/>
      <c r="G120" s="155"/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GL120" s="155"/>
      <c r="GM120" s="155"/>
      <c r="GN120" s="155"/>
      <c r="GO120" s="155"/>
      <c r="GP120" s="155"/>
      <c r="GQ120" s="155"/>
      <c r="GR120" s="155"/>
      <c r="GS120" s="155"/>
      <c r="GT120" s="155"/>
      <c r="GU120" s="155"/>
      <c r="GV120" s="155"/>
      <c r="GW120" s="155"/>
      <c r="GX120" s="155"/>
      <c r="GY120" s="155"/>
      <c r="GZ120" s="155"/>
      <c r="HA120" s="155"/>
      <c r="HB120" s="155"/>
      <c r="HC120" s="155"/>
      <c r="HD120" s="155"/>
      <c r="HE120" s="155"/>
    </row>
    <row r="121" spans="2:213" s="156" customFormat="1" hidden="1">
      <c r="B121" s="155"/>
      <c r="C121" s="155"/>
      <c r="D121" s="155"/>
      <c r="E121" s="155"/>
      <c r="F121" s="155"/>
      <c r="G121" s="155"/>
      <c r="H121" s="155"/>
      <c r="I121" s="155"/>
      <c r="J121" s="155"/>
      <c r="K121" s="155"/>
      <c r="L121" s="155"/>
      <c r="M121" s="155"/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  <c r="GL121" s="155"/>
      <c r="GM121" s="155"/>
      <c r="GN121" s="155"/>
      <c r="GO121" s="155"/>
      <c r="GP121" s="155"/>
      <c r="GQ121" s="155"/>
      <c r="GR121" s="155"/>
      <c r="GS121" s="155"/>
      <c r="GT121" s="155"/>
      <c r="GU121" s="155"/>
      <c r="GV121" s="155"/>
      <c r="GW121" s="155"/>
      <c r="GX121" s="155"/>
      <c r="GY121" s="155"/>
      <c r="GZ121" s="155"/>
      <c r="HA121" s="155"/>
      <c r="HB121" s="155"/>
      <c r="HC121" s="155"/>
      <c r="HD121" s="155"/>
      <c r="HE121" s="155"/>
    </row>
    <row r="122" spans="2:213" s="156" customFormat="1" hidden="1">
      <c r="B122" s="155"/>
      <c r="C122" s="155"/>
      <c r="D122" s="155"/>
      <c r="E122" s="155"/>
      <c r="F122" s="155"/>
      <c r="G122" s="155"/>
      <c r="H122" s="155"/>
      <c r="I122" s="155"/>
      <c r="J122" s="155"/>
      <c r="K122" s="155"/>
      <c r="L122" s="155"/>
      <c r="M122" s="155"/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GL122" s="155"/>
      <c r="GM122" s="155"/>
      <c r="GN122" s="155"/>
      <c r="GO122" s="155"/>
      <c r="GP122" s="155"/>
      <c r="GQ122" s="155"/>
      <c r="GR122" s="155"/>
      <c r="GS122" s="155"/>
      <c r="GT122" s="155"/>
      <c r="GU122" s="155"/>
      <c r="GV122" s="155"/>
      <c r="GW122" s="155"/>
      <c r="GX122" s="155"/>
      <c r="GY122" s="155"/>
      <c r="GZ122" s="155"/>
      <c r="HA122" s="155"/>
      <c r="HB122" s="155"/>
      <c r="HC122" s="155"/>
      <c r="HD122" s="155"/>
      <c r="HE122" s="155"/>
    </row>
    <row r="123" spans="2:213" s="156" customFormat="1" hidden="1">
      <c r="B123" s="155"/>
      <c r="C123" s="155"/>
      <c r="D123" s="155"/>
      <c r="E123" s="155"/>
      <c r="F123" s="155"/>
      <c r="G123" s="155"/>
      <c r="H123" s="155"/>
      <c r="I123" s="155"/>
      <c r="J123" s="155"/>
      <c r="K123" s="155"/>
      <c r="L123" s="155"/>
      <c r="M123" s="155"/>
      <c r="N123" s="155"/>
      <c r="O123" s="155"/>
      <c r="P123" s="155"/>
      <c r="Q123" s="155"/>
      <c r="R123" s="155"/>
      <c r="S123" s="155"/>
      <c r="T123" s="155"/>
      <c r="U123" s="155"/>
      <c r="V123" s="155"/>
      <c r="W123" s="155"/>
      <c r="GL123" s="155"/>
      <c r="GM123" s="155"/>
      <c r="GN123" s="155"/>
      <c r="GO123" s="155"/>
      <c r="GP123" s="155"/>
      <c r="GQ123" s="155"/>
      <c r="GR123" s="155"/>
      <c r="GS123" s="155"/>
      <c r="GT123" s="155"/>
      <c r="GU123" s="155"/>
      <c r="GV123" s="155"/>
      <c r="GW123" s="155"/>
      <c r="GX123" s="155"/>
      <c r="GY123" s="155"/>
      <c r="GZ123" s="155"/>
      <c r="HA123" s="155"/>
      <c r="HB123" s="155"/>
      <c r="HC123" s="155"/>
      <c r="HD123" s="155"/>
      <c r="HE123" s="155"/>
    </row>
    <row r="124" spans="2:213" s="156" customFormat="1" hidden="1">
      <c r="B124" s="155"/>
      <c r="C124" s="155"/>
      <c r="D124" s="155"/>
      <c r="E124" s="155"/>
      <c r="F124" s="155"/>
      <c r="G124" s="155"/>
      <c r="H124" s="155"/>
      <c r="I124" s="155"/>
      <c r="J124" s="155"/>
      <c r="K124" s="155"/>
      <c r="L124" s="155"/>
      <c r="M124" s="155"/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GL124" s="155"/>
      <c r="GM124" s="155"/>
      <c r="GN124" s="155"/>
      <c r="GO124" s="155"/>
      <c r="GP124" s="155"/>
      <c r="GQ124" s="155"/>
      <c r="GR124" s="155"/>
      <c r="GS124" s="155"/>
      <c r="GT124" s="155"/>
      <c r="GU124" s="155"/>
      <c r="GV124" s="155"/>
      <c r="GW124" s="155"/>
      <c r="GX124" s="155"/>
      <c r="GY124" s="155"/>
      <c r="GZ124" s="155"/>
      <c r="HA124" s="155"/>
      <c r="HB124" s="155"/>
      <c r="HC124" s="155"/>
      <c r="HD124" s="155"/>
      <c r="HE124" s="155"/>
    </row>
    <row r="125" spans="2:213" s="156" customFormat="1" hidden="1">
      <c r="B125" s="155"/>
      <c r="C125" s="155"/>
      <c r="D125" s="155"/>
      <c r="E125" s="155"/>
      <c r="F125" s="155"/>
      <c r="G125" s="155"/>
      <c r="H125" s="155"/>
      <c r="I125" s="155"/>
      <c r="J125" s="155"/>
      <c r="K125" s="155"/>
      <c r="L125" s="155"/>
      <c r="M125" s="155"/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GL125" s="155"/>
      <c r="GM125" s="155"/>
      <c r="GN125" s="155"/>
      <c r="GO125" s="155"/>
      <c r="GP125" s="155"/>
      <c r="GQ125" s="155"/>
      <c r="GR125" s="155"/>
      <c r="GS125" s="155"/>
      <c r="GT125" s="155"/>
      <c r="GU125" s="155"/>
      <c r="GV125" s="155"/>
      <c r="GW125" s="155"/>
      <c r="GX125" s="155"/>
      <c r="GY125" s="155"/>
      <c r="GZ125" s="155"/>
      <c r="HA125" s="155"/>
      <c r="HB125" s="155"/>
      <c r="HC125" s="155"/>
      <c r="HD125" s="155"/>
      <c r="HE125" s="155"/>
    </row>
    <row r="126" spans="2:213" s="156" customFormat="1" hidden="1">
      <c r="B126" s="155"/>
      <c r="C126" s="155"/>
      <c r="D126" s="155"/>
      <c r="E126" s="155"/>
      <c r="F126" s="155"/>
      <c r="G126" s="155"/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  <c r="GL126" s="155"/>
      <c r="GM126" s="155"/>
      <c r="GN126" s="155"/>
      <c r="GO126" s="155"/>
      <c r="GP126" s="155"/>
      <c r="GQ126" s="155"/>
      <c r="GR126" s="155"/>
      <c r="GS126" s="155"/>
      <c r="GT126" s="155"/>
      <c r="GU126" s="155"/>
      <c r="GV126" s="155"/>
      <c r="GW126" s="155"/>
      <c r="GX126" s="155"/>
      <c r="GY126" s="155"/>
      <c r="GZ126" s="155"/>
      <c r="HA126" s="155"/>
      <c r="HB126" s="155"/>
      <c r="HC126" s="155"/>
      <c r="HD126" s="155"/>
      <c r="HE126" s="155"/>
    </row>
    <row r="127" spans="2:213" s="156" customFormat="1" hidden="1">
      <c r="B127" s="155"/>
      <c r="C127" s="155"/>
      <c r="D127" s="155"/>
      <c r="E127" s="155"/>
      <c r="F127" s="155"/>
      <c r="G127" s="155"/>
      <c r="H127" s="155"/>
      <c r="I127" s="155"/>
      <c r="J127" s="155"/>
      <c r="K127" s="155"/>
      <c r="L127" s="155"/>
      <c r="M127" s="155"/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GL127" s="155"/>
      <c r="GM127" s="155"/>
      <c r="GN127" s="155"/>
      <c r="GO127" s="155"/>
      <c r="GP127" s="155"/>
      <c r="GQ127" s="155"/>
      <c r="GR127" s="155"/>
      <c r="GS127" s="155"/>
      <c r="GT127" s="155"/>
      <c r="GU127" s="155"/>
      <c r="GV127" s="155"/>
      <c r="GW127" s="155"/>
      <c r="GX127" s="155"/>
      <c r="GY127" s="155"/>
      <c r="GZ127" s="155"/>
      <c r="HA127" s="155"/>
      <c r="HB127" s="155"/>
      <c r="HC127" s="155"/>
      <c r="HD127" s="155"/>
      <c r="HE127" s="155"/>
    </row>
    <row r="128" spans="2:213" s="156" customFormat="1" hidden="1">
      <c r="B128" s="155"/>
      <c r="C128" s="155"/>
      <c r="D128" s="155"/>
      <c r="E128" s="155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GL128" s="155"/>
      <c r="GM128" s="155"/>
      <c r="GN128" s="155"/>
      <c r="GO128" s="155"/>
      <c r="GP128" s="155"/>
      <c r="GQ128" s="155"/>
      <c r="GR128" s="155"/>
      <c r="GS128" s="155"/>
      <c r="GT128" s="155"/>
      <c r="GU128" s="155"/>
      <c r="GV128" s="155"/>
      <c r="GW128" s="155"/>
      <c r="GX128" s="155"/>
      <c r="GY128" s="155"/>
      <c r="GZ128" s="155"/>
      <c r="HA128" s="155"/>
      <c r="HB128" s="155"/>
      <c r="HC128" s="155"/>
      <c r="HD128" s="155"/>
      <c r="HE128" s="155"/>
    </row>
    <row r="129" spans="2:213" s="156" customFormat="1" hidden="1">
      <c r="B129" s="155"/>
      <c r="C129" s="155"/>
      <c r="D129" s="155"/>
      <c r="E129" s="155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GL129" s="155"/>
      <c r="GM129" s="155"/>
      <c r="GN129" s="155"/>
      <c r="GO129" s="155"/>
      <c r="GP129" s="155"/>
      <c r="GQ129" s="155"/>
      <c r="GR129" s="155"/>
      <c r="GS129" s="155"/>
      <c r="GT129" s="155"/>
      <c r="GU129" s="155"/>
      <c r="GV129" s="155"/>
      <c r="GW129" s="155"/>
      <c r="GX129" s="155"/>
      <c r="GY129" s="155"/>
      <c r="GZ129" s="155"/>
      <c r="HA129" s="155"/>
      <c r="HB129" s="155"/>
      <c r="HC129" s="155"/>
      <c r="HD129" s="155"/>
      <c r="HE129" s="155"/>
    </row>
    <row r="130" spans="2:213" s="156" customFormat="1" hidden="1">
      <c r="B130" s="155"/>
      <c r="C130" s="155"/>
      <c r="D130" s="155"/>
      <c r="E130" s="155"/>
      <c r="F130" s="155"/>
      <c r="G130" s="155"/>
      <c r="H130" s="155"/>
      <c r="I130" s="155"/>
      <c r="J130" s="155"/>
      <c r="K130" s="155"/>
      <c r="L130" s="155"/>
      <c r="M130" s="155"/>
      <c r="N130" s="155"/>
      <c r="O130" s="155"/>
      <c r="P130" s="155"/>
      <c r="Q130" s="155"/>
      <c r="R130" s="155"/>
      <c r="S130" s="155"/>
      <c r="T130" s="155"/>
      <c r="U130" s="155"/>
      <c r="V130" s="155"/>
      <c r="W130" s="155"/>
      <c r="GL130" s="155"/>
      <c r="GM130" s="155"/>
      <c r="GN130" s="155"/>
      <c r="GO130" s="155"/>
      <c r="GP130" s="155"/>
      <c r="GQ130" s="155"/>
      <c r="GR130" s="155"/>
      <c r="GS130" s="155"/>
      <c r="GT130" s="155"/>
      <c r="GU130" s="155"/>
      <c r="GV130" s="155"/>
      <c r="GW130" s="155"/>
      <c r="GX130" s="155"/>
      <c r="GY130" s="155"/>
      <c r="GZ130" s="155"/>
      <c r="HA130" s="155"/>
      <c r="HB130" s="155"/>
      <c r="HC130" s="155"/>
      <c r="HD130" s="155"/>
      <c r="HE130" s="155"/>
    </row>
    <row r="131" spans="2:213" s="156" customFormat="1" hidden="1">
      <c r="B131" s="155"/>
      <c r="C131" s="155"/>
      <c r="D131" s="155"/>
      <c r="E131" s="155"/>
      <c r="F131" s="155"/>
      <c r="G131" s="155"/>
      <c r="H131" s="155"/>
      <c r="I131" s="155"/>
      <c r="J131" s="155"/>
      <c r="K131" s="155"/>
      <c r="L131" s="155"/>
      <c r="M131" s="155"/>
      <c r="N131" s="155"/>
      <c r="O131" s="155"/>
      <c r="P131" s="155"/>
      <c r="Q131" s="155"/>
      <c r="R131" s="155"/>
      <c r="S131" s="155"/>
      <c r="T131" s="155"/>
      <c r="U131" s="155"/>
      <c r="V131" s="155"/>
      <c r="W131" s="155"/>
      <c r="GL131" s="155"/>
      <c r="GM131" s="155"/>
      <c r="GN131" s="155"/>
      <c r="GO131" s="155"/>
      <c r="GP131" s="155"/>
      <c r="GQ131" s="155"/>
      <c r="GR131" s="155"/>
      <c r="GS131" s="155"/>
      <c r="GT131" s="155"/>
      <c r="GU131" s="155"/>
      <c r="GV131" s="155"/>
      <c r="GW131" s="155"/>
      <c r="GX131" s="155"/>
      <c r="GY131" s="155"/>
      <c r="GZ131" s="155"/>
      <c r="HA131" s="155"/>
      <c r="HB131" s="155"/>
      <c r="HC131" s="155"/>
      <c r="HD131" s="155"/>
      <c r="HE131" s="155"/>
    </row>
    <row r="132" spans="2:213" s="156" customFormat="1" hidden="1">
      <c r="B132" s="155"/>
      <c r="C132" s="155"/>
      <c r="D132" s="155"/>
      <c r="E132" s="155"/>
      <c r="F132" s="155"/>
      <c r="G132" s="155"/>
      <c r="H132" s="155"/>
      <c r="I132" s="155"/>
      <c r="J132" s="155"/>
      <c r="K132" s="155"/>
      <c r="L132" s="155"/>
      <c r="M132" s="155"/>
      <c r="N132" s="155"/>
      <c r="O132" s="155"/>
      <c r="P132" s="155"/>
      <c r="Q132" s="155"/>
      <c r="R132" s="155"/>
      <c r="S132" s="155"/>
      <c r="T132" s="155"/>
      <c r="U132" s="155"/>
      <c r="V132" s="155"/>
      <c r="W132" s="155"/>
      <c r="GL132" s="155"/>
      <c r="GM132" s="155"/>
      <c r="GN132" s="155"/>
      <c r="GO132" s="155"/>
      <c r="GP132" s="155"/>
      <c r="GQ132" s="155"/>
      <c r="GR132" s="155"/>
      <c r="GS132" s="155"/>
      <c r="GT132" s="155"/>
      <c r="GU132" s="155"/>
      <c r="GV132" s="155"/>
      <c r="GW132" s="155"/>
      <c r="GX132" s="155"/>
      <c r="GY132" s="155"/>
      <c r="GZ132" s="155"/>
      <c r="HA132" s="155"/>
      <c r="HB132" s="155"/>
      <c r="HC132" s="155"/>
      <c r="HD132" s="155"/>
      <c r="HE132" s="155"/>
    </row>
    <row r="133" spans="2:213" s="156" customFormat="1" hidden="1">
      <c r="B133" s="155"/>
      <c r="C133" s="155"/>
      <c r="D133" s="155"/>
      <c r="E133" s="155"/>
      <c r="F133" s="155"/>
      <c r="G133" s="155"/>
      <c r="H133" s="155"/>
      <c r="I133" s="155"/>
      <c r="J133" s="155"/>
      <c r="K133" s="155"/>
      <c r="L133" s="155"/>
      <c r="M133" s="155"/>
      <c r="N133" s="155"/>
      <c r="O133" s="155"/>
      <c r="P133" s="155"/>
      <c r="Q133" s="155"/>
      <c r="R133" s="155"/>
      <c r="S133" s="155"/>
      <c r="T133" s="155"/>
      <c r="U133" s="155"/>
      <c r="V133" s="155"/>
      <c r="W133" s="155"/>
      <c r="GL133" s="155"/>
      <c r="GM133" s="155"/>
      <c r="GN133" s="155"/>
      <c r="GO133" s="155"/>
      <c r="GP133" s="155"/>
      <c r="GQ133" s="155"/>
      <c r="GR133" s="155"/>
      <c r="GS133" s="155"/>
      <c r="GT133" s="155"/>
      <c r="GU133" s="155"/>
      <c r="GV133" s="155"/>
      <c r="GW133" s="155"/>
      <c r="GX133" s="155"/>
      <c r="GY133" s="155"/>
      <c r="GZ133" s="155"/>
      <c r="HA133" s="155"/>
      <c r="HB133" s="155"/>
      <c r="HC133" s="155"/>
      <c r="HD133" s="155"/>
      <c r="HE133" s="155"/>
    </row>
    <row r="134" spans="2:213" s="156" customFormat="1" hidden="1">
      <c r="B134" s="155"/>
      <c r="C134" s="155"/>
      <c r="D134" s="155"/>
      <c r="E134" s="155"/>
      <c r="F134" s="155"/>
      <c r="G134" s="155"/>
      <c r="H134" s="155"/>
      <c r="I134" s="155"/>
      <c r="J134" s="155"/>
      <c r="K134" s="155"/>
      <c r="L134" s="155"/>
      <c r="M134" s="155"/>
      <c r="N134" s="155"/>
      <c r="O134" s="155"/>
      <c r="P134" s="155"/>
      <c r="Q134" s="155"/>
      <c r="R134" s="155"/>
      <c r="S134" s="155"/>
      <c r="T134" s="155"/>
      <c r="U134" s="155"/>
      <c r="V134" s="155"/>
      <c r="W134" s="155"/>
      <c r="GL134" s="155"/>
      <c r="GM134" s="155"/>
      <c r="GN134" s="155"/>
      <c r="GO134" s="155"/>
      <c r="GP134" s="155"/>
      <c r="GQ134" s="155"/>
      <c r="GR134" s="155"/>
      <c r="GS134" s="155"/>
      <c r="GT134" s="155"/>
      <c r="GU134" s="155"/>
      <c r="GV134" s="155"/>
      <c r="GW134" s="155"/>
      <c r="GX134" s="155"/>
      <c r="GY134" s="155"/>
      <c r="GZ134" s="155"/>
      <c r="HA134" s="155"/>
      <c r="HB134" s="155"/>
      <c r="HC134" s="155"/>
      <c r="HD134" s="155"/>
      <c r="HE134" s="155"/>
    </row>
    <row r="135" spans="2:213" s="156" customFormat="1" hidden="1">
      <c r="B135" s="155"/>
      <c r="C135" s="155"/>
      <c r="D135" s="155"/>
      <c r="E135" s="155"/>
      <c r="F135" s="155"/>
      <c r="G135" s="155"/>
      <c r="H135" s="155"/>
      <c r="I135" s="155"/>
      <c r="J135" s="155"/>
      <c r="K135" s="155"/>
      <c r="L135" s="155"/>
      <c r="M135" s="155"/>
      <c r="N135" s="155"/>
      <c r="O135" s="155"/>
      <c r="P135" s="155"/>
      <c r="Q135" s="155"/>
      <c r="R135" s="155"/>
      <c r="S135" s="155"/>
      <c r="T135" s="155"/>
      <c r="U135" s="155"/>
      <c r="V135" s="155"/>
      <c r="W135" s="155"/>
      <c r="GL135" s="155"/>
      <c r="GM135" s="155"/>
      <c r="GN135" s="155"/>
      <c r="GO135" s="155"/>
      <c r="GP135" s="155"/>
      <c r="GQ135" s="155"/>
      <c r="GR135" s="155"/>
      <c r="GS135" s="155"/>
      <c r="GT135" s="155"/>
      <c r="GU135" s="155"/>
      <c r="GV135" s="155"/>
      <c r="GW135" s="155"/>
      <c r="GX135" s="155"/>
      <c r="GY135" s="155"/>
      <c r="GZ135" s="155"/>
      <c r="HA135" s="155"/>
      <c r="HB135" s="155"/>
      <c r="HC135" s="155"/>
      <c r="HD135" s="155"/>
      <c r="HE135" s="155"/>
    </row>
    <row r="136" spans="2:213" s="156" customFormat="1" hidden="1">
      <c r="B136" s="155"/>
      <c r="C136" s="155"/>
      <c r="D136" s="155"/>
      <c r="E136" s="155"/>
      <c r="F136" s="155"/>
      <c r="G136" s="155"/>
      <c r="H136" s="155"/>
      <c r="I136" s="155"/>
      <c r="J136" s="155"/>
      <c r="K136" s="155"/>
      <c r="L136" s="155"/>
      <c r="M136" s="155"/>
      <c r="N136" s="155"/>
      <c r="O136" s="155"/>
      <c r="P136" s="155"/>
      <c r="Q136" s="155"/>
      <c r="R136" s="155"/>
      <c r="S136" s="155"/>
      <c r="T136" s="155"/>
      <c r="U136" s="155"/>
      <c r="V136" s="155"/>
      <c r="W136" s="155"/>
      <c r="GL136" s="155"/>
      <c r="GM136" s="155"/>
      <c r="GN136" s="155"/>
      <c r="GO136" s="155"/>
      <c r="GP136" s="155"/>
      <c r="GQ136" s="155"/>
      <c r="GR136" s="155"/>
      <c r="GS136" s="155"/>
      <c r="GT136" s="155"/>
      <c r="GU136" s="155"/>
      <c r="GV136" s="155"/>
      <c r="GW136" s="155"/>
      <c r="GX136" s="155"/>
      <c r="GY136" s="155"/>
      <c r="GZ136" s="155"/>
      <c r="HA136" s="155"/>
      <c r="HB136" s="155"/>
      <c r="HC136" s="155"/>
      <c r="HD136" s="155"/>
      <c r="HE136" s="155"/>
    </row>
    <row r="137" spans="2:213" s="156" customFormat="1" hidden="1">
      <c r="B137" s="155"/>
      <c r="C137" s="155"/>
      <c r="D137" s="155"/>
      <c r="E137" s="155"/>
      <c r="F137" s="155"/>
      <c r="G137" s="155"/>
      <c r="H137" s="155"/>
      <c r="I137" s="155"/>
      <c r="J137" s="155"/>
      <c r="K137" s="155"/>
      <c r="L137" s="155"/>
      <c r="M137" s="155"/>
      <c r="N137" s="155"/>
      <c r="O137" s="155"/>
      <c r="P137" s="155"/>
      <c r="Q137" s="155"/>
      <c r="R137" s="155"/>
      <c r="S137" s="155"/>
      <c r="T137" s="155"/>
      <c r="U137" s="155"/>
      <c r="V137" s="155"/>
      <c r="W137" s="155"/>
      <c r="GL137" s="155"/>
      <c r="GM137" s="155"/>
      <c r="GN137" s="155"/>
      <c r="GO137" s="155"/>
      <c r="GP137" s="155"/>
      <c r="GQ137" s="155"/>
      <c r="GR137" s="155"/>
      <c r="GS137" s="155"/>
      <c r="GT137" s="155"/>
      <c r="GU137" s="155"/>
      <c r="GV137" s="155"/>
      <c r="GW137" s="155"/>
      <c r="GX137" s="155"/>
      <c r="GY137" s="155"/>
      <c r="GZ137" s="155"/>
      <c r="HA137" s="155"/>
      <c r="HB137" s="155"/>
      <c r="HC137" s="155"/>
      <c r="HD137" s="155"/>
      <c r="HE137" s="155"/>
    </row>
    <row r="138" spans="2:213" s="156" customFormat="1" hidden="1">
      <c r="B138" s="155"/>
      <c r="C138" s="155"/>
      <c r="D138" s="155"/>
      <c r="E138" s="155"/>
      <c r="F138" s="155"/>
      <c r="G138" s="155"/>
      <c r="H138" s="155"/>
      <c r="I138" s="155"/>
      <c r="J138" s="155"/>
      <c r="K138" s="155"/>
      <c r="L138" s="155"/>
      <c r="M138" s="155"/>
      <c r="N138" s="155"/>
      <c r="O138" s="155"/>
      <c r="P138" s="155"/>
      <c r="Q138" s="155"/>
      <c r="R138" s="155"/>
      <c r="S138" s="155"/>
      <c r="T138" s="155"/>
      <c r="U138" s="155"/>
      <c r="V138" s="155"/>
      <c r="W138" s="155"/>
      <c r="GL138" s="155"/>
      <c r="GM138" s="155"/>
      <c r="GN138" s="155"/>
      <c r="GO138" s="155"/>
      <c r="GP138" s="155"/>
      <c r="GQ138" s="155"/>
      <c r="GR138" s="155"/>
      <c r="GS138" s="155"/>
      <c r="GT138" s="155"/>
      <c r="GU138" s="155"/>
      <c r="GV138" s="155"/>
      <c r="GW138" s="155"/>
      <c r="GX138" s="155"/>
      <c r="GY138" s="155"/>
      <c r="GZ138" s="155"/>
      <c r="HA138" s="155"/>
      <c r="HB138" s="155"/>
      <c r="HC138" s="155"/>
      <c r="HD138" s="155"/>
      <c r="HE138" s="155"/>
    </row>
    <row r="139" spans="2:213" s="156" customFormat="1" hidden="1">
      <c r="B139" s="155"/>
      <c r="C139" s="155"/>
      <c r="D139" s="155"/>
      <c r="E139" s="155"/>
      <c r="F139" s="155"/>
      <c r="G139" s="155"/>
      <c r="H139" s="155"/>
      <c r="I139" s="155"/>
      <c r="J139" s="155"/>
      <c r="K139" s="155"/>
      <c r="L139" s="155"/>
      <c r="M139" s="155"/>
      <c r="N139" s="155"/>
      <c r="O139" s="155"/>
      <c r="P139" s="155"/>
      <c r="Q139" s="155"/>
      <c r="R139" s="155"/>
      <c r="S139" s="155"/>
      <c r="T139" s="155"/>
      <c r="U139" s="155"/>
      <c r="V139" s="155"/>
      <c r="W139" s="155"/>
      <c r="GL139" s="155"/>
      <c r="GM139" s="155"/>
      <c r="GN139" s="155"/>
      <c r="GO139" s="155"/>
      <c r="GP139" s="155"/>
      <c r="GQ139" s="155"/>
      <c r="GR139" s="155"/>
      <c r="GS139" s="155"/>
      <c r="GT139" s="155"/>
      <c r="GU139" s="155"/>
      <c r="GV139" s="155"/>
      <c r="GW139" s="155"/>
      <c r="GX139" s="155"/>
      <c r="GY139" s="155"/>
      <c r="GZ139" s="155"/>
      <c r="HA139" s="155"/>
      <c r="HB139" s="155"/>
      <c r="HC139" s="155"/>
      <c r="HD139" s="155"/>
      <c r="HE139" s="155"/>
    </row>
    <row r="140" spans="2:213" s="156" customFormat="1" hidden="1">
      <c r="B140" s="155"/>
      <c r="C140" s="155"/>
      <c r="D140" s="155"/>
      <c r="E140" s="155"/>
      <c r="F140" s="155"/>
      <c r="G140" s="155"/>
      <c r="H140" s="155"/>
      <c r="I140" s="155"/>
      <c r="J140" s="155"/>
      <c r="K140" s="155"/>
      <c r="L140" s="155"/>
      <c r="M140" s="155"/>
      <c r="N140" s="155"/>
      <c r="O140" s="155"/>
      <c r="P140" s="155"/>
      <c r="Q140" s="155"/>
      <c r="R140" s="155"/>
      <c r="S140" s="155"/>
      <c r="T140" s="155"/>
      <c r="U140" s="155"/>
      <c r="V140" s="155"/>
      <c r="W140" s="155"/>
      <c r="GL140" s="155"/>
      <c r="GM140" s="155"/>
      <c r="GN140" s="155"/>
      <c r="GO140" s="155"/>
      <c r="GP140" s="155"/>
      <c r="GQ140" s="155"/>
      <c r="GR140" s="155"/>
      <c r="GS140" s="155"/>
      <c r="GT140" s="155"/>
      <c r="GU140" s="155"/>
      <c r="GV140" s="155"/>
      <c r="GW140" s="155"/>
      <c r="GX140" s="155"/>
      <c r="GY140" s="155"/>
      <c r="GZ140" s="155"/>
      <c r="HA140" s="155"/>
      <c r="HB140" s="155"/>
      <c r="HC140" s="155"/>
      <c r="HD140" s="155"/>
      <c r="HE140" s="155"/>
    </row>
    <row r="141" spans="2:213" s="156" customFormat="1" hidden="1">
      <c r="B141" s="155"/>
      <c r="C141" s="155"/>
      <c r="D141" s="155"/>
      <c r="E141" s="155"/>
      <c r="F141" s="155"/>
      <c r="G141" s="155"/>
      <c r="H141" s="155"/>
      <c r="I141" s="155"/>
      <c r="J141" s="155"/>
      <c r="K141" s="155"/>
      <c r="L141" s="155"/>
      <c r="M141" s="155"/>
      <c r="N141" s="155"/>
      <c r="O141" s="155"/>
      <c r="P141" s="155"/>
      <c r="Q141" s="155"/>
      <c r="R141" s="155"/>
      <c r="S141" s="155"/>
      <c r="T141" s="155"/>
      <c r="U141" s="155"/>
      <c r="V141" s="155"/>
      <c r="W141" s="155"/>
      <c r="GL141" s="155"/>
      <c r="GM141" s="155"/>
      <c r="GN141" s="155"/>
      <c r="GO141" s="155"/>
      <c r="GP141" s="155"/>
      <c r="GQ141" s="155"/>
      <c r="GR141" s="155"/>
      <c r="GS141" s="155"/>
      <c r="GT141" s="155"/>
      <c r="GU141" s="155"/>
      <c r="GV141" s="155"/>
      <c r="GW141" s="155"/>
      <c r="GX141" s="155"/>
      <c r="GY141" s="155"/>
      <c r="GZ141" s="155"/>
      <c r="HA141" s="155"/>
      <c r="HB141" s="155"/>
      <c r="HC141" s="155"/>
      <c r="HD141" s="155"/>
      <c r="HE141" s="155"/>
    </row>
    <row r="142" spans="2:213" s="156" customFormat="1" hidden="1">
      <c r="B142" s="155"/>
      <c r="C142" s="155"/>
      <c r="D142" s="155"/>
      <c r="E142" s="155"/>
      <c r="F142" s="155"/>
      <c r="G142" s="155"/>
      <c r="H142" s="155"/>
      <c r="I142" s="155"/>
      <c r="J142" s="155"/>
      <c r="K142" s="155"/>
      <c r="L142" s="155"/>
      <c r="M142" s="155"/>
      <c r="N142" s="155"/>
      <c r="O142" s="155"/>
      <c r="P142" s="155"/>
      <c r="Q142" s="155"/>
      <c r="R142" s="155"/>
      <c r="S142" s="155"/>
      <c r="T142" s="155"/>
      <c r="U142" s="155"/>
      <c r="V142" s="155"/>
      <c r="W142" s="155"/>
      <c r="GL142" s="155"/>
      <c r="GM142" s="155"/>
      <c r="GN142" s="155"/>
      <c r="GO142" s="155"/>
      <c r="GP142" s="155"/>
      <c r="GQ142" s="155"/>
      <c r="GR142" s="155"/>
      <c r="GS142" s="155"/>
      <c r="GT142" s="155"/>
      <c r="GU142" s="155"/>
      <c r="GV142" s="155"/>
      <c r="GW142" s="155"/>
      <c r="GX142" s="155"/>
      <c r="GY142" s="155"/>
      <c r="GZ142" s="155"/>
      <c r="HA142" s="155"/>
      <c r="HB142" s="155"/>
      <c r="HC142" s="155"/>
      <c r="HD142" s="155"/>
      <c r="HE142" s="155"/>
    </row>
    <row r="143" spans="2:213" s="156" customFormat="1" hidden="1">
      <c r="B143" s="155"/>
      <c r="C143" s="155"/>
      <c r="D143" s="155"/>
      <c r="E143" s="155"/>
      <c r="F143" s="155"/>
      <c r="G143" s="155"/>
      <c r="H143" s="155"/>
      <c r="I143" s="155"/>
      <c r="J143" s="155"/>
      <c r="K143" s="155"/>
      <c r="L143" s="155"/>
      <c r="M143" s="155"/>
      <c r="N143" s="155"/>
      <c r="O143" s="155"/>
      <c r="P143" s="155"/>
      <c r="Q143" s="155"/>
      <c r="R143" s="155"/>
      <c r="S143" s="155"/>
      <c r="T143" s="155"/>
      <c r="U143" s="155"/>
      <c r="V143" s="155"/>
      <c r="W143" s="155"/>
      <c r="GL143" s="155"/>
      <c r="GM143" s="155"/>
      <c r="GN143" s="155"/>
      <c r="GO143" s="155"/>
      <c r="GP143" s="155"/>
      <c r="GQ143" s="155"/>
      <c r="GR143" s="155"/>
      <c r="GS143" s="155"/>
      <c r="GT143" s="155"/>
      <c r="GU143" s="155"/>
      <c r="GV143" s="155"/>
      <c r="GW143" s="155"/>
      <c r="GX143" s="155"/>
      <c r="GY143" s="155"/>
      <c r="GZ143" s="155"/>
      <c r="HA143" s="155"/>
      <c r="HB143" s="155"/>
      <c r="HC143" s="155"/>
      <c r="HD143" s="155"/>
      <c r="HE143" s="155"/>
    </row>
    <row r="144" spans="2:213" s="156" customFormat="1" hidden="1">
      <c r="B144" s="155"/>
      <c r="C144" s="155"/>
      <c r="D144" s="155"/>
      <c r="E144" s="155"/>
      <c r="F144" s="155"/>
      <c r="G144" s="155"/>
      <c r="H144" s="155"/>
      <c r="I144" s="155"/>
      <c r="J144" s="155"/>
      <c r="K144" s="155"/>
      <c r="L144" s="155"/>
      <c r="M144" s="155"/>
      <c r="N144" s="155"/>
      <c r="O144" s="155"/>
      <c r="P144" s="155"/>
      <c r="Q144" s="155"/>
      <c r="R144" s="155"/>
      <c r="S144" s="155"/>
      <c r="T144" s="155"/>
      <c r="U144" s="155"/>
      <c r="V144" s="155"/>
      <c r="W144" s="155"/>
      <c r="GL144" s="155"/>
      <c r="GM144" s="155"/>
      <c r="GN144" s="155"/>
      <c r="GO144" s="155"/>
      <c r="GP144" s="155"/>
      <c r="GQ144" s="155"/>
      <c r="GR144" s="155"/>
      <c r="GS144" s="155"/>
      <c r="GT144" s="155"/>
      <c r="GU144" s="155"/>
      <c r="GV144" s="155"/>
      <c r="GW144" s="155"/>
      <c r="GX144" s="155"/>
      <c r="GY144" s="155"/>
      <c r="GZ144" s="155"/>
      <c r="HA144" s="155"/>
      <c r="HB144" s="155"/>
      <c r="HC144" s="155"/>
      <c r="HD144" s="155"/>
      <c r="HE144" s="155"/>
    </row>
    <row r="145" spans="2:213" s="156" customFormat="1" hidden="1">
      <c r="B145" s="155"/>
      <c r="C145" s="155"/>
      <c r="D145" s="155"/>
      <c r="E145" s="155"/>
      <c r="F145" s="155"/>
      <c r="G145" s="155"/>
      <c r="H145" s="155"/>
      <c r="I145" s="155"/>
      <c r="J145" s="155"/>
      <c r="K145" s="155"/>
      <c r="L145" s="155"/>
      <c r="M145" s="155"/>
      <c r="N145" s="155"/>
      <c r="O145" s="155"/>
      <c r="P145" s="155"/>
      <c r="Q145" s="155"/>
      <c r="R145" s="155"/>
      <c r="S145" s="155"/>
      <c r="T145" s="155"/>
      <c r="U145" s="155"/>
      <c r="V145" s="155"/>
      <c r="W145" s="155"/>
      <c r="GL145" s="155"/>
      <c r="GM145" s="155"/>
      <c r="GN145" s="155"/>
      <c r="GO145" s="155"/>
      <c r="GP145" s="155"/>
      <c r="GQ145" s="155"/>
      <c r="GR145" s="155"/>
      <c r="GS145" s="155"/>
      <c r="GT145" s="155"/>
      <c r="GU145" s="155"/>
      <c r="GV145" s="155"/>
      <c r="GW145" s="155"/>
      <c r="GX145" s="155"/>
      <c r="GY145" s="155"/>
      <c r="GZ145" s="155"/>
      <c r="HA145" s="155"/>
      <c r="HB145" s="155"/>
      <c r="HC145" s="155"/>
      <c r="HD145" s="155"/>
      <c r="HE145" s="155"/>
    </row>
    <row r="146" spans="2:213" s="156" customFormat="1" hidden="1">
      <c r="B146" s="155"/>
      <c r="C146" s="155"/>
      <c r="D146" s="155"/>
      <c r="E146" s="155"/>
      <c r="F146" s="155"/>
      <c r="G146" s="155"/>
      <c r="H146" s="155"/>
      <c r="I146" s="155"/>
      <c r="J146" s="155"/>
      <c r="K146" s="155"/>
      <c r="L146" s="155"/>
      <c r="M146" s="155"/>
      <c r="N146" s="155"/>
      <c r="O146" s="155"/>
      <c r="P146" s="155"/>
      <c r="Q146" s="155"/>
      <c r="R146" s="155"/>
      <c r="S146" s="155"/>
      <c r="T146" s="155"/>
      <c r="U146" s="155"/>
      <c r="V146" s="155"/>
      <c r="W146" s="155"/>
      <c r="GL146" s="155"/>
      <c r="GM146" s="155"/>
      <c r="GN146" s="155"/>
      <c r="GO146" s="155"/>
      <c r="GP146" s="155"/>
      <c r="GQ146" s="155"/>
      <c r="GR146" s="155"/>
      <c r="GS146" s="155"/>
      <c r="GT146" s="155"/>
      <c r="GU146" s="155"/>
      <c r="GV146" s="155"/>
      <c r="GW146" s="155"/>
      <c r="GX146" s="155"/>
      <c r="GY146" s="155"/>
      <c r="GZ146" s="155"/>
      <c r="HA146" s="155"/>
      <c r="HB146" s="155"/>
      <c r="HC146" s="155"/>
      <c r="HD146" s="155"/>
      <c r="HE146" s="155"/>
    </row>
    <row r="147" spans="2:213" s="156" customFormat="1" hidden="1">
      <c r="B147" s="155"/>
      <c r="C147" s="155"/>
      <c r="D147" s="155"/>
      <c r="E147" s="155"/>
      <c r="F147" s="155"/>
      <c r="G147" s="155"/>
      <c r="H147" s="155"/>
      <c r="I147" s="155"/>
      <c r="J147" s="155"/>
      <c r="K147" s="155"/>
      <c r="L147" s="155"/>
      <c r="M147" s="155"/>
      <c r="N147" s="155"/>
      <c r="O147" s="155"/>
      <c r="P147" s="155"/>
      <c r="Q147" s="155"/>
      <c r="R147" s="155"/>
      <c r="S147" s="155"/>
      <c r="T147" s="155"/>
      <c r="U147" s="155"/>
      <c r="V147" s="155"/>
      <c r="W147" s="155"/>
      <c r="GL147" s="155"/>
      <c r="GM147" s="155"/>
      <c r="GN147" s="155"/>
      <c r="GO147" s="155"/>
      <c r="GP147" s="155"/>
      <c r="GQ147" s="155"/>
      <c r="GR147" s="155"/>
      <c r="GS147" s="155"/>
      <c r="GT147" s="155"/>
      <c r="GU147" s="155"/>
      <c r="GV147" s="155"/>
      <c r="GW147" s="155"/>
      <c r="GX147" s="155"/>
      <c r="GY147" s="155"/>
      <c r="GZ147" s="155"/>
      <c r="HA147" s="155"/>
      <c r="HB147" s="155"/>
      <c r="HC147" s="155"/>
      <c r="HD147" s="155"/>
      <c r="HE147" s="155"/>
    </row>
    <row r="148" spans="2:213" s="156" customFormat="1" hidden="1">
      <c r="B148" s="155"/>
      <c r="C148" s="155"/>
      <c r="D148" s="155"/>
      <c r="E148" s="155"/>
      <c r="F148" s="155"/>
      <c r="G148" s="155"/>
      <c r="H148" s="155"/>
      <c r="I148" s="155"/>
      <c r="J148" s="155"/>
      <c r="K148" s="155"/>
      <c r="L148" s="155"/>
      <c r="M148" s="155"/>
      <c r="N148" s="155"/>
      <c r="O148" s="155"/>
      <c r="P148" s="155"/>
      <c r="Q148" s="155"/>
      <c r="R148" s="155"/>
      <c r="S148" s="155"/>
      <c r="T148" s="155"/>
      <c r="U148" s="155"/>
      <c r="V148" s="155"/>
      <c r="W148" s="155"/>
      <c r="GL148" s="155"/>
      <c r="GM148" s="155"/>
      <c r="GN148" s="155"/>
      <c r="GO148" s="155"/>
      <c r="GP148" s="155"/>
      <c r="GQ148" s="155"/>
      <c r="GR148" s="155"/>
      <c r="GS148" s="155"/>
      <c r="GT148" s="155"/>
      <c r="GU148" s="155"/>
      <c r="GV148" s="155"/>
      <c r="GW148" s="155"/>
      <c r="GX148" s="155"/>
      <c r="GY148" s="155"/>
      <c r="GZ148" s="155"/>
      <c r="HA148" s="155"/>
      <c r="HB148" s="155"/>
      <c r="HC148" s="155"/>
      <c r="HD148" s="155"/>
      <c r="HE148" s="155"/>
    </row>
    <row r="149" spans="2:213" s="156" customFormat="1" hidden="1">
      <c r="B149" s="155"/>
      <c r="C149" s="155"/>
      <c r="D149" s="155"/>
      <c r="E149" s="155"/>
      <c r="F149" s="155"/>
      <c r="G149" s="155"/>
      <c r="H149" s="155"/>
      <c r="I149" s="155"/>
      <c r="J149" s="155"/>
      <c r="K149" s="155"/>
      <c r="L149" s="155"/>
      <c r="M149" s="155"/>
      <c r="N149" s="155"/>
      <c r="O149" s="155"/>
      <c r="P149" s="155"/>
      <c r="Q149" s="155"/>
      <c r="R149" s="155"/>
      <c r="S149" s="155"/>
      <c r="T149" s="155"/>
      <c r="U149" s="155"/>
      <c r="V149" s="155"/>
      <c r="W149" s="155"/>
      <c r="GL149" s="155"/>
      <c r="GM149" s="155"/>
      <c r="GN149" s="155"/>
      <c r="GO149" s="155"/>
      <c r="GP149" s="155"/>
      <c r="GQ149" s="155"/>
      <c r="GR149" s="155"/>
      <c r="GS149" s="155"/>
      <c r="GT149" s="155"/>
      <c r="GU149" s="155"/>
      <c r="GV149" s="155"/>
      <c r="GW149" s="155"/>
      <c r="GX149" s="155"/>
      <c r="GY149" s="155"/>
      <c r="GZ149" s="155"/>
      <c r="HA149" s="155"/>
      <c r="HB149" s="155"/>
      <c r="HC149" s="155"/>
      <c r="HD149" s="155"/>
      <c r="HE149" s="155"/>
    </row>
    <row r="150" spans="2:213" s="156" customFormat="1" hidden="1">
      <c r="B150" s="155"/>
      <c r="C150" s="155"/>
      <c r="D150" s="155"/>
      <c r="E150" s="155"/>
      <c r="F150" s="155"/>
      <c r="G150" s="155"/>
      <c r="H150" s="155"/>
      <c r="I150" s="155"/>
      <c r="J150" s="155"/>
      <c r="K150" s="155"/>
      <c r="L150" s="155"/>
      <c r="M150" s="155"/>
      <c r="N150" s="155"/>
      <c r="O150" s="155"/>
      <c r="P150" s="155"/>
      <c r="Q150" s="155"/>
      <c r="R150" s="155"/>
      <c r="S150" s="155"/>
      <c r="T150" s="155"/>
      <c r="U150" s="155"/>
      <c r="V150" s="155"/>
      <c r="W150" s="155"/>
      <c r="GL150" s="155"/>
      <c r="GM150" s="155"/>
      <c r="GN150" s="155"/>
      <c r="GO150" s="155"/>
      <c r="GP150" s="155"/>
      <c r="GQ150" s="155"/>
      <c r="GR150" s="155"/>
      <c r="GS150" s="155"/>
      <c r="GT150" s="155"/>
      <c r="GU150" s="155"/>
      <c r="GV150" s="155"/>
      <c r="GW150" s="155"/>
      <c r="GX150" s="155"/>
      <c r="GY150" s="155"/>
      <c r="GZ150" s="155"/>
      <c r="HA150" s="155"/>
      <c r="HB150" s="155"/>
      <c r="HC150" s="155"/>
      <c r="HD150" s="155"/>
      <c r="HE150" s="155"/>
    </row>
    <row r="151" spans="2:213" s="156" customFormat="1" hidden="1">
      <c r="B151" s="155"/>
      <c r="C151" s="155"/>
      <c r="D151" s="155"/>
      <c r="E151" s="155"/>
      <c r="F151" s="155"/>
      <c r="G151" s="155"/>
      <c r="H151" s="155"/>
      <c r="I151" s="155"/>
      <c r="J151" s="155"/>
      <c r="K151" s="155"/>
      <c r="L151" s="155"/>
      <c r="M151" s="155"/>
      <c r="N151" s="155"/>
      <c r="O151" s="155"/>
      <c r="P151" s="155"/>
      <c r="Q151" s="155"/>
      <c r="R151" s="155"/>
      <c r="S151" s="155"/>
      <c r="T151" s="155"/>
      <c r="U151" s="155"/>
      <c r="V151" s="155"/>
      <c r="W151" s="155"/>
      <c r="GL151" s="155"/>
      <c r="GM151" s="155"/>
      <c r="GN151" s="155"/>
      <c r="GO151" s="155"/>
      <c r="GP151" s="155"/>
      <c r="GQ151" s="155"/>
      <c r="GR151" s="155"/>
      <c r="GS151" s="155"/>
      <c r="GT151" s="155"/>
      <c r="GU151" s="155"/>
      <c r="GV151" s="155"/>
      <c r="GW151" s="155"/>
      <c r="GX151" s="155"/>
      <c r="GY151" s="155"/>
      <c r="GZ151" s="155"/>
      <c r="HA151" s="155"/>
      <c r="HB151" s="155"/>
      <c r="HC151" s="155"/>
      <c r="HD151" s="155"/>
      <c r="HE151" s="155"/>
    </row>
    <row r="152" spans="2:213" s="156" customFormat="1" hidden="1">
      <c r="B152" s="155"/>
      <c r="C152" s="155"/>
      <c r="D152" s="155"/>
      <c r="E152" s="155"/>
      <c r="F152" s="155"/>
      <c r="G152" s="155"/>
      <c r="H152" s="155"/>
      <c r="I152" s="155"/>
      <c r="J152" s="155"/>
      <c r="K152" s="155"/>
      <c r="L152" s="155"/>
      <c r="M152" s="155"/>
      <c r="N152" s="155"/>
      <c r="O152" s="155"/>
      <c r="P152" s="155"/>
      <c r="Q152" s="155"/>
      <c r="R152" s="155"/>
      <c r="S152" s="155"/>
      <c r="T152" s="155"/>
      <c r="U152" s="155"/>
      <c r="V152" s="155"/>
      <c r="W152" s="155"/>
      <c r="GL152" s="155"/>
      <c r="GM152" s="155"/>
      <c r="GN152" s="155"/>
      <c r="GO152" s="155"/>
      <c r="GP152" s="155"/>
      <c r="GQ152" s="155"/>
      <c r="GR152" s="155"/>
      <c r="GS152" s="155"/>
      <c r="GT152" s="155"/>
      <c r="GU152" s="155"/>
      <c r="GV152" s="155"/>
      <c r="GW152" s="155"/>
      <c r="GX152" s="155"/>
      <c r="GY152" s="155"/>
      <c r="GZ152" s="155"/>
      <c r="HA152" s="155"/>
      <c r="HB152" s="155"/>
      <c r="HC152" s="155"/>
      <c r="HD152" s="155"/>
      <c r="HE152" s="155"/>
    </row>
    <row r="153" spans="2:213" s="156" customFormat="1" hidden="1">
      <c r="B153" s="155"/>
      <c r="C153" s="155"/>
      <c r="D153" s="155"/>
      <c r="E153" s="155"/>
      <c r="F153" s="155"/>
      <c r="G153" s="155"/>
      <c r="H153" s="155"/>
      <c r="I153" s="155"/>
      <c r="J153" s="155"/>
      <c r="K153" s="155"/>
      <c r="L153" s="155"/>
      <c r="M153" s="155"/>
      <c r="N153" s="155"/>
      <c r="O153" s="155"/>
      <c r="P153" s="155"/>
      <c r="Q153" s="155"/>
      <c r="R153" s="155"/>
      <c r="S153" s="155"/>
      <c r="T153" s="155"/>
      <c r="U153" s="155"/>
      <c r="V153" s="155"/>
      <c r="W153" s="155"/>
      <c r="GL153" s="155"/>
      <c r="GM153" s="155"/>
      <c r="GN153" s="155"/>
      <c r="GO153" s="155"/>
      <c r="GP153" s="155"/>
      <c r="GQ153" s="155"/>
      <c r="GR153" s="155"/>
      <c r="GS153" s="155"/>
      <c r="GT153" s="155"/>
      <c r="GU153" s="155"/>
      <c r="GV153" s="155"/>
      <c r="GW153" s="155"/>
      <c r="GX153" s="155"/>
      <c r="GY153" s="155"/>
      <c r="GZ153" s="155"/>
      <c r="HA153" s="155"/>
      <c r="HB153" s="155"/>
      <c r="HC153" s="155"/>
      <c r="HD153" s="155"/>
      <c r="HE153" s="155"/>
    </row>
    <row r="154" spans="2:213" s="156" customFormat="1" hidden="1">
      <c r="B154" s="155"/>
      <c r="C154" s="155"/>
      <c r="D154" s="155"/>
      <c r="E154" s="155"/>
      <c r="F154" s="155"/>
      <c r="G154" s="155"/>
      <c r="H154" s="155"/>
      <c r="I154" s="155"/>
      <c r="J154" s="155"/>
      <c r="K154" s="155"/>
      <c r="L154" s="155"/>
      <c r="M154" s="155"/>
      <c r="N154" s="155"/>
      <c r="O154" s="155"/>
      <c r="P154" s="155"/>
      <c r="Q154" s="155"/>
      <c r="R154" s="155"/>
      <c r="S154" s="155"/>
      <c r="T154" s="155"/>
      <c r="U154" s="155"/>
      <c r="V154" s="155"/>
      <c r="W154" s="155"/>
      <c r="GL154" s="155"/>
      <c r="GM154" s="155"/>
      <c r="GN154" s="155"/>
      <c r="GO154" s="155"/>
      <c r="GP154" s="155"/>
      <c r="GQ154" s="155"/>
      <c r="GR154" s="155"/>
      <c r="GS154" s="155"/>
      <c r="GT154" s="155"/>
      <c r="GU154" s="155"/>
      <c r="GV154" s="155"/>
      <c r="GW154" s="155"/>
      <c r="GX154" s="155"/>
      <c r="GY154" s="155"/>
      <c r="GZ154" s="155"/>
      <c r="HA154" s="155"/>
      <c r="HB154" s="155"/>
      <c r="HC154" s="155"/>
      <c r="HD154" s="155"/>
      <c r="HE154" s="155"/>
    </row>
    <row r="155" spans="2:213" s="156" customFormat="1" hidden="1">
      <c r="B155" s="155"/>
      <c r="C155" s="155"/>
      <c r="D155" s="155"/>
      <c r="E155" s="155"/>
      <c r="F155" s="155"/>
      <c r="G155" s="155"/>
      <c r="H155" s="155"/>
      <c r="I155" s="155"/>
      <c r="J155" s="155"/>
      <c r="K155" s="155"/>
      <c r="L155" s="155"/>
      <c r="M155" s="155"/>
      <c r="N155" s="155"/>
      <c r="O155" s="155"/>
      <c r="P155" s="155"/>
      <c r="Q155" s="155"/>
      <c r="R155" s="155"/>
      <c r="S155" s="155"/>
      <c r="T155" s="155"/>
      <c r="U155" s="155"/>
      <c r="V155" s="155"/>
      <c r="W155" s="155"/>
      <c r="GL155" s="155"/>
      <c r="GM155" s="155"/>
      <c r="GN155" s="155"/>
      <c r="GO155" s="155"/>
      <c r="GP155" s="155"/>
      <c r="GQ155" s="155"/>
      <c r="GR155" s="155"/>
      <c r="GS155" s="155"/>
      <c r="GT155" s="155"/>
      <c r="GU155" s="155"/>
      <c r="GV155" s="155"/>
      <c r="GW155" s="155"/>
      <c r="GX155" s="155"/>
      <c r="GY155" s="155"/>
      <c r="GZ155" s="155"/>
      <c r="HA155" s="155"/>
      <c r="HB155" s="155"/>
      <c r="HC155" s="155"/>
      <c r="HD155" s="155"/>
      <c r="HE155" s="155"/>
    </row>
    <row r="156" spans="2:213" s="156" customFormat="1" hidden="1">
      <c r="B156" s="155"/>
      <c r="C156" s="155"/>
      <c r="D156" s="155"/>
      <c r="E156" s="155"/>
      <c r="F156" s="155"/>
      <c r="G156" s="155"/>
      <c r="H156" s="155"/>
      <c r="I156" s="155"/>
      <c r="J156" s="155"/>
      <c r="K156" s="155"/>
      <c r="L156" s="155"/>
      <c r="M156" s="155"/>
      <c r="N156" s="155"/>
      <c r="O156" s="155"/>
      <c r="P156" s="155"/>
      <c r="Q156" s="155"/>
      <c r="R156" s="155"/>
      <c r="S156" s="155"/>
      <c r="T156" s="155"/>
      <c r="U156" s="155"/>
      <c r="V156" s="155"/>
      <c r="W156" s="155"/>
      <c r="GL156" s="155"/>
      <c r="GM156" s="155"/>
      <c r="GN156" s="155"/>
      <c r="GO156" s="155"/>
      <c r="GP156" s="155"/>
      <c r="GQ156" s="155"/>
      <c r="GR156" s="155"/>
      <c r="GS156" s="155"/>
      <c r="GT156" s="155"/>
      <c r="GU156" s="155"/>
      <c r="GV156" s="155"/>
      <c r="GW156" s="155"/>
      <c r="GX156" s="155"/>
      <c r="GY156" s="155"/>
      <c r="GZ156" s="155"/>
      <c r="HA156" s="155"/>
      <c r="HB156" s="155"/>
      <c r="HC156" s="155"/>
      <c r="HD156" s="155"/>
      <c r="HE156" s="155"/>
    </row>
    <row r="157" spans="2:213" s="156" customFormat="1" hidden="1">
      <c r="B157" s="155"/>
      <c r="C157" s="155"/>
      <c r="D157" s="155"/>
      <c r="E157" s="155"/>
      <c r="F157" s="155"/>
      <c r="G157" s="155"/>
      <c r="H157" s="155"/>
      <c r="I157" s="155"/>
      <c r="J157" s="155"/>
      <c r="K157" s="155"/>
      <c r="L157" s="155"/>
      <c r="M157" s="155"/>
      <c r="N157" s="155"/>
      <c r="O157" s="155"/>
      <c r="P157" s="155"/>
      <c r="Q157" s="155"/>
      <c r="R157" s="155"/>
      <c r="S157" s="155"/>
      <c r="T157" s="155"/>
      <c r="U157" s="155"/>
      <c r="V157" s="155"/>
      <c r="W157" s="155"/>
      <c r="GL157" s="155"/>
      <c r="GM157" s="155"/>
      <c r="GN157" s="155"/>
      <c r="GO157" s="155"/>
      <c r="GP157" s="155"/>
      <c r="GQ157" s="155"/>
      <c r="GR157" s="155"/>
      <c r="GS157" s="155"/>
      <c r="GT157" s="155"/>
      <c r="GU157" s="155"/>
      <c r="GV157" s="155"/>
      <c r="GW157" s="155"/>
      <c r="GX157" s="155"/>
      <c r="GY157" s="155"/>
      <c r="GZ157" s="155"/>
      <c r="HA157" s="155"/>
      <c r="HB157" s="155"/>
      <c r="HC157" s="155"/>
      <c r="HD157" s="155"/>
      <c r="HE157" s="155"/>
    </row>
    <row r="158" spans="2:213" s="156" customFormat="1" hidden="1">
      <c r="B158" s="155"/>
      <c r="C158" s="155"/>
      <c r="D158" s="155"/>
      <c r="E158" s="155"/>
      <c r="F158" s="155"/>
      <c r="G158" s="155"/>
      <c r="H158" s="155"/>
      <c r="I158" s="155"/>
      <c r="J158" s="155"/>
      <c r="K158" s="155"/>
      <c r="L158" s="155"/>
      <c r="M158" s="155"/>
      <c r="N158" s="155"/>
      <c r="O158" s="155"/>
      <c r="P158" s="155"/>
      <c r="Q158" s="155"/>
      <c r="R158" s="155"/>
      <c r="S158" s="155"/>
      <c r="T158" s="155"/>
      <c r="U158" s="155"/>
      <c r="V158" s="155"/>
      <c r="W158" s="155"/>
      <c r="GL158" s="155"/>
      <c r="GM158" s="155"/>
      <c r="GN158" s="155"/>
      <c r="GO158" s="155"/>
      <c r="GP158" s="155"/>
      <c r="GQ158" s="155"/>
      <c r="GR158" s="155"/>
      <c r="GS158" s="155"/>
      <c r="GT158" s="155"/>
      <c r="GU158" s="155"/>
      <c r="GV158" s="155"/>
      <c r="GW158" s="155"/>
      <c r="GX158" s="155"/>
      <c r="GY158" s="155"/>
      <c r="GZ158" s="155"/>
      <c r="HA158" s="155"/>
      <c r="HB158" s="155"/>
      <c r="HC158" s="155"/>
      <c r="HD158" s="155"/>
      <c r="HE158" s="155"/>
    </row>
    <row r="159" spans="2:213" s="156" customFormat="1" hidden="1">
      <c r="B159" s="155"/>
      <c r="C159" s="155"/>
      <c r="D159" s="155"/>
      <c r="E159" s="155"/>
      <c r="F159" s="155"/>
      <c r="G159" s="155"/>
      <c r="H159" s="155"/>
      <c r="I159" s="155"/>
      <c r="J159" s="155"/>
      <c r="K159" s="155"/>
      <c r="L159" s="155"/>
      <c r="M159" s="155"/>
      <c r="N159" s="155"/>
      <c r="O159" s="155"/>
      <c r="P159" s="155"/>
      <c r="Q159" s="155"/>
      <c r="R159" s="155"/>
      <c r="S159" s="155"/>
      <c r="T159" s="155"/>
      <c r="U159" s="155"/>
      <c r="V159" s="155"/>
      <c r="W159" s="155"/>
      <c r="GL159" s="155"/>
      <c r="GM159" s="155"/>
      <c r="GN159" s="155"/>
      <c r="GO159" s="155"/>
      <c r="GP159" s="155"/>
      <c r="GQ159" s="155"/>
      <c r="GR159" s="155"/>
      <c r="GS159" s="155"/>
      <c r="GT159" s="155"/>
      <c r="GU159" s="155"/>
      <c r="GV159" s="155"/>
      <c r="GW159" s="155"/>
      <c r="GX159" s="155"/>
      <c r="GY159" s="155"/>
      <c r="GZ159" s="155"/>
      <c r="HA159" s="155"/>
      <c r="HB159" s="155"/>
      <c r="HC159" s="155"/>
      <c r="HD159" s="155"/>
      <c r="HE159" s="155"/>
    </row>
    <row r="160" spans="2:213" s="156" customFormat="1" hidden="1">
      <c r="B160" s="155"/>
      <c r="C160" s="155"/>
      <c r="D160" s="155"/>
      <c r="E160" s="155"/>
      <c r="F160" s="155"/>
      <c r="G160" s="155"/>
      <c r="H160" s="155"/>
      <c r="I160" s="155"/>
      <c r="J160" s="155"/>
      <c r="K160" s="155"/>
      <c r="L160" s="155"/>
      <c r="M160" s="155"/>
      <c r="N160" s="155"/>
      <c r="O160" s="155"/>
      <c r="P160" s="155"/>
      <c r="Q160" s="155"/>
      <c r="R160" s="155"/>
      <c r="S160" s="155"/>
      <c r="T160" s="155"/>
      <c r="U160" s="155"/>
      <c r="V160" s="155"/>
      <c r="W160" s="155"/>
      <c r="GL160" s="155"/>
      <c r="GM160" s="155"/>
      <c r="GN160" s="155"/>
      <c r="GO160" s="155"/>
      <c r="GP160" s="155"/>
      <c r="GQ160" s="155"/>
      <c r="GR160" s="155"/>
      <c r="GS160" s="155"/>
      <c r="GT160" s="155"/>
      <c r="GU160" s="155"/>
      <c r="GV160" s="155"/>
      <c r="GW160" s="155"/>
      <c r="GX160" s="155"/>
      <c r="GY160" s="155"/>
      <c r="GZ160" s="155"/>
      <c r="HA160" s="155"/>
      <c r="HB160" s="155"/>
      <c r="HC160" s="155"/>
      <c r="HD160" s="155"/>
      <c r="HE160" s="155"/>
    </row>
    <row r="161" spans="2:213" s="156" customFormat="1" hidden="1">
      <c r="B161" s="155"/>
      <c r="C161" s="155"/>
      <c r="D161" s="155"/>
      <c r="E161" s="155"/>
      <c r="F161" s="155"/>
      <c r="G161" s="155"/>
      <c r="H161" s="155"/>
      <c r="I161" s="155"/>
      <c r="J161" s="155"/>
      <c r="K161" s="155"/>
      <c r="L161" s="155"/>
      <c r="M161" s="155"/>
      <c r="N161" s="155"/>
      <c r="O161" s="155"/>
      <c r="P161" s="155"/>
      <c r="Q161" s="155"/>
      <c r="R161" s="155"/>
      <c r="S161" s="155"/>
      <c r="T161" s="155"/>
      <c r="U161" s="155"/>
      <c r="V161" s="155"/>
      <c r="W161" s="155"/>
      <c r="GL161" s="155"/>
      <c r="GM161" s="155"/>
      <c r="GN161" s="155"/>
      <c r="GO161" s="155"/>
      <c r="GP161" s="155"/>
      <c r="GQ161" s="155"/>
      <c r="GR161" s="155"/>
      <c r="GS161" s="155"/>
      <c r="GT161" s="155"/>
      <c r="GU161" s="155"/>
      <c r="GV161" s="155"/>
      <c r="GW161" s="155"/>
      <c r="GX161" s="155"/>
      <c r="GY161" s="155"/>
      <c r="GZ161" s="155"/>
      <c r="HA161" s="155"/>
      <c r="HB161" s="155"/>
      <c r="HC161" s="155"/>
      <c r="HD161" s="155"/>
      <c r="HE161" s="155"/>
    </row>
    <row r="162" spans="2:213" s="156" customFormat="1" hidden="1">
      <c r="B162" s="155"/>
      <c r="C162" s="155"/>
      <c r="D162" s="155"/>
      <c r="E162" s="155"/>
      <c r="F162" s="155"/>
      <c r="G162" s="155"/>
      <c r="H162" s="155"/>
      <c r="I162" s="155"/>
      <c r="J162" s="155"/>
      <c r="K162" s="155"/>
      <c r="L162" s="155"/>
      <c r="M162" s="155"/>
      <c r="N162" s="155"/>
      <c r="O162" s="155"/>
      <c r="P162" s="155"/>
      <c r="Q162" s="155"/>
      <c r="R162" s="155"/>
      <c r="S162" s="155"/>
      <c r="T162" s="155"/>
      <c r="U162" s="155"/>
      <c r="V162" s="155"/>
      <c r="W162" s="155"/>
      <c r="GL162" s="155"/>
      <c r="GM162" s="155"/>
      <c r="GN162" s="155"/>
      <c r="GO162" s="155"/>
      <c r="GP162" s="155"/>
      <c r="GQ162" s="155"/>
      <c r="GR162" s="155"/>
      <c r="GS162" s="155"/>
      <c r="GT162" s="155"/>
      <c r="GU162" s="155"/>
      <c r="GV162" s="155"/>
      <c r="GW162" s="155"/>
      <c r="GX162" s="155"/>
      <c r="GY162" s="155"/>
      <c r="GZ162" s="155"/>
      <c r="HA162" s="155"/>
      <c r="HB162" s="155"/>
      <c r="HC162" s="155"/>
      <c r="HD162" s="155"/>
      <c r="HE162" s="155"/>
    </row>
    <row r="163" spans="2:213" s="156" customFormat="1" hidden="1">
      <c r="B163" s="155"/>
      <c r="C163" s="155"/>
      <c r="D163" s="155"/>
      <c r="E163" s="155"/>
      <c r="F163" s="155"/>
      <c r="G163" s="155"/>
      <c r="H163" s="155"/>
      <c r="I163" s="155"/>
      <c r="J163" s="155"/>
      <c r="K163" s="155"/>
      <c r="L163" s="155"/>
      <c r="M163" s="155"/>
      <c r="N163" s="155"/>
      <c r="O163" s="155"/>
      <c r="P163" s="155"/>
      <c r="Q163" s="155"/>
      <c r="R163" s="155"/>
      <c r="S163" s="155"/>
      <c r="T163" s="155"/>
      <c r="U163" s="155"/>
      <c r="V163" s="155"/>
      <c r="W163" s="155"/>
      <c r="GL163" s="155"/>
      <c r="GM163" s="155"/>
      <c r="GN163" s="155"/>
      <c r="GO163" s="155"/>
      <c r="GP163" s="155"/>
      <c r="GQ163" s="155"/>
      <c r="GR163" s="155"/>
      <c r="GS163" s="155"/>
      <c r="GT163" s="155"/>
      <c r="GU163" s="155"/>
      <c r="GV163" s="155"/>
      <c r="GW163" s="155"/>
      <c r="GX163" s="155"/>
      <c r="GY163" s="155"/>
      <c r="GZ163" s="155"/>
      <c r="HA163" s="155"/>
      <c r="HB163" s="155"/>
      <c r="HC163" s="155"/>
      <c r="HD163" s="155"/>
      <c r="HE163" s="155"/>
    </row>
    <row r="164" spans="2:213" s="156" customFormat="1" hidden="1">
      <c r="B164" s="155"/>
      <c r="C164" s="155"/>
      <c r="D164" s="155"/>
      <c r="E164" s="155"/>
      <c r="F164" s="155"/>
      <c r="G164" s="155"/>
      <c r="H164" s="155"/>
      <c r="I164" s="155"/>
      <c r="J164" s="155"/>
      <c r="K164" s="155"/>
      <c r="L164" s="155"/>
      <c r="M164" s="155"/>
      <c r="N164" s="155"/>
      <c r="O164" s="155"/>
      <c r="P164" s="155"/>
      <c r="Q164" s="155"/>
      <c r="R164" s="155"/>
      <c r="S164" s="155"/>
      <c r="T164" s="155"/>
      <c r="U164" s="155"/>
      <c r="V164" s="155"/>
      <c r="W164" s="155"/>
      <c r="GL164" s="155"/>
      <c r="GM164" s="155"/>
      <c r="GN164" s="155"/>
      <c r="GO164" s="155"/>
      <c r="GP164" s="155"/>
      <c r="GQ164" s="155"/>
      <c r="GR164" s="155"/>
      <c r="GS164" s="155"/>
      <c r="GT164" s="155"/>
      <c r="GU164" s="155"/>
      <c r="GV164" s="155"/>
      <c r="GW164" s="155"/>
      <c r="GX164" s="155"/>
      <c r="GY164" s="155"/>
      <c r="GZ164" s="155"/>
      <c r="HA164" s="155"/>
      <c r="HB164" s="155"/>
      <c r="HC164" s="155"/>
      <c r="HD164" s="155"/>
      <c r="HE164" s="155"/>
    </row>
    <row r="165" spans="2:213" s="156" customFormat="1" hidden="1">
      <c r="B165" s="155"/>
      <c r="C165" s="155"/>
      <c r="D165" s="155"/>
      <c r="E165" s="155"/>
      <c r="F165" s="155"/>
      <c r="G165" s="155"/>
      <c r="H165" s="155"/>
      <c r="I165" s="155"/>
      <c r="J165" s="155"/>
      <c r="K165" s="155"/>
      <c r="L165" s="155"/>
      <c r="M165" s="155"/>
      <c r="N165" s="155"/>
      <c r="O165" s="155"/>
      <c r="P165" s="155"/>
      <c r="Q165" s="155"/>
      <c r="R165" s="155"/>
      <c r="S165" s="155"/>
      <c r="T165" s="155"/>
      <c r="U165" s="155"/>
      <c r="V165" s="155"/>
      <c r="W165" s="155"/>
      <c r="GL165" s="155"/>
      <c r="GM165" s="155"/>
      <c r="GN165" s="155"/>
      <c r="GO165" s="155"/>
      <c r="GP165" s="155"/>
      <c r="GQ165" s="155"/>
      <c r="GR165" s="155"/>
      <c r="GS165" s="155"/>
      <c r="GT165" s="155"/>
      <c r="GU165" s="155"/>
      <c r="GV165" s="155"/>
      <c r="GW165" s="155"/>
      <c r="GX165" s="155"/>
      <c r="GY165" s="155"/>
      <c r="GZ165" s="155"/>
      <c r="HA165" s="155"/>
      <c r="HB165" s="155"/>
      <c r="HC165" s="155"/>
      <c r="HD165" s="155"/>
      <c r="HE165" s="155"/>
    </row>
    <row r="166" spans="2:213" s="156" customFormat="1" hidden="1">
      <c r="B166" s="155"/>
      <c r="C166" s="155"/>
      <c r="D166" s="155"/>
      <c r="E166" s="155"/>
      <c r="F166" s="155"/>
      <c r="G166" s="155"/>
      <c r="H166" s="155"/>
      <c r="I166" s="155"/>
      <c r="J166" s="155"/>
      <c r="K166" s="155"/>
      <c r="L166" s="155"/>
      <c r="M166" s="155"/>
      <c r="N166" s="155"/>
      <c r="O166" s="155"/>
      <c r="P166" s="155"/>
      <c r="Q166" s="155"/>
      <c r="R166" s="155"/>
      <c r="S166" s="155"/>
      <c r="T166" s="155"/>
      <c r="U166" s="155"/>
      <c r="V166" s="155"/>
      <c r="W166" s="155"/>
      <c r="GL166" s="155"/>
      <c r="GM166" s="155"/>
      <c r="GN166" s="155"/>
      <c r="GO166" s="155"/>
      <c r="GP166" s="155"/>
      <c r="GQ166" s="155"/>
      <c r="GR166" s="155"/>
      <c r="GS166" s="155"/>
      <c r="GT166" s="155"/>
      <c r="GU166" s="155"/>
      <c r="GV166" s="155"/>
      <c r="GW166" s="155"/>
      <c r="GX166" s="155"/>
      <c r="GY166" s="155"/>
      <c r="GZ166" s="155"/>
      <c r="HA166" s="155"/>
      <c r="HB166" s="155"/>
      <c r="HC166" s="155"/>
      <c r="HD166" s="155"/>
      <c r="HE166" s="155"/>
    </row>
    <row r="167" spans="2:213" s="156" customFormat="1" hidden="1">
      <c r="B167" s="155"/>
      <c r="C167" s="155"/>
      <c r="D167" s="155"/>
      <c r="E167" s="155"/>
      <c r="F167" s="155"/>
      <c r="G167" s="155"/>
      <c r="H167" s="155"/>
      <c r="I167" s="155"/>
      <c r="J167" s="155"/>
      <c r="K167" s="155"/>
      <c r="L167" s="155"/>
      <c r="M167" s="155"/>
      <c r="N167" s="155"/>
      <c r="O167" s="155"/>
      <c r="P167" s="155"/>
      <c r="Q167" s="155"/>
      <c r="R167" s="155"/>
      <c r="S167" s="155"/>
      <c r="T167" s="155"/>
      <c r="U167" s="155"/>
      <c r="V167" s="155"/>
      <c r="W167" s="155"/>
      <c r="GL167" s="155"/>
      <c r="GM167" s="155"/>
      <c r="GN167" s="155"/>
      <c r="GO167" s="155"/>
      <c r="GP167" s="155"/>
      <c r="GQ167" s="155"/>
      <c r="GR167" s="155"/>
      <c r="GS167" s="155"/>
      <c r="GT167" s="155"/>
      <c r="GU167" s="155"/>
      <c r="GV167" s="155"/>
      <c r="GW167" s="155"/>
      <c r="GX167" s="155"/>
      <c r="GY167" s="155"/>
      <c r="GZ167" s="155"/>
      <c r="HA167" s="155"/>
      <c r="HB167" s="155"/>
      <c r="HC167" s="155"/>
      <c r="HD167" s="155"/>
      <c r="HE167" s="155"/>
    </row>
    <row r="168" spans="2:213" s="156" customFormat="1" hidden="1">
      <c r="B168" s="155"/>
      <c r="C168" s="155"/>
      <c r="D168" s="155"/>
      <c r="E168" s="155"/>
      <c r="F168" s="155"/>
      <c r="G168" s="155"/>
      <c r="H168" s="155"/>
      <c r="I168" s="155"/>
      <c r="J168" s="155"/>
      <c r="K168" s="155"/>
      <c r="L168" s="155"/>
      <c r="M168" s="155"/>
      <c r="N168" s="155"/>
      <c r="O168" s="155"/>
      <c r="P168" s="155"/>
      <c r="Q168" s="155"/>
      <c r="R168" s="155"/>
      <c r="S168" s="155"/>
      <c r="T168" s="155"/>
      <c r="U168" s="155"/>
      <c r="V168" s="155"/>
      <c r="W168" s="155"/>
      <c r="GL168" s="155"/>
      <c r="GM168" s="155"/>
      <c r="GN168" s="155"/>
      <c r="GO168" s="155"/>
      <c r="GP168" s="155"/>
      <c r="GQ168" s="155"/>
      <c r="GR168" s="155"/>
      <c r="GS168" s="155"/>
      <c r="GT168" s="155"/>
      <c r="GU168" s="155"/>
      <c r="GV168" s="155"/>
      <c r="GW168" s="155"/>
      <c r="GX168" s="155"/>
      <c r="GY168" s="155"/>
      <c r="GZ168" s="155"/>
      <c r="HA168" s="155"/>
      <c r="HB168" s="155"/>
      <c r="HC168" s="155"/>
      <c r="HD168" s="155"/>
      <c r="HE168" s="155"/>
    </row>
    <row r="169" spans="2:213" s="156" customFormat="1" hidden="1">
      <c r="B169" s="155"/>
      <c r="C169" s="155"/>
      <c r="D169" s="155"/>
      <c r="E169" s="155"/>
      <c r="F169" s="155"/>
      <c r="G169" s="155"/>
      <c r="H169" s="155"/>
      <c r="I169" s="155"/>
      <c r="J169" s="155"/>
      <c r="K169" s="155"/>
      <c r="L169" s="155"/>
      <c r="M169" s="155"/>
      <c r="N169" s="155"/>
      <c r="O169" s="155"/>
      <c r="P169" s="155"/>
      <c r="Q169" s="155"/>
      <c r="R169" s="155"/>
      <c r="S169" s="155"/>
      <c r="T169" s="155"/>
      <c r="U169" s="155"/>
      <c r="V169" s="155"/>
      <c r="W169" s="155"/>
      <c r="GL169" s="155"/>
      <c r="GM169" s="155"/>
      <c r="GN169" s="155"/>
      <c r="GO169" s="155"/>
      <c r="GP169" s="155"/>
      <c r="GQ169" s="155"/>
      <c r="GR169" s="155"/>
      <c r="GS169" s="155"/>
      <c r="GT169" s="155"/>
      <c r="GU169" s="155"/>
      <c r="GV169" s="155"/>
      <c r="GW169" s="155"/>
      <c r="GX169" s="155"/>
      <c r="GY169" s="155"/>
      <c r="GZ169" s="155"/>
      <c r="HA169" s="155"/>
      <c r="HB169" s="155"/>
      <c r="HC169" s="155"/>
      <c r="HD169" s="155"/>
      <c r="HE169" s="155"/>
    </row>
    <row r="170" spans="2:213" s="156" customFormat="1" hidden="1">
      <c r="B170" s="155"/>
      <c r="C170" s="155"/>
      <c r="D170" s="155"/>
      <c r="E170" s="155"/>
      <c r="F170" s="155"/>
      <c r="G170" s="155"/>
      <c r="H170" s="155"/>
      <c r="I170" s="155"/>
      <c r="J170" s="155"/>
      <c r="K170" s="155"/>
      <c r="L170" s="155"/>
      <c r="M170" s="155"/>
      <c r="N170" s="155"/>
      <c r="O170" s="155"/>
      <c r="P170" s="155"/>
      <c r="Q170" s="155"/>
      <c r="R170" s="155"/>
      <c r="S170" s="155"/>
      <c r="T170" s="155"/>
      <c r="U170" s="155"/>
      <c r="V170" s="155"/>
      <c r="W170" s="155"/>
      <c r="GL170" s="155"/>
      <c r="GM170" s="155"/>
      <c r="GN170" s="155"/>
      <c r="GO170" s="155"/>
      <c r="GP170" s="155"/>
      <c r="GQ170" s="155"/>
      <c r="GR170" s="155"/>
      <c r="GS170" s="155"/>
      <c r="GT170" s="155"/>
      <c r="GU170" s="155"/>
      <c r="GV170" s="155"/>
      <c r="GW170" s="155"/>
      <c r="GX170" s="155"/>
      <c r="GY170" s="155"/>
      <c r="GZ170" s="155"/>
      <c r="HA170" s="155"/>
      <c r="HB170" s="155"/>
      <c r="HC170" s="155"/>
      <c r="HD170" s="155"/>
      <c r="HE170" s="155"/>
    </row>
    <row r="171" spans="2:213" s="156" customFormat="1" hidden="1">
      <c r="B171" s="155"/>
      <c r="C171" s="155"/>
      <c r="D171" s="155"/>
      <c r="E171" s="155"/>
      <c r="F171" s="155"/>
      <c r="G171" s="155"/>
      <c r="H171" s="155"/>
      <c r="I171" s="155"/>
      <c r="J171" s="155"/>
      <c r="K171" s="155"/>
      <c r="L171" s="155"/>
      <c r="M171" s="155"/>
      <c r="N171" s="155"/>
      <c r="O171" s="155"/>
      <c r="P171" s="155"/>
      <c r="Q171" s="155"/>
      <c r="R171" s="155"/>
      <c r="S171" s="155"/>
      <c r="T171" s="155"/>
      <c r="U171" s="155"/>
      <c r="V171" s="155"/>
      <c r="W171" s="155"/>
      <c r="GL171" s="155"/>
      <c r="GM171" s="155"/>
      <c r="GN171" s="155"/>
      <c r="GO171" s="155"/>
      <c r="GP171" s="155"/>
      <c r="GQ171" s="155"/>
      <c r="GR171" s="155"/>
      <c r="GS171" s="155"/>
      <c r="GT171" s="155"/>
      <c r="GU171" s="155"/>
      <c r="GV171" s="155"/>
      <c r="GW171" s="155"/>
      <c r="GX171" s="155"/>
      <c r="GY171" s="155"/>
      <c r="GZ171" s="155"/>
      <c r="HA171" s="155"/>
      <c r="HB171" s="155"/>
      <c r="HC171" s="155"/>
      <c r="HD171" s="155"/>
      <c r="HE171" s="155"/>
    </row>
    <row r="172" spans="2:213" s="156" customFormat="1" hidden="1">
      <c r="B172" s="155"/>
      <c r="C172" s="155"/>
      <c r="D172" s="155"/>
      <c r="E172" s="155"/>
      <c r="F172" s="155"/>
      <c r="G172" s="155"/>
      <c r="H172" s="155"/>
      <c r="I172" s="155"/>
      <c r="J172" s="155"/>
      <c r="K172" s="155"/>
      <c r="L172" s="155"/>
      <c r="M172" s="155"/>
      <c r="N172" s="155"/>
      <c r="O172" s="155"/>
      <c r="P172" s="155"/>
      <c r="Q172" s="155"/>
      <c r="R172" s="155"/>
      <c r="S172" s="155"/>
      <c r="T172" s="155"/>
      <c r="U172" s="155"/>
      <c r="V172" s="155"/>
      <c r="W172" s="155"/>
      <c r="GL172" s="155"/>
      <c r="GM172" s="155"/>
      <c r="GN172" s="155"/>
      <c r="GO172" s="155"/>
      <c r="GP172" s="155"/>
      <c r="GQ172" s="155"/>
      <c r="GR172" s="155"/>
      <c r="GS172" s="155"/>
      <c r="GT172" s="155"/>
      <c r="GU172" s="155"/>
      <c r="GV172" s="155"/>
      <c r="GW172" s="155"/>
      <c r="GX172" s="155"/>
      <c r="GY172" s="155"/>
      <c r="GZ172" s="155"/>
      <c r="HA172" s="155"/>
      <c r="HB172" s="155"/>
      <c r="HC172" s="155"/>
      <c r="HD172" s="155"/>
      <c r="HE172" s="155"/>
    </row>
    <row r="173" spans="2:213" s="156" customFormat="1" hidden="1">
      <c r="B173" s="155"/>
      <c r="C173" s="155"/>
      <c r="D173" s="155"/>
      <c r="E173" s="155"/>
      <c r="F173" s="155"/>
      <c r="G173" s="155"/>
      <c r="H173" s="155"/>
      <c r="I173" s="155"/>
      <c r="J173" s="155"/>
      <c r="K173" s="155"/>
      <c r="L173" s="155"/>
      <c r="M173" s="155"/>
      <c r="N173" s="155"/>
      <c r="O173" s="155"/>
      <c r="P173" s="155"/>
      <c r="Q173" s="155"/>
      <c r="R173" s="155"/>
      <c r="S173" s="155"/>
      <c r="T173" s="155"/>
      <c r="U173" s="155"/>
      <c r="V173" s="155"/>
      <c r="W173" s="155"/>
      <c r="GL173" s="155"/>
      <c r="GM173" s="155"/>
      <c r="GN173" s="155"/>
      <c r="GO173" s="155"/>
      <c r="GP173" s="155"/>
      <c r="GQ173" s="155"/>
      <c r="GR173" s="155"/>
      <c r="GS173" s="155"/>
      <c r="GT173" s="155"/>
      <c r="GU173" s="155"/>
      <c r="GV173" s="155"/>
      <c r="GW173" s="155"/>
      <c r="GX173" s="155"/>
      <c r="GY173" s="155"/>
      <c r="GZ173" s="155"/>
      <c r="HA173" s="155"/>
      <c r="HB173" s="155"/>
      <c r="HC173" s="155"/>
      <c r="HD173" s="155"/>
      <c r="HE173" s="155"/>
    </row>
    <row r="174" spans="2:213" s="156" customFormat="1" hidden="1">
      <c r="B174" s="155"/>
      <c r="C174" s="155"/>
      <c r="D174" s="155"/>
      <c r="E174" s="155"/>
      <c r="F174" s="155"/>
      <c r="G174" s="155"/>
      <c r="H174" s="155"/>
      <c r="I174" s="155"/>
      <c r="J174" s="155"/>
      <c r="K174" s="155"/>
      <c r="L174" s="155"/>
      <c r="M174" s="155"/>
      <c r="N174" s="155"/>
      <c r="O174" s="155"/>
      <c r="P174" s="155"/>
      <c r="Q174" s="155"/>
      <c r="R174" s="155"/>
      <c r="S174" s="155"/>
      <c r="T174" s="155"/>
      <c r="U174" s="155"/>
      <c r="V174" s="155"/>
      <c r="W174" s="155"/>
      <c r="GL174" s="155"/>
      <c r="GM174" s="155"/>
      <c r="GN174" s="155"/>
      <c r="GO174" s="155"/>
      <c r="GP174" s="155"/>
      <c r="GQ174" s="155"/>
      <c r="GR174" s="155"/>
      <c r="GS174" s="155"/>
      <c r="GT174" s="155"/>
      <c r="GU174" s="155"/>
      <c r="GV174" s="155"/>
      <c r="GW174" s="155"/>
      <c r="GX174" s="155"/>
      <c r="GY174" s="155"/>
      <c r="GZ174" s="155"/>
      <c r="HA174" s="155"/>
      <c r="HB174" s="155"/>
      <c r="HC174" s="155"/>
      <c r="HD174" s="155"/>
      <c r="HE174" s="155"/>
    </row>
    <row r="175" spans="2:213" s="156" customFormat="1" hidden="1">
      <c r="B175" s="155"/>
      <c r="C175" s="155"/>
      <c r="D175" s="155"/>
      <c r="E175" s="155"/>
      <c r="F175" s="155"/>
      <c r="G175" s="155"/>
      <c r="H175" s="155"/>
      <c r="I175" s="155"/>
      <c r="J175" s="155"/>
      <c r="K175" s="155"/>
      <c r="L175" s="155"/>
      <c r="M175" s="155"/>
      <c r="N175" s="155"/>
      <c r="O175" s="155"/>
      <c r="P175" s="155"/>
      <c r="Q175" s="155"/>
      <c r="R175" s="155"/>
      <c r="S175" s="155"/>
      <c r="T175" s="155"/>
      <c r="U175" s="155"/>
      <c r="V175" s="155"/>
      <c r="W175" s="155"/>
      <c r="GL175" s="155"/>
      <c r="GM175" s="155"/>
      <c r="GN175" s="155"/>
      <c r="GO175" s="155"/>
      <c r="GP175" s="155"/>
      <c r="GQ175" s="155"/>
      <c r="GR175" s="155"/>
      <c r="GS175" s="155"/>
      <c r="GT175" s="155"/>
      <c r="GU175" s="155"/>
      <c r="GV175" s="155"/>
      <c r="GW175" s="155"/>
      <c r="GX175" s="155"/>
      <c r="GY175" s="155"/>
      <c r="GZ175" s="155"/>
      <c r="HA175" s="155"/>
      <c r="HB175" s="155"/>
      <c r="HC175" s="155"/>
      <c r="HD175" s="155"/>
      <c r="HE175" s="155"/>
    </row>
    <row r="176" spans="2:213" s="156" customFormat="1" hidden="1">
      <c r="B176" s="155"/>
      <c r="C176" s="155"/>
      <c r="D176" s="155"/>
      <c r="E176" s="155"/>
      <c r="F176" s="155"/>
      <c r="G176" s="155"/>
      <c r="H176" s="155"/>
      <c r="I176" s="155"/>
      <c r="J176" s="155"/>
      <c r="K176" s="155"/>
      <c r="L176" s="155"/>
      <c r="M176" s="155"/>
      <c r="N176" s="155"/>
      <c r="O176" s="155"/>
      <c r="P176" s="155"/>
      <c r="Q176" s="155"/>
      <c r="R176" s="155"/>
      <c r="S176" s="155"/>
      <c r="T176" s="155"/>
      <c r="U176" s="155"/>
      <c r="V176" s="155"/>
      <c r="W176" s="155"/>
      <c r="GL176" s="155"/>
      <c r="GM176" s="155"/>
      <c r="GN176" s="155"/>
      <c r="GO176" s="155"/>
      <c r="GP176" s="155"/>
      <c r="GQ176" s="155"/>
      <c r="GR176" s="155"/>
      <c r="GS176" s="155"/>
      <c r="GT176" s="155"/>
      <c r="GU176" s="155"/>
      <c r="GV176" s="155"/>
      <c r="GW176" s="155"/>
      <c r="GX176" s="155"/>
      <c r="GY176" s="155"/>
      <c r="GZ176" s="155"/>
      <c r="HA176" s="155"/>
      <c r="HB176" s="155"/>
      <c r="HC176" s="155"/>
      <c r="HD176" s="155"/>
      <c r="HE176" s="155"/>
    </row>
    <row r="177" spans="2:213" s="156" customFormat="1" hidden="1">
      <c r="B177" s="155"/>
      <c r="C177" s="155"/>
      <c r="D177" s="155"/>
      <c r="E177" s="155"/>
      <c r="F177" s="155"/>
      <c r="G177" s="155"/>
      <c r="H177" s="155"/>
      <c r="I177" s="155"/>
      <c r="J177" s="155"/>
      <c r="K177" s="155"/>
      <c r="L177" s="155"/>
      <c r="M177" s="155"/>
      <c r="N177" s="155"/>
      <c r="O177" s="155"/>
      <c r="P177" s="155"/>
      <c r="Q177" s="155"/>
      <c r="R177" s="155"/>
      <c r="S177" s="155"/>
      <c r="T177" s="155"/>
      <c r="U177" s="155"/>
      <c r="V177" s="155"/>
      <c r="W177" s="155"/>
      <c r="GL177" s="155"/>
      <c r="GM177" s="155"/>
      <c r="GN177" s="155"/>
      <c r="GO177" s="155"/>
      <c r="GP177" s="155"/>
      <c r="GQ177" s="155"/>
      <c r="GR177" s="155"/>
      <c r="GS177" s="155"/>
      <c r="GT177" s="155"/>
      <c r="GU177" s="155"/>
      <c r="GV177" s="155"/>
      <c r="GW177" s="155"/>
      <c r="GX177" s="155"/>
      <c r="GY177" s="155"/>
      <c r="GZ177" s="155"/>
      <c r="HA177" s="155"/>
      <c r="HB177" s="155"/>
      <c r="HC177" s="155"/>
      <c r="HD177" s="155"/>
      <c r="HE177" s="155"/>
    </row>
    <row r="178" spans="2:213" s="156" customFormat="1" hidden="1">
      <c r="B178" s="155"/>
      <c r="C178" s="155"/>
      <c r="D178" s="155"/>
      <c r="E178" s="155"/>
      <c r="F178" s="155"/>
      <c r="G178" s="155"/>
      <c r="H178" s="155"/>
      <c r="I178" s="155"/>
      <c r="J178" s="155"/>
      <c r="K178" s="155"/>
      <c r="L178" s="155"/>
      <c r="M178" s="155"/>
      <c r="N178" s="155"/>
      <c r="O178" s="155"/>
      <c r="P178" s="155"/>
      <c r="Q178" s="155"/>
      <c r="R178" s="155"/>
      <c r="S178" s="155"/>
      <c r="T178" s="155"/>
      <c r="U178" s="155"/>
      <c r="V178" s="155"/>
      <c r="W178" s="155"/>
      <c r="GL178" s="155"/>
      <c r="GM178" s="155"/>
      <c r="GN178" s="155"/>
      <c r="GO178" s="155"/>
      <c r="GP178" s="155"/>
      <c r="GQ178" s="155"/>
      <c r="GR178" s="155"/>
      <c r="GS178" s="155"/>
      <c r="GT178" s="155"/>
      <c r="GU178" s="155"/>
      <c r="GV178" s="155"/>
      <c r="GW178" s="155"/>
      <c r="GX178" s="155"/>
      <c r="GY178" s="155"/>
      <c r="GZ178" s="155"/>
      <c r="HA178" s="155"/>
      <c r="HB178" s="155"/>
      <c r="HC178" s="155"/>
      <c r="HD178" s="155"/>
      <c r="HE178" s="155"/>
    </row>
    <row r="179" spans="2:213" s="156" customFormat="1" hidden="1">
      <c r="B179" s="155"/>
      <c r="C179" s="155"/>
      <c r="D179" s="155"/>
      <c r="E179" s="155"/>
      <c r="F179" s="155"/>
      <c r="G179" s="155"/>
      <c r="H179" s="155"/>
      <c r="I179" s="155"/>
      <c r="J179" s="155"/>
      <c r="K179" s="155"/>
      <c r="L179" s="155"/>
      <c r="M179" s="155"/>
      <c r="N179" s="155"/>
      <c r="O179" s="155"/>
      <c r="P179" s="155"/>
      <c r="Q179" s="155"/>
      <c r="R179" s="155"/>
      <c r="S179" s="155"/>
      <c r="T179" s="155"/>
      <c r="U179" s="155"/>
      <c r="V179" s="155"/>
      <c r="W179" s="155"/>
      <c r="GL179" s="155"/>
      <c r="GM179" s="155"/>
      <c r="GN179" s="155"/>
      <c r="GO179" s="155"/>
      <c r="GP179" s="155"/>
      <c r="GQ179" s="155"/>
      <c r="GR179" s="155"/>
      <c r="GS179" s="155"/>
      <c r="GT179" s="155"/>
      <c r="GU179" s="155"/>
      <c r="GV179" s="155"/>
      <c r="GW179" s="155"/>
      <c r="GX179" s="155"/>
      <c r="GY179" s="155"/>
      <c r="GZ179" s="155"/>
      <c r="HA179" s="155"/>
      <c r="HB179" s="155"/>
      <c r="HC179" s="155"/>
      <c r="HD179" s="155"/>
      <c r="HE179" s="155"/>
    </row>
    <row r="180" spans="2:213" s="156" customFormat="1" hidden="1">
      <c r="B180" s="155"/>
      <c r="C180" s="155"/>
      <c r="D180" s="155"/>
      <c r="E180" s="155"/>
      <c r="F180" s="155"/>
      <c r="G180" s="155"/>
      <c r="H180" s="155"/>
      <c r="I180" s="155"/>
      <c r="J180" s="155"/>
      <c r="K180" s="155"/>
      <c r="L180" s="155"/>
      <c r="M180" s="155"/>
      <c r="N180" s="155"/>
      <c r="O180" s="155"/>
      <c r="P180" s="155"/>
      <c r="Q180" s="155"/>
      <c r="R180" s="155"/>
      <c r="S180" s="155"/>
      <c r="T180" s="155"/>
      <c r="U180" s="155"/>
      <c r="V180" s="155"/>
      <c r="W180" s="155"/>
      <c r="GL180" s="155"/>
      <c r="GM180" s="155"/>
      <c r="GN180" s="155"/>
      <c r="GO180" s="155"/>
      <c r="GP180" s="155"/>
      <c r="GQ180" s="155"/>
      <c r="GR180" s="155"/>
      <c r="GS180" s="155"/>
      <c r="GT180" s="155"/>
      <c r="GU180" s="155"/>
      <c r="GV180" s="155"/>
      <c r="GW180" s="155"/>
      <c r="GX180" s="155"/>
      <c r="GY180" s="155"/>
      <c r="GZ180" s="155"/>
      <c r="HA180" s="155"/>
      <c r="HB180" s="155"/>
      <c r="HC180" s="155"/>
      <c r="HD180" s="155"/>
      <c r="HE180" s="155"/>
    </row>
    <row r="181" spans="2:213" s="156" customFormat="1" hidden="1">
      <c r="B181" s="155"/>
      <c r="C181" s="155"/>
      <c r="D181" s="155"/>
      <c r="E181" s="155"/>
      <c r="F181" s="155"/>
      <c r="G181" s="155"/>
      <c r="H181" s="155"/>
      <c r="I181" s="155"/>
      <c r="J181" s="155"/>
      <c r="K181" s="155"/>
      <c r="L181" s="155"/>
      <c r="M181" s="155"/>
      <c r="N181" s="155"/>
      <c r="O181" s="155"/>
      <c r="P181" s="155"/>
      <c r="Q181" s="155"/>
      <c r="R181" s="155"/>
      <c r="S181" s="155"/>
      <c r="T181" s="155"/>
      <c r="U181" s="155"/>
      <c r="V181" s="155"/>
      <c r="W181" s="155"/>
      <c r="GL181" s="155"/>
      <c r="GM181" s="155"/>
      <c r="GN181" s="155"/>
      <c r="GO181" s="155"/>
      <c r="GP181" s="155"/>
      <c r="GQ181" s="155"/>
      <c r="GR181" s="155"/>
      <c r="GS181" s="155"/>
      <c r="GT181" s="155"/>
      <c r="GU181" s="155"/>
      <c r="GV181" s="155"/>
      <c r="GW181" s="155"/>
      <c r="GX181" s="155"/>
      <c r="GY181" s="155"/>
      <c r="GZ181" s="155"/>
      <c r="HA181" s="155"/>
      <c r="HB181" s="155"/>
      <c r="HC181" s="155"/>
      <c r="HD181" s="155"/>
      <c r="HE181" s="155"/>
    </row>
    <row r="182" spans="2:213" s="156" customFormat="1" hidden="1">
      <c r="B182" s="155"/>
      <c r="C182" s="155"/>
      <c r="D182" s="155"/>
      <c r="E182" s="155"/>
      <c r="F182" s="155"/>
      <c r="G182" s="155"/>
      <c r="H182" s="155"/>
      <c r="I182" s="155"/>
      <c r="J182" s="155"/>
      <c r="K182" s="155"/>
      <c r="L182" s="155"/>
      <c r="M182" s="155"/>
      <c r="N182" s="155"/>
      <c r="O182" s="155"/>
      <c r="P182" s="155"/>
      <c r="Q182" s="155"/>
      <c r="R182" s="155"/>
      <c r="S182" s="155"/>
      <c r="T182" s="155"/>
      <c r="U182" s="155"/>
      <c r="V182" s="155"/>
      <c r="W182" s="155"/>
      <c r="GL182" s="155"/>
      <c r="GM182" s="155"/>
      <c r="GN182" s="155"/>
      <c r="GO182" s="155"/>
      <c r="GP182" s="155"/>
      <c r="GQ182" s="155"/>
      <c r="GR182" s="155"/>
      <c r="GS182" s="155"/>
      <c r="GT182" s="155"/>
      <c r="GU182" s="155"/>
      <c r="GV182" s="155"/>
      <c r="GW182" s="155"/>
      <c r="GX182" s="155"/>
      <c r="GY182" s="155"/>
      <c r="GZ182" s="155"/>
      <c r="HA182" s="155"/>
      <c r="HB182" s="155"/>
      <c r="HC182" s="155"/>
      <c r="HD182" s="155"/>
      <c r="HE182" s="155"/>
    </row>
    <row r="183" spans="2:213" s="156" customFormat="1" hidden="1">
      <c r="B183" s="155"/>
      <c r="C183" s="155"/>
      <c r="D183" s="155"/>
      <c r="E183" s="155"/>
      <c r="F183" s="155"/>
      <c r="G183" s="155"/>
      <c r="H183" s="155"/>
      <c r="I183" s="155"/>
      <c r="J183" s="155"/>
      <c r="K183" s="155"/>
      <c r="L183" s="155"/>
      <c r="M183" s="155"/>
      <c r="N183" s="155"/>
      <c r="O183" s="155"/>
      <c r="P183" s="155"/>
      <c r="Q183" s="155"/>
      <c r="R183" s="155"/>
      <c r="S183" s="155"/>
      <c r="T183" s="155"/>
      <c r="U183" s="155"/>
      <c r="V183" s="155"/>
      <c r="W183" s="155"/>
      <c r="GL183" s="155"/>
      <c r="GM183" s="155"/>
      <c r="GN183" s="155"/>
      <c r="GO183" s="155"/>
      <c r="GP183" s="155"/>
      <c r="GQ183" s="155"/>
      <c r="GR183" s="155"/>
      <c r="GS183" s="155"/>
      <c r="GT183" s="155"/>
      <c r="GU183" s="155"/>
      <c r="GV183" s="155"/>
      <c r="GW183" s="155"/>
      <c r="GX183" s="155"/>
      <c r="GY183" s="155"/>
      <c r="GZ183" s="155"/>
      <c r="HA183" s="155"/>
      <c r="HB183" s="155"/>
      <c r="HC183" s="155"/>
      <c r="HD183" s="155"/>
      <c r="HE183" s="155"/>
    </row>
    <row r="184" spans="2:213" s="156" customFormat="1" hidden="1">
      <c r="B184" s="155"/>
      <c r="C184" s="155"/>
      <c r="D184" s="155"/>
      <c r="E184" s="155"/>
      <c r="F184" s="155"/>
      <c r="G184" s="155"/>
      <c r="H184" s="155"/>
      <c r="I184" s="155"/>
      <c r="J184" s="155"/>
      <c r="K184" s="155"/>
      <c r="L184" s="155"/>
      <c r="M184" s="155"/>
      <c r="N184" s="155"/>
      <c r="O184" s="155"/>
      <c r="P184" s="155"/>
      <c r="Q184" s="155"/>
      <c r="R184" s="155"/>
      <c r="S184" s="155"/>
      <c r="T184" s="155"/>
      <c r="U184" s="155"/>
      <c r="V184" s="155"/>
      <c r="W184" s="155"/>
      <c r="GL184" s="155"/>
      <c r="GM184" s="155"/>
      <c r="GN184" s="155"/>
      <c r="GO184" s="155"/>
      <c r="GP184" s="155"/>
      <c r="GQ184" s="155"/>
      <c r="GR184" s="155"/>
      <c r="GS184" s="155"/>
      <c r="GT184" s="155"/>
      <c r="GU184" s="155"/>
      <c r="GV184" s="155"/>
      <c r="GW184" s="155"/>
      <c r="GX184" s="155"/>
      <c r="GY184" s="155"/>
      <c r="GZ184" s="155"/>
      <c r="HA184" s="155"/>
      <c r="HB184" s="155"/>
      <c r="HC184" s="155"/>
      <c r="HD184" s="155"/>
      <c r="HE184" s="155"/>
    </row>
    <row r="185" spans="2:213" s="156" customFormat="1" hidden="1">
      <c r="B185" s="155"/>
      <c r="C185" s="155"/>
      <c r="D185" s="155"/>
      <c r="E185" s="155"/>
      <c r="F185" s="155"/>
      <c r="G185" s="155"/>
      <c r="H185" s="155"/>
      <c r="I185" s="155"/>
      <c r="J185" s="155"/>
      <c r="K185" s="155"/>
      <c r="L185" s="155"/>
      <c r="M185" s="155"/>
      <c r="N185" s="155"/>
      <c r="O185" s="155"/>
      <c r="P185" s="155"/>
      <c r="Q185" s="155"/>
      <c r="R185" s="155"/>
      <c r="S185" s="155"/>
      <c r="T185" s="155"/>
      <c r="U185" s="155"/>
      <c r="V185" s="155"/>
      <c r="W185" s="155"/>
      <c r="GL185" s="155"/>
      <c r="GM185" s="155"/>
      <c r="GN185" s="155"/>
      <c r="GO185" s="155"/>
      <c r="GP185" s="155"/>
      <c r="GQ185" s="155"/>
      <c r="GR185" s="155"/>
      <c r="GS185" s="155"/>
      <c r="GT185" s="155"/>
      <c r="GU185" s="155"/>
      <c r="GV185" s="155"/>
      <c r="GW185" s="155"/>
      <c r="GX185" s="155"/>
      <c r="GY185" s="155"/>
      <c r="GZ185" s="155"/>
      <c r="HA185" s="155"/>
      <c r="HB185" s="155"/>
      <c r="HC185" s="155"/>
      <c r="HD185" s="155"/>
      <c r="HE185" s="155"/>
    </row>
    <row r="186" spans="2:213" s="156" customFormat="1" hidden="1">
      <c r="B186" s="155"/>
      <c r="C186" s="155"/>
      <c r="D186" s="155"/>
      <c r="E186" s="155"/>
      <c r="F186" s="155"/>
      <c r="G186" s="155"/>
      <c r="H186" s="155"/>
      <c r="I186" s="155"/>
      <c r="J186" s="155"/>
      <c r="K186" s="155"/>
      <c r="L186" s="155"/>
      <c r="M186" s="155"/>
      <c r="N186" s="155"/>
      <c r="O186" s="155"/>
      <c r="P186" s="155"/>
      <c r="Q186" s="155"/>
      <c r="R186" s="155"/>
      <c r="S186" s="155"/>
      <c r="T186" s="155"/>
      <c r="U186" s="155"/>
      <c r="V186" s="155"/>
      <c r="W186" s="155"/>
      <c r="GL186" s="155"/>
      <c r="GM186" s="155"/>
      <c r="GN186" s="155"/>
      <c r="GO186" s="155"/>
      <c r="GP186" s="155"/>
      <c r="GQ186" s="155"/>
      <c r="GR186" s="155"/>
      <c r="GS186" s="155"/>
      <c r="GT186" s="155"/>
      <c r="GU186" s="155"/>
      <c r="GV186" s="155"/>
      <c r="GW186" s="155"/>
      <c r="GX186" s="155"/>
      <c r="GY186" s="155"/>
      <c r="GZ186" s="155"/>
      <c r="HA186" s="155"/>
      <c r="HB186" s="155"/>
      <c r="HC186" s="155"/>
      <c r="HD186" s="155"/>
      <c r="HE186" s="155"/>
    </row>
    <row r="187" spans="2:213" s="156" customFormat="1" hidden="1">
      <c r="B187" s="155"/>
      <c r="C187" s="155"/>
      <c r="D187" s="155"/>
      <c r="E187" s="155"/>
      <c r="F187" s="155"/>
      <c r="G187" s="155"/>
      <c r="H187" s="155"/>
      <c r="I187" s="155"/>
      <c r="J187" s="155"/>
      <c r="K187" s="155"/>
      <c r="L187" s="155"/>
      <c r="M187" s="155"/>
      <c r="N187" s="155"/>
      <c r="O187" s="155"/>
      <c r="P187" s="155"/>
      <c r="Q187" s="155"/>
      <c r="R187" s="155"/>
      <c r="S187" s="155"/>
      <c r="T187" s="155"/>
      <c r="U187" s="155"/>
      <c r="V187" s="155"/>
      <c r="W187" s="155"/>
      <c r="GL187" s="155"/>
      <c r="GM187" s="155"/>
      <c r="GN187" s="155"/>
      <c r="GO187" s="155"/>
      <c r="GP187" s="155"/>
      <c r="GQ187" s="155"/>
      <c r="GR187" s="155"/>
      <c r="GS187" s="155"/>
      <c r="GT187" s="155"/>
      <c r="GU187" s="155"/>
      <c r="GV187" s="155"/>
      <c r="GW187" s="155"/>
      <c r="GX187" s="155"/>
      <c r="GY187" s="155"/>
      <c r="GZ187" s="155"/>
      <c r="HA187" s="155"/>
      <c r="HB187" s="155"/>
      <c r="HC187" s="155"/>
      <c r="HD187" s="155"/>
      <c r="HE187" s="155"/>
    </row>
    <row r="188" spans="2:213" s="156" customFormat="1" hidden="1">
      <c r="B188" s="155"/>
      <c r="C188" s="155"/>
      <c r="D188" s="155"/>
      <c r="E188" s="155"/>
      <c r="F188" s="155"/>
      <c r="G188" s="155"/>
      <c r="H188" s="155"/>
      <c r="I188" s="155"/>
      <c r="J188" s="155"/>
      <c r="K188" s="155"/>
      <c r="L188" s="155"/>
      <c r="M188" s="155"/>
      <c r="N188" s="155"/>
      <c r="O188" s="155"/>
      <c r="P188" s="155"/>
      <c r="Q188" s="155"/>
      <c r="R188" s="155"/>
      <c r="S188" s="155"/>
      <c r="T188" s="155"/>
      <c r="U188" s="155"/>
      <c r="V188" s="155"/>
      <c r="W188" s="155"/>
      <c r="GL188" s="155"/>
      <c r="GM188" s="155"/>
      <c r="GN188" s="155"/>
      <c r="GO188" s="155"/>
      <c r="GP188" s="155"/>
      <c r="GQ188" s="155"/>
      <c r="GR188" s="155"/>
      <c r="GS188" s="155"/>
      <c r="GT188" s="155"/>
      <c r="GU188" s="155"/>
      <c r="GV188" s="155"/>
      <c r="GW188" s="155"/>
      <c r="GX188" s="155"/>
      <c r="GY188" s="155"/>
      <c r="GZ188" s="155"/>
      <c r="HA188" s="155"/>
      <c r="HB188" s="155"/>
      <c r="HC188" s="155"/>
      <c r="HD188" s="155"/>
      <c r="HE188" s="155"/>
    </row>
    <row r="189" spans="2:213" s="156" customFormat="1" hidden="1">
      <c r="B189" s="155"/>
      <c r="C189" s="155"/>
      <c r="D189" s="155"/>
      <c r="E189" s="155"/>
      <c r="F189" s="155"/>
      <c r="G189" s="155"/>
      <c r="H189" s="155"/>
      <c r="I189" s="155"/>
      <c r="J189" s="155"/>
      <c r="K189" s="155"/>
      <c r="L189" s="155"/>
      <c r="M189" s="155"/>
      <c r="N189" s="155"/>
      <c r="O189" s="155"/>
      <c r="P189" s="155"/>
      <c r="Q189" s="155"/>
      <c r="R189" s="155"/>
      <c r="S189" s="155"/>
      <c r="T189" s="155"/>
      <c r="U189" s="155"/>
      <c r="V189" s="155"/>
      <c r="W189" s="155"/>
      <c r="GL189" s="155"/>
      <c r="GM189" s="155"/>
      <c r="GN189" s="155"/>
      <c r="GO189" s="155"/>
      <c r="GP189" s="155"/>
      <c r="GQ189" s="155"/>
      <c r="GR189" s="155"/>
      <c r="GS189" s="155"/>
      <c r="GT189" s="155"/>
      <c r="GU189" s="155"/>
      <c r="GV189" s="155"/>
      <c r="GW189" s="155"/>
      <c r="GX189" s="155"/>
      <c r="GY189" s="155"/>
      <c r="GZ189" s="155"/>
      <c r="HA189" s="155"/>
      <c r="HB189" s="155"/>
      <c r="HC189" s="155"/>
      <c r="HD189" s="155"/>
      <c r="HE189" s="155"/>
    </row>
    <row r="190" spans="2:213" s="156" customFormat="1" hidden="1">
      <c r="B190" s="155"/>
      <c r="C190" s="155"/>
      <c r="D190" s="155"/>
      <c r="E190" s="155"/>
      <c r="F190" s="155"/>
      <c r="G190" s="155"/>
      <c r="H190" s="155"/>
      <c r="I190" s="155"/>
      <c r="J190" s="155"/>
      <c r="K190" s="155"/>
      <c r="L190" s="155"/>
      <c r="M190" s="155"/>
      <c r="N190" s="155"/>
      <c r="O190" s="155"/>
      <c r="P190" s="155"/>
      <c r="Q190" s="155"/>
      <c r="R190" s="155"/>
      <c r="S190" s="155"/>
      <c r="T190" s="155"/>
      <c r="U190" s="155"/>
      <c r="V190" s="155"/>
      <c r="W190" s="155"/>
      <c r="GL190" s="155"/>
      <c r="GM190" s="155"/>
      <c r="GN190" s="155"/>
      <c r="GO190" s="155"/>
      <c r="GP190" s="155"/>
      <c r="GQ190" s="155"/>
      <c r="GR190" s="155"/>
      <c r="GS190" s="155"/>
      <c r="GT190" s="155"/>
      <c r="GU190" s="155"/>
      <c r="GV190" s="155"/>
      <c r="GW190" s="155"/>
      <c r="GX190" s="155"/>
      <c r="GY190" s="155"/>
      <c r="GZ190" s="155"/>
      <c r="HA190" s="155"/>
      <c r="HB190" s="155"/>
      <c r="HC190" s="155"/>
      <c r="HD190" s="155"/>
      <c r="HE190" s="155"/>
    </row>
    <row r="191" spans="2:213" s="156" customFormat="1" hidden="1">
      <c r="B191" s="155"/>
      <c r="C191" s="155"/>
      <c r="D191" s="155"/>
      <c r="E191" s="155"/>
      <c r="F191" s="155"/>
      <c r="G191" s="155"/>
      <c r="H191" s="155"/>
      <c r="I191" s="155"/>
      <c r="J191" s="155"/>
      <c r="K191" s="155"/>
      <c r="L191" s="155"/>
      <c r="M191" s="155"/>
      <c r="N191" s="155"/>
      <c r="O191" s="155"/>
      <c r="P191" s="155"/>
      <c r="Q191" s="155"/>
      <c r="R191" s="155"/>
      <c r="S191" s="155"/>
      <c r="T191" s="155"/>
      <c r="U191" s="155"/>
      <c r="V191" s="155"/>
      <c r="W191" s="155"/>
      <c r="GL191" s="155"/>
      <c r="GM191" s="155"/>
      <c r="GN191" s="155"/>
      <c r="GO191" s="155"/>
      <c r="GP191" s="155"/>
      <c r="GQ191" s="155"/>
      <c r="GR191" s="155"/>
      <c r="GS191" s="155"/>
      <c r="GT191" s="155"/>
      <c r="GU191" s="155"/>
      <c r="GV191" s="155"/>
      <c r="GW191" s="155"/>
      <c r="GX191" s="155"/>
      <c r="GY191" s="155"/>
      <c r="GZ191" s="155"/>
      <c r="HA191" s="155"/>
      <c r="HB191" s="155"/>
      <c r="HC191" s="155"/>
      <c r="HD191" s="155"/>
      <c r="HE191" s="155"/>
    </row>
    <row r="192" spans="2:213" s="156" customFormat="1" hidden="1">
      <c r="B192" s="155"/>
      <c r="C192" s="155"/>
      <c r="D192" s="155"/>
      <c r="E192" s="155"/>
      <c r="F192" s="155"/>
      <c r="G192" s="155"/>
      <c r="H192" s="155"/>
      <c r="I192" s="155"/>
      <c r="J192" s="155"/>
      <c r="K192" s="155"/>
      <c r="L192" s="155"/>
      <c r="M192" s="155"/>
      <c r="N192" s="155"/>
      <c r="O192" s="155"/>
      <c r="P192" s="155"/>
      <c r="Q192" s="155"/>
      <c r="R192" s="155"/>
      <c r="S192" s="155"/>
      <c r="T192" s="155"/>
      <c r="U192" s="155"/>
      <c r="V192" s="155"/>
      <c r="W192" s="155"/>
      <c r="GL192" s="155"/>
      <c r="GM192" s="155"/>
      <c r="GN192" s="155"/>
      <c r="GO192" s="155"/>
      <c r="GP192" s="155"/>
      <c r="GQ192" s="155"/>
      <c r="GR192" s="155"/>
      <c r="GS192" s="155"/>
      <c r="GT192" s="155"/>
      <c r="GU192" s="155"/>
      <c r="GV192" s="155"/>
      <c r="GW192" s="155"/>
      <c r="GX192" s="155"/>
      <c r="GY192" s="155"/>
      <c r="GZ192" s="155"/>
      <c r="HA192" s="155"/>
      <c r="HB192" s="155"/>
      <c r="HC192" s="155"/>
      <c r="HD192" s="155"/>
      <c r="HE192" s="155"/>
    </row>
    <row r="193" spans="2:213" s="156" customFormat="1" hidden="1">
      <c r="B193" s="155"/>
      <c r="C193" s="155"/>
      <c r="D193" s="155"/>
      <c r="E193" s="155"/>
      <c r="F193" s="155"/>
      <c r="G193" s="155"/>
      <c r="H193" s="155"/>
      <c r="I193" s="155"/>
      <c r="J193" s="155"/>
      <c r="K193" s="155"/>
      <c r="L193" s="155"/>
      <c r="M193" s="155"/>
      <c r="N193" s="155"/>
      <c r="O193" s="155"/>
      <c r="P193" s="155"/>
      <c r="Q193" s="155"/>
      <c r="R193" s="155"/>
      <c r="S193" s="155"/>
      <c r="T193" s="155"/>
      <c r="U193" s="155"/>
      <c r="V193" s="155"/>
      <c r="W193" s="155"/>
      <c r="GL193" s="155"/>
      <c r="GM193" s="155"/>
      <c r="GN193" s="155"/>
      <c r="GO193" s="155"/>
      <c r="GP193" s="155"/>
      <c r="GQ193" s="155"/>
      <c r="GR193" s="155"/>
      <c r="GS193" s="155"/>
      <c r="GT193" s="155"/>
      <c r="GU193" s="155"/>
      <c r="GV193" s="155"/>
      <c r="GW193" s="155"/>
      <c r="GX193" s="155"/>
      <c r="GY193" s="155"/>
      <c r="GZ193" s="155"/>
      <c r="HA193" s="155"/>
      <c r="HB193" s="155"/>
      <c r="HC193" s="155"/>
      <c r="HD193" s="155"/>
      <c r="HE193" s="155"/>
    </row>
    <row r="194" spans="2:213" s="156" customFormat="1" hidden="1">
      <c r="B194" s="155"/>
      <c r="C194" s="155"/>
      <c r="D194" s="155"/>
      <c r="E194" s="155"/>
      <c r="F194" s="155"/>
      <c r="G194" s="155"/>
      <c r="H194" s="155"/>
      <c r="I194" s="155"/>
      <c r="J194" s="155"/>
      <c r="K194" s="155"/>
      <c r="L194" s="155"/>
      <c r="M194" s="155"/>
      <c r="N194" s="155"/>
      <c r="O194" s="155"/>
      <c r="P194" s="155"/>
      <c r="Q194" s="155"/>
      <c r="R194" s="155"/>
      <c r="S194" s="155"/>
      <c r="T194" s="155"/>
      <c r="U194" s="155"/>
      <c r="V194" s="155"/>
      <c r="W194" s="155"/>
      <c r="GL194" s="155"/>
      <c r="GM194" s="155"/>
      <c r="GN194" s="155"/>
      <c r="GO194" s="155"/>
      <c r="GP194" s="155"/>
      <c r="GQ194" s="155"/>
      <c r="GR194" s="155"/>
      <c r="GS194" s="155"/>
      <c r="GT194" s="155"/>
      <c r="GU194" s="155"/>
      <c r="GV194" s="155"/>
      <c r="GW194" s="155"/>
      <c r="GX194" s="155"/>
      <c r="GY194" s="155"/>
      <c r="GZ194" s="155"/>
      <c r="HA194" s="155"/>
      <c r="HB194" s="155"/>
      <c r="HC194" s="155"/>
      <c r="HD194" s="155"/>
      <c r="HE194" s="155"/>
    </row>
    <row r="195" spans="2:213" s="156" customFormat="1" hidden="1">
      <c r="B195" s="155"/>
      <c r="C195" s="155"/>
      <c r="D195" s="155"/>
      <c r="E195" s="155"/>
      <c r="F195" s="155"/>
      <c r="G195" s="155"/>
      <c r="H195" s="155"/>
      <c r="I195" s="155"/>
      <c r="J195" s="155"/>
      <c r="K195" s="155"/>
      <c r="L195" s="155"/>
      <c r="M195" s="155"/>
      <c r="N195" s="155"/>
      <c r="O195" s="155"/>
      <c r="P195" s="155"/>
      <c r="Q195" s="155"/>
      <c r="R195" s="155"/>
      <c r="S195" s="155"/>
      <c r="T195" s="155"/>
      <c r="U195" s="155"/>
      <c r="V195" s="155"/>
      <c r="W195" s="155"/>
      <c r="GL195" s="155"/>
      <c r="GM195" s="155"/>
      <c r="GN195" s="155"/>
      <c r="GO195" s="155"/>
      <c r="GP195" s="155"/>
      <c r="GQ195" s="155"/>
      <c r="GR195" s="155"/>
      <c r="GS195" s="155"/>
      <c r="GT195" s="155"/>
      <c r="GU195" s="155"/>
      <c r="GV195" s="155"/>
      <c r="GW195" s="155"/>
      <c r="GX195" s="155"/>
      <c r="GY195" s="155"/>
      <c r="GZ195" s="155"/>
      <c r="HA195" s="155"/>
      <c r="HB195" s="155"/>
      <c r="HC195" s="155"/>
      <c r="HD195" s="155"/>
      <c r="HE195" s="155"/>
    </row>
    <row r="196" spans="2:213" s="156" customFormat="1" hidden="1">
      <c r="B196" s="155"/>
      <c r="C196" s="155"/>
      <c r="D196" s="155"/>
      <c r="E196" s="155"/>
      <c r="F196" s="155"/>
      <c r="G196" s="155"/>
      <c r="H196" s="155"/>
      <c r="I196" s="155"/>
      <c r="J196" s="155"/>
      <c r="K196" s="155"/>
      <c r="L196" s="155"/>
      <c r="M196" s="155"/>
      <c r="N196" s="155"/>
      <c r="O196" s="155"/>
      <c r="P196" s="155"/>
      <c r="Q196" s="155"/>
      <c r="R196" s="155"/>
      <c r="S196" s="155"/>
      <c r="T196" s="155"/>
      <c r="U196" s="155"/>
      <c r="V196" s="155"/>
      <c r="W196" s="155"/>
      <c r="GL196" s="155"/>
      <c r="GM196" s="155"/>
      <c r="GN196" s="155"/>
      <c r="GO196" s="155"/>
      <c r="GP196" s="155"/>
      <c r="GQ196" s="155"/>
      <c r="GR196" s="155"/>
      <c r="GS196" s="155"/>
      <c r="GT196" s="155"/>
      <c r="GU196" s="155"/>
      <c r="GV196" s="155"/>
      <c r="GW196" s="155"/>
      <c r="GX196" s="155"/>
      <c r="GY196" s="155"/>
      <c r="GZ196" s="155"/>
      <c r="HA196" s="155"/>
      <c r="HB196" s="155"/>
      <c r="HC196" s="155"/>
      <c r="HD196" s="155"/>
      <c r="HE196" s="155"/>
    </row>
    <row r="197" spans="2:213" s="156" customFormat="1" hidden="1">
      <c r="B197" s="155"/>
      <c r="C197" s="155"/>
      <c r="D197" s="155"/>
      <c r="E197" s="155"/>
      <c r="F197" s="155"/>
      <c r="G197" s="155"/>
      <c r="H197" s="155"/>
      <c r="I197" s="155"/>
      <c r="J197" s="155"/>
      <c r="K197" s="155"/>
      <c r="L197" s="155"/>
      <c r="M197" s="155"/>
      <c r="N197" s="155"/>
      <c r="O197" s="155"/>
      <c r="P197" s="155"/>
      <c r="Q197" s="155"/>
      <c r="R197" s="155"/>
      <c r="S197" s="155"/>
      <c r="T197" s="155"/>
      <c r="U197" s="155"/>
      <c r="V197" s="155"/>
      <c r="W197" s="155"/>
      <c r="GL197" s="155"/>
      <c r="GM197" s="155"/>
      <c r="GN197" s="155"/>
      <c r="GO197" s="155"/>
      <c r="GP197" s="155"/>
      <c r="GQ197" s="155"/>
      <c r="GR197" s="155"/>
      <c r="GS197" s="155"/>
      <c r="GT197" s="155"/>
      <c r="GU197" s="155"/>
      <c r="GV197" s="155"/>
      <c r="GW197" s="155"/>
      <c r="GX197" s="155"/>
      <c r="GY197" s="155"/>
      <c r="GZ197" s="155"/>
      <c r="HA197" s="155"/>
      <c r="HB197" s="155"/>
      <c r="HC197" s="155"/>
      <c r="HD197" s="155"/>
      <c r="HE197" s="155"/>
    </row>
    <row r="198" spans="2:213" s="156" customFormat="1" hidden="1">
      <c r="B198" s="155"/>
      <c r="C198" s="155"/>
      <c r="D198" s="155"/>
      <c r="E198" s="155"/>
      <c r="F198" s="155"/>
      <c r="G198" s="155"/>
      <c r="H198" s="155"/>
      <c r="I198" s="155"/>
      <c r="J198" s="155"/>
      <c r="K198" s="155"/>
      <c r="L198" s="155"/>
      <c r="M198" s="155"/>
      <c r="N198" s="155"/>
      <c r="O198" s="155"/>
      <c r="P198" s="155"/>
      <c r="Q198" s="155"/>
      <c r="R198" s="155"/>
      <c r="S198" s="155"/>
      <c r="T198" s="155"/>
      <c r="U198" s="155"/>
      <c r="V198" s="155"/>
      <c r="W198" s="155"/>
      <c r="GL198" s="155"/>
      <c r="GM198" s="155"/>
      <c r="GN198" s="155"/>
      <c r="GO198" s="155"/>
      <c r="GP198" s="155"/>
      <c r="GQ198" s="155"/>
      <c r="GR198" s="155"/>
      <c r="GS198" s="155"/>
      <c r="GT198" s="155"/>
      <c r="GU198" s="155"/>
      <c r="GV198" s="155"/>
      <c r="GW198" s="155"/>
      <c r="GX198" s="155"/>
      <c r="GY198" s="155"/>
      <c r="GZ198" s="155"/>
      <c r="HA198" s="155"/>
      <c r="HB198" s="155"/>
      <c r="HC198" s="155"/>
      <c r="HD198" s="155"/>
      <c r="HE198" s="155"/>
    </row>
    <row r="199" spans="2:213" s="156" customFormat="1" hidden="1">
      <c r="B199" s="155"/>
      <c r="C199" s="155"/>
      <c r="D199" s="155"/>
      <c r="E199" s="155"/>
      <c r="F199" s="155"/>
      <c r="G199" s="155"/>
      <c r="H199" s="155"/>
      <c r="I199" s="155"/>
      <c r="J199" s="155"/>
      <c r="K199" s="155"/>
      <c r="L199" s="155"/>
      <c r="M199" s="155"/>
      <c r="N199" s="155"/>
      <c r="O199" s="155"/>
      <c r="P199" s="155"/>
      <c r="Q199" s="155"/>
      <c r="R199" s="155"/>
      <c r="S199" s="155"/>
      <c r="T199" s="155"/>
      <c r="U199" s="155"/>
      <c r="V199" s="155"/>
      <c r="W199" s="155"/>
      <c r="GL199" s="155"/>
      <c r="GM199" s="155"/>
      <c r="GN199" s="155"/>
      <c r="GO199" s="155"/>
      <c r="GP199" s="155"/>
      <c r="GQ199" s="155"/>
      <c r="GR199" s="155"/>
      <c r="GS199" s="155"/>
      <c r="GT199" s="155"/>
      <c r="GU199" s="155"/>
      <c r="GV199" s="155"/>
      <c r="GW199" s="155"/>
      <c r="GX199" s="155"/>
      <c r="GY199" s="155"/>
      <c r="GZ199" s="155"/>
      <c r="HA199" s="155"/>
      <c r="HB199" s="155"/>
      <c r="HC199" s="155"/>
      <c r="HD199" s="155"/>
      <c r="HE199" s="155"/>
    </row>
    <row r="200" spans="2:213" s="156" customFormat="1" hidden="1">
      <c r="B200" s="155"/>
      <c r="C200" s="155"/>
      <c r="D200" s="155"/>
      <c r="E200" s="155"/>
      <c r="F200" s="155"/>
      <c r="G200" s="155"/>
      <c r="H200" s="155"/>
      <c r="I200" s="155"/>
      <c r="J200" s="155"/>
      <c r="K200" s="155"/>
      <c r="L200" s="155"/>
      <c r="M200" s="155"/>
      <c r="N200" s="155"/>
      <c r="O200" s="155"/>
      <c r="P200" s="155"/>
      <c r="Q200" s="155"/>
      <c r="R200" s="155"/>
      <c r="S200" s="155"/>
      <c r="T200" s="155"/>
      <c r="U200" s="155"/>
      <c r="V200" s="155"/>
      <c r="W200" s="155"/>
      <c r="GL200" s="155"/>
      <c r="GM200" s="155"/>
      <c r="GN200" s="155"/>
      <c r="GO200" s="155"/>
      <c r="GP200" s="155"/>
      <c r="GQ200" s="155"/>
      <c r="GR200" s="155"/>
      <c r="GS200" s="155"/>
      <c r="GT200" s="155"/>
      <c r="GU200" s="155"/>
      <c r="GV200" s="155"/>
      <c r="GW200" s="155"/>
      <c r="GX200" s="155"/>
      <c r="GY200" s="155"/>
      <c r="GZ200" s="155"/>
      <c r="HA200" s="155"/>
      <c r="HB200" s="155"/>
      <c r="HC200" s="155"/>
      <c r="HD200" s="155"/>
      <c r="HE200" s="155"/>
    </row>
    <row r="201" spans="2:213" s="156" customFormat="1" hidden="1">
      <c r="B201" s="155"/>
      <c r="C201" s="155"/>
      <c r="D201" s="155"/>
      <c r="E201" s="155"/>
      <c r="F201" s="155"/>
      <c r="G201" s="155"/>
      <c r="H201" s="155"/>
      <c r="I201" s="155"/>
      <c r="J201" s="155"/>
      <c r="K201" s="155"/>
      <c r="L201" s="155"/>
      <c r="M201" s="155"/>
      <c r="N201" s="155"/>
      <c r="O201" s="155"/>
      <c r="P201" s="155"/>
      <c r="Q201" s="155"/>
      <c r="R201" s="155"/>
      <c r="S201" s="155"/>
      <c r="T201" s="155"/>
      <c r="U201" s="155"/>
      <c r="V201" s="155"/>
      <c r="W201" s="155"/>
      <c r="GL201" s="155"/>
      <c r="GM201" s="155"/>
      <c r="GN201" s="155"/>
      <c r="GO201" s="155"/>
      <c r="GP201" s="155"/>
      <c r="GQ201" s="155"/>
      <c r="GR201" s="155"/>
      <c r="GS201" s="155"/>
      <c r="GT201" s="155"/>
      <c r="GU201" s="155"/>
      <c r="GV201" s="155"/>
      <c r="GW201" s="155"/>
      <c r="GX201" s="155"/>
      <c r="GY201" s="155"/>
      <c r="GZ201" s="155"/>
      <c r="HA201" s="155"/>
      <c r="HB201" s="155"/>
      <c r="HC201" s="155"/>
      <c r="HD201" s="155"/>
      <c r="HE201" s="155"/>
    </row>
    <row r="202" spans="2:213" s="156" customFormat="1" hidden="1">
      <c r="B202" s="155"/>
      <c r="C202" s="155"/>
      <c r="D202" s="155"/>
      <c r="E202" s="155"/>
      <c r="F202" s="155"/>
      <c r="G202" s="155"/>
      <c r="H202" s="155"/>
      <c r="I202" s="155"/>
      <c r="J202" s="155"/>
      <c r="K202" s="155"/>
      <c r="L202" s="155"/>
      <c r="M202" s="155"/>
      <c r="N202" s="155"/>
      <c r="O202" s="155"/>
      <c r="P202" s="155"/>
      <c r="Q202" s="155"/>
      <c r="R202" s="155"/>
      <c r="S202" s="155"/>
      <c r="T202" s="155"/>
      <c r="U202" s="155"/>
      <c r="V202" s="155"/>
      <c r="W202" s="155"/>
      <c r="GL202" s="155"/>
      <c r="GM202" s="155"/>
      <c r="GN202" s="155"/>
      <c r="GO202" s="155"/>
      <c r="GP202" s="155"/>
      <c r="GQ202" s="155"/>
      <c r="GR202" s="155"/>
      <c r="GS202" s="155"/>
      <c r="GT202" s="155"/>
      <c r="GU202" s="155"/>
      <c r="GV202" s="155"/>
      <c r="GW202" s="155"/>
      <c r="GX202" s="155"/>
      <c r="GY202" s="155"/>
      <c r="GZ202" s="155"/>
      <c r="HA202" s="155"/>
      <c r="HB202" s="155"/>
      <c r="HC202" s="155"/>
      <c r="HD202" s="155"/>
      <c r="HE202" s="155"/>
    </row>
    <row r="203" spans="2:213" s="156" customFormat="1" hidden="1">
      <c r="B203" s="155"/>
      <c r="C203" s="155"/>
      <c r="D203" s="155"/>
      <c r="E203" s="155"/>
      <c r="F203" s="155"/>
      <c r="G203" s="155"/>
      <c r="H203" s="155"/>
      <c r="I203" s="155"/>
      <c r="J203" s="155"/>
      <c r="K203" s="155"/>
      <c r="L203" s="155"/>
      <c r="M203" s="155"/>
      <c r="N203" s="155"/>
      <c r="O203" s="155"/>
      <c r="P203" s="155"/>
      <c r="Q203" s="155"/>
      <c r="R203" s="155"/>
      <c r="S203" s="155"/>
      <c r="T203" s="155"/>
      <c r="U203" s="155"/>
      <c r="V203" s="155"/>
      <c r="W203" s="155"/>
      <c r="GL203" s="155"/>
      <c r="GM203" s="155"/>
      <c r="GN203" s="155"/>
      <c r="GO203" s="155"/>
      <c r="GP203" s="155"/>
      <c r="GQ203" s="155"/>
      <c r="GR203" s="155"/>
      <c r="GS203" s="155"/>
      <c r="GT203" s="155"/>
      <c r="GU203" s="155"/>
      <c r="GV203" s="155"/>
      <c r="GW203" s="155"/>
      <c r="GX203" s="155"/>
      <c r="GY203" s="155"/>
      <c r="GZ203" s="155"/>
      <c r="HA203" s="155"/>
      <c r="HB203" s="155"/>
      <c r="HC203" s="155"/>
      <c r="HD203" s="155"/>
      <c r="HE203" s="155"/>
    </row>
    <row r="204" spans="2:213" s="156" customFormat="1" hidden="1">
      <c r="B204" s="155"/>
      <c r="C204" s="155"/>
      <c r="D204" s="155"/>
      <c r="E204" s="155"/>
      <c r="F204" s="155"/>
      <c r="G204" s="155"/>
      <c r="H204" s="155"/>
      <c r="I204" s="155"/>
      <c r="J204" s="155"/>
      <c r="K204" s="155"/>
      <c r="L204" s="155"/>
      <c r="M204" s="155"/>
      <c r="N204" s="155"/>
      <c r="O204" s="155"/>
      <c r="P204" s="155"/>
      <c r="Q204" s="155"/>
      <c r="R204" s="155"/>
      <c r="S204" s="155"/>
      <c r="T204" s="155"/>
      <c r="U204" s="155"/>
      <c r="V204" s="155"/>
      <c r="W204" s="155"/>
      <c r="GL204" s="155"/>
      <c r="GM204" s="155"/>
      <c r="GN204" s="155"/>
      <c r="GO204" s="155"/>
      <c r="GP204" s="155"/>
      <c r="GQ204" s="155"/>
      <c r="GR204" s="155"/>
      <c r="GS204" s="155"/>
      <c r="GT204" s="155"/>
      <c r="GU204" s="155"/>
      <c r="GV204" s="155"/>
      <c r="GW204" s="155"/>
      <c r="GX204" s="155"/>
      <c r="GY204" s="155"/>
      <c r="GZ204" s="155"/>
      <c r="HA204" s="155"/>
      <c r="HB204" s="155"/>
      <c r="HC204" s="155"/>
      <c r="HD204" s="155"/>
      <c r="HE204" s="155"/>
    </row>
    <row r="205" spans="2:213" s="156" customFormat="1" hidden="1">
      <c r="B205" s="155"/>
      <c r="C205" s="155"/>
      <c r="D205" s="155"/>
      <c r="E205" s="155"/>
      <c r="F205" s="155"/>
      <c r="G205" s="155"/>
      <c r="H205" s="155"/>
      <c r="I205" s="155"/>
      <c r="J205" s="155"/>
      <c r="K205" s="155"/>
      <c r="L205" s="155"/>
      <c r="M205" s="155"/>
      <c r="N205" s="155"/>
      <c r="O205" s="155"/>
      <c r="P205" s="155"/>
      <c r="Q205" s="155"/>
      <c r="R205" s="155"/>
      <c r="S205" s="155"/>
      <c r="T205" s="155"/>
      <c r="U205" s="155"/>
      <c r="V205" s="155"/>
      <c r="W205" s="155"/>
      <c r="GL205" s="155"/>
      <c r="GM205" s="155"/>
      <c r="GN205" s="155"/>
      <c r="GO205" s="155"/>
      <c r="GP205" s="155"/>
      <c r="GQ205" s="155"/>
      <c r="GR205" s="155"/>
      <c r="GS205" s="155"/>
      <c r="GT205" s="155"/>
      <c r="GU205" s="155"/>
      <c r="GV205" s="155"/>
      <c r="GW205" s="155"/>
      <c r="GX205" s="155"/>
      <c r="GY205" s="155"/>
      <c r="GZ205" s="155"/>
      <c r="HA205" s="155"/>
      <c r="HB205" s="155"/>
      <c r="HC205" s="155"/>
      <c r="HD205" s="155"/>
      <c r="HE205" s="155"/>
    </row>
    <row r="206" spans="2:213" s="156" customFormat="1" hidden="1">
      <c r="B206" s="155"/>
      <c r="C206" s="155"/>
      <c r="D206" s="155"/>
      <c r="E206" s="155"/>
      <c r="F206" s="155"/>
      <c r="G206" s="155"/>
      <c r="H206" s="155"/>
      <c r="I206" s="155"/>
      <c r="J206" s="155"/>
      <c r="K206" s="155"/>
      <c r="L206" s="155"/>
      <c r="M206" s="155"/>
      <c r="N206" s="155"/>
      <c r="O206" s="155"/>
      <c r="P206" s="155"/>
      <c r="Q206" s="155"/>
      <c r="R206" s="155"/>
      <c r="S206" s="155"/>
      <c r="T206" s="155"/>
      <c r="U206" s="155"/>
      <c r="V206" s="155"/>
      <c r="W206" s="155"/>
      <c r="GL206" s="155"/>
      <c r="GM206" s="155"/>
      <c r="GN206" s="155"/>
      <c r="GO206" s="155"/>
      <c r="GP206" s="155"/>
      <c r="GQ206" s="155"/>
      <c r="GR206" s="155"/>
      <c r="GS206" s="155"/>
      <c r="GT206" s="155"/>
      <c r="GU206" s="155"/>
      <c r="GV206" s="155"/>
      <c r="GW206" s="155"/>
      <c r="GX206" s="155"/>
      <c r="GY206" s="155"/>
      <c r="GZ206" s="155"/>
      <c r="HA206" s="155"/>
      <c r="HB206" s="155"/>
      <c r="HC206" s="155"/>
      <c r="HD206" s="155"/>
      <c r="HE206" s="155"/>
    </row>
    <row r="207" spans="2:213" s="156" customFormat="1" hidden="1">
      <c r="B207" s="155"/>
      <c r="C207" s="155"/>
      <c r="D207" s="155"/>
      <c r="E207" s="155"/>
      <c r="F207" s="155"/>
      <c r="G207" s="155"/>
      <c r="H207" s="155"/>
      <c r="I207" s="155"/>
      <c r="J207" s="155"/>
      <c r="K207" s="155"/>
      <c r="L207" s="155"/>
      <c r="M207" s="155"/>
      <c r="N207" s="155"/>
      <c r="O207" s="155"/>
      <c r="P207" s="155"/>
      <c r="Q207" s="155"/>
      <c r="R207" s="155"/>
      <c r="S207" s="155"/>
      <c r="T207" s="155"/>
      <c r="U207" s="155"/>
      <c r="V207" s="155"/>
      <c r="W207" s="155"/>
      <c r="GL207" s="155"/>
      <c r="GM207" s="155"/>
      <c r="GN207" s="155"/>
      <c r="GO207" s="155"/>
      <c r="GP207" s="155"/>
      <c r="GQ207" s="155"/>
      <c r="GR207" s="155"/>
      <c r="GS207" s="155"/>
      <c r="GT207" s="155"/>
      <c r="GU207" s="155"/>
      <c r="GV207" s="155"/>
      <c r="GW207" s="155"/>
      <c r="GX207" s="155"/>
      <c r="GY207" s="155"/>
      <c r="GZ207" s="155"/>
      <c r="HA207" s="155"/>
      <c r="HB207" s="155"/>
      <c r="HC207" s="155"/>
      <c r="HD207" s="155"/>
      <c r="HE207" s="155"/>
    </row>
    <row r="208" spans="2:213" s="156" customFormat="1" hidden="1">
      <c r="B208" s="155"/>
      <c r="C208" s="155"/>
      <c r="D208" s="155"/>
      <c r="E208" s="155"/>
      <c r="F208" s="155"/>
      <c r="G208" s="155"/>
      <c r="H208" s="155"/>
      <c r="I208" s="155"/>
      <c r="J208" s="155"/>
      <c r="K208" s="155"/>
      <c r="L208" s="155"/>
      <c r="M208" s="155"/>
      <c r="N208" s="155"/>
      <c r="O208" s="155"/>
      <c r="P208" s="155"/>
      <c r="Q208" s="155"/>
      <c r="R208" s="155"/>
      <c r="S208" s="155"/>
      <c r="T208" s="155"/>
      <c r="U208" s="155"/>
      <c r="V208" s="155"/>
      <c r="W208" s="155"/>
      <c r="GL208" s="155"/>
      <c r="GM208" s="155"/>
      <c r="GN208" s="155"/>
      <c r="GO208" s="155"/>
      <c r="GP208" s="155"/>
      <c r="GQ208" s="155"/>
      <c r="GR208" s="155"/>
      <c r="GS208" s="155"/>
      <c r="GT208" s="155"/>
      <c r="GU208" s="155"/>
      <c r="GV208" s="155"/>
      <c r="GW208" s="155"/>
      <c r="GX208" s="155"/>
      <c r="GY208" s="155"/>
      <c r="GZ208" s="155"/>
      <c r="HA208" s="155"/>
      <c r="HB208" s="155"/>
      <c r="HC208" s="155"/>
      <c r="HD208" s="155"/>
      <c r="HE208" s="155"/>
    </row>
    <row r="209" spans="2:213" s="156" customFormat="1" hidden="1">
      <c r="B209" s="155"/>
      <c r="C209" s="155"/>
      <c r="D209" s="155"/>
      <c r="E209" s="155"/>
      <c r="F209" s="155"/>
      <c r="G209" s="155"/>
      <c r="H209" s="155"/>
      <c r="I209" s="155"/>
      <c r="J209" s="155"/>
      <c r="K209" s="155"/>
      <c r="L209" s="155"/>
      <c r="M209" s="155"/>
      <c r="N209" s="155"/>
      <c r="O209" s="155"/>
      <c r="P209" s="155"/>
      <c r="Q209" s="155"/>
      <c r="R209" s="155"/>
      <c r="S209" s="155"/>
      <c r="T209" s="155"/>
      <c r="U209" s="155"/>
      <c r="V209" s="155"/>
      <c r="W209" s="155"/>
      <c r="GL209" s="155"/>
      <c r="GM209" s="155"/>
      <c r="GN209" s="155"/>
      <c r="GO209" s="155"/>
      <c r="GP209" s="155"/>
      <c r="GQ209" s="155"/>
      <c r="GR209" s="155"/>
      <c r="GS209" s="155"/>
      <c r="GT209" s="155"/>
      <c r="GU209" s="155"/>
      <c r="GV209" s="155"/>
      <c r="GW209" s="155"/>
      <c r="GX209" s="155"/>
      <c r="GY209" s="155"/>
      <c r="GZ209" s="155"/>
      <c r="HA209" s="155"/>
      <c r="HB209" s="155"/>
      <c r="HC209" s="155"/>
      <c r="HD209" s="155"/>
      <c r="HE209" s="155"/>
    </row>
    <row r="210" spans="2:213" s="156" customFormat="1" hidden="1">
      <c r="B210" s="155"/>
      <c r="C210" s="155"/>
      <c r="D210" s="155"/>
      <c r="E210" s="155"/>
      <c r="F210" s="155"/>
      <c r="G210" s="155"/>
      <c r="H210" s="155"/>
      <c r="I210" s="155"/>
      <c r="J210" s="155"/>
      <c r="K210" s="155"/>
      <c r="L210" s="155"/>
      <c r="M210" s="155"/>
      <c r="N210" s="155"/>
      <c r="O210" s="155"/>
      <c r="P210" s="155"/>
      <c r="Q210" s="155"/>
      <c r="R210" s="155"/>
      <c r="S210" s="155"/>
      <c r="T210" s="155"/>
      <c r="U210" s="155"/>
      <c r="V210" s="155"/>
      <c r="W210" s="155"/>
      <c r="GL210" s="155"/>
      <c r="GM210" s="155"/>
      <c r="GN210" s="155"/>
      <c r="GO210" s="155"/>
      <c r="GP210" s="155"/>
      <c r="GQ210" s="155"/>
      <c r="GR210" s="155"/>
      <c r="GS210" s="155"/>
      <c r="GT210" s="155"/>
      <c r="GU210" s="155"/>
      <c r="GV210" s="155"/>
      <c r="GW210" s="155"/>
      <c r="GX210" s="155"/>
      <c r="GY210" s="155"/>
      <c r="GZ210" s="155"/>
      <c r="HA210" s="155"/>
      <c r="HB210" s="155"/>
      <c r="HC210" s="155"/>
      <c r="HD210" s="155"/>
      <c r="HE210" s="155"/>
    </row>
    <row r="211" spans="2:213" s="156" customFormat="1" hidden="1">
      <c r="B211" s="155"/>
      <c r="C211" s="155"/>
      <c r="D211" s="155"/>
      <c r="E211" s="155"/>
      <c r="F211" s="155"/>
      <c r="G211" s="155"/>
      <c r="H211" s="155"/>
      <c r="I211" s="155"/>
      <c r="J211" s="155"/>
      <c r="K211" s="155"/>
      <c r="L211" s="155"/>
      <c r="M211" s="155"/>
      <c r="N211" s="155"/>
      <c r="O211" s="155"/>
      <c r="P211" s="155"/>
      <c r="Q211" s="155"/>
      <c r="R211" s="155"/>
      <c r="S211" s="155"/>
      <c r="T211" s="155"/>
      <c r="U211" s="155"/>
      <c r="V211" s="155"/>
      <c r="W211" s="155"/>
      <c r="GL211" s="155"/>
      <c r="GM211" s="155"/>
      <c r="GN211" s="155"/>
      <c r="GO211" s="155"/>
      <c r="GP211" s="155"/>
      <c r="GQ211" s="155"/>
      <c r="GR211" s="155"/>
      <c r="GS211" s="155"/>
      <c r="GT211" s="155"/>
      <c r="GU211" s="155"/>
      <c r="GV211" s="155"/>
      <c r="GW211" s="155"/>
      <c r="GX211" s="155"/>
      <c r="GY211" s="155"/>
      <c r="GZ211" s="155"/>
      <c r="HA211" s="155"/>
      <c r="HB211" s="155"/>
      <c r="HC211" s="155"/>
      <c r="HD211" s="155"/>
      <c r="HE211" s="155"/>
    </row>
    <row r="212" spans="2:213" s="156" customFormat="1" hidden="1">
      <c r="B212" s="155"/>
      <c r="C212" s="155"/>
      <c r="D212" s="155"/>
      <c r="E212" s="155"/>
      <c r="F212" s="155"/>
      <c r="G212" s="155"/>
      <c r="H212" s="155"/>
      <c r="I212" s="155"/>
      <c r="J212" s="155"/>
      <c r="K212" s="155"/>
      <c r="L212" s="155"/>
      <c r="M212" s="155"/>
      <c r="N212" s="155"/>
      <c r="O212" s="155"/>
      <c r="P212" s="155"/>
      <c r="Q212" s="155"/>
      <c r="R212" s="155"/>
      <c r="S212" s="155"/>
      <c r="T212" s="155"/>
      <c r="U212" s="155"/>
      <c r="V212" s="155"/>
      <c r="W212" s="155"/>
      <c r="GL212" s="155"/>
      <c r="GM212" s="155"/>
      <c r="GN212" s="155"/>
      <c r="GO212" s="155"/>
      <c r="GP212" s="155"/>
      <c r="GQ212" s="155"/>
      <c r="GR212" s="155"/>
      <c r="GS212" s="155"/>
      <c r="GT212" s="155"/>
      <c r="GU212" s="155"/>
      <c r="GV212" s="155"/>
      <c r="GW212" s="155"/>
      <c r="GX212" s="155"/>
      <c r="GY212" s="155"/>
      <c r="GZ212" s="155"/>
      <c r="HA212" s="155"/>
      <c r="HB212" s="155"/>
      <c r="HC212" s="155"/>
      <c r="HD212" s="155"/>
      <c r="HE212" s="155"/>
    </row>
    <row r="213" spans="2:213" s="156" customFormat="1" hidden="1">
      <c r="B213" s="155"/>
      <c r="C213" s="155"/>
      <c r="D213" s="155"/>
      <c r="E213" s="155"/>
      <c r="F213" s="155"/>
      <c r="G213" s="155"/>
      <c r="H213" s="155"/>
      <c r="I213" s="155"/>
      <c r="J213" s="155"/>
      <c r="K213" s="155"/>
      <c r="L213" s="155"/>
      <c r="M213" s="155"/>
      <c r="N213" s="155"/>
      <c r="O213" s="155"/>
      <c r="P213" s="155"/>
      <c r="Q213" s="155"/>
      <c r="R213" s="155"/>
      <c r="S213" s="155"/>
      <c r="T213" s="155"/>
      <c r="U213" s="155"/>
      <c r="V213" s="155"/>
      <c r="W213" s="155"/>
      <c r="GL213" s="155"/>
      <c r="GM213" s="155"/>
      <c r="GN213" s="155"/>
      <c r="GO213" s="155"/>
      <c r="GP213" s="155"/>
      <c r="GQ213" s="155"/>
      <c r="GR213" s="155"/>
      <c r="GS213" s="155"/>
      <c r="GT213" s="155"/>
      <c r="GU213" s="155"/>
      <c r="GV213" s="155"/>
      <c r="GW213" s="155"/>
      <c r="GX213" s="155"/>
      <c r="GY213" s="155"/>
      <c r="GZ213" s="155"/>
      <c r="HA213" s="155"/>
      <c r="HB213" s="155"/>
      <c r="HC213" s="155"/>
      <c r="HD213" s="155"/>
      <c r="HE213" s="155"/>
    </row>
    <row r="214" spans="2:213" s="156" customFormat="1" hidden="1">
      <c r="B214" s="155"/>
      <c r="C214" s="155"/>
      <c r="D214" s="155"/>
      <c r="E214" s="155"/>
      <c r="F214" s="155"/>
      <c r="G214" s="155"/>
      <c r="H214" s="155"/>
      <c r="I214" s="155"/>
      <c r="J214" s="155"/>
      <c r="K214" s="155"/>
      <c r="L214" s="155"/>
      <c r="M214" s="155"/>
      <c r="N214" s="155"/>
      <c r="O214" s="155"/>
      <c r="P214" s="155"/>
      <c r="Q214" s="155"/>
      <c r="R214" s="155"/>
      <c r="S214" s="155"/>
      <c r="T214" s="155"/>
      <c r="U214" s="155"/>
      <c r="V214" s="155"/>
      <c r="W214" s="155"/>
      <c r="GL214" s="155"/>
      <c r="GM214" s="155"/>
      <c r="GN214" s="155"/>
      <c r="GO214" s="155"/>
      <c r="GP214" s="155"/>
      <c r="GQ214" s="155"/>
      <c r="GR214" s="155"/>
      <c r="GS214" s="155"/>
      <c r="GT214" s="155"/>
      <c r="GU214" s="155"/>
      <c r="GV214" s="155"/>
      <c r="GW214" s="155"/>
      <c r="GX214" s="155"/>
      <c r="GY214" s="155"/>
      <c r="GZ214" s="155"/>
      <c r="HA214" s="155"/>
      <c r="HB214" s="155"/>
      <c r="HC214" s="155"/>
      <c r="HD214" s="155"/>
      <c r="HE214" s="155"/>
    </row>
    <row r="215" spans="2:213" s="156" customFormat="1" hidden="1">
      <c r="B215" s="155"/>
      <c r="C215" s="155"/>
      <c r="D215" s="155"/>
      <c r="E215" s="155"/>
      <c r="F215" s="155"/>
      <c r="G215" s="155"/>
      <c r="H215" s="155"/>
      <c r="I215" s="155"/>
      <c r="J215" s="155"/>
      <c r="K215" s="155"/>
      <c r="L215" s="155"/>
      <c r="M215" s="155"/>
      <c r="N215" s="155"/>
      <c r="O215" s="155"/>
      <c r="P215" s="155"/>
      <c r="Q215" s="155"/>
      <c r="R215" s="155"/>
      <c r="S215" s="155"/>
      <c r="T215" s="155"/>
      <c r="U215" s="155"/>
      <c r="V215" s="155"/>
      <c r="W215" s="155"/>
      <c r="GL215" s="155"/>
      <c r="GM215" s="155"/>
      <c r="GN215" s="155"/>
      <c r="GO215" s="155"/>
      <c r="GP215" s="155"/>
      <c r="GQ215" s="155"/>
      <c r="GR215" s="155"/>
      <c r="GS215" s="155"/>
      <c r="GT215" s="155"/>
      <c r="GU215" s="155"/>
      <c r="GV215" s="155"/>
      <c r="GW215" s="155"/>
      <c r="GX215" s="155"/>
      <c r="GY215" s="155"/>
      <c r="GZ215" s="155"/>
      <c r="HA215" s="155"/>
      <c r="HB215" s="155"/>
      <c r="HC215" s="155"/>
      <c r="HD215" s="155"/>
      <c r="HE215" s="155"/>
    </row>
    <row r="216" spans="2:213" s="156" customFormat="1" hidden="1">
      <c r="B216" s="155"/>
      <c r="C216" s="155"/>
      <c r="D216" s="155"/>
      <c r="E216" s="155"/>
      <c r="F216" s="155"/>
      <c r="G216" s="155"/>
      <c r="H216" s="155"/>
      <c r="I216" s="155"/>
      <c r="J216" s="155"/>
      <c r="K216" s="155"/>
      <c r="L216" s="155"/>
      <c r="M216" s="155"/>
      <c r="N216" s="155"/>
      <c r="O216" s="155"/>
      <c r="P216" s="155"/>
      <c r="Q216" s="155"/>
      <c r="R216" s="155"/>
      <c r="S216" s="155"/>
      <c r="T216" s="155"/>
      <c r="U216" s="155"/>
      <c r="V216" s="155"/>
      <c r="W216" s="155"/>
      <c r="GL216" s="155"/>
      <c r="GM216" s="155"/>
      <c r="GN216" s="155"/>
      <c r="GO216" s="155"/>
      <c r="GP216" s="155"/>
      <c r="GQ216" s="155"/>
      <c r="GR216" s="155"/>
      <c r="GS216" s="155"/>
      <c r="GT216" s="155"/>
      <c r="GU216" s="155"/>
      <c r="GV216" s="155"/>
      <c r="GW216" s="155"/>
      <c r="GX216" s="155"/>
      <c r="GY216" s="155"/>
      <c r="GZ216" s="155"/>
      <c r="HA216" s="155"/>
      <c r="HB216" s="155"/>
      <c r="HC216" s="155"/>
      <c r="HD216" s="155"/>
      <c r="HE216" s="155"/>
    </row>
    <row r="217" spans="2:213" s="156" customFormat="1" hidden="1">
      <c r="B217" s="155"/>
      <c r="C217" s="155"/>
      <c r="D217" s="155"/>
      <c r="E217" s="155"/>
      <c r="F217" s="155"/>
      <c r="G217" s="155"/>
      <c r="H217" s="155"/>
      <c r="I217" s="155"/>
      <c r="J217" s="155"/>
      <c r="K217" s="155"/>
      <c r="L217" s="155"/>
      <c r="M217" s="155"/>
      <c r="N217" s="155"/>
      <c r="O217" s="155"/>
      <c r="P217" s="155"/>
      <c r="Q217" s="155"/>
      <c r="R217" s="155"/>
      <c r="S217" s="155"/>
      <c r="T217" s="155"/>
      <c r="U217" s="155"/>
      <c r="V217" s="155"/>
      <c r="W217" s="155"/>
      <c r="GL217" s="155"/>
      <c r="GM217" s="155"/>
      <c r="GN217" s="155"/>
      <c r="GO217" s="155"/>
      <c r="GP217" s="155"/>
      <c r="GQ217" s="155"/>
      <c r="GR217" s="155"/>
      <c r="GS217" s="155"/>
      <c r="GT217" s="155"/>
      <c r="GU217" s="155"/>
      <c r="GV217" s="155"/>
      <c r="GW217" s="155"/>
      <c r="GX217" s="155"/>
      <c r="GY217" s="155"/>
      <c r="GZ217" s="155"/>
      <c r="HA217" s="155"/>
      <c r="HB217" s="155"/>
      <c r="HC217" s="155"/>
      <c r="HD217" s="155"/>
      <c r="HE217" s="155"/>
    </row>
    <row r="218" spans="2:213" s="156" customFormat="1" hidden="1">
      <c r="B218" s="155"/>
      <c r="C218" s="155"/>
      <c r="D218" s="155"/>
      <c r="E218" s="155"/>
      <c r="F218" s="155"/>
      <c r="G218" s="155"/>
      <c r="H218" s="155"/>
      <c r="I218" s="155"/>
      <c r="J218" s="155"/>
      <c r="K218" s="155"/>
      <c r="L218" s="155"/>
      <c r="M218" s="155"/>
      <c r="N218" s="155"/>
      <c r="O218" s="155"/>
      <c r="P218" s="155"/>
      <c r="Q218" s="155"/>
      <c r="R218" s="155"/>
      <c r="S218" s="155"/>
      <c r="T218" s="155"/>
      <c r="U218" s="155"/>
      <c r="V218" s="155"/>
      <c r="W218" s="155"/>
      <c r="GL218" s="155"/>
      <c r="GM218" s="155"/>
      <c r="GN218" s="155"/>
      <c r="GO218" s="155"/>
      <c r="GP218" s="155"/>
      <c r="GQ218" s="155"/>
      <c r="GR218" s="155"/>
      <c r="GS218" s="155"/>
      <c r="GT218" s="155"/>
      <c r="GU218" s="155"/>
      <c r="GV218" s="155"/>
      <c r="GW218" s="155"/>
      <c r="GX218" s="155"/>
      <c r="GY218" s="155"/>
      <c r="GZ218" s="155"/>
      <c r="HA218" s="155"/>
      <c r="HB218" s="155"/>
      <c r="HC218" s="155"/>
      <c r="HD218" s="155"/>
      <c r="HE218" s="155"/>
    </row>
    <row r="219" spans="2:213" s="156" customFormat="1" hidden="1">
      <c r="B219" s="155"/>
      <c r="C219" s="155"/>
      <c r="D219" s="155"/>
      <c r="E219" s="155"/>
      <c r="F219" s="155"/>
      <c r="G219" s="155"/>
      <c r="H219" s="155"/>
      <c r="I219" s="155"/>
      <c r="J219" s="155"/>
      <c r="K219" s="155"/>
      <c r="L219" s="155"/>
      <c r="M219" s="155"/>
      <c r="N219" s="155"/>
      <c r="O219" s="155"/>
      <c r="P219" s="155"/>
      <c r="Q219" s="155"/>
      <c r="R219" s="155"/>
      <c r="S219" s="155"/>
      <c r="T219" s="155"/>
      <c r="U219" s="155"/>
      <c r="V219" s="155"/>
      <c r="W219" s="155"/>
      <c r="GL219" s="155"/>
      <c r="GM219" s="155"/>
      <c r="GN219" s="155"/>
      <c r="GO219" s="155"/>
      <c r="GP219" s="155"/>
      <c r="GQ219" s="155"/>
      <c r="GR219" s="155"/>
      <c r="GS219" s="155"/>
      <c r="GT219" s="155"/>
      <c r="GU219" s="155"/>
      <c r="GV219" s="155"/>
      <c r="GW219" s="155"/>
      <c r="GX219" s="155"/>
      <c r="GY219" s="155"/>
      <c r="GZ219" s="155"/>
      <c r="HA219" s="155"/>
      <c r="HB219" s="155"/>
      <c r="HC219" s="155"/>
      <c r="HD219" s="155"/>
      <c r="HE219" s="155"/>
    </row>
    <row r="220" spans="2:213" s="156" customFormat="1" hidden="1">
      <c r="B220" s="155"/>
      <c r="C220" s="155"/>
      <c r="D220" s="155"/>
      <c r="E220" s="155"/>
      <c r="F220" s="155"/>
      <c r="G220" s="155"/>
      <c r="H220" s="155"/>
      <c r="I220" s="155"/>
      <c r="J220" s="155"/>
      <c r="K220" s="155"/>
      <c r="L220" s="155"/>
      <c r="M220" s="155"/>
      <c r="N220" s="155"/>
      <c r="O220" s="155"/>
      <c r="P220" s="155"/>
      <c r="Q220" s="155"/>
      <c r="R220" s="155"/>
      <c r="S220" s="155"/>
      <c r="T220" s="155"/>
      <c r="U220" s="155"/>
      <c r="V220" s="155"/>
      <c r="W220" s="155"/>
      <c r="GL220" s="155"/>
      <c r="GM220" s="155"/>
      <c r="GN220" s="155"/>
      <c r="GO220" s="155"/>
      <c r="GP220" s="155"/>
      <c r="GQ220" s="155"/>
      <c r="GR220" s="155"/>
      <c r="GS220" s="155"/>
      <c r="GT220" s="155"/>
      <c r="GU220" s="155"/>
      <c r="GV220" s="155"/>
      <c r="GW220" s="155"/>
      <c r="GX220" s="155"/>
      <c r="GY220" s="155"/>
      <c r="GZ220" s="155"/>
      <c r="HA220" s="155"/>
      <c r="HB220" s="155"/>
      <c r="HC220" s="155"/>
      <c r="HD220" s="155"/>
      <c r="HE220" s="155"/>
    </row>
    <row r="221" spans="2:213" s="156" customFormat="1" hidden="1">
      <c r="B221" s="155"/>
      <c r="C221" s="155"/>
      <c r="D221" s="155"/>
      <c r="E221" s="155"/>
      <c r="F221" s="155"/>
      <c r="G221" s="155"/>
      <c r="H221" s="155"/>
      <c r="I221" s="155"/>
      <c r="J221" s="155"/>
      <c r="K221" s="155"/>
      <c r="L221" s="155"/>
      <c r="M221" s="155"/>
      <c r="N221" s="155"/>
      <c r="O221" s="155"/>
      <c r="P221" s="155"/>
      <c r="Q221" s="155"/>
      <c r="R221" s="155"/>
      <c r="S221" s="155"/>
      <c r="T221" s="155"/>
      <c r="U221" s="155"/>
      <c r="V221" s="155"/>
      <c r="W221" s="155"/>
      <c r="GL221" s="155"/>
      <c r="GM221" s="155"/>
      <c r="GN221" s="155"/>
      <c r="GO221" s="155"/>
      <c r="GP221" s="155"/>
      <c r="GQ221" s="155"/>
      <c r="GR221" s="155"/>
      <c r="GS221" s="155"/>
      <c r="GT221" s="155"/>
      <c r="GU221" s="155"/>
      <c r="GV221" s="155"/>
      <c r="GW221" s="155"/>
      <c r="GX221" s="155"/>
      <c r="GY221" s="155"/>
      <c r="GZ221" s="155"/>
      <c r="HA221" s="155"/>
      <c r="HB221" s="155"/>
      <c r="HC221" s="155"/>
      <c r="HD221" s="155"/>
      <c r="HE221" s="155"/>
    </row>
    <row r="222" spans="2:213" s="156" customFormat="1" hidden="1">
      <c r="B222" s="155"/>
      <c r="C222" s="155"/>
      <c r="D222" s="155"/>
      <c r="E222" s="155"/>
      <c r="F222" s="155"/>
      <c r="G222" s="155"/>
      <c r="H222" s="155"/>
      <c r="I222" s="155"/>
      <c r="J222" s="155"/>
      <c r="K222" s="155"/>
      <c r="L222" s="155"/>
      <c r="M222" s="155"/>
      <c r="N222" s="155"/>
      <c r="O222" s="155"/>
      <c r="P222" s="155"/>
      <c r="Q222" s="155"/>
      <c r="R222" s="155"/>
      <c r="S222" s="155"/>
      <c r="T222" s="155"/>
      <c r="U222" s="155"/>
      <c r="V222" s="155"/>
      <c r="W222" s="155"/>
      <c r="GL222" s="155"/>
      <c r="GM222" s="155"/>
      <c r="GN222" s="155"/>
      <c r="GO222" s="155"/>
      <c r="GP222" s="155"/>
      <c r="GQ222" s="155"/>
      <c r="GR222" s="155"/>
      <c r="GS222" s="155"/>
      <c r="GT222" s="155"/>
      <c r="GU222" s="155"/>
      <c r="GV222" s="155"/>
      <c r="GW222" s="155"/>
      <c r="GX222" s="155"/>
      <c r="GY222" s="155"/>
      <c r="GZ222" s="155"/>
      <c r="HA222" s="155"/>
      <c r="HB222" s="155"/>
      <c r="HC222" s="155"/>
      <c r="HD222" s="155"/>
      <c r="HE222" s="155"/>
    </row>
    <row r="223" spans="2:213" s="156" customFormat="1" hidden="1">
      <c r="B223" s="155"/>
      <c r="C223" s="155"/>
      <c r="D223" s="155"/>
      <c r="E223" s="155"/>
      <c r="F223" s="155"/>
      <c r="G223" s="155"/>
      <c r="H223" s="155"/>
      <c r="I223" s="155"/>
      <c r="J223" s="155"/>
      <c r="K223" s="155"/>
      <c r="L223" s="155"/>
      <c r="M223" s="155"/>
      <c r="N223" s="155"/>
      <c r="O223" s="155"/>
      <c r="P223" s="155"/>
      <c r="Q223" s="155"/>
      <c r="R223" s="155"/>
      <c r="S223" s="155"/>
      <c r="T223" s="155"/>
      <c r="U223" s="155"/>
      <c r="V223" s="155"/>
      <c r="W223" s="155"/>
      <c r="GL223" s="155"/>
      <c r="GM223" s="155"/>
      <c r="GN223" s="155"/>
      <c r="GO223" s="155"/>
      <c r="GP223" s="155"/>
      <c r="GQ223" s="155"/>
      <c r="GR223" s="155"/>
      <c r="GS223" s="155"/>
      <c r="GT223" s="155"/>
      <c r="GU223" s="155"/>
      <c r="GV223" s="155"/>
      <c r="GW223" s="155"/>
      <c r="GX223" s="155"/>
      <c r="GY223" s="155"/>
      <c r="GZ223" s="155"/>
      <c r="HA223" s="155"/>
      <c r="HB223" s="155"/>
      <c r="HC223" s="155"/>
      <c r="HD223" s="155"/>
      <c r="HE223" s="155"/>
    </row>
    <row r="224" spans="2:213" s="156" customFormat="1" hidden="1">
      <c r="B224" s="155"/>
      <c r="C224" s="155"/>
      <c r="D224" s="155"/>
      <c r="E224" s="155"/>
      <c r="F224" s="155"/>
      <c r="G224" s="155"/>
      <c r="H224" s="155"/>
      <c r="I224" s="155"/>
      <c r="J224" s="155"/>
      <c r="K224" s="155"/>
      <c r="L224" s="155"/>
      <c r="M224" s="155"/>
      <c r="N224" s="155"/>
      <c r="O224" s="155"/>
      <c r="P224" s="155"/>
      <c r="Q224" s="155"/>
      <c r="R224" s="155"/>
      <c r="S224" s="155"/>
      <c r="T224" s="155"/>
      <c r="U224" s="155"/>
      <c r="V224" s="155"/>
      <c r="W224" s="155"/>
      <c r="GL224" s="155"/>
      <c r="GM224" s="155"/>
      <c r="GN224" s="155"/>
      <c r="GO224" s="155"/>
      <c r="GP224" s="155"/>
      <c r="GQ224" s="155"/>
      <c r="GR224" s="155"/>
      <c r="GS224" s="155"/>
      <c r="GT224" s="155"/>
      <c r="GU224" s="155"/>
      <c r="GV224" s="155"/>
      <c r="GW224" s="155"/>
      <c r="GX224" s="155"/>
      <c r="GY224" s="155"/>
      <c r="GZ224" s="155"/>
      <c r="HA224" s="155"/>
      <c r="HB224" s="155"/>
      <c r="HC224" s="155"/>
      <c r="HD224" s="155"/>
      <c r="HE224" s="155"/>
    </row>
    <row r="225" spans="2:213" s="156" customFormat="1" hidden="1">
      <c r="B225" s="155"/>
      <c r="C225" s="155"/>
      <c r="D225" s="155"/>
      <c r="E225" s="155"/>
      <c r="F225" s="155"/>
      <c r="G225" s="155"/>
      <c r="H225" s="155"/>
      <c r="I225" s="155"/>
      <c r="J225" s="155"/>
      <c r="K225" s="155"/>
      <c r="L225" s="155"/>
      <c r="M225" s="155"/>
      <c r="N225" s="155"/>
      <c r="O225" s="155"/>
      <c r="P225" s="155"/>
      <c r="Q225" s="155"/>
      <c r="R225" s="155"/>
      <c r="S225" s="155"/>
      <c r="T225" s="155"/>
      <c r="U225" s="155"/>
      <c r="V225" s="155"/>
      <c r="W225" s="155"/>
      <c r="GL225" s="155"/>
      <c r="GM225" s="155"/>
      <c r="GN225" s="155"/>
      <c r="GO225" s="155"/>
      <c r="GP225" s="155"/>
      <c r="GQ225" s="155"/>
      <c r="GR225" s="155"/>
      <c r="GS225" s="155"/>
      <c r="GT225" s="155"/>
      <c r="GU225" s="155"/>
      <c r="GV225" s="155"/>
      <c r="GW225" s="155"/>
      <c r="GX225" s="155"/>
      <c r="GY225" s="155"/>
      <c r="GZ225" s="155"/>
      <c r="HA225" s="155"/>
      <c r="HB225" s="155"/>
      <c r="HC225" s="155"/>
      <c r="HD225" s="155"/>
      <c r="HE225" s="155"/>
    </row>
    <row r="226" spans="2:213" s="156" customFormat="1" hidden="1">
      <c r="B226" s="155"/>
      <c r="C226" s="155"/>
      <c r="D226" s="155"/>
      <c r="E226" s="155"/>
      <c r="F226" s="155"/>
      <c r="G226" s="155"/>
      <c r="H226" s="155"/>
      <c r="I226" s="155"/>
      <c r="J226" s="155"/>
      <c r="K226" s="155"/>
      <c r="L226" s="155"/>
      <c r="M226" s="155"/>
      <c r="N226" s="155"/>
      <c r="O226" s="155"/>
      <c r="P226" s="155"/>
      <c r="Q226" s="155"/>
      <c r="R226" s="155"/>
      <c r="S226" s="155"/>
      <c r="T226" s="155"/>
      <c r="U226" s="155"/>
      <c r="V226" s="155"/>
      <c r="W226" s="155"/>
      <c r="GL226" s="155"/>
      <c r="GM226" s="155"/>
      <c r="GN226" s="155"/>
      <c r="GO226" s="155"/>
      <c r="GP226" s="155"/>
      <c r="GQ226" s="155"/>
      <c r="GR226" s="155"/>
      <c r="GS226" s="155"/>
      <c r="GT226" s="155"/>
      <c r="GU226" s="155"/>
      <c r="GV226" s="155"/>
      <c r="GW226" s="155"/>
      <c r="GX226" s="155"/>
      <c r="GY226" s="155"/>
      <c r="GZ226" s="155"/>
      <c r="HA226" s="155"/>
      <c r="HB226" s="155"/>
      <c r="HC226" s="155"/>
      <c r="HD226" s="155"/>
      <c r="HE226" s="155"/>
    </row>
    <row r="227" spans="2:213" s="156" customFormat="1" hidden="1">
      <c r="B227" s="155"/>
      <c r="C227" s="155"/>
      <c r="D227" s="155"/>
      <c r="E227" s="155"/>
      <c r="F227" s="155"/>
      <c r="G227" s="155"/>
      <c r="H227" s="155"/>
      <c r="I227" s="155"/>
      <c r="J227" s="155"/>
      <c r="K227" s="155"/>
      <c r="L227" s="155"/>
      <c r="M227" s="155"/>
      <c r="N227" s="155"/>
      <c r="O227" s="155"/>
      <c r="P227" s="155"/>
      <c r="Q227" s="155"/>
      <c r="R227" s="155"/>
      <c r="S227" s="155"/>
      <c r="T227" s="155"/>
      <c r="U227" s="155"/>
      <c r="V227" s="155"/>
      <c r="W227" s="155"/>
      <c r="GL227" s="155"/>
      <c r="GM227" s="155"/>
      <c r="GN227" s="155"/>
      <c r="GO227" s="155"/>
      <c r="GP227" s="155"/>
      <c r="GQ227" s="155"/>
      <c r="GR227" s="155"/>
      <c r="GS227" s="155"/>
      <c r="GT227" s="155"/>
      <c r="GU227" s="155"/>
      <c r="GV227" s="155"/>
      <c r="GW227" s="155"/>
      <c r="GX227" s="155"/>
      <c r="GY227" s="155"/>
      <c r="GZ227" s="155"/>
      <c r="HA227" s="155"/>
      <c r="HB227" s="155"/>
      <c r="HC227" s="155"/>
      <c r="HD227" s="155"/>
      <c r="HE227" s="155"/>
    </row>
    <row r="228" spans="2:213" s="156" customFormat="1" hidden="1">
      <c r="B228" s="155"/>
      <c r="C228" s="155"/>
      <c r="D228" s="155"/>
      <c r="E228" s="155"/>
      <c r="F228" s="155"/>
      <c r="G228" s="155"/>
      <c r="H228" s="155"/>
      <c r="I228" s="155"/>
      <c r="J228" s="155"/>
      <c r="K228" s="155"/>
      <c r="L228" s="155"/>
      <c r="M228" s="155"/>
      <c r="N228" s="155"/>
      <c r="O228" s="155"/>
      <c r="P228" s="155"/>
      <c r="Q228" s="155"/>
      <c r="R228" s="155"/>
      <c r="S228" s="155"/>
      <c r="T228" s="155"/>
      <c r="U228" s="155"/>
      <c r="V228" s="155"/>
      <c r="W228" s="155"/>
      <c r="GL228" s="155"/>
      <c r="GM228" s="155"/>
      <c r="GN228" s="155"/>
      <c r="GO228" s="155"/>
      <c r="GP228" s="155"/>
      <c r="GQ228" s="155"/>
      <c r="GR228" s="155"/>
      <c r="GS228" s="155"/>
      <c r="GT228" s="155"/>
      <c r="GU228" s="155"/>
      <c r="GV228" s="155"/>
      <c r="GW228" s="155"/>
      <c r="GX228" s="155"/>
      <c r="GY228" s="155"/>
      <c r="GZ228" s="155"/>
      <c r="HA228" s="155"/>
      <c r="HB228" s="155"/>
      <c r="HC228" s="155"/>
      <c r="HD228" s="155"/>
      <c r="HE228" s="155"/>
    </row>
    <row r="229" spans="2:213" s="156" customFormat="1" hidden="1">
      <c r="B229" s="155"/>
      <c r="C229" s="155"/>
      <c r="D229" s="155"/>
      <c r="E229" s="155"/>
      <c r="F229" s="155"/>
      <c r="G229" s="155"/>
      <c r="H229" s="155"/>
      <c r="I229" s="155"/>
      <c r="J229" s="155"/>
      <c r="K229" s="155"/>
      <c r="L229" s="155"/>
      <c r="M229" s="155"/>
      <c r="N229" s="155"/>
      <c r="O229" s="155"/>
      <c r="P229" s="155"/>
      <c r="Q229" s="155"/>
      <c r="R229" s="155"/>
      <c r="S229" s="155"/>
      <c r="T229" s="155"/>
      <c r="U229" s="155"/>
      <c r="V229" s="155"/>
      <c r="W229" s="155"/>
      <c r="GL229" s="155"/>
      <c r="GM229" s="155"/>
      <c r="GN229" s="155"/>
      <c r="GO229" s="155"/>
      <c r="GP229" s="155"/>
      <c r="GQ229" s="155"/>
      <c r="GR229" s="155"/>
      <c r="GS229" s="155"/>
      <c r="GT229" s="155"/>
      <c r="GU229" s="155"/>
      <c r="GV229" s="155"/>
      <c r="GW229" s="155"/>
      <c r="GX229" s="155"/>
      <c r="GY229" s="155"/>
      <c r="GZ229" s="155"/>
      <c r="HA229" s="155"/>
      <c r="HB229" s="155"/>
      <c r="HC229" s="155"/>
      <c r="HD229" s="155"/>
      <c r="HE229" s="155"/>
    </row>
    <row r="230" spans="2:213" s="156" customFormat="1" hidden="1">
      <c r="B230" s="155"/>
      <c r="C230" s="155"/>
      <c r="D230" s="155"/>
      <c r="E230" s="155"/>
      <c r="F230" s="155"/>
      <c r="G230" s="155"/>
      <c r="H230" s="155"/>
      <c r="I230" s="155"/>
      <c r="J230" s="155"/>
      <c r="K230" s="155"/>
      <c r="L230" s="155"/>
      <c r="M230" s="155"/>
      <c r="N230" s="155"/>
      <c r="O230" s="155"/>
      <c r="P230" s="155"/>
      <c r="Q230" s="155"/>
      <c r="R230" s="155"/>
      <c r="S230" s="155"/>
      <c r="T230" s="155"/>
      <c r="U230" s="155"/>
      <c r="V230" s="155"/>
      <c r="W230" s="155"/>
      <c r="GL230" s="155"/>
      <c r="GM230" s="155"/>
      <c r="GN230" s="155"/>
      <c r="GO230" s="155"/>
      <c r="GP230" s="155"/>
      <c r="GQ230" s="155"/>
      <c r="GR230" s="155"/>
      <c r="GS230" s="155"/>
      <c r="GT230" s="155"/>
      <c r="GU230" s="155"/>
      <c r="GV230" s="155"/>
      <c r="GW230" s="155"/>
      <c r="GX230" s="155"/>
      <c r="GY230" s="155"/>
      <c r="GZ230" s="155"/>
      <c r="HA230" s="155"/>
      <c r="HB230" s="155"/>
      <c r="HC230" s="155"/>
      <c r="HD230" s="155"/>
      <c r="HE230" s="155"/>
    </row>
    <row r="231" spans="2:213" s="156" customFormat="1" hidden="1">
      <c r="B231" s="155"/>
      <c r="C231" s="155"/>
      <c r="D231" s="155"/>
      <c r="E231" s="155"/>
      <c r="F231" s="155"/>
      <c r="G231" s="155"/>
      <c r="H231" s="155"/>
      <c r="I231" s="155"/>
      <c r="J231" s="155"/>
      <c r="K231" s="155"/>
      <c r="L231" s="155"/>
      <c r="M231" s="155"/>
      <c r="N231" s="155"/>
      <c r="O231" s="155"/>
      <c r="P231" s="155"/>
      <c r="Q231" s="155"/>
      <c r="R231" s="155"/>
      <c r="S231" s="155"/>
      <c r="T231" s="155"/>
      <c r="U231" s="155"/>
      <c r="V231" s="155"/>
      <c r="W231" s="155"/>
      <c r="GL231" s="155"/>
      <c r="GM231" s="155"/>
      <c r="GN231" s="155"/>
      <c r="GO231" s="155"/>
      <c r="GP231" s="155"/>
      <c r="GQ231" s="155"/>
      <c r="GR231" s="155"/>
      <c r="GS231" s="155"/>
      <c r="GT231" s="155"/>
      <c r="GU231" s="155"/>
      <c r="GV231" s="155"/>
      <c r="GW231" s="155"/>
      <c r="GX231" s="155"/>
      <c r="GY231" s="155"/>
      <c r="GZ231" s="155"/>
      <c r="HA231" s="155"/>
      <c r="HB231" s="155"/>
      <c r="HC231" s="155"/>
      <c r="HD231" s="155"/>
      <c r="HE231" s="155"/>
    </row>
    <row r="232" spans="2:213" s="156" customFormat="1" hidden="1">
      <c r="B232" s="155"/>
      <c r="C232" s="155"/>
      <c r="D232" s="155"/>
      <c r="E232" s="155"/>
      <c r="F232" s="155"/>
      <c r="G232" s="155"/>
      <c r="H232" s="155"/>
      <c r="I232" s="155"/>
      <c r="J232" s="155"/>
      <c r="K232" s="155"/>
      <c r="L232" s="155"/>
      <c r="M232" s="155"/>
      <c r="N232" s="155"/>
      <c r="O232" s="155"/>
      <c r="P232" s="155"/>
      <c r="Q232" s="155"/>
      <c r="R232" s="155"/>
      <c r="S232" s="155"/>
      <c r="T232" s="155"/>
      <c r="U232" s="155"/>
      <c r="V232" s="155"/>
      <c r="W232" s="155"/>
      <c r="GL232" s="155"/>
      <c r="GM232" s="155"/>
      <c r="GN232" s="155"/>
      <c r="GO232" s="155"/>
      <c r="GP232" s="155"/>
      <c r="GQ232" s="155"/>
      <c r="GR232" s="155"/>
      <c r="GS232" s="155"/>
      <c r="GT232" s="155"/>
      <c r="GU232" s="155"/>
      <c r="GV232" s="155"/>
      <c r="GW232" s="155"/>
      <c r="GX232" s="155"/>
      <c r="GY232" s="155"/>
      <c r="GZ232" s="155"/>
      <c r="HA232" s="155"/>
      <c r="HB232" s="155"/>
      <c r="HC232" s="155"/>
      <c r="HD232" s="155"/>
      <c r="HE232" s="155"/>
    </row>
    <row r="233" spans="2:213" s="156" customFormat="1" hidden="1">
      <c r="B233" s="155"/>
      <c r="C233" s="155"/>
      <c r="D233" s="155"/>
      <c r="E233" s="155"/>
      <c r="F233" s="155"/>
      <c r="G233" s="155"/>
      <c r="H233" s="155"/>
      <c r="I233" s="155"/>
      <c r="J233" s="155"/>
      <c r="K233" s="155"/>
      <c r="L233" s="155"/>
      <c r="M233" s="155"/>
      <c r="N233" s="155"/>
      <c r="O233" s="155"/>
      <c r="P233" s="155"/>
      <c r="Q233" s="155"/>
      <c r="R233" s="155"/>
      <c r="S233" s="155"/>
      <c r="T233" s="155"/>
      <c r="U233" s="155"/>
      <c r="V233" s="155"/>
      <c r="W233" s="155"/>
      <c r="GL233" s="155"/>
      <c r="GM233" s="155"/>
      <c r="GN233" s="155"/>
      <c r="GO233" s="155"/>
      <c r="GP233" s="155"/>
      <c r="GQ233" s="155"/>
      <c r="GR233" s="155"/>
      <c r="GS233" s="155"/>
      <c r="GT233" s="155"/>
      <c r="GU233" s="155"/>
      <c r="GV233" s="155"/>
      <c r="GW233" s="155"/>
      <c r="GX233" s="155"/>
      <c r="GY233" s="155"/>
      <c r="GZ233" s="155"/>
      <c r="HA233" s="155"/>
      <c r="HB233" s="155"/>
      <c r="HC233" s="155"/>
      <c r="HD233" s="155"/>
      <c r="HE233" s="155"/>
    </row>
    <row r="234" spans="2:213" s="156" customFormat="1" hidden="1">
      <c r="B234" s="155"/>
      <c r="C234" s="155"/>
      <c r="D234" s="155"/>
      <c r="E234" s="155"/>
      <c r="F234" s="155"/>
      <c r="G234" s="155"/>
      <c r="H234" s="155"/>
      <c r="I234" s="155"/>
      <c r="J234" s="155"/>
      <c r="K234" s="155"/>
      <c r="L234" s="155"/>
      <c r="M234" s="155"/>
      <c r="N234" s="155"/>
      <c r="O234" s="155"/>
      <c r="P234" s="155"/>
      <c r="Q234" s="155"/>
      <c r="R234" s="155"/>
      <c r="S234" s="155"/>
      <c r="T234" s="155"/>
      <c r="U234" s="155"/>
      <c r="V234" s="155"/>
      <c r="W234" s="155"/>
      <c r="GL234" s="155"/>
      <c r="GM234" s="155"/>
      <c r="GN234" s="155"/>
      <c r="GO234" s="155"/>
      <c r="GP234" s="155"/>
      <c r="GQ234" s="155"/>
      <c r="GR234" s="155"/>
      <c r="GS234" s="155"/>
      <c r="GT234" s="155"/>
      <c r="GU234" s="155"/>
      <c r="GV234" s="155"/>
      <c r="GW234" s="155"/>
      <c r="GX234" s="155"/>
      <c r="GY234" s="155"/>
      <c r="GZ234" s="155"/>
      <c r="HA234" s="155"/>
      <c r="HB234" s="155"/>
      <c r="HC234" s="155"/>
      <c r="HD234" s="155"/>
      <c r="HE234" s="155"/>
    </row>
    <row r="235" spans="2:213" s="156" customFormat="1" hidden="1">
      <c r="B235" s="155"/>
      <c r="C235" s="155"/>
      <c r="D235" s="155"/>
      <c r="E235" s="155"/>
      <c r="F235" s="155"/>
      <c r="G235" s="155"/>
      <c r="H235" s="155"/>
      <c r="I235" s="155"/>
      <c r="J235" s="155"/>
      <c r="K235" s="155"/>
      <c r="L235" s="155"/>
      <c r="M235" s="155"/>
      <c r="N235" s="155"/>
      <c r="O235" s="155"/>
      <c r="P235" s="155"/>
      <c r="Q235" s="155"/>
      <c r="R235" s="155"/>
      <c r="S235" s="155"/>
      <c r="T235" s="155"/>
      <c r="U235" s="155"/>
      <c r="V235" s="155"/>
      <c r="W235" s="155"/>
      <c r="GL235" s="155"/>
      <c r="GM235" s="155"/>
      <c r="GN235" s="155"/>
      <c r="GO235" s="155"/>
      <c r="GP235" s="155"/>
      <c r="GQ235" s="155"/>
      <c r="GR235" s="155"/>
      <c r="GS235" s="155"/>
      <c r="GT235" s="155"/>
      <c r="GU235" s="155"/>
      <c r="GV235" s="155"/>
      <c r="GW235" s="155"/>
      <c r="GX235" s="155"/>
      <c r="GY235" s="155"/>
      <c r="GZ235" s="155"/>
      <c r="HA235" s="155"/>
      <c r="HB235" s="155"/>
      <c r="HC235" s="155"/>
      <c r="HD235" s="155"/>
      <c r="HE235" s="155"/>
    </row>
    <row r="236" spans="2:213" s="156" customFormat="1" hidden="1">
      <c r="B236" s="155"/>
      <c r="C236" s="155"/>
      <c r="D236" s="155"/>
      <c r="E236" s="155"/>
      <c r="F236" s="155"/>
      <c r="G236" s="155"/>
      <c r="H236" s="155"/>
      <c r="I236" s="155"/>
      <c r="J236" s="155"/>
      <c r="K236" s="155"/>
      <c r="L236" s="155"/>
      <c r="M236" s="155"/>
      <c r="N236" s="155"/>
      <c r="O236" s="155"/>
      <c r="P236" s="155"/>
      <c r="Q236" s="155"/>
      <c r="R236" s="155"/>
      <c r="S236" s="155"/>
      <c r="T236" s="155"/>
      <c r="U236" s="155"/>
      <c r="V236" s="155"/>
      <c r="W236" s="155"/>
      <c r="GL236" s="155"/>
      <c r="GM236" s="155"/>
      <c r="GN236" s="155"/>
      <c r="GO236" s="155"/>
      <c r="GP236" s="155"/>
      <c r="GQ236" s="155"/>
      <c r="GR236" s="155"/>
      <c r="GS236" s="155"/>
      <c r="GT236" s="155"/>
      <c r="GU236" s="155"/>
      <c r="GV236" s="155"/>
      <c r="GW236" s="155"/>
      <c r="GX236" s="155"/>
      <c r="GY236" s="155"/>
      <c r="GZ236" s="155"/>
      <c r="HA236" s="155"/>
      <c r="HB236" s="155"/>
      <c r="HC236" s="155"/>
      <c r="HD236" s="155"/>
      <c r="HE236" s="155"/>
    </row>
    <row r="237" spans="2:213" s="156" customFormat="1" hidden="1">
      <c r="B237" s="155"/>
      <c r="C237" s="155"/>
      <c r="D237" s="155"/>
      <c r="E237" s="155"/>
      <c r="F237" s="155"/>
      <c r="G237" s="155"/>
      <c r="H237" s="155"/>
      <c r="I237" s="155"/>
      <c r="J237" s="155"/>
      <c r="K237" s="155"/>
      <c r="L237" s="155"/>
      <c r="M237" s="155"/>
      <c r="N237" s="155"/>
      <c r="O237" s="155"/>
      <c r="P237" s="155"/>
      <c r="Q237" s="155"/>
      <c r="R237" s="155"/>
      <c r="S237" s="155"/>
      <c r="T237" s="155"/>
      <c r="U237" s="155"/>
      <c r="V237" s="155"/>
      <c r="W237" s="155"/>
      <c r="GL237" s="155"/>
      <c r="GM237" s="155"/>
      <c r="GN237" s="155"/>
      <c r="GO237" s="155"/>
      <c r="GP237" s="155"/>
      <c r="GQ237" s="155"/>
      <c r="GR237" s="155"/>
      <c r="GS237" s="155"/>
      <c r="GT237" s="155"/>
      <c r="GU237" s="155"/>
      <c r="GV237" s="155"/>
      <c r="GW237" s="155"/>
      <c r="GX237" s="155"/>
      <c r="GY237" s="155"/>
      <c r="GZ237" s="155"/>
      <c r="HA237" s="155"/>
      <c r="HB237" s="155"/>
      <c r="HC237" s="155"/>
      <c r="HD237" s="155"/>
      <c r="HE237" s="155"/>
    </row>
    <row r="238" spans="2:213" s="156" customFormat="1" hidden="1">
      <c r="B238" s="155"/>
      <c r="C238" s="155"/>
      <c r="D238" s="155"/>
      <c r="E238" s="155"/>
      <c r="F238" s="155"/>
      <c r="G238" s="155"/>
      <c r="H238" s="155"/>
      <c r="I238" s="155"/>
      <c r="J238" s="155"/>
      <c r="K238" s="155"/>
      <c r="L238" s="155"/>
      <c r="M238" s="155"/>
      <c r="N238" s="155"/>
      <c r="O238" s="155"/>
      <c r="P238" s="155"/>
      <c r="Q238" s="155"/>
      <c r="R238" s="155"/>
      <c r="S238" s="155"/>
      <c r="T238" s="155"/>
      <c r="U238" s="155"/>
      <c r="V238" s="155"/>
      <c r="W238" s="155"/>
      <c r="GL238" s="155"/>
      <c r="GM238" s="155"/>
      <c r="GN238" s="155"/>
      <c r="GO238" s="155"/>
      <c r="GP238" s="155"/>
      <c r="GQ238" s="155"/>
      <c r="GR238" s="155"/>
      <c r="GS238" s="155"/>
      <c r="GT238" s="155"/>
      <c r="GU238" s="155"/>
      <c r="GV238" s="155"/>
      <c r="GW238" s="155"/>
      <c r="GX238" s="155"/>
      <c r="GY238" s="155"/>
      <c r="GZ238" s="155"/>
      <c r="HA238" s="155"/>
      <c r="HB238" s="155"/>
      <c r="HC238" s="155"/>
      <c r="HD238" s="155"/>
      <c r="HE238" s="155"/>
    </row>
    <row r="239" spans="2:213" s="156" customFormat="1" hidden="1">
      <c r="B239" s="155"/>
      <c r="C239" s="155"/>
      <c r="D239" s="155"/>
      <c r="E239" s="155"/>
      <c r="F239" s="155"/>
      <c r="G239" s="155"/>
      <c r="H239" s="155"/>
      <c r="I239" s="155"/>
      <c r="J239" s="155"/>
      <c r="K239" s="155"/>
      <c r="L239" s="155"/>
      <c r="M239" s="155"/>
      <c r="N239" s="155"/>
      <c r="O239" s="155"/>
      <c r="P239" s="155"/>
      <c r="Q239" s="155"/>
      <c r="R239" s="155"/>
      <c r="S239" s="155"/>
      <c r="T239" s="155"/>
      <c r="U239" s="155"/>
      <c r="V239" s="155"/>
      <c r="W239" s="155"/>
      <c r="GL239" s="155"/>
      <c r="GM239" s="155"/>
      <c r="GN239" s="155"/>
      <c r="GO239" s="155"/>
      <c r="GP239" s="155"/>
      <c r="GQ239" s="155"/>
      <c r="GR239" s="155"/>
      <c r="GS239" s="155"/>
      <c r="GT239" s="155"/>
      <c r="GU239" s="155"/>
      <c r="GV239" s="155"/>
      <c r="GW239" s="155"/>
      <c r="GX239" s="155"/>
      <c r="GY239" s="155"/>
      <c r="GZ239" s="155"/>
      <c r="HA239" s="155"/>
      <c r="HB239" s="155"/>
      <c r="HC239" s="155"/>
      <c r="HD239" s="155"/>
      <c r="HE239" s="155"/>
    </row>
    <row r="240" spans="2:213" s="156" customFormat="1" hidden="1">
      <c r="B240" s="155"/>
      <c r="C240" s="155"/>
      <c r="D240" s="155"/>
      <c r="E240" s="155"/>
      <c r="F240" s="155"/>
      <c r="G240" s="155"/>
      <c r="H240" s="155"/>
      <c r="I240" s="155"/>
      <c r="J240" s="155"/>
      <c r="K240" s="155"/>
      <c r="L240" s="155"/>
      <c r="M240" s="155"/>
      <c r="N240" s="155"/>
      <c r="O240" s="155"/>
      <c r="P240" s="155"/>
      <c r="Q240" s="155"/>
      <c r="R240" s="155"/>
      <c r="S240" s="155"/>
      <c r="T240" s="155"/>
      <c r="U240" s="155"/>
      <c r="V240" s="155"/>
      <c r="W240" s="155"/>
      <c r="GL240" s="155"/>
      <c r="GM240" s="155"/>
      <c r="GN240" s="155"/>
      <c r="GO240" s="155"/>
      <c r="GP240" s="155"/>
      <c r="GQ240" s="155"/>
      <c r="GR240" s="155"/>
      <c r="GS240" s="155"/>
      <c r="GT240" s="155"/>
      <c r="GU240" s="155"/>
      <c r="GV240" s="155"/>
      <c r="GW240" s="155"/>
      <c r="GX240" s="155"/>
      <c r="GY240" s="155"/>
      <c r="GZ240" s="155"/>
      <c r="HA240" s="155"/>
      <c r="HB240" s="155"/>
      <c r="HC240" s="155"/>
      <c r="HD240" s="155"/>
      <c r="HE240" s="155"/>
    </row>
    <row r="241" spans="2:213" s="156" customFormat="1" hidden="1">
      <c r="B241" s="155"/>
      <c r="C241" s="155"/>
      <c r="D241" s="155"/>
      <c r="E241" s="155"/>
      <c r="F241" s="155"/>
      <c r="G241" s="155"/>
      <c r="H241" s="155"/>
      <c r="I241" s="155"/>
      <c r="J241" s="155"/>
      <c r="K241" s="155"/>
      <c r="L241" s="155"/>
      <c r="M241" s="155"/>
      <c r="N241" s="155"/>
      <c r="O241" s="155"/>
      <c r="P241" s="155"/>
      <c r="Q241" s="155"/>
      <c r="R241" s="155"/>
      <c r="S241" s="155"/>
      <c r="T241" s="155"/>
      <c r="U241" s="155"/>
      <c r="V241" s="155"/>
      <c r="W241" s="155"/>
      <c r="GL241" s="155"/>
      <c r="GM241" s="155"/>
      <c r="GN241" s="155"/>
      <c r="GO241" s="155"/>
      <c r="GP241" s="155"/>
      <c r="GQ241" s="155"/>
      <c r="GR241" s="155"/>
      <c r="GS241" s="155"/>
      <c r="GT241" s="155"/>
      <c r="GU241" s="155"/>
      <c r="GV241" s="155"/>
      <c r="GW241" s="155"/>
      <c r="GX241" s="155"/>
      <c r="GY241" s="155"/>
      <c r="GZ241" s="155"/>
      <c r="HA241" s="155"/>
      <c r="HB241" s="155"/>
      <c r="HC241" s="155"/>
      <c r="HD241" s="155"/>
      <c r="HE241" s="155"/>
    </row>
    <row r="242" spans="2:213" s="156" customFormat="1" hidden="1">
      <c r="B242" s="155"/>
      <c r="C242" s="155"/>
      <c r="D242" s="155"/>
      <c r="E242" s="155"/>
      <c r="F242" s="155"/>
      <c r="G242" s="155"/>
      <c r="H242" s="155"/>
      <c r="I242" s="155"/>
      <c r="J242" s="155"/>
      <c r="K242" s="155"/>
      <c r="L242" s="155"/>
      <c r="M242" s="155"/>
      <c r="N242" s="155"/>
      <c r="O242" s="155"/>
      <c r="P242" s="155"/>
      <c r="Q242" s="155"/>
      <c r="R242" s="155"/>
      <c r="S242" s="155"/>
      <c r="T242" s="155"/>
      <c r="U242" s="155"/>
      <c r="V242" s="155"/>
      <c r="W242" s="155"/>
      <c r="GL242" s="155"/>
      <c r="GM242" s="155"/>
      <c r="GN242" s="155"/>
      <c r="GO242" s="155"/>
      <c r="GP242" s="155"/>
      <c r="GQ242" s="155"/>
      <c r="GR242" s="155"/>
      <c r="GS242" s="155"/>
      <c r="GT242" s="155"/>
      <c r="GU242" s="155"/>
      <c r="GV242" s="155"/>
      <c r="GW242" s="155"/>
      <c r="GX242" s="155"/>
      <c r="GY242" s="155"/>
      <c r="GZ242" s="155"/>
      <c r="HA242" s="155"/>
      <c r="HB242" s="155"/>
      <c r="HC242" s="155"/>
      <c r="HD242" s="155"/>
      <c r="HE242" s="155"/>
    </row>
    <row r="243" spans="2:213" s="156" customFormat="1" hidden="1">
      <c r="B243" s="155"/>
      <c r="C243" s="155"/>
      <c r="D243" s="155"/>
      <c r="E243" s="155"/>
      <c r="F243" s="155"/>
      <c r="G243" s="155"/>
      <c r="H243" s="155"/>
      <c r="I243" s="155"/>
      <c r="J243" s="155"/>
      <c r="K243" s="155"/>
      <c r="L243" s="155"/>
      <c r="M243" s="155"/>
      <c r="N243" s="155"/>
      <c r="O243" s="155"/>
      <c r="P243" s="155"/>
      <c r="Q243" s="155"/>
      <c r="R243" s="155"/>
      <c r="S243" s="155"/>
      <c r="T243" s="155"/>
      <c r="U243" s="155"/>
      <c r="V243" s="155"/>
      <c r="W243" s="155"/>
      <c r="GL243" s="155"/>
      <c r="GM243" s="155"/>
      <c r="GN243" s="155"/>
      <c r="GO243" s="155"/>
      <c r="GP243" s="155"/>
      <c r="GQ243" s="155"/>
      <c r="GR243" s="155"/>
      <c r="GS243" s="155"/>
      <c r="GT243" s="155"/>
      <c r="GU243" s="155"/>
      <c r="GV243" s="155"/>
      <c r="GW243" s="155"/>
      <c r="GX243" s="155"/>
      <c r="GY243" s="155"/>
      <c r="GZ243" s="155"/>
      <c r="HA243" s="155"/>
      <c r="HB243" s="155"/>
      <c r="HC243" s="155"/>
      <c r="HD243" s="155"/>
      <c r="HE243" s="155"/>
    </row>
    <row r="244" spans="2:213" s="156" customFormat="1" hidden="1">
      <c r="B244" s="155"/>
      <c r="C244" s="155"/>
      <c r="D244" s="155"/>
      <c r="E244" s="155"/>
      <c r="F244" s="155"/>
      <c r="G244" s="155"/>
      <c r="H244" s="155"/>
      <c r="I244" s="155"/>
      <c r="J244" s="155"/>
      <c r="K244" s="155"/>
      <c r="L244" s="155"/>
      <c r="M244" s="155"/>
      <c r="N244" s="155"/>
      <c r="O244" s="155"/>
      <c r="P244" s="155"/>
      <c r="Q244" s="155"/>
      <c r="R244" s="155"/>
      <c r="S244" s="155"/>
      <c r="T244" s="155"/>
      <c r="U244" s="155"/>
      <c r="V244" s="155"/>
      <c r="W244" s="155"/>
      <c r="GL244" s="155"/>
      <c r="GM244" s="155"/>
      <c r="GN244" s="155"/>
      <c r="GO244" s="155"/>
      <c r="GP244" s="155"/>
      <c r="GQ244" s="155"/>
      <c r="GR244" s="155"/>
      <c r="GS244" s="155"/>
      <c r="GT244" s="155"/>
      <c r="GU244" s="155"/>
      <c r="GV244" s="155"/>
      <c r="GW244" s="155"/>
      <c r="GX244" s="155"/>
      <c r="GY244" s="155"/>
      <c r="GZ244" s="155"/>
      <c r="HA244" s="155"/>
      <c r="HB244" s="155"/>
      <c r="HC244" s="155"/>
      <c r="HD244" s="155"/>
      <c r="HE244" s="155"/>
    </row>
    <row r="245" spans="2:213" s="156" customFormat="1" hidden="1">
      <c r="B245" s="155"/>
      <c r="C245" s="155"/>
      <c r="D245" s="155"/>
      <c r="E245" s="155"/>
      <c r="F245" s="155"/>
      <c r="G245" s="155"/>
      <c r="H245" s="155"/>
      <c r="I245" s="155"/>
      <c r="J245" s="155"/>
      <c r="K245" s="155"/>
      <c r="L245" s="155"/>
      <c r="M245" s="155"/>
      <c r="N245" s="155"/>
      <c r="O245" s="155"/>
      <c r="P245" s="155"/>
      <c r="Q245" s="155"/>
      <c r="R245" s="155"/>
      <c r="S245" s="155"/>
      <c r="T245" s="155"/>
      <c r="U245" s="155"/>
      <c r="V245" s="155"/>
      <c r="W245" s="155"/>
      <c r="GL245" s="155"/>
      <c r="GM245" s="155"/>
      <c r="GN245" s="155"/>
      <c r="GO245" s="155"/>
      <c r="GP245" s="155"/>
      <c r="GQ245" s="155"/>
      <c r="GR245" s="155"/>
      <c r="GS245" s="155"/>
      <c r="GT245" s="155"/>
      <c r="GU245" s="155"/>
      <c r="GV245" s="155"/>
      <c r="GW245" s="155"/>
      <c r="GX245" s="155"/>
      <c r="GY245" s="155"/>
      <c r="GZ245" s="155"/>
      <c r="HA245" s="155"/>
      <c r="HB245" s="155"/>
      <c r="HC245" s="155"/>
      <c r="HD245" s="155"/>
      <c r="HE245" s="155"/>
    </row>
    <row r="246" spans="2:213" s="156" customFormat="1" hidden="1">
      <c r="B246" s="155"/>
      <c r="C246" s="155"/>
      <c r="D246" s="155"/>
      <c r="E246" s="155"/>
      <c r="F246" s="155"/>
      <c r="G246" s="155"/>
      <c r="H246" s="155"/>
      <c r="I246" s="155"/>
      <c r="J246" s="155"/>
      <c r="K246" s="155"/>
      <c r="L246" s="155"/>
      <c r="M246" s="155"/>
      <c r="N246" s="155"/>
      <c r="O246" s="155"/>
      <c r="P246" s="155"/>
      <c r="Q246" s="155"/>
      <c r="R246" s="155"/>
      <c r="S246" s="155"/>
      <c r="T246" s="155"/>
      <c r="U246" s="155"/>
      <c r="V246" s="155"/>
      <c r="W246" s="155"/>
      <c r="GL246" s="155"/>
      <c r="GM246" s="155"/>
      <c r="GN246" s="155"/>
      <c r="GO246" s="155"/>
      <c r="GP246" s="155"/>
      <c r="GQ246" s="155"/>
      <c r="GR246" s="155"/>
      <c r="GS246" s="155"/>
      <c r="GT246" s="155"/>
      <c r="GU246" s="155"/>
      <c r="GV246" s="155"/>
      <c r="GW246" s="155"/>
      <c r="GX246" s="155"/>
      <c r="GY246" s="155"/>
      <c r="GZ246" s="155"/>
      <c r="HA246" s="155"/>
      <c r="HB246" s="155"/>
      <c r="HC246" s="155"/>
      <c r="HD246" s="155"/>
      <c r="HE246" s="155"/>
    </row>
    <row r="247" spans="2:213" s="156" customFormat="1" hidden="1">
      <c r="B247" s="155"/>
      <c r="C247" s="155"/>
      <c r="D247" s="155"/>
      <c r="E247" s="155"/>
      <c r="F247" s="155"/>
      <c r="G247" s="155"/>
      <c r="H247" s="155"/>
      <c r="I247" s="155"/>
      <c r="J247" s="155"/>
      <c r="K247" s="155"/>
      <c r="L247" s="155"/>
      <c r="M247" s="155"/>
      <c r="N247" s="155"/>
      <c r="O247" s="155"/>
      <c r="P247" s="155"/>
      <c r="Q247" s="155"/>
      <c r="R247" s="155"/>
      <c r="S247" s="155"/>
      <c r="T247" s="155"/>
      <c r="U247" s="155"/>
      <c r="V247" s="155"/>
      <c r="W247" s="155"/>
      <c r="GL247" s="155"/>
      <c r="GM247" s="155"/>
      <c r="GN247" s="155"/>
      <c r="GO247" s="155"/>
      <c r="GP247" s="155"/>
      <c r="GQ247" s="155"/>
      <c r="GR247" s="155"/>
      <c r="GS247" s="155"/>
      <c r="GT247" s="155"/>
      <c r="GU247" s="155"/>
      <c r="GV247" s="155"/>
      <c r="GW247" s="155"/>
      <c r="GX247" s="155"/>
      <c r="GY247" s="155"/>
      <c r="GZ247" s="155"/>
      <c r="HA247" s="155"/>
      <c r="HB247" s="155"/>
      <c r="HC247" s="155"/>
      <c r="HD247" s="155"/>
      <c r="HE247" s="155"/>
    </row>
    <row r="248" spans="2:213" s="156" customFormat="1" hidden="1">
      <c r="B248" s="155"/>
      <c r="C248" s="155"/>
      <c r="D248" s="155"/>
      <c r="E248" s="155"/>
      <c r="F248" s="155"/>
      <c r="G248" s="155"/>
      <c r="H248" s="155"/>
      <c r="I248" s="155"/>
      <c r="J248" s="155"/>
      <c r="K248" s="155"/>
      <c r="L248" s="155"/>
      <c r="M248" s="155"/>
      <c r="N248" s="155"/>
      <c r="O248" s="155"/>
      <c r="P248" s="155"/>
      <c r="Q248" s="155"/>
      <c r="R248" s="155"/>
      <c r="S248" s="155"/>
      <c r="T248" s="155"/>
      <c r="U248" s="155"/>
      <c r="V248" s="155"/>
      <c r="W248" s="155"/>
      <c r="GL248" s="155"/>
      <c r="GM248" s="155"/>
      <c r="GN248" s="155"/>
      <c r="GO248" s="155"/>
      <c r="GP248" s="155"/>
      <c r="GQ248" s="155"/>
      <c r="GR248" s="155"/>
      <c r="GS248" s="155"/>
      <c r="GT248" s="155"/>
      <c r="GU248" s="155"/>
      <c r="GV248" s="155"/>
      <c r="GW248" s="155"/>
      <c r="GX248" s="155"/>
      <c r="GY248" s="155"/>
      <c r="GZ248" s="155"/>
      <c r="HA248" s="155"/>
      <c r="HB248" s="155"/>
      <c r="HC248" s="155"/>
      <c r="HD248" s="155"/>
      <c r="HE248" s="155"/>
    </row>
    <row r="249" spans="2:213" s="156" customFormat="1" hidden="1">
      <c r="B249" s="155"/>
      <c r="C249" s="155"/>
      <c r="D249" s="155"/>
      <c r="E249" s="155"/>
      <c r="F249" s="155"/>
      <c r="G249" s="155"/>
      <c r="H249" s="155"/>
      <c r="I249" s="155"/>
      <c r="J249" s="155"/>
      <c r="K249" s="155"/>
      <c r="L249" s="155"/>
      <c r="M249" s="155"/>
      <c r="N249" s="155"/>
      <c r="O249" s="155"/>
      <c r="P249" s="155"/>
      <c r="Q249" s="155"/>
      <c r="R249" s="155"/>
      <c r="S249" s="155"/>
      <c r="T249" s="155"/>
      <c r="U249" s="155"/>
      <c r="V249" s="155"/>
      <c r="W249" s="155"/>
      <c r="GL249" s="155"/>
      <c r="GM249" s="155"/>
      <c r="GN249" s="155"/>
      <c r="GO249" s="155"/>
      <c r="GP249" s="155"/>
      <c r="GQ249" s="155"/>
      <c r="GR249" s="155"/>
      <c r="GS249" s="155"/>
      <c r="GT249" s="155"/>
      <c r="GU249" s="155"/>
      <c r="GV249" s="155"/>
      <c r="GW249" s="155"/>
      <c r="GX249" s="155"/>
      <c r="GY249" s="155"/>
      <c r="GZ249" s="155"/>
      <c r="HA249" s="155"/>
      <c r="HB249" s="155"/>
      <c r="HC249" s="155"/>
      <c r="HD249" s="155"/>
      <c r="HE249" s="155"/>
    </row>
    <row r="250" spans="2:213" s="156" customFormat="1" hidden="1">
      <c r="B250" s="155"/>
      <c r="C250" s="155"/>
      <c r="D250" s="155"/>
      <c r="E250" s="155"/>
      <c r="F250" s="155"/>
      <c r="G250" s="155"/>
      <c r="H250" s="155"/>
      <c r="I250" s="155"/>
      <c r="J250" s="155"/>
      <c r="K250" s="155"/>
      <c r="L250" s="155"/>
      <c r="M250" s="155"/>
      <c r="N250" s="155"/>
      <c r="O250" s="155"/>
      <c r="P250" s="155"/>
      <c r="Q250" s="155"/>
      <c r="R250" s="155"/>
      <c r="S250" s="155"/>
      <c r="T250" s="155"/>
      <c r="U250" s="155"/>
      <c r="V250" s="155"/>
      <c r="W250" s="155"/>
      <c r="GL250" s="155"/>
      <c r="GM250" s="155"/>
      <c r="GN250" s="155"/>
      <c r="GO250" s="155"/>
      <c r="GP250" s="155"/>
      <c r="GQ250" s="155"/>
      <c r="GR250" s="155"/>
      <c r="GS250" s="155"/>
      <c r="GT250" s="155"/>
      <c r="GU250" s="155"/>
      <c r="GV250" s="155"/>
      <c r="GW250" s="155"/>
      <c r="GX250" s="155"/>
      <c r="GY250" s="155"/>
      <c r="GZ250" s="155"/>
      <c r="HA250" s="155"/>
      <c r="HB250" s="155"/>
      <c r="HC250" s="155"/>
      <c r="HD250" s="155"/>
      <c r="HE250" s="155"/>
    </row>
    <row r="251" spans="2:213" s="156" customFormat="1" hidden="1">
      <c r="B251" s="155"/>
      <c r="C251" s="155"/>
      <c r="D251" s="155"/>
      <c r="E251" s="155"/>
      <c r="F251" s="155"/>
      <c r="G251" s="155"/>
      <c r="H251" s="155"/>
      <c r="I251" s="155"/>
      <c r="J251" s="155"/>
      <c r="K251" s="155"/>
      <c r="L251" s="155"/>
      <c r="M251" s="155"/>
      <c r="N251" s="155"/>
      <c r="O251" s="155"/>
      <c r="P251" s="155"/>
      <c r="Q251" s="155"/>
      <c r="R251" s="155"/>
      <c r="S251" s="155"/>
      <c r="T251" s="155"/>
      <c r="U251" s="155"/>
      <c r="V251" s="155"/>
      <c r="W251" s="155"/>
      <c r="GL251" s="155"/>
      <c r="GM251" s="155"/>
      <c r="GN251" s="155"/>
      <c r="GO251" s="155"/>
      <c r="GP251" s="155"/>
      <c r="GQ251" s="155"/>
      <c r="GR251" s="155"/>
      <c r="GS251" s="155"/>
      <c r="GT251" s="155"/>
      <c r="GU251" s="155"/>
      <c r="GV251" s="155"/>
      <c r="GW251" s="155"/>
      <c r="GX251" s="155"/>
      <c r="GY251" s="155"/>
      <c r="GZ251" s="155"/>
      <c r="HA251" s="155"/>
      <c r="HB251" s="155"/>
      <c r="HC251" s="155"/>
      <c r="HD251" s="155"/>
      <c r="HE251" s="155"/>
    </row>
    <row r="252" spans="2:213" s="156" customFormat="1" hidden="1">
      <c r="B252" s="155"/>
      <c r="C252" s="155"/>
      <c r="D252" s="155"/>
      <c r="E252" s="155"/>
      <c r="F252" s="155"/>
      <c r="G252" s="155"/>
      <c r="H252" s="155"/>
      <c r="I252" s="155"/>
      <c r="J252" s="155"/>
      <c r="K252" s="155"/>
      <c r="L252" s="155"/>
      <c r="M252" s="155"/>
      <c r="N252" s="155"/>
      <c r="O252" s="155"/>
      <c r="P252" s="155"/>
      <c r="Q252" s="155"/>
      <c r="R252" s="155"/>
      <c r="S252" s="155"/>
      <c r="T252" s="155"/>
      <c r="U252" s="155"/>
      <c r="V252" s="155"/>
      <c r="W252" s="155"/>
      <c r="GL252" s="155"/>
      <c r="GM252" s="155"/>
      <c r="GN252" s="155"/>
      <c r="GO252" s="155"/>
      <c r="GP252" s="155"/>
      <c r="GQ252" s="155"/>
      <c r="GR252" s="155"/>
      <c r="GS252" s="155"/>
      <c r="GT252" s="155"/>
      <c r="GU252" s="155"/>
      <c r="GV252" s="155"/>
      <c r="GW252" s="155"/>
      <c r="GX252" s="155"/>
      <c r="GY252" s="155"/>
      <c r="GZ252" s="155"/>
      <c r="HA252" s="155"/>
      <c r="HB252" s="155"/>
      <c r="HC252" s="155"/>
      <c r="HD252" s="155"/>
      <c r="HE252" s="155"/>
    </row>
    <row r="253" spans="2:213" s="156" customFormat="1" hidden="1">
      <c r="B253" s="155"/>
      <c r="C253" s="155"/>
      <c r="D253" s="155"/>
      <c r="E253" s="155"/>
      <c r="F253" s="155"/>
      <c r="G253" s="155"/>
      <c r="H253" s="155"/>
      <c r="I253" s="155"/>
      <c r="J253" s="155"/>
      <c r="K253" s="155"/>
      <c r="L253" s="155"/>
      <c r="M253" s="155"/>
      <c r="N253" s="155"/>
      <c r="O253" s="155"/>
      <c r="P253" s="155"/>
      <c r="Q253" s="155"/>
      <c r="R253" s="155"/>
      <c r="S253" s="155"/>
      <c r="T253" s="155"/>
      <c r="U253" s="155"/>
      <c r="V253" s="155"/>
      <c r="W253" s="155"/>
      <c r="GL253" s="155"/>
      <c r="GM253" s="155"/>
      <c r="GN253" s="155"/>
      <c r="GO253" s="155"/>
      <c r="GP253" s="155"/>
      <c r="GQ253" s="155"/>
      <c r="GR253" s="155"/>
      <c r="GS253" s="155"/>
      <c r="GT253" s="155"/>
      <c r="GU253" s="155"/>
      <c r="GV253" s="155"/>
      <c r="GW253" s="155"/>
      <c r="GX253" s="155"/>
      <c r="GY253" s="155"/>
      <c r="GZ253" s="155"/>
      <c r="HA253" s="155"/>
      <c r="HB253" s="155"/>
      <c r="HC253" s="155"/>
      <c r="HD253" s="155"/>
      <c r="HE253" s="155"/>
    </row>
    <row r="254" spans="2:213" s="156" customFormat="1" hidden="1">
      <c r="B254" s="155"/>
      <c r="C254" s="155"/>
      <c r="D254" s="155"/>
      <c r="E254" s="155"/>
      <c r="F254" s="155"/>
      <c r="G254" s="155"/>
      <c r="H254" s="155"/>
      <c r="I254" s="155"/>
      <c r="J254" s="155"/>
      <c r="K254" s="155"/>
      <c r="L254" s="155"/>
      <c r="M254" s="155"/>
      <c r="N254" s="155"/>
      <c r="O254" s="155"/>
      <c r="P254" s="155"/>
      <c r="Q254" s="155"/>
      <c r="R254" s="155"/>
      <c r="S254" s="155"/>
      <c r="T254" s="155"/>
      <c r="U254" s="155"/>
      <c r="V254" s="155"/>
      <c r="W254" s="155"/>
      <c r="GL254" s="155"/>
      <c r="GM254" s="155"/>
      <c r="GN254" s="155"/>
      <c r="GO254" s="155"/>
      <c r="GP254" s="155"/>
      <c r="GQ254" s="155"/>
      <c r="GR254" s="155"/>
      <c r="GS254" s="155"/>
      <c r="GT254" s="155"/>
      <c r="GU254" s="155"/>
      <c r="GV254" s="155"/>
      <c r="GW254" s="155"/>
      <c r="GX254" s="155"/>
      <c r="GY254" s="155"/>
      <c r="GZ254" s="155"/>
      <c r="HA254" s="155"/>
      <c r="HB254" s="155"/>
      <c r="HC254" s="155"/>
      <c r="HD254" s="155"/>
      <c r="HE254" s="155"/>
    </row>
    <row r="255" spans="2:213" s="156" customFormat="1" hidden="1">
      <c r="B255" s="155"/>
      <c r="C255" s="155"/>
      <c r="D255" s="155"/>
      <c r="E255" s="155"/>
      <c r="F255" s="155"/>
      <c r="G255" s="155"/>
      <c r="H255" s="155"/>
      <c r="I255" s="155"/>
      <c r="J255" s="155"/>
      <c r="K255" s="155"/>
      <c r="L255" s="155"/>
      <c r="M255" s="155"/>
      <c r="N255" s="155"/>
      <c r="O255" s="155"/>
      <c r="P255" s="155"/>
      <c r="Q255" s="155"/>
      <c r="R255" s="155"/>
      <c r="S255" s="155"/>
      <c r="T255" s="155"/>
      <c r="U255" s="155"/>
      <c r="V255" s="155"/>
      <c r="W255" s="155"/>
      <c r="GL255" s="155"/>
      <c r="GM255" s="155"/>
      <c r="GN255" s="155"/>
      <c r="GO255" s="155"/>
      <c r="GP255" s="155"/>
      <c r="GQ255" s="155"/>
      <c r="GR255" s="155"/>
      <c r="GS255" s="155"/>
      <c r="GT255" s="155"/>
      <c r="GU255" s="155"/>
      <c r="GV255" s="155"/>
      <c r="GW255" s="155"/>
      <c r="GX255" s="155"/>
      <c r="GY255" s="155"/>
      <c r="GZ255" s="155"/>
      <c r="HA255" s="155"/>
      <c r="HB255" s="155"/>
      <c r="HC255" s="155"/>
      <c r="HD255" s="155"/>
      <c r="HE255" s="155"/>
    </row>
    <row r="256" spans="2:213" s="156" customFormat="1" hidden="1">
      <c r="B256" s="155"/>
      <c r="C256" s="155"/>
      <c r="D256" s="155"/>
      <c r="E256" s="155"/>
      <c r="F256" s="155"/>
      <c r="G256" s="155"/>
      <c r="H256" s="155"/>
      <c r="I256" s="155"/>
      <c r="J256" s="155"/>
      <c r="K256" s="155"/>
      <c r="L256" s="155"/>
      <c r="M256" s="155"/>
      <c r="N256" s="155"/>
      <c r="O256" s="155"/>
      <c r="P256" s="155"/>
      <c r="Q256" s="155"/>
      <c r="R256" s="155"/>
      <c r="S256" s="155"/>
      <c r="T256" s="155"/>
      <c r="U256" s="155"/>
      <c r="V256" s="155"/>
      <c r="W256" s="155"/>
      <c r="GL256" s="155"/>
      <c r="GM256" s="155"/>
      <c r="GN256" s="155"/>
      <c r="GO256" s="155"/>
      <c r="GP256" s="155"/>
      <c r="GQ256" s="155"/>
      <c r="GR256" s="155"/>
      <c r="GS256" s="155"/>
      <c r="GT256" s="155"/>
      <c r="GU256" s="155"/>
      <c r="GV256" s="155"/>
      <c r="GW256" s="155"/>
      <c r="GX256" s="155"/>
      <c r="GY256" s="155"/>
      <c r="GZ256" s="155"/>
      <c r="HA256" s="155"/>
      <c r="HB256" s="155"/>
      <c r="HC256" s="155"/>
      <c r="HD256" s="155"/>
      <c r="HE256" s="155"/>
    </row>
    <row r="257" spans="2:213" s="156" customFormat="1" hidden="1">
      <c r="B257" s="155"/>
      <c r="C257" s="155"/>
      <c r="D257" s="155"/>
      <c r="E257" s="155"/>
      <c r="F257" s="155"/>
      <c r="G257" s="155"/>
      <c r="H257" s="155"/>
      <c r="I257" s="155"/>
      <c r="J257" s="155"/>
      <c r="K257" s="155"/>
      <c r="L257" s="155"/>
      <c r="M257" s="155"/>
      <c r="N257" s="155"/>
      <c r="O257" s="155"/>
      <c r="P257" s="155"/>
      <c r="Q257" s="155"/>
      <c r="R257" s="155"/>
      <c r="S257" s="155"/>
      <c r="T257" s="155"/>
      <c r="U257" s="155"/>
      <c r="V257" s="155"/>
      <c r="W257" s="155"/>
      <c r="GL257" s="155"/>
      <c r="GM257" s="155"/>
      <c r="GN257" s="155"/>
      <c r="GO257" s="155"/>
      <c r="GP257" s="155"/>
      <c r="GQ257" s="155"/>
      <c r="GR257" s="155"/>
      <c r="GS257" s="155"/>
      <c r="GT257" s="155"/>
      <c r="GU257" s="155"/>
      <c r="GV257" s="155"/>
      <c r="GW257" s="155"/>
      <c r="GX257" s="155"/>
      <c r="GY257" s="155"/>
      <c r="GZ257" s="155"/>
      <c r="HA257" s="155"/>
      <c r="HB257" s="155"/>
      <c r="HC257" s="155"/>
      <c r="HD257" s="155"/>
      <c r="HE257" s="155"/>
    </row>
    <row r="258" spans="2:213" s="156" customFormat="1" hidden="1">
      <c r="B258" s="155"/>
      <c r="C258" s="155"/>
      <c r="D258" s="155"/>
      <c r="E258" s="155"/>
      <c r="F258" s="155"/>
      <c r="G258" s="155"/>
      <c r="H258" s="155"/>
      <c r="I258" s="155"/>
      <c r="J258" s="155"/>
      <c r="K258" s="155"/>
      <c r="L258" s="155"/>
      <c r="M258" s="155"/>
      <c r="N258" s="155"/>
      <c r="O258" s="155"/>
      <c r="P258" s="155"/>
      <c r="Q258" s="155"/>
      <c r="R258" s="155"/>
      <c r="S258" s="155"/>
      <c r="T258" s="155"/>
      <c r="U258" s="155"/>
      <c r="V258" s="155"/>
      <c r="W258" s="155"/>
      <c r="GL258" s="155"/>
      <c r="GM258" s="155"/>
      <c r="GN258" s="155"/>
      <c r="GO258" s="155"/>
      <c r="GP258" s="155"/>
      <c r="GQ258" s="155"/>
      <c r="GR258" s="155"/>
      <c r="GS258" s="155"/>
      <c r="GT258" s="155"/>
      <c r="GU258" s="155"/>
      <c r="GV258" s="155"/>
      <c r="GW258" s="155"/>
      <c r="GX258" s="155"/>
      <c r="GY258" s="155"/>
      <c r="GZ258" s="155"/>
      <c r="HA258" s="155"/>
      <c r="HB258" s="155"/>
      <c r="HC258" s="155"/>
      <c r="HD258" s="155"/>
      <c r="HE258" s="155"/>
    </row>
    <row r="259" spans="2:213" s="156" customFormat="1" hidden="1">
      <c r="B259" s="155"/>
      <c r="C259" s="155"/>
      <c r="D259" s="155"/>
      <c r="E259" s="155"/>
      <c r="F259" s="155"/>
      <c r="G259" s="155"/>
      <c r="H259" s="155"/>
      <c r="I259" s="155"/>
      <c r="J259" s="155"/>
      <c r="K259" s="155"/>
      <c r="L259" s="155"/>
      <c r="M259" s="155"/>
      <c r="N259" s="155"/>
      <c r="O259" s="155"/>
      <c r="P259" s="155"/>
      <c r="Q259" s="155"/>
      <c r="R259" s="155"/>
      <c r="S259" s="155"/>
      <c r="T259" s="155"/>
      <c r="U259" s="155"/>
      <c r="V259" s="155"/>
      <c r="W259" s="155"/>
      <c r="GL259" s="155"/>
      <c r="GM259" s="155"/>
      <c r="GN259" s="155"/>
      <c r="GO259" s="155"/>
      <c r="GP259" s="155"/>
      <c r="GQ259" s="155"/>
      <c r="GR259" s="155"/>
      <c r="GS259" s="155"/>
      <c r="GT259" s="155"/>
      <c r="GU259" s="155"/>
      <c r="GV259" s="155"/>
      <c r="GW259" s="155"/>
      <c r="GX259" s="155"/>
      <c r="GY259" s="155"/>
      <c r="GZ259" s="155"/>
      <c r="HA259" s="155"/>
      <c r="HB259" s="155"/>
      <c r="HC259" s="155"/>
      <c r="HD259" s="155"/>
      <c r="HE259" s="155"/>
    </row>
    <row r="260" spans="2:213" s="156" customFormat="1" hidden="1">
      <c r="B260" s="155"/>
      <c r="C260" s="155"/>
      <c r="D260" s="155"/>
      <c r="E260" s="155"/>
      <c r="F260" s="155"/>
      <c r="G260" s="155"/>
      <c r="H260" s="155"/>
      <c r="I260" s="155"/>
      <c r="J260" s="155"/>
      <c r="K260" s="155"/>
      <c r="L260" s="155"/>
      <c r="M260" s="155"/>
      <c r="N260" s="155"/>
      <c r="O260" s="155"/>
      <c r="P260" s="155"/>
      <c r="Q260" s="155"/>
      <c r="R260" s="155"/>
      <c r="S260" s="155"/>
      <c r="T260" s="155"/>
      <c r="U260" s="155"/>
      <c r="V260" s="155"/>
      <c r="W260" s="155"/>
      <c r="GL260" s="155"/>
      <c r="GM260" s="155"/>
      <c r="GN260" s="155"/>
      <c r="GO260" s="155"/>
      <c r="GP260" s="155"/>
      <c r="GQ260" s="155"/>
      <c r="GR260" s="155"/>
      <c r="GS260" s="155"/>
      <c r="GT260" s="155"/>
      <c r="GU260" s="155"/>
      <c r="GV260" s="155"/>
      <c r="GW260" s="155"/>
      <c r="GX260" s="155"/>
      <c r="GY260" s="155"/>
      <c r="GZ260" s="155"/>
      <c r="HA260" s="155"/>
      <c r="HB260" s="155"/>
      <c r="HC260" s="155"/>
      <c r="HD260" s="155"/>
      <c r="HE260" s="155"/>
    </row>
    <row r="261" spans="2:213" s="156" customFormat="1" hidden="1">
      <c r="B261" s="155"/>
      <c r="C261" s="155"/>
      <c r="D261" s="155"/>
      <c r="E261" s="155"/>
      <c r="F261" s="155"/>
      <c r="G261" s="155"/>
      <c r="H261" s="155"/>
      <c r="I261" s="155"/>
      <c r="J261" s="155"/>
      <c r="K261" s="155"/>
      <c r="L261" s="155"/>
      <c r="M261" s="155"/>
      <c r="N261" s="155"/>
      <c r="O261" s="155"/>
      <c r="P261" s="155"/>
      <c r="Q261" s="155"/>
      <c r="R261" s="155"/>
      <c r="S261" s="155"/>
      <c r="T261" s="155"/>
      <c r="U261" s="155"/>
      <c r="V261" s="155"/>
      <c r="W261" s="155"/>
      <c r="GL261" s="155"/>
      <c r="GM261" s="155"/>
      <c r="GN261" s="155"/>
      <c r="GO261" s="155"/>
      <c r="GP261" s="155"/>
      <c r="GQ261" s="155"/>
      <c r="GR261" s="155"/>
      <c r="GS261" s="155"/>
      <c r="GT261" s="155"/>
      <c r="GU261" s="155"/>
      <c r="GV261" s="155"/>
      <c r="GW261" s="155"/>
      <c r="GX261" s="155"/>
      <c r="GY261" s="155"/>
      <c r="GZ261" s="155"/>
      <c r="HA261" s="155"/>
      <c r="HB261" s="155"/>
      <c r="HC261" s="155"/>
      <c r="HD261" s="155"/>
      <c r="HE261" s="155"/>
    </row>
    <row r="262" spans="2:213" s="156" customFormat="1" hidden="1">
      <c r="B262" s="155"/>
      <c r="C262" s="155"/>
      <c r="D262" s="155"/>
      <c r="E262" s="155"/>
      <c r="F262" s="155"/>
      <c r="G262" s="155"/>
      <c r="H262" s="155"/>
      <c r="I262" s="155"/>
      <c r="J262" s="155"/>
      <c r="K262" s="155"/>
      <c r="L262" s="155"/>
      <c r="M262" s="155"/>
      <c r="N262" s="155"/>
      <c r="O262" s="155"/>
      <c r="P262" s="155"/>
      <c r="Q262" s="155"/>
      <c r="R262" s="155"/>
      <c r="S262" s="155"/>
      <c r="T262" s="155"/>
      <c r="U262" s="155"/>
      <c r="V262" s="155"/>
      <c r="W262" s="155"/>
      <c r="GL262" s="155"/>
      <c r="GM262" s="155"/>
      <c r="GN262" s="155"/>
      <c r="GO262" s="155"/>
      <c r="GP262" s="155"/>
      <c r="GQ262" s="155"/>
      <c r="GR262" s="155"/>
      <c r="GS262" s="155"/>
      <c r="GT262" s="155"/>
      <c r="GU262" s="155"/>
      <c r="GV262" s="155"/>
      <c r="GW262" s="155"/>
      <c r="GX262" s="155"/>
      <c r="GY262" s="155"/>
      <c r="GZ262" s="155"/>
      <c r="HA262" s="155"/>
      <c r="HB262" s="155"/>
      <c r="HC262" s="155"/>
      <c r="HD262" s="155"/>
      <c r="HE262" s="155"/>
    </row>
    <row r="263" spans="2:213" s="156" customFormat="1" hidden="1">
      <c r="B263" s="155"/>
      <c r="C263" s="155"/>
      <c r="D263" s="155"/>
      <c r="E263" s="155"/>
      <c r="F263" s="155"/>
      <c r="G263" s="155"/>
      <c r="H263" s="155"/>
      <c r="I263" s="155"/>
      <c r="J263" s="155"/>
      <c r="K263" s="155"/>
      <c r="L263" s="155"/>
      <c r="M263" s="155"/>
      <c r="N263" s="155"/>
      <c r="O263" s="155"/>
      <c r="P263" s="155"/>
      <c r="Q263" s="155"/>
      <c r="R263" s="155"/>
      <c r="S263" s="155"/>
      <c r="T263" s="155"/>
      <c r="U263" s="155"/>
      <c r="V263" s="155"/>
      <c r="W263" s="155"/>
      <c r="GL263" s="155"/>
      <c r="GM263" s="155"/>
      <c r="GN263" s="155"/>
      <c r="GO263" s="155"/>
      <c r="GP263" s="155"/>
      <c r="GQ263" s="155"/>
      <c r="GR263" s="155"/>
      <c r="GS263" s="155"/>
      <c r="GT263" s="155"/>
      <c r="GU263" s="155"/>
      <c r="GV263" s="155"/>
      <c r="GW263" s="155"/>
      <c r="GX263" s="155"/>
      <c r="GY263" s="155"/>
      <c r="GZ263" s="155"/>
      <c r="HA263" s="155"/>
      <c r="HB263" s="155"/>
      <c r="HC263" s="155"/>
      <c r="HD263" s="155"/>
      <c r="HE263" s="155"/>
    </row>
    <row r="264" spans="2:213" s="156" customFormat="1" hidden="1">
      <c r="B264" s="155"/>
      <c r="C264" s="155"/>
      <c r="D264" s="155"/>
      <c r="E264" s="155"/>
      <c r="F264" s="155"/>
      <c r="G264" s="155"/>
      <c r="H264" s="155"/>
      <c r="I264" s="155"/>
      <c r="J264" s="155"/>
      <c r="K264" s="155"/>
      <c r="L264" s="155"/>
      <c r="M264" s="155"/>
      <c r="N264" s="155"/>
      <c r="O264" s="155"/>
      <c r="P264" s="155"/>
      <c r="Q264" s="155"/>
      <c r="R264" s="155"/>
      <c r="S264" s="155"/>
      <c r="T264" s="155"/>
      <c r="U264" s="155"/>
      <c r="V264" s="155"/>
      <c r="W264" s="155"/>
      <c r="GL264" s="155"/>
      <c r="GM264" s="155"/>
      <c r="GN264" s="155"/>
      <c r="GO264" s="155"/>
      <c r="GP264" s="155"/>
      <c r="GQ264" s="155"/>
      <c r="GR264" s="155"/>
      <c r="GS264" s="155"/>
      <c r="GT264" s="155"/>
      <c r="GU264" s="155"/>
      <c r="GV264" s="155"/>
      <c r="GW264" s="155"/>
      <c r="GX264" s="155"/>
      <c r="GY264" s="155"/>
      <c r="GZ264" s="155"/>
      <c r="HA264" s="155"/>
      <c r="HB264" s="155"/>
      <c r="HC264" s="155"/>
      <c r="HD264" s="155"/>
      <c r="HE264" s="155"/>
    </row>
    <row r="265" spans="2:213" s="156" customFormat="1" hidden="1">
      <c r="B265" s="155"/>
      <c r="C265" s="155"/>
      <c r="D265" s="155"/>
      <c r="E265" s="155"/>
      <c r="F265" s="155"/>
      <c r="G265" s="155"/>
      <c r="H265" s="155"/>
      <c r="I265" s="155"/>
      <c r="J265" s="155"/>
      <c r="K265" s="155"/>
      <c r="L265" s="155"/>
      <c r="M265" s="155"/>
      <c r="N265" s="155"/>
      <c r="O265" s="155"/>
      <c r="P265" s="155"/>
      <c r="Q265" s="155"/>
      <c r="R265" s="155"/>
      <c r="S265" s="155"/>
      <c r="T265" s="155"/>
      <c r="U265" s="155"/>
      <c r="V265" s="155"/>
      <c r="W265" s="155"/>
      <c r="GL265" s="155"/>
      <c r="GM265" s="155"/>
      <c r="GN265" s="155"/>
      <c r="GO265" s="155"/>
      <c r="GP265" s="155"/>
      <c r="GQ265" s="155"/>
      <c r="GR265" s="155"/>
      <c r="GS265" s="155"/>
      <c r="GT265" s="155"/>
      <c r="GU265" s="155"/>
      <c r="GV265" s="155"/>
      <c r="GW265" s="155"/>
      <c r="GX265" s="155"/>
      <c r="GY265" s="155"/>
      <c r="GZ265" s="155"/>
      <c r="HA265" s="155"/>
      <c r="HB265" s="155"/>
      <c r="HC265" s="155"/>
      <c r="HD265" s="155"/>
      <c r="HE265" s="155"/>
    </row>
    <row r="266" spans="2:213" s="156" customFormat="1" hidden="1">
      <c r="B266" s="155"/>
      <c r="C266" s="155"/>
      <c r="D266" s="155"/>
      <c r="E266" s="155"/>
      <c r="F266" s="155"/>
      <c r="G266" s="155"/>
      <c r="H266" s="155"/>
      <c r="I266" s="155"/>
      <c r="J266" s="155"/>
      <c r="K266" s="155"/>
      <c r="L266" s="155"/>
      <c r="M266" s="155"/>
      <c r="N266" s="155"/>
      <c r="O266" s="155"/>
      <c r="P266" s="155"/>
      <c r="Q266" s="155"/>
      <c r="R266" s="155"/>
      <c r="S266" s="155"/>
      <c r="T266" s="155"/>
      <c r="U266" s="155"/>
      <c r="V266" s="155"/>
      <c r="W266" s="155"/>
      <c r="GL266" s="155"/>
      <c r="GM266" s="155"/>
      <c r="GN266" s="155"/>
      <c r="GO266" s="155"/>
      <c r="GP266" s="155"/>
      <c r="GQ266" s="155"/>
      <c r="GR266" s="155"/>
      <c r="GS266" s="155"/>
      <c r="GT266" s="155"/>
      <c r="GU266" s="155"/>
      <c r="GV266" s="155"/>
      <c r="GW266" s="155"/>
      <c r="GX266" s="155"/>
      <c r="GY266" s="155"/>
      <c r="GZ266" s="155"/>
      <c r="HA266" s="155"/>
      <c r="HB266" s="155"/>
      <c r="HC266" s="155"/>
      <c r="HD266" s="155"/>
      <c r="HE266" s="155"/>
    </row>
    <row r="267" spans="2:213" s="156" customFormat="1" hidden="1">
      <c r="B267" s="155"/>
      <c r="C267" s="155"/>
      <c r="D267" s="155"/>
      <c r="E267" s="155"/>
      <c r="F267" s="155"/>
      <c r="G267" s="155"/>
      <c r="H267" s="155"/>
      <c r="I267" s="155"/>
      <c r="J267" s="155"/>
      <c r="K267" s="155"/>
      <c r="L267" s="155"/>
      <c r="M267" s="155"/>
      <c r="N267" s="155"/>
      <c r="O267" s="155"/>
      <c r="P267" s="155"/>
      <c r="Q267" s="155"/>
      <c r="R267" s="155"/>
      <c r="S267" s="155"/>
      <c r="T267" s="155"/>
      <c r="U267" s="155"/>
      <c r="V267" s="155"/>
      <c r="W267" s="155"/>
      <c r="GL267" s="155"/>
      <c r="GM267" s="155"/>
      <c r="GN267" s="155"/>
      <c r="GO267" s="155"/>
      <c r="GP267" s="155"/>
      <c r="GQ267" s="155"/>
      <c r="GR267" s="155"/>
      <c r="GS267" s="155"/>
      <c r="GT267" s="155"/>
      <c r="GU267" s="155"/>
      <c r="GV267" s="155"/>
      <c r="GW267" s="155"/>
      <c r="GX267" s="155"/>
      <c r="GY267" s="155"/>
      <c r="GZ267" s="155"/>
      <c r="HA267" s="155"/>
      <c r="HB267" s="155"/>
      <c r="HC267" s="155"/>
      <c r="HD267" s="155"/>
      <c r="HE267" s="155"/>
    </row>
    <row r="268" spans="2:213" s="156" customFormat="1" hidden="1">
      <c r="B268" s="155"/>
      <c r="C268" s="155"/>
      <c r="D268" s="155"/>
      <c r="E268" s="155"/>
      <c r="F268" s="155"/>
      <c r="G268" s="155"/>
      <c r="H268" s="155"/>
      <c r="I268" s="155"/>
      <c r="J268" s="155"/>
      <c r="K268" s="155"/>
      <c r="L268" s="155"/>
      <c r="M268" s="155"/>
      <c r="N268" s="155"/>
      <c r="O268" s="155"/>
      <c r="P268" s="155"/>
      <c r="Q268" s="155"/>
      <c r="R268" s="155"/>
      <c r="S268" s="155"/>
      <c r="T268" s="155"/>
      <c r="U268" s="155"/>
      <c r="V268" s="155"/>
      <c r="W268" s="155"/>
      <c r="GL268" s="155"/>
      <c r="GM268" s="155"/>
      <c r="GN268" s="155"/>
      <c r="GO268" s="155"/>
      <c r="GP268" s="155"/>
      <c r="GQ268" s="155"/>
      <c r="GR268" s="155"/>
      <c r="GS268" s="155"/>
      <c r="GT268" s="155"/>
      <c r="GU268" s="155"/>
      <c r="GV268" s="155"/>
      <c r="GW268" s="155"/>
      <c r="GX268" s="155"/>
      <c r="GY268" s="155"/>
      <c r="GZ268" s="155"/>
      <c r="HA268" s="155"/>
      <c r="HB268" s="155"/>
      <c r="HC268" s="155"/>
      <c r="HD268" s="155"/>
      <c r="HE268" s="155"/>
    </row>
    <row r="269" spans="2:213" s="156" customFormat="1" hidden="1">
      <c r="B269" s="155"/>
      <c r="C269" s="155"/>
      <c r="D269" s="155"/>
      <c r="E269" s="155"/>
      <c r="F269" s="155"/>
      <c r="G269" s="155"/>
      <c r="H269" s="155"/>
      <c r="I269" s="155"/>
      <c r="J269" s="155"/>
      <c r="K269" s="155"/>
      <c r="L269" s="155"/>
      <c r="M269" s="155"/>
      <c r="N269" s="155"/>
      <c r="O269" s="155"/>
      <c r="P269" s="155"/>
      <c r="Q269" s="155"/>
      <c r="R269" s="155"/>
      <c r="S269" s="155"/>
      <c r="T269" s="155"/>
      <c r="U269" s="155"/>
      <c r="V269" s="155"/>
      <c r="W269" s="155"/>
      <c r="GL269" s="155"/>
      <c r="GM269" s="155"/>
      <c r="GN269" s="155"/>
      <c r="GO269" s="155"/>
      <c r="GP269" s="155"/>
      <c r="GQ269" s="155"/>
      <c r="GR269" s="155"/>
      <c r="GS269" s="155"/>
      <c r="GT269" s="155"/>
      <c r="GU269" s="155"/>
      <c r="GV269" s="155"/>
      <c r="GW269" s="155"/>
      <c r="GX269" s="155"/>
      <c r="GY269" s="155"/>
      <c r="GZ269" s="155"/>
      <c r="HA269" s="155"/>
      <c r="HB269" s="155"/>
      <c r="HC269" s="155"/>
      <c r="HD269" s="155"/>
      <c r="HE269" s="155"/>
    </row>
    <row r="270" spans="2:213" s="156" customFormat="1" hidden="1">
      <c r="B270" s="155"/>
      <c r="C270" s="155"/>
      <c r="D270" s="155"/>
      <c r="E270" s="155"/>
      <c r="F270" s="155"/>
      <c r="G270" s="155"/>
      <c r="H270" s="155"/>
      <c r="I270" s="155"/>
      <c r="J270" s="155"/>
      <c r="K270" s="155"/>
      <c r="L270" s="155"/>
      <c r="M270" s="155"/>
      <c r="N270" s="155"/>
      <c r="O270" s="155"/>
      <c r="P270" s="155"/>
      <c r="Q270" s="155"/>
      <c r="R270" s="155"/>
      <c r="S270" s="155"/>
      <c r="T270" s="155"/>
      <c r="U270" s="155"/>
      <c r="V270" s="155"/>
      <c r="W270" s="155"/>
      <c r="GL270" s="155"/>
      <c r="GM270" s="155"/>
      <c r="GN270" s="155"/>
      <c r="GO270" s="155"/>
      <c r="GP270" s="155"/>
      <c r="GQ270" s="155"/>
      <c r="GR270" s="155"/>
      <c r="GS270" s="155"/>
      <c r="GT270" s="155"/>
      <c r="GU270" s="155"/>
      <c r="GV270" s="155"/>
      <c r="GW270" s="155"/>
      <c r="GX270" s="155"/>
      <c r="GY270" s="155"/>
      <c r="GZ270" s="155"/>
      <c r="HA270" s="155"/>
      <c r="HB270" s="155"/>
      <c r="HC270" s="155"/>
      <c r="HD270" s="155"/>
      <c r="HE270" s="155"/>
    </row>
    <row r="271" spans="2:213" s="156" customFormat="1" hidden="1">
      <c r="B271" s="155"/>
      <c r="C271" s="155"/>
      <c r="D271" s="155"/>
      <c r="E271" s="155"/>
      <c r="F271" s="155"/>
      <c r="G271" s="155"/>
      <c r="H271" s="155"/>
      <c r="I271" s="155"/>
      <c r="J271" s="155"/>
      <c r="K271" s="155"/>
      <c r="L271" s="155"/>
      <c r="M271" s="155"/>
      <c r="N271" s="155"/>
      <c r="O271" s="155"/>
      <c r="P271" s="155"/>
      <c r="Q271" s="155"/>
      <c r="R271" s="155"/>
      <c r="S271" s="155"/>
      <c r="T271" s="155"/>
      <c r="U271" s="155"/>
      <c r="V271" s="155"/>
      <c r="W271" s="155"/>
      <c r="GL271" s="155"/>
      <c r="GM271" s="155"/>
      <c r="GN271" s="155"/>
      <c r="GO271" s="155"/>
      <c r="GP271" s="155"/>
      <c r="GQ271" s="155"/>
      <c r="GR271" s="155"/>
      <c r="GS271" s="155"/>
      <c r="GT271" s="155"/>
      <c r="GU271" s="155"/>
      <c r="GV271" s="155"/>
      <c r="GW271" s="155"/>
      <c r="GX271" s="155"/>
      <c r="GY271" s="155"/>
      <c r="GZ271" s="155"/>
      <c r="HA271" s="155"/>
      <c r="HB271" s="155"/>
      <c r="HC271" s="155"/>
      <c r="HD271" s="155"/>
      <c r="HE271" s="155"/>
    </row>
    <row r="272" spans="2:213" s="156" customFormat="1" hidden="1">
      <c r="B272" s="155"/>
      <c r="C272" s="155"/>
      <c r="D272" s="155"/>
      <c r="E272" s="155"/>
      <c r="F272" s="155"/>
      <c r="G272" s="155"/>
      <c r="H272" s="155"/>
      <c r="I272" s="155"/>
      <c r="J272" s="155"/>
      <c r="K272" s="155"/>
      <c r="L272" s="155"/>
      <c r="M272" s="155"/>
      <c r="N272" s="155"/>
      <c r="O272" s="155"/>
      <c r="P272" s="155"/>
      <c r="Q272" s="155"/>
      <c r="R272" s="155"/>
      <c r="S272" s="155"/>
      <c r="T272" s="155"/>
      <c r="U272" s="155"/>
      <c r="V272" s="155"/>
      <c r="W272" s="155"/>
      <c r="GL272" s="155"/>
      <c r="GM272" s="155"/>
      <c r="GN272" s="155"/>
      <c r="GO272" s="155"/>
      <c r="GP272" s="155"/>
      <c r="GQ272" s="155"/>
      <c r="GR272" s="155"/>
      <c r="GS272" s="155"/>
      <c r="GT272" s="155"/>
      <c r="GU272" s="155"/>
      <c r="GV272" s="155"/>
      <c r="GW272" s="155"/>
      <c r="GX272" s="155"/>
      <c r="GY272" s="155"/>
      <c r="GZ272" s="155"/>
      <c r="HA272" s="155"/>
      <c r="HB272" s="155"/>
      <c r="HC272" s="155"/>
      <c r="HD272" s="155"/>
      <c r="HE272" s="155"/>
    </row>
    <row r="273" spans="2:213" s="156" customFormat="1" hidden="1">
      <c r="B273" s="155"/>
      <c r="C273" s="155"/>
      <c r="D273" s="155"/>
      <c r="E273" s="155"/>
      <c r="F273" s="155"/>
      <c r="G273" s="155"/>
      <c r="H273" s="155"/>
      <c r="I273" s="155"/>
      <c r="J273" s="155"/>
      <c r="K273" s="155"/>
      <c r="L273" s="155"/>
      <c r="M273" s="155"/>
      <c r="N273" s="155"/>
      <c r="O273" s="155"/>
      <c r="P273" s="155"/>
      <c r="Q273" s="155"/>
      <c r="R273" s="155"/>
      <c r="S273" s="155"/>
      <c r="T273" s="155"/>
      <c r="U273" s="155"/>
      <c r="V273" s="155"/>
      <c r="W273" s="155"/>
      <c r="GL273" s="155"/>
      <c r="GM273" s="155"/>
      <c r="GN273" s="155"/>
      <c r="GO273" s="155"/>
      <c r="GP273" s="155"/>
      <c r="GQ273" s="155"/>
      <c r="GR273" s="155"/>
      <c r="GS273" s="155"/>
      <c r="GT273" s="155"/>
      <c r="GU273" s="155"/>
      <c r="GV273" s="155"/>
      <c r="GW273" s="155"/>
      <c r="GX273" s="155"/>
      <c r="GY273" s="155"/>
      <c r="GZ273" s="155"/>
      <c r="HA273" s="155"/>
      <c r="HB273" s="155"/>
      <c r="HC273" s="155"/>
      <c r="HD273" s="155"/>
      <c r="HE273" s="155"/>
    </row>
    <row r="274" spans="2:213" s="156" customFormat="1" hidden="1">
      <c r="B274" s="155"/>
      <c r="C274" s="155"/>
      <c r="D274" s="155"/>
      <c r="E274" s="155"/>
      <c r="F274" s="155"/>
      <c r="G274" s="155"/>
      <c r="H274" s="155"/>
      <c r="I274" s="155"/>
      <c r="J274" s="155"/>
      <c r="K274" s="155"/>
      <c r="L274" s="155"/>
      <c r="M274" s="155"/>
      <c r="N274" s="155"/>
      <c r="O274" s="155"/>
      <c r="P274" s="155"/>
      <c r="Q274" s="155"/>
      <c r="R274" s="155"/>
      <c r="S274" s="155"/>
      <c r="T274" s="155"/>
      <c r="U274" s="155"/>
      <c r="V274" s="155"/>
      <c r="W274" s="155"/>
      <c r="GL274" s="155"/>
      <c r="GM274" s="155"/>
      <c r="GN274" s="155"/>
      <c r="GO274" s="155"/>
      <c r="GP274" s="155"/>
      <c r="GQ274" s="155"/>
      <c r="GR274" s="155"/>
      <c r="GS274" s="155"/>
      <c r="GT274" s="155"/>
      <c r="GU274" s="155"/>
      <c r="GV274" s="155"/>
      <c r="GW274" s="155"/>
      <c r="GX274" s="155"/>
      <c r="GY274" s="155"/>
      <c r="GZ274" s="155"/>
      <c r="HA274" s="155"/>
      <c r="HB274" s="155"/>
      <c r="HC274" s="155"/>
      <c r="HD274" s="155"/>
      <c r="HE274" s="155"/>
    </row>
    <row r="275" spans="2:213" s="156" customFormat="1" hidden="1">
      <c r="B275" s="155"/>
      <c r="C275" s="155"/>
      <c r="D275" s="155"/>
      <c r="E275" s="155"/>
      <c r="F275" s="155"/>
      <c r="G275" s="155"/>
      <c r="H275" s="155"/>
      <c r="I275" s="155"/>
      <c r="J275" s="155"/>
      <c r="K275" s="155"/>
      <c r="L275" s="155"/>
      <c r="M275" s="155"/>
      <c r="N275" s="155"/>
      <c r="O275" s="155"/>
      <c r="P275" s="155"/>
      <c r="Q275" s="155"/>
      <c r="R275" s="155"/>
      <c r="S275" s="155"/>
      <c r="T275" s="155"/>
      <c r="U275" s="155"/>
      <c r="V275" s="155"/>
      <c r="W275" s="155"/>
      <c r="GL275" s="155"/>
      <c r="GM275" s="155"/>
      <c r="GN275" s="155"/>
      <c r="GO275" s="155"/>
      <c r="GP275" s="155"/>
      <c r="GQ275" s="155"/>
      <c r="GR275" s="155"/>
      <c r="GS275" s="155"/>
      <c r="GT275" s="155"/>
      <c r="GU275" s="155"/>
      <c r="GV275" s="155"/>
      <c r="GW275" s="155"/>
      <c r="GX275" s="155"/>
      <c r="GY275" s="155"/>
      <c r="GZ275" s="155"/>
      <c r="HA275" s="155"/>
      <c r="HB275" s="155"/>
      <c r="HC275" s="155"/>
      <c r="HD275" s="155"/>
      <c r="HE275" s="155"/>
    </row>
    <row r="276" spans="2:213" s="156" customFormat="1" hidden="1">
      <c r="B276" s="155"/>
      <c r="C276" s="155"/>
      <c r="D276" s="155"/>
      <c r="E276" s="155"/>
      <c r="F276" s="155"/>
      <c r="G276" s="155"/>
      <c r="H276" s="155"/>
      <c r="I276" s="155"/>
      <c r="J276" s="155"/>
      <c r="K276" s="155"/>
      <c r="L276" s="155"/>
      <c r="M276" s="155"/>
      <c r="N276" s="155"/>
      <c r="O276" s="155"/>
      <c r="P276" s="155"/>
      <c r="Q276" s="155"/>
      <c r="R276" s="155"/>
      <c r="S276" s="155"/>
      <c r="T276" s="155"/>
      <c r="U276" s="155"/>
      <c r="V276" s="155"/>
      <c r="W276" s="155"/>
      <c r="GL276" s="155"/>
      <c r="GM276" s="155"/>
      <c r="GN276" s="155"/>
      <c r="GO276" s="155"/>
      <c r="GP276" s="155"/>
      <c r="GQ276" s="155"/>
      <c r="GR276" s="155"/>
      <c r="GS276" s="155"/>
      <c r="GT276" s="155"/>
      <c r="GU276" s="155"/>
      <c r="GV276" s="155"/>
      <c r="GW276" s="155"/>
      <c r="GX276" s="155"/>
      <c r="GY276" s="155"/>
      <c r="GZ276" s="155"/>
      <c r="HA276" s="155"/>
      <c r="HB276" s="155"/>
      <c r="HC276" s="155"/>
      <c r="HD276" s="155"/>
      <c r="HE276" s="155"/>
    </row>
    <row r="277" spans="2:213" s="156" customFormat="1" hidden="1">
      <c r="B277" s="155"/>
      <c r="C277" s="155"/>
      <c r="D277" s="155"/>
      <c r="E277" s="155"/>
      <c r="F277" s="155"/>
      <c r="G277" s="155"/>
      <c r="H277" s="155"/>
      <c r="I277" s="155"/>
      <c r="J277" s="155"/>
      <c r="K277" s="155"/>
      <c r="L277" s="155"/>
      <c r="M277" s="155"/>
      <c r="N277" s="155"/>
      <c r="O277" s="155"/>
      <c r="P277" s="155"/>
      <c r="Q277" s="155"/>
      <c r="R277" s="155"/>
      <c r="S277" s="155"/>
      <c r="T277" s="155"/>
      <c r="U277" s="155"/>
      <c r="V277" s="155"/>
      <c r="W277" s="155"/>
      <c r="GL277" s="155"/>
      <c r="GM277" s="155"/>
      <c r="GN277" s="155"/>
      <c r="GO277" s="155"/>
      <c r="GP277" s="155"/>
      <c r="GQ277" s="155"/>
      <c r="GR277" s="155"/>
      <c r="GS277" s="155"/>
      <c r="GT277" s="155"/>
      <c r="GU277" s="155"/>
      <c r="GV277" s="155"/>
      <c r="GW277" s="155"/>
      <c r="GX277" s="155"/>
      <c r="GY277" s="155"/>
      <c r="GZ277" s="155"/>
      <c r="HA277" s="155"/>
      <c r="HB277" s="155"/>
      <c r="HC277" s="155"/>
      <c r="HD277" s="155"/>
      <c r="HE277" s="155"/>
    </row>
    <row r="278" spans="2:213" s="156" customFormat="1" hidden="1">
      <c r="B278" s="155"/>
      <c r="C278" s="155"/>
      <c r="D278" s="155"/>
      <c r="E278" s="155"/>
      <c r="F278" s="155"/>
      <c r="G278" s="155"/>
      <c r="H278" s="155"/>
      <c r="I278" s="155"/>
      <c r="J278" s="155"/>
      <c r="K278" s="155"/>
      <c r="L278" s="155"/>
      <c r="M278" s="155"/>
      <c r="N278" s="155"/>
      <c r="O278" s="155"/>
      <c r="P278" s="155"/>
      <c r="Q278" s="155"/>
      <c r="R278" s="155"/>
      <c r="S278" s="155"/>
      <c r="T278" s="155"/>
      <c r="U278" s="155"/>
      <c r="V278" s="155"/>
      <c r="W278" s="155"/>
      <c r="GL278" s="155"/>
      <c r="GM278" s="155"/>
      <c r="GN278" s="155"/>
      <c r="GO278" s="155"/>
      <c r="GP278" s="155"/>
      <c r="GQ278" s="155"/>
      <c r="GR278" s="155"/>
      <c r="GS278" s="155"/>
      <c r="GT278" s="155"/>
      <c r="GU278" s="155"/>
      <c r="GV278" s="155"/>
      <c r="GW278" s="155"/>
      <c r="GX278" s="155"/>
      <c r="GY278" s="155"/>
      <c r="GZ278" s="155"/>
      <c r="HA278" s="155"/>
      <c r="HB278" s="155"/>
      <c r="HC278" s="155"/>
      <c r="HD278" s="155"/>
      <c r="HE278" s="155"/>
    </row>
    <row r="279" spans="2:213" s="156" customFormat="1" hidden="1">
      <c r="B279" s="155"/>
      <c r="C279" s="155"/>
      <c r="D279" s="155"/>
      <c r="E279" s="155"/>
      <c r="F279" s="155"/>
      <c r="G279" s="155"/>
      <c r="H279" s="155"/>
      <c r="I279" s="155"/>
      <c r="J279" s="155"/>
      <c r="K279" s="155"/>
      <c r="L279" s="155"/>
      <c r="M279" s="155"/>
      <c r="N279" s="155"/>
      <c r="O279" s="155"/>
      <c r="P279" s="155"/>
      <c r="Q279" s="155"/>
      <c r="R279" s="155"/>
      <c r="S279" s="155"/>
      <c r="T279" s="155"/>
      <c r="U279" s="155"/>
      <c r="V279" s="155"/>
      <c r="W279" s="155"/>
      <c r="GL279" s="155"/>
      <c r="GM279" s="155"/>
      <c r="GN279" s="155"/>
      <c r="GO279" s="155"/>
      <c r="GP279" s="155"/>
      <c r="GQ279" s="155"/>
      <c r="GR279" s="155"/>
      <c r="GS279" s="155"/>
      <c r="GT279" s="155"/>
      <c r="GU279" s="155"/>
      <c r="GV279" s="155"/>
      <c r="GW279" s="155"/>
      <c r="GX279" s="155"/>
      <c r="GY279" s="155"/>
      <c r="GZ279" s="155"/>
      <c r="HA279" s="155"/>
      <c r="HB279" s="155"/>
      <c r="HC279" s="155"/>
      <c r="HD279" s="155"/>
      <c r="HE279" s="155"/>
    </row>
    <row r="280" spans="2:213" s="156" customFormat="1" hidden="1">
      <c r="B280" s="155"/>
      <c r="C280" s="155"/>
      <c r="D280" s="155"/>
      <c r="E280" s="155"/>
      <c r="F280" s="155"/>
      <c r="G280" s="155"/>
      <c r="H280" s="155"/>
      <c r="I280" s="155"/>
      <c r="J280" s="155"/>
      <c r="K280" s="155"/>
      <c r="L280" s="155"/>
      <c r="M280" s="155"/>
      <c r="N280" s="155"/>
      <c r="O280" s="155"/>
      <c r="P280" s="155"/>
      <c r="Q280" s="155"/>
      <c r="R280" s="155"/>
      <c r="S280" s="155"/>
      <c r="T280" s="155"/>
      <c r="U280" s="155"/>
      <c r="V280" s="155"/>
      <c r="W280" s="155"/>
      <c r="GL280" s="155"/>
      <c r="GM280" s="155"/>
      <c r="GN280" s="155"/>
      <c r="GO280" s="155"/>
      <c r="GP280" s="155"/>
      <c r="GQ280" s="155"/>
      <c r="GR280" s="155"/>
      <c r="GS280" s="155"/>
      <c r="GT280" s="155"/>
      <c r="GU280" s="155"/>
      <c r="GV280" s="155"/>
      <c r="GW280" s="155"/>
      <c r="GX280" s="155"/>
      <c r="GY280" s="155"/>
      <c r="GZ280" s="155"/>
      <c r="HA280" s="155"/>
      <c r="HB280" s="155"/>
      <c r="HC280" s="155"/>
      <c r="HD280" s="155"/>
      <c r="HE280" s="155"/>
    </row>
    <row r="281" spans="2:213" s="156" customFormat="1" hidden="1">
      <c r="B281" s="155"/>
      <c r="C281" s="155"/>
      <c r="D281" s="155"/>
      <c r="E281" s="155"/>
      <c r="F281" s="155"/>
      <c r="G281" s="155"/>
      <c r="H281" s="155"/>
      <c r="I281" s="155"/>
      <c r="J281" s="155"/>
      <c r="K281" s="155"/>
      <c r="L281" s="155"/>
      <c r="M281" s="155"/>
      <c r="N281" s="155"/>
      <c r="O281" s="155"/>
      <c r="P281" s="155"/>
      <c r="Q281" s="155"/>
      <c r="R281" s="155"/>
      <c r="S281" s="155"/>
      <c r="T281" s="155"/>
      <c r="U281" s="155"/>
      <c r="V281" s="155"/>
      <c r="W281" s="155"/>
      <c r="GL281" s="155"/>
      <c r="GM281" s="155"/>
      <c r="GN281" s="155"/>
      <c r="GO281" s="155"/>
      <c r="GP281" s="155"/>
      <c r="GQ281" s="155"/>
      <c r="GR281" s="155"/>
      <c r="GS281" s="155"/>
      <c r="GT281" s="155"/>
      <c r="GU281" s="155"/>
      <c r="GV281" s="155"/>
      <c r="GW281" s="155"/>
      <c r="GX281" s="155"/>
      <c r="GY281" s="155"/>
      <c r="GZ281" s="155"/>
      <c r="HA281" s="155"/>
      <c r="HB281" s="155"/>
      <c r="HC281" s="155"/>
      <c r="HD281" s="155"/>
      <c r="HE281" s="155"/>
    </row>
    <row r="282" spans="2:213" s="156" customFormat="1" hidden="1">
      <c r="B282" s="155"/>
      <c r="C282" s="155"/>
      <c r="D282" s="155"/>
      <c r="E282" s="155"/>
      <c r="F282" s="155"/>
      <c r="G282" s="155"/>
      <c r="H282" s="155"/>
      <c r="I282" s="155"/>
      <c r="J282" s="155"/>
      <c r="K282" s="155"/>
      <c r="L282" s="155"/>
      <c r="M282" s="155"/>
      <c r="N282" s="155"/>
      <c r="O282" s="155"/>
      <c r="P282" s="155"/>
      <c r="Q282" s="155"/>
      <c r="R282" s="155"/>
      <c r="S282" s="155"/>
      <c r="T282" s="155"/>
      <c r="U282" s="155"/>
      <c r="V282" s="155"/>
      <c r="W282" s="155"/>
      <c r="GL282" s="155"/>
      <c r="GM282" s="155"/>
      <c r="GN282" s="155"/>
      <c r="GO282" s="155"/>
      <c r="GP282" s="155"/>
      <c r="GQ282" s="155"/>
      <c r="GR282" s="155"/>
      <c r="GS282" s="155"/>
      <c r="GT282" s="155"/>
      <c r="GU282" s="155"/>
      <c r="GV282" s="155"/>
      <c r="GW282" s="155"/>
      <c r="GX282" s="155"/>
      <c r="GY282" s="155"/>
      <c r="GZ282" s="155"/>
      <c r="HA282" s="155"/>
      <c r="HB282" s="155"/>
      <c r="HC282" s="155"/>
      <c r="HD282" s="155"/>
      <c r="HE282" s="155"/>
    </row>
    <row r="283" spans="2:213" s="156" customFormat="1" hidden="1">
      <c r="B283" s="155"/>
      <c r="C283" s="155"/>
      <c r="D283" s="155"/>
      <c r="E283" s="155"/>
      <c r="F283" s="155"/>
      <c r="G283" s="155"/>
      <c r="H283" s="155"/>
      <c r="I283" s="155"/>
      <c r="J283" s="155"/>
      <c r="K283" s="155"/>
      <c r="L283" s="155"/>
      <c r="M283" s="155"/>
      <c r="N283" s="155"/>
      <c r="O283" s="155"/>
      <c r="P283" s="155"/>
      <c r="Q283" s="155"/>
      <c r="R283" s="155"/>
      <c r="S283" s="155"/>
      <c r="T283" s="155"/>
      <c r="U283" s="155"/>
      <c r="V283" s="155"/>
      <c r="W283" s="155"/>
      <c r="GL283" s="155"/>
      <c r="GM283" s="155"/>
      <c r="GN283" s="155"/>
      <c r="GO283" s="155"/>
      <c r="GP283" s="155"/>
      <c r="GQ283" s="155"/>
      <c r="GR283" s="155"/>
      <c r="GS283" s="155"/>
      <c r="GT283" s="155"/>
      <c r="GU283" s="155"/>
      <c r="GV283" s="155"/>
      <c r="GW283" s="155"/>
      <c r="GX283" s="155"/>
      <c r="GY283" s="155"/>
      <c r="GZ283" s="155"/>
      <c r="HA283" s="155"/>
      <c r="HB283" s="155"/>
      <c r="HC283" s="155"/>
      <c r="HD283" s="155"/>
      <c r="HE283" s="155"/>
    </row>
    <row r="284" spans="2:213" s="156" customFormat="1" hidden="1">
      <c r="B284" s="155"/>
      <c r="C284" s="155"/>
      <c r="D284" s="155"/>
      <c r="E284" s="155"/>
      <c r="F284" s="155"/>
      <c r="G284" s="155"/>
      <c r="H284" s="155"/>
      <c r="I284" s="155"/>
      <c r="J284" s="155"/>
      <c r="K284" s="155"/>
      <c r="L284" s="155"/>
      <c r="M284" s="155"/>
      <c r="N284" s="155"/>
      <c r="O284" s="155"/>
      <c r="P284" s="155"/>
      <c r="Q284" s="155"/>
      <c r="R284" s="155"/>
      <c r="S284" s="155"/>
      <c r="T284" s="155"/>
      <c r="U284" s="155"/>
      <c r="V284" s="155"/>
      <c r="W284" s="155"/>
      <c r="GL284" s="155"/>
      <c r="GM284" s="155"/>
      <c r="GN284" s="155"/>
      <c r="GO284" s="155"/>
      <c r="GP284" s="155"/>
      <c r="GQ284" s="155"/>
      <c r="GR284" s="155"/>
      <c r="GS284" s="155"/>
      <c r="GT284" s="155"/>
      <c r="GU284" s="155"/>
      <c r="GV284" s="155"/>
      <c r="GW284" s="155"/>
      <c r="GX284" s="155"/>
      <c r="GY284" s="155"/>
      <c r="GZ284" s="155"/>
      <c r="HA284" s="155"/>
      <c r="HB284" s="155"/>
      <c r="HC284" s="155"/>
      <c r="HD284" s="155"/>
      <c r="HE284" s="155"/>
    </row>
    <row r="285" spans="2:213" s="156" customFormat="1" hidden="1">
      <c r="B285" s="155"/>
      <c r="C285" s="155"/>
      <c r="D285" s="155"/>
      <c r="E285" s="155"/>
      <c r="F285" s="155"/>
      <c r="G285" s="155"/>
      <c r="H285" s="155"/>
      <c r="I285" s="155"/>
      <c r="J285" s="155"/>
      <c r="K285" s="155"/>
      <c r="L285" s="155"/>
      <c r="M285" s="155"/>
      <c r="N285" s="155"/>
      <c r="O285" s="155"/>
      <c r="P285" s="155"/>
      <c r="Q285" s="155"/>
      <c r="R285" s="155"/>
      <c r="S285" s="155"/>
      <c r="T285" s="155"/>
      <c r="U285" s="155"/>
      <c r="V285" s="155"/>
      <c r="W285" s="155"/>
      <c r="GL285" s="155"/>
      <c r="GM285" s="155"/>
      <c r="GN285" s="155"/>
      <c r="GO285" s="155"/>
      <c r="GP285" s="155"/>
      <c r="GQ285" s="155"/>
      <c r="GR285" s="155"/>
      <c r="GS285" s="155"/>
      <c r="GT285" s="155"/>
      <c r="GU285" s="155"/>
      <c r="GV285" s="155"/>
      <c r="GW285" s="155"/>
      <c r="GX285" s="155"/>
      <c r="GY285" s="155"/>
      <c r="GZ285" s="155"/>
      <c r="HA285" s="155"/>
      <c r="HB285" s="155"/>
      <c r="HC285" s="155"/>
      <c r="HD285" s="155"/>
      <c r="HE285" s="155"/>
    </row>
    <row r="286" spans="2:213" s="156" customFormat="1" hidden="1">
      <c r="B286" s="155"/>
      <c r="C286" s="155"/>
      <c r="D286" s="155"/>
      <c r="E286" s="155"/>
      <c r="F286" s="155"/>
      <c r="G286" s="155"/>
      <c r="H286" s="155"/>
      <c r="I286" s="155"/>
      <c r="J286" s="155"/>
      <c r="K286" s="155"/>
      <c r="L286" s="155"/>
      <c r="M286" s="155"/>
      <c r="N286" s="155"/>
      <c r="O286" s="155"/>
      <c r="P286" s="155"/>
      <c r="Q286" s="155"/>
      <c r="R286" s="155"/>
      <c r="S286" s="155"/>
      <c r="T286" s="155"/>
      <c r="U286" s="155"/>
      <c r="V286" s="155"/>
      <c r="W286" s="155"/>
      <c r="GL286" s="155"/>
      <c r="GM286" s="155"/>
      <c r="GN286" s="155"/>
      <c r="GO286" s="155"/>
      <c r="GP286" s="155"/>
      <c r="GQ286" s="155"/>
      <c r="GR286" s="155"/>
      <c r="GS286" s="155"/>
      <c r="GT286" s="155"/>
      <c r="GU286" s="155"/>
      <c r="GV286" s="155"/>
      <c r="GW286" s="155"/>
      <c r="GX286" s="155"/>
      <c r="GY286" s="155"/>
      <c r="GZ286" s="155"/>
      <c r="HA286" s="155"/>
      <c r="HB286" s="155"/>
      <c r="HC286" s="155"/>
      <c r="HD286" s="155"/>
      <c r="HE286" s="155"/>
    </row>
    <row r="287" spans="2:213" s="156" customFormat="1" hidden="1">
      <c r="B287" s="155"/>
      <c r="C287" s="155"/>
      <c r="D287" s="155"/>
      <c r="E287" s="155"/>
      <c r="F287" s="155"/>
      <c r="G287" s="155"/>
      <c r="H287" s="155"/>
      <c r="I287" s="155"/>
      <c r="J287" s="155"/>
      <c r="K287" s="155"/>
      <c r="L287" s="155"/>
      <c r="M287" s="155"/>
      <c r="N287" s="155"/>
      <c r="O287" s="155"/>
      <c r="P287" s="155"/>
      <c r="Q287" s="155"/>
      <c r="R287" s="155"/>
      <c r="S287" s="155"/>
      <c r="T287" s="155"/>
      <c r="U287" s="155"/>
      <c r="V287" s="155"/>
      <c r="W287" s="155"/>
      <c r="GL287" s="155"/>
      <c r="GM287" s="155"/>
      <c r="GN287" s="155"/>
      <c r="GO287" s="155"/>
      <c r="GP287" s="155"/>
      <c r="GQ287" s="155"/>
      <c r="GR287" s="155"/>
      <c r="GS287" s="155"/>
      <c r="GT287" s="155"/>
      <c r="GU287" s="155"/>
      <c r="GV287" s="155"/>
      <c r="GW287" s="155"/>
      <c r="GX287" s="155"/>
      <c r="GY287" s="155"/>
      <c r="GZ287" s="155"/>
      <c r="HA287" s="155"/>
      <c r="HB287" s="155"/>
      <c r="HC287" s="155"/>
      <c r="HD287" s="155"/>
      <c r="HE287" s="155"/>
    </row>
    <row r="288" spans="2:213" s="156" customFormat="1" hidden="1">
      <c r="B288" s="155"/>
      <c r="C288" s="155"/>
      <c r="D288" s="155"/>
      <c r="E288" s="155"/>
      <c r="F288" s="155"/>
      <c r="G288" s="155"/>
      <c r="H288" s="155"/>
      <c r="I288" s="155"/>
      <c r="J288" s="155"/>
      <c r="K288" s="155"/>
      <c r="L288" s="155"/>
      <c r="M288" s="155"/>
      <c r="N288" s="155"/>
      <c r="O288" s="155"/>
      <c r="P288" s="155"/>
      <c r="Q288" s="155"/>
      <c r="R288" s="155"/>
      <c r="S288" s="155"/>
      <c r="T288" s="155"/>
      <c r="U288" s="155"/>
      <c r="V288" s="155"/>
      <c r="W288" s="155"/>
      <c r="GL288" s="155"/>
      <c r="GM288" s="155"/>
      <c r="GN288" s="155"/>
      <c r="GO288" s="155"/>
      <c r="GP288" s="155"/>
      <c r="GQ288" s="155"/>
      <c r="GR288" s="155"/>
      <c r="GS288" s="155"/>
      <c r="GT288" s="155"/>
      <c r="GU288" s="155"/>
      <c r="GV288" s="155"/>
      <c r="GW288" s="155"/>
      <c r="GX288" s="155"/>
      <c r="GY288" s="155"/>
      <c r="GZ288" s="155"/>
      <c r="HA288" s="155"/>
      <c r="HB288" s="155"/>
      <c r="HC288" s="155"/>
      <c r="HD288" s="155"/>
      <c r="HE288" s="155"/>
    </row>
    <row r="289" spans="2:213" s="156" customFormat="1" hidden="1">
      <c r="B289" s="155"/>
      <c r="C289" s="155"/>
      <c r="D289" s="155"/>
      <c r="E289" s="155"/>
      <c r="F289" s="155"/>
      <c r="G289" s="155"/>
      <c r="H289" s="155"/>
      <c r="I289" s="155"/>
      <c r="J289" s="155"/>
      <c r="K289" s="155"/>
      <c r="L289" s="155"/>
      <c r="M289" s="155"/>
      <c r="N289" s="155"/>
      <c r="O289" s="155"/>
      <c r="P289" s="155"/>
      <c r="Q289" s="155"/>
      <c r="R289" s="155"/>
      <c r="S289" s="155"/>
      <c r="T289" s="155"/>
      <c r="U289" s="155"/>
      <c r="V289" s="155"/>
      <c r="W289" s="155"/>
      <c r="GL289" s="155"/>
      <c r="GM289" s="155"/>
      <c r="GN289" s="155"/>
      <c r="GO289" s="155"/>
      <c r="GP289" s="155"/>
      <c r="GQ289" s="155"/>
      <c r="GR289" s="155"/>
      <c r="GS289" s="155"/>
      <c r="GT289" s="155"/>
      <c r="GU289" s="155"/>
      <c r="GV289" s="155"/>
      <c r="GW289" s="155"/>
      <c r="GX289" s="155"/>
      <c r="GY289" s="155"/>
      <c r="GZ289" s="155"/>
      <c r="HA289" s="155"/>
      <c r="HB289" s="155"/>
      <c r="HC289" s="155"/>
      <c r="HD289" s="155"/>
      <c r="HE289" s="155"/>
    </row>
    <row r="290" spans="2:213" s="156" customFormat="1" hidden="1">
      <c r="B290" s="155"/>
      <c r="C290" s="155"/>
      <c r="D290" s="155"/>
      <c r="E290" s="155"/>
      <c r="F290" s="155"/>
      <c r="G290" s="155"/>
      <c r="H290" s="155"/>
      <c r="I290" s="155"/>
      <c r="J290" s="155"/>
      <c r="K290" s="155"/>
      <c r="L290" s="155"/>
      <c r="M290" s="155"/>
      <c r="N290" s="155"/>
      <c r="O290" s="155"/>
      <c r="P290" s="155"/>
      <c r="Q290" s="155"/>
      <c r="R290" s="155"/>
      <c r="S290" s="155"/>
      <c r="T290" s="155"/>
      <c r="U290" s="155"/>
      <c r="V290" s="155"/>
      <c r="W290" s="155"/>
      <c r="GL290" s="155"/>
      <c r="GM290" s="155"/>
      <c r="GN290" s="155"/>
      <c r="GO290" s="155"/>
      <c r="GP290" s="155"/>
      <c r="GQ290" s="155"/>
      <c r="GR290" s="155"/>
      <c r="GS290" s="155"/>
      <c r="GT290" s="155"/>
      <c r="GU290" s="155"/>
      <c r="GV290" s="155"/>
      <c r="GW290" s="155"/>
      <c r="GX290" s="155"/>
      <c r="GY290" s="155"/>
      <c r="GZ290" s="155"/>
      <c r="HA290" s="155"/>
      <c r="HB290" s="155"/>
      <c r="HC290" s="155"/>
      <c r="HD290" s="155"/>
      <c r="HE290" s="155"/>
    </row>
    <row r="291" spans="2:213" s="156" customFormat="1" hidden="1">
      <c r="B291" s="155"/>
      <c r="C291" s="155"/>
      <c r="D291" s="155"/>
      <c r="E291" s="155"/>
      <c r="F291" s="155"/>
      <c r="G291" s="155"/>
      <c r="H291" s="155"/>
      <c r="I291" s="155"/>
      <c r="J291" s="155"/>
      <c r="K291" s="155"/>
      <c r="L291" s="155"/>
      <c r="M291" s="155"/>
      <c r="N291" s="155"/>
      <c r="O291" s="155"/>
      <c r="P291" s="155"/>
      <c r="Q291" s="155"/>
      <c r="R291" s="155"/>
      <c r="S291" s="155"/>
      <c r="T291" s="155"/>
      <c r="U291" s="155"/>
      <c r="V291" s="155"/>
      <c r="W291" s="155"/>
      <c r="GL291" s="155"/>
      <c r="GM291" s="155"/>
      <c r="GN291" s="155"/>
      <c r="GO291" s="155"/>
      <c r="GP291" s="155"/>
      <c r="GQ291" s="155"/>
      <c r="GR291" s="155"/>
      <c r="GS291" s="155"/>
      <c r="GT291" s="155"/>
      <c r="GU291" s="155"/>
      <c r="GV291" s="155"/>
      <c r="GW291" s="155"/>
      <c r="GX291" s="155"/>
      <c r="GY291" s="155"/>
      <c r="GZ291" s="155"/>
      <c r="HA291" s="155"/>
      <c r="HB291" s="155"/>
      <c r="HC291" s="155"/>
      <c r="HD291" s="155"/>
      <c r="HE291" s="155"/>
    </row>
    <row r="292" spans="2:213" s="156" customFormat="1" hidden="1">
      <c r="B292" s="155"/>
      <c r="C292" s="155"/>
      <c r="D292" s="155"/>
      <c r="E292" s="155"/>
      <c r="F292" s="155"/>
      <c r="G292" s="155"/>
      <c r="H292" s="155"/>
      <c r="I292" s="155"/>
      <c r="J292" s="155"/>
      <c r="K292" s="155"/>
      <c r="L292" s="155"/>
      <c r="M292" s="155"/>
      <c r="N292" s="155"/>
      <c r="O292" s="155"/>
      <c r="P292" s="155"/>
      <c r="Q292" s="155"/>
      <c r="R292" s="155"/>
      <c r="S292" s="155"/>
      <c r="T292" s="155"/>
      <c r="U292" s="155"/>
      <c r="V292" s="155"/>
      <c r="W292" s="155"/>
      <c r="GL292" s="155"/>
      <c r="GM292" s="155"/>
      <c r="GN292" s="155"/>
      <c r="GO292" s="155"/>
      <c r="GP292" s="155"/>
      <c r="GQ292" s="155"/>
      <c r="GR292" s="155"/>
      <c r="GS292" s="155"/>
      <c r="GT292" s="155"/>
      <c r="GU292" s="155"/>
      <c r="GV292" s="155"/>
      <c r="GW292" s="155"/>
      <c r="GX292" s="155"/>
      <c r="GY292" s="155"/>
      <c r="GZ292" s="155"/>
      <c r="HA292" s="155"/>
      <c r="HB292" s="155"/>
      <c r="HC292" s="155"/>
      <c r="HD292" s="155"/>
      <c r="HE292" s="155"/>
    </row>
    <row r="293" spans="2:213" s="156" customFormat="1" hidden="1">
      <c r="B293" s="155"/>
      <c r="C293" s="155"/>
      <c r="D293" s="155"/>
      <c r="E293" s="155"/>
      <c r="F293" s="155"/>
      <c r="G293" s="155"/>
      <c r="H293" s="155"/>
      <c r="I293" s="155"/>
      <c r="J293" s="155"/>
      <c r="K293" s="155"/>
      <c r="L293" s="155"/>
      <c r="M293" s="155"/>
      <c r="N293" s="155"/>
      <c r="O293" s="155"/>
      <c r="P293" s="155"/>
      <c r="Q293" s="155"/>
      <c r="R293" s="155"/>
      <c r="S293" s="155"/>
      <c r="T293" s="155"/>
      <c r="U293" s="155"/>
      <c r="V293" s="155"/>
      <c r="W293" s="155"/>
      <c r="GL293" s="155"/>
      <c r="GM293" s="155"/>
      <c r="GN293" s="155"/>
      <c r="GO293" s="155"/>
      <c r="GP293" s="155"/>
      <c r="GQ293" s="155"/>
      <c r="GR293" s="155"/>
      <c r="GS293" s="155"/>
      <c r="GT293" s="155"/>
      <c r="GU293" s="155"/>
      <c r="GV293" s="155"/>
      <c r="GW293" s="155"/>
      <c r="GX293" s="155"/>
      <c r="GY293" s="155"/>
      <c r="GZ293" s="155"/>
      <c r="HA293" s="155"/>
      <c r="HB293" s="155"/>
      <c r="HC293" s="155"/>
      <c r="HD293" s="155"/>
      <c r="HE293" s="155"/>
    </row>
    <row r="294" spans="2:213" s="156" customFormat="1" hidden="1">
      <c r="B294" s="155"/>
      <c r="C294" s="155"/>
      <c r="D294" s="155"/>
      <c r="E294" s="155"/>
      <c r="F294" s="155"/>
      <c r="G294" s="155"/>
      <c r="H294" s="155"/>
      <c r="I294" s="155"/>
      <c r="J294" s="155"/>
      <c r="K294" s="155"/>
      <c r="L294" s="155"/>
      <c r="M294" s="155"/>
      <c r="N294" s="155"/>
      <c r="O294" s="155"/>
      <c r="P294" s="155"/>
      <c r="Q294" s="155"/>
      <c r="R294" s="155"/>
      <c r="S294" s="155"/>
      <c r="T294" s="155"/>
      <c r="U294" s="155"/>
      <c r="V294" s="155"/>
      <c r="W294" s="155"/>
      <c r="GL294" s="155"/>
      <c r="GM294" s="155"/>
      <c r="GN294" s="155"/>
      <c r="GO294" s="155"/>
      <c r="GP294" s="155"/>
      <c r="GQ294" s="155"/>
      <c r="GR294" s="155"/>
      <c r="GS294" s="155"/>
      <c r="GT294" s="155"/>
      <c r="GU294" s="155"/>
      <c r="GV294" s="155"/>
      <c r="GW294" s="155"/>
      <c r="GX294" s="155"/>
      <c r="GY294" s="155"/>
      <c r="GZ294" s="155"/>
      <c r="HA294" s="155"/>
      <c r="HB294" s="155"/>
      <c r="HC294" s="155"/>
      <c r="HD294" s="155"/>
      <c r="HE294" s="155"/>
    </row>
    <row r="295" spans="2:213" s="156" customFormat="1" hidden="1">
      <c r="B295" s="155"/>
      <c r="C295" s="155"/>
      <c r="D295" s="155"/>
      <c r="E295" s="155"/>
      <c r="F295" s="155"/>
      <c r="G295" s="155"/>
      <c r="H295" s="155"/>
      <c r="I295" s="155"/>
      <c r="J295" s="155"/>
      <c r="K295" s="155"/>
      <c r="L295" s="155"/>
      <c r="M295" s="155"/>
      <c r="N295" s="155"/>
      <c r="O295" s="155"/>
      <c r="P295" s="155"/>
      <c r="Q295" s="155"/>
      <c r="R295" s="155"/>
      <c r="S295" s="155"/>
      <c r="T295" s="155"/>
      <c r="U295" s="155"/>
      <c r="V295" s="155"/>
      <c r="W295" s="155"/>
      <c r="GL295" s="155"/>
      <c r="GM295" s="155"/>
      <c r="GN295" s="155"/>
      <c r="GO295" s="155"/>
      <c r="GP295" s="155"/>
      <c r="GQ295" s="155"/>
      <c r="GR295" s="155"/>
      <c r="GS295" s="155"/>
      <c r="GT295" s="155"/>
      <c r="GU295" s="155"/>
      <c r="GV295" s="155"/>
      <c r="GW295" s="155"/>
      <c r="GX295" s="155"/>
      <c r="GY295" s="155"/>
      <c r="GZ295" s="155"/>
      <c r="HA295" s="155"/>
      <c r="HB295" s="155"/>
      <c r="HC295" s="155"/>
      <c r="HD295" s="155"/>
      <c r="HE295" s="155"/>
    </row>
    <row r="296" spans="2:213" s="156" customFormat="1" hidden="1">
      <c r="B296" s="155"/>
      <c r="C296" s="155"/>
      <c r="D296" s="155"/>
      <c r="E296" s="155"/>
      <c r="F296" s="155"/>
      <c r="G296" s="155"/>
      <c r="H296" s="155"/>
      <c r="I296" s="155"/>
      <c r="J296" s="155"/>
      <c r="K296" s="155"/>
      <c r="L296" s="155"/>
      <c r="M296" s="155"/>
      <c r="N296" s="155"/>
      <c r="O296" s="155"/>
      <c r="P296" s="155"/>
      <c r="Q296" s="155"/>
      <c r="R296" s="155"/>
      <c r="S296" s="155"/>
      <c r="T296" s="155"/>
      <c r="U296" s="155"/>
      <c r="V296" s="155"/>
      <c r="W296" s="155"/>
      <c r="GL296" s="155"/>
      <c r="GM296" s="155"/>
      <c r="GN296" s="155"/>
      <c r="GO296" s="155"/>
      <c r="GP296" s="155"/>
      <c r="GQ296" s="155"/>
      <c r="GR296" s="155"/>
      <c r="GS296" s="155"/>
      <c r="GT296" s="155"/>
      <c r="GU296" s="155"/>
      <c r="GV296" s="155"/>
      <c r="GW296" s="155"/>
      <c r="GX296" s="155"/>
      <c r="GY296" s="155"/>
      <c r="GZ296" s="155"/>
      <c r="HA296" s="155"/>
      <c r="HB296" s="155"/>
      <c r="HC296" s="155"/>
      <c r="HD296" s="155"/>
      <c r="HE296" s="155"/>
    </row>
    <row r="297" spans="2:213" s="156" customFormat="1" hidden="1">
      <c r="B297" s="155"/>
      <c r="C297" s="155"/>
      <c r="D297" s="155"/>
      <c r="E297" s="155"/>
      <c r="F297" s="155"/>
      <c r="G297" s="155"/>
      <c r="H297" s="155"/>
      <c r="I297" s="155"/>
      <c r="J297" s="155"/>
      <c r="K297" s="155"/>
      <c r="L297" s="155"/>
      <c r="M297" s="155"/>
      <c r="N297" s="155"/>
      <c r="O297" s="155"/>
      <c r="P297" s="155"/>
      <c r="Q297" s="155"/>
      <c r="R297" s="155"/>
      <c r="S297" s="155"/>
      <c r="T297" s="155"/>
      <c r="U297" s="155"/>
      <c r="V297" s="155"/>
      <c r="W297" s="155"/>
      <c r="GL297" s="155"/>
      <c r="GM297" s="155"/>
      <c r="GN297" s="155"/>
      <c r="GO297" s="155"/>
      <c r="GP297" s="155"/>
      <c r="GQ297" s="155"/>
      <c r="GR297" s="155"/>
      <c r="GS297" s="155"/>
      <c r="GT297" s="155"/>
      <c r="GU297" s="155"/>
      <c r="GV297" s="155"/>
      <c r="GW297" s="155"/>
      <c r="GX297" s="155"/>
      <c r="GY297" s="155"/>
      <c r="GZ297" s="155"/>
      <c r="HA297" s="155"/>
      <c r="HB297" s="155"/>
      <c r="HC297" s="155"/>
      <c r="HD297" s="155"/>
      <c r="HE297" s="155"/>
    </row>
    <row r="298" spans="2:213" s="156" customFormat="1" hidden="1">
      <c r="B298" s="155"/>
      <c r="C298" s="155"/>
      <c r="D298" s="155"/>
      <c r="E298" s="155"/>
      <c r="F298" s="155"/>
      <c r="G298" s="155"/>
      <c r="H298" s="155"/>
      <c r="I298" s="155"/>
      <c r="J298" s="155"/>
      <c r="K298" s="155"/>
      <c r="L298" s="155"/>
      <c r="M298" s="155"/>
      <c r="N298" s="155"/>
      <c r="O298" s="155"/>
      <c r="P298" s="155"/>
      <c r="Q298" s="155"/>
      <c r="R298" s="155"/>
      <c r="S298" s="155"/>
      <c r="T298" s="155"/>
      <c r="U298" s="155"/>
      <c r="V298" s="155"/>
      <c r="W298" s="155"/>
      <c r="GL298" s="155"/>
      <c r="GM298" s="155"/>
      <c r="GN298" s="155"/>
      <c r="GO298" s="155"/>
      <c r="GP298" s="155"/>
      <c r="GQ298" s="155"/>
      <c r="GR298" s="155"/>
      <c r="GS298" s="155"/>
      <c r="GT298" s="155"/>
      <c r="GU298" s="155"/>
      <c r="GV298" s="155"/>
      <c r="GW298" s="155"/>
      <c r="GX298" s="155"/>
      <c r="GY298" s="155"/>
      <c r="GZ298" s="155"/>
      <c r="HA298" s="155"/>
      <c r="HB298" s="155"/>
      <c r="HC298" s="155"/>
      <c r="HD298" s="155"/>
      <c r="HE298" s="155"/>
    </row>
    <row r="299" spans="2:213" s="156" customFormat="1" hidden="1">
      <c r="B299" s="155"/>
      <c r="C299" s="155"/>
      <c r="D299" s="155"/>
      <c r="E299" s="155"/>
      <c r="F299" s="155"/>
      <c r="G299" s="155"/>
      <c r="H299" s="155"/>
      <c r="I299" s="155"/>
      <c r="J299" s="155"/>
      <c r="K299" s="155"/>
      <c r="L299" s="155"/>
      <c r="M299" s="155"/>
      <c r="N299" s="155"/>
      <c r="O299" s="155"/>
      <c r="P299" s="155"/>
      <c r="Q299" s="155"/>
      <c r="R299" s="155"/>
      <c r="S299" s="155"/>
      <c r="T299" s="155"/>
      <c r="U299" s="155"/>
      <c r="V299" s="155"/>
      <c r="W299" s="155"/>
      <c r="GL299" s="155"/>
      <c r="GM299" s="155"/>
      <c r="GN299" s="155"/>
      <c r="GO299" s="155"/>
      <c r="GP299" s="155"/>
      <c r="GQ299" s="155"/>
      <c r="GR299" s="155"/>
      <c r="GS299" s="155"/>
      <c r="GT299" s="155"/>
      <c r="GU299" s="155"/>
      <c r="GV299" s="155"/>
      <c r="GW299" s="155"/>
      <c r="GX299" s="155"/>
      <c r="GY299" s="155"/>
      <c r="GZ299" s="155"/>
      <c r="HA299" s="155"/>
      <c r="HB299" s="155"/>
      <c r="HC299" s="155"/>
      <c r="HD299" s="155"/>
      <c r="HE299" s="155"/>
    </row>
    <row r="300" spans="2:213" s="156" customFormat="1" hidden="1">
      <c r="B300" s="155"/>
      <c r="C300" s="155"/>
      <c r="D300" s="155"/>
      <c r="E300" s="155"/>
      <c r="F300" s="155"/>
      <c r="G300" s="155"/>
      <c r="H300" s="155"/>
      <c r="I300" s="155"/>
      <c r="J300" s="155"/>
      <c r="K300" s="155"/>
      <c r="L300" s="155"/>
      <c r="M300" s="155"/>
      <c r="N300" s="155"/>
      <c r="O300" s="155"/>
      <c r="P300" s="155"/>
      <c r="Q300" s="155"/>
      <c r="R300" s="155"/>
      <c r="S300" s="155"/>
      <c r="T300" s="155"/>
      <c r="U300" s="155"/>
      <c r="V300" s="155"/>
      <c r="W300" s="155"/>
      <c r="GL300" s="155"/>
      <c r="GM300" s="155"/>
      <c r="GN300" s="155"/>
      <c r="GO300" s="155"/>
      <c r="GP300" s="155"/>
      <c r="GQ300" s="155"/>
      <c r="GR300" s="155"/>
      <c r="GS300" s="155"/>
      <c r="GT300" s="155"/>
      <c r="GU300" s="155"/>
      <c r="GV300" s="155"/>
      <c r="GW300" s="155"/>
      <c r="GX300" s="155"/>
      <c r="GY300" s="155"/>
      <c r="GZ300" s="155"/>
      <c r="HA300" s="155"/>
      <c r="HB300" s="155"/>
      <c r="HC300" s="155"/>
      <c r="HD300" s="155"/>
      <c r="HE300" s="155"/>
    </row>
    <row r="301" spans="2:213" s="156" customFormat="1" hidden="1">
      <c r="B301" s="155"/>
      <c r="C301" s="155"/>
      <c r="D301" s="155"/>
      <c r="E301" s="155"/>
      <c r="F301" s="155"/>
      <c r="G301" s="155"/>
      <c r="H301" s="155"/>
      <c r="I301" s="155"/>
      <c r="J301" s="155"/>
      <c r="K301" s="155"/>
      <c r="L301" s="155"/>
      <c r="M301" s="155"/>
      <c r="N301" s="155"/>
      <c r="O301" s="155"/>
      <c r="P301" s="155"/>
      <c r="Q301" s="155"/>
      <c r="R301" s="155"/>
      <c r="S301" s="155"/>
      <c r="T301" s="155"/>
      <c r="U301" s="155"/>
      <c r="V301" s="155"/>
      <c r="W301" s="155"/>
      <c r="GL301" s="155"/>
      <c r="GM301" s="155"/>
      <c r="GN301" s="155"/>
      <c r="GO301" s="155"/>
      <c r="GP301" s="155"/>
      <c r="GQ301" s="155"/>
      <c r="GR301" s="155"/>
      <c r="GS301" s="155"/>
      <c r="GT301" s="155"/>
      <c r="GU301" s="155"/>
      <c r="GV301" s="155"/>
      <c r="GW301" s="155"/>
      <c r="GX301" s="155"/>
      <c r="GY301" s="155"/>
      <c r="GZ301" s="155"/>
      <c r="HA301" s="155"/>
      <c r="HB301" s="155"/>
      <c r="HC301" s="155"/>
      <c r="HD301" s="155"/>
      <c r="HE301" s="155"/>
    </row>
    <row r="302" spans="2:213" s="156" customFormat="1" hidden="1">
      <c r="B302" s="155"/>
      <c r="C302" s="155"/>
      <c r="D302" s="155"/>
      <c r="E302" s="155"/>
      <c r="F302" s="155"/>
      <c r="G302" s="155"/>
      <c r="H302" s="155"/>
      <c r="I302" s="155"/>
      <c r="J302" s="155"/>
      <c r="K302" s="155"/>
      <c r="L302" s="155"/>
      <c r="M302" s="155"/>
      <c r="N302" s="155"/>
      <c r="O302" s="155"/>
      <c r="P302" s="155"/>
      <c r="Q302" s="155"/>
      <c r="R302" s="155"/>
      <c r="S302" s="155"/>
      <c r="T302" s="155"/>
      <c r="U302" s="155"/>
      <c r="V302" s="155"/>
      <c r="W302" s="155"/>
      <c r="GL302" s="155"/>
      <c r="GM302" s="155"/>
      <c r="GN302" s="155"/>
      <c r="GO302" s="155"/>
      <c r="GP302" s="155"/>
      <c r="GQ302" s="155"/>
      <c r="GR302" s="155"/>
      <c r="GS302" s="155"/>
      <c r="GT302" s="155"/>
      <c r="GU302" s="155"/>
      <c r="GV302" s="155"/>
      <c r="GW302" s="155"/>
      <c r="GX302" s="155"/>
      <c r="GY302" s="155"/>
      <c r="GZ302" s="155"/>
      <c r="HA302" s="155"/>
      <c r="HB302" s="155"/>
      <c r="HC302" s="155"/>
      <c r="HD302" s="155"/>
      <c r="HE302" s="155"/>
    </row>
    <row r="303" spans="2:213" s="156" customFormat="1" hidden="1">
      <c r="B303" s="155"/>
      <c r="C303" s="155"/>
      <c r="D303" s="155"/>
      <c r="E303" s="155"/>
      <c r="F303" s="155"/>
      <c r="G303" s="155"/>
      <c r="H303" s="155"/>
      <c r="I303" s="155"/>
      <c r="J303" s="155"/>
      <c r="K303" s="155"/>
      <c r="L303" s="155"/>
      <c r="M303" s="155"/>
      <c r="N303" s="155"/>
      <c r="O303" s="155"/>
      <c r="P303" s="155"/>
      <c r="Q303" s="155"/>
      <c r="R303" s="155"/>
      <c r="S303" s="155"/>
      <c r="T303" s="155"/>
      <c r="U303" s="155"/>
      <c r="V303" s="155"/>
      <c r="W303" s="155"/>
      <c r="GL303" s="155"/>
      <c r="GM303" s="155"/>
      <c r="GN303" s="155"/>
      <c r="GO303" s="155"/>
      <c r="GP303" s="155"/>
      <c r="GQ303" s="155"/>
      <c r="GR303" s="155"/>
      <c r="GS303" s="155"/>
      <c r="GT303" s="155"/>
      <c r="GU303" s="155"/>
      <c r="GV303" s="155"/>
      <c r="GW303" s="155"/>
      <c r="GX303" s="155"/>
      <c r="GY303" s="155"/>
      <c r="GZ303" s="155"/>
      <c r="HA303" s="155"/>
      <c r="HB303" s="155"/>
      <c r="HC303" s="155"/>
      <c r="HD303" s="155"/>
      <c r="HE303" s="155"/>
    </row>
    <row r="304" spans="2:213" s="156" customFormat="1" hidden="1">
      <c r="B304" s="155"/>
      <c r="C304" s="155"/>
      <c r="D304" s="155"/>
      <c r="E304" s="155"/>
      <c r="F304" s="155"/>
      <c r="G304" s="155"/>
      <c r="H304" s="155"/>
      <c r="I304" s="155"/>
      <c r="J304" s="155"/>
      <c r="K304" s="155"/>
      <c r="L304" s="155"/>
      <c r="M304" s="155"/>
      <c r="N304" s="155"/>
      <c r="O304" s="155"/>
      <c r="P304" s="155"/>
      <c r="Q304" s="155"/>
      <c r="R304" s="155"/>
      <c r="S304" s="155"/>
      <c r="T304" s="155"/>
      <c r="U304" s="155"/>
      <c r="V304" s="155"/>
      <c r="W304" s="155"/>
      <c r="GL304" s="155"/>
      <c r="GM304" s="155"/>
      <c r="GN304" s="155"/>
      <c r="GO304" s="155"/>
      <c r="GP304" s="155"/>
      <c r="GQ304" s="155"/>
      <c r="GR304" s="155"/>
      <c r="GS304" s="155"/>
      <c r="GT304" s="155"/>
      <c r="GU304" s="155"/>
      <c r="GV304" s="155"/>
      <c r="GW304" s="155"/>
      <c r="GX304" s="155"/>
      <c r="GY304" s="155"/>
      <c r="GZ304" s="155"/>
      <c r="HA304" s="155"/>
      <c r="HB304" s="155"/>
      <c r="HC304" s="155"/>
      <c r="HD304" s="155"/>
      <c r="HE304" s="155"/>
    </row>
    <row r="305" spans="2:213" s="156" customFormat="1" hidden="1">
      <c r="B305" s="155"/>
      <c r="C305" s="155"/>
      <c r="D305" s="155"/>
      <c r="E305" s="155"/>
      <c r="F305" s="155"/>
      <c r="G305" s="155"/>
      <c r="H305" s="155"/>
      <c r="I305" s="155"/>
      <c r="J305" s="155"/>
      <c r="K305" s="155"/>
      <c r="L305" s="155"/>
      <c r="M305" s="155"/>
      <c r="N305" s="155"/>
      <c r="O305" s="155"/>
      <c r="P305" s="155"/>
      <c r="Q305" s="155"/>
      <c r="R305" s="155"/>
      <c r="S305" s="155"/>
      <c r="T305" s="155"/>
      <c r="U305" s="155"/>
      <c r="V305" s="155"/>
      <c r="W305" s="155"/>
      <c r="GL305" s="155"/>
      <c r="GM305" s="155"/>
      <c r="GN305" s="155"/>
      <c r="GO305" s="155"/>
      <c r="GP305" s="155"/>
      <c r="GQ305" s="155"/>
      <c r="GR305" s="155"/>
      <c r="GS305" s="155"/>
      <c r="GT305" s="155"/>
      <c r="GU305" s="155"/>
      <c r="GV305" s="155"/>
      <c r="GW305" s="155"/>
      <c r="GX305" s="155"/>
      <c r="GY305" s="155"/>
      <c r="GZ305" s="155"/>
      <c r="HA305" s="155"/>
      <c r="HB305" s="155"/>
      <c r="HC305" s="155"/>
      <c r="HD305" s="155"/>
      <c r="HE305" s="155"/>
    </row>
    <row r="306" spans="2:213" s="156" customFormat="1" hidden="1">
      <c r="B306" s="155"/>
      <c r="C306" s="155"/>
      <c r="D306" s="155"/>
      <c r="E306" s="155"/>
      <c r="F306" s="155"/>
      <c r="G306" s="155"/>
      <c r="H306" s="155"/>
      <c r="I306" s="155"/>
      <c r="J306" s="155"/>
      <c r="K306" s="155"/>
      <c r="L306" s="155"/>
      <c r="M306" s="155"/>
      <c r="N306" s="155"/>
      <c r="O306" s="155"/>
      <c r="P306" s="155"/>
      <c r="Q306" s="155"/>
      <c r="R306" s="155"/>
      <c r="S306" s="155"/>
      <c r="T306" s="155"/>
      <c r="U306" s="155"/>
      <c r="V306" s="155"/>
      <c r="W306" s="155"/>
      <c r="GL306" s="155"/>
      <c r="GM306" s="155"/>
      <c r="GN306" s="155"/>
      <c r="GO306" s="155"/>
      <c r="GP306" s="155"/>
      <c r="GQ306" s="155"/>
      <c r="GR306" s="155"/>
      <c r="GS306" s="155"/>
      <c r="GT306" s="155"/>
      <c r="GU306" s="155"/>
      <c r="GV306" s="155"/>
      <c r="GW306" s="155"/>
      <c r="GX306" s="155"/>
      <c r="GY306" s="155"/>
      <c r="GZ306" s="155"/>
      <c r="HA306" s="155"/>
      <c r="HB306" s="155"/>
      <c r="HC306" s="155"/>
      <c r="HD306" s="155"/>
      <c r="HE306" s="155"/>
    </row>
    <row r="307" spans="2:213" s="156" customFormat="1" hidden="1">
      <c r="B307" s="155"/>
      <c r="C307" s="155"/>
      <c r="D307" s="155"/>
      <c r="E307" s="155"/>
      <c r="F307" s="155"/>
      <c r="G307" s="155"/>
      <c r="H307" s="155"/>
      <c r="I307" s="155"/>
      <c r="J307" s="155"/>
      <c r="K307" s="155"/>
      <c r="L307" s="155"/>
      <c r="M307" s="155"/>
      <c r="N307" s="155"/>
      <c r="O307" s="155"/>
      <c r="P307" s="155"/>
      <c r="Q307" s="155"/>
      <c r="R307" s="155"/>
      <c r="S307" s="155"/>
      <c r="T307" s="155"/>
      <c r="U307" s="155"/>
      <c r="V307" s="155"/>
      <c r="W307" s="155"/>
      <c r="GL307" s="155"/>
      <c r="GM307" s="155"/>
      <c r="GN307" s="155"/>
      <c r="GO307" s="155"/>
      <c r="GP307" s="155"/>
      <c r="GQ307" s="155"/>
      <c r="GR307" s="155"/>
      <c r="GS307" s="155"/>
      <c r="GT307" s="155"/>
      <c r="GU307" s="155"/>
      <c r="GV307" s="155"/>
      <c r="GW307" s="155"/>
      <c r="GX307" s="155"/>
      <c r="GY307" s="155"/>
      <c r="GZ307" s="155"/>
      <c r="HA307" s="155"/>
      <c r="HB307" s="155"/>
      <c r="HC307" s="155"/>
      <c r="HD307" s="155"/>
      <c r="HE307" s="155"/>
    </row>
    <row r="308" spans="2:213" s="156" customFormat="1" hidden="1">
      <c r="B308" s="155"/>
      <c r="C308" s="155"/>
      <c r="D308" s="155"/>
      <c r="E308" s="155"/>
      <c r="F308" s="155"/>
      <c r="G308" s="155"/>
      <c r="H308" s="155"/>
      <c r="I308" s="155"/>
      <c r="J308" s="155"/>
      <c r="K308" s="155"/>
      <c r="L308" s="155"/>
      <c r="M308" s="155"/>
      <c r="N308" s="155"/>
      <c r="O308" s="155"/>
      <c r="P308" s="155"/>
      <c r="Q308" s="155"/>
      <c r="R308" s="155"/>
      <c r="S308" s="155"/>
      <c r="T308" s="155"/>
      <c r="U308" s="155"/>
      <c r="V308" s="155"/>
      <c r="W308" s="155"/>
      <c r="GL308" s="155"/>
      <c r="GM308" s="155"/>
      <c r="GN308" s="155"/>
      <c r="GO308" s="155"/>
      <c r="GP308" s="155"/>
      <c r="GQ308" s="155"/>
      <c r="GR308" s="155"/>
      <c r="GS308" s="155"/>
      <c r="GT308" s="155"/>
      <c r="GU308" s="155"/>
      <c r="GV308" s="155"/>
      <c r="GW308" s="155"/>
      <c r="GX308" s="155"/>
      <c r="GY308" s="155"/>
      <c r="GZ308" s="155"/>
      <c r="HA308" s="155"/>
      <c r="HB308" s="155"/>
      <c r="HC308" s="155"/>
      <c r="HD308" s="155"/>
      <c r="HE308" s="155"/>
    </row>
    <row r="309" spans="2:213" s="156" customFormat="1" hidden="1">
      <c r="B309" s="155"/>
      <c r="C309" s="155"/>
      <c r="D309" s="155"/>
      <c r="E309" s="155"/>
      <c r="F309" s="155"/>
      <c r="G309" s="155"/>
      <c r="H309" s="155"/>
      <c r="I309" s="155"/>
      <c r="J309" s="155"/>
      <c r="K309" s="155"/>
      <c r="L309" s="155"/>
      <c r="M309" s="155"/>
      <c r="N309" s="155"/>
      <c r="O309" s="155"/>
      <c r="P309" s="155"/>
      <c r="Q309" s="155"/>
      <c r="R309" s="155"/>
      <c r="S309" s="155"/>
      <c r="T309" s="155"/>
      <c r="U309" s="155"/>
      <c r="V309" s="155"/>
      <c r="W309" s="155"/>
      <c r="GL309" s="155"/>
      <c r="GM309" s="155"/>
      <c r="GN309" s="155"/>
      <c r="GO309" s="155"/>
      <c r="GP309" s="155"/>
      <c r="GQ309" s="155"/>
      <c r="GR309" s="155"/>
      <c r="GS309" s="155"/>
      <c r="GT309" s="155"/>
      <c r="GU309" s="155"/>
      <c r="GV309" s="155"/>
      <c r="GW309" s="155"/>
      <c r="GX309" s="155"/>
      <c r="GY309" s="155"/>
      <c r="GZ309" s="155"/>
      <c r="HA309" s="155"/>
      <c r="HB309" s="155"/>
      <c r="HC309" s="155"/>
      <c r="HD309" s="155"/>
      <c r="HE309" s="155"/>
    </row>
    <row r="310" spans="2:213" s="156" customFormat="1" hidden="1">
      <c r="B310" s="155"/>
      <c r="C310" s="155"/>
      <c r="D310" s="155"/>
      <c r="E310" s="155"/>
      <c r="F310" s="155"/>
      <c r="G310" s="155"/>
      <c r="H310" s="155"/>
      <c r="I310" s="155"/>
      <c r="J310" s="155"/>
      <c r="K310" s="155"/>
      <c r="L310" s="155"/>
      <c r="M310" s="155"/>
      <c r="N310" s="155"/>
      <c r="O310" s="155"/>
      <c r="P310" s="155"/>
      <c r="Q310" s="155"/>
      <c r="R310" s="155"/>
      <c r="S310" s="155"/>
      <c r="T310" s="155"/>
      <c r="U310" s="155"/>
      <c r="V310" s="155"/>
      <c r="W310" s="155"/>
      <c r="GL310" s="155"/>
      <c r="GM310" s="155"/>
      <c r="GN310" s="155"/>
      <c r="GO310" s="155"/>
      <c r="GP310" s="155"/>
      <c r="GQ310" s="155"/>
      <c r="GR310" s="155"/>
      <c r="GS310" s="155"/>
      <c r="GT310" s="155"/>
      <c r="GU310" s="155"/>
      <c r="GV310" s="155"/>
      <c r="GW310" s="155"/>
      <c r="GX310" s="155"/>
      <c r="GY310" s="155"/>
      <c r="GZ310" s="155"/>
      <c r="HA310" s="155"/>
      <c r="HB310" s="155"/>
      <c r="HC310" s="155"/>
      <c r="HD310" s="155"/>
      <c r="HE310" s="155"/>
    </row>
    <row r="311" spans="2:213" s="156" customFormat="1" hidden="1">
      <c r="B311" s="155"/>
      <c r="C311" s="155"/>
      <c r="D311" s="155"/>
      <c r="E311" s="155"/>
      <c r="F311" s="155"/>
      <c r="G311" s="155"/>
      <c r="H311" s="155"/>
      <c r="I311" s="155"/>
      <c r="J311" s="155"/>
      <c r="K311" s="155"/>
      <c r="L311" s="155"/>
      <c r="M311" s="155"/>
      <c r="N311" s="155"/>
      <c r="O311" s="155"/>
      <c r="P311" s="155"/>
      <c r="Q311" s="155"/>
      <c r="R311" s="155"/>
      <c r="S311" s="155"/>
      <c r="T311" s="155"/>
      <c r="U311" s="155"/>
      <c r="V311" s="155"/>
      <c r="W311" s="155"/>
      <c r="GL311" s="155"/>
      <c r="GM311" s="155"/>
      <c r="GN311" s="155"/>
      <c r="GO311" s="155"/>
      <c r="GP311" s="155"/>
      <c r="GQ311" s="155"/>
      <c r="GR311" s="155"/>
      <c r="GS311" s="155"/>
      <c r="GT311" s="155"/>
      <c r="GU311" s="155"/>
      <c r="GV311" s="155"/>
      <c r="GW311" s="155"/>
      <c r="GX311" s="155"/>
      <c r="GY311" s="155"/>
      <c r="GZ311" s="155"/>
      <c r="HA311" s="155"/>
      <c r="HB311" s="155"/>
      <c r="HC311" s="155"/>
      <c r="HD311" s="155"/>
      <c r="HE311" s="155"/>
    </row>
    <row r="312" spans="2:213" s="156" customFormat="1" hidden="1">
      <c r="B312" s="155"/>
      <c r="C312" s="155"/>
      <c r="D312" s="155"/>
      <c r="E312" s="155"/>
      <c r="F312" s="155"/>
      <c r="G312" s="155"/>
      <c r="H312" s="155"/>
      <c r="I312" s="155"/>
      <c r="J312" s="155"/>
      <c r="K312" s="155"/>
      <c r="L312" s="155"/>
      <c r="M312" s="155"/>
      <c r="N312" s="155"/>
      <c r="O312" s="155"/>
      <c r="P312" s="155"/>
      <c r="Q312" s="155"/>
      <c r="R312" s="155"/>
      <c r="S312" s="155"/>
      <c r="T312" s="155"/>
      <c r="U312" s="155"/>
      <c r="V312" s="155"/>
      <c r="W312" s="155"/>
      <c r="GL312" s="155"/>
      <c r="GM312" s="155"/>
      <c r="GN312" s="155"/>
      <c r="GO312" s="155"/>
      <c r="GP312" s="155"/>
      <c r="GQ312" s="155"/>
      <c r="GR312" s="155"/>
      <c r="GS312" s="155"/>
      <c r="GT312" s="155"/>
      <c r="GU312" s="155"/>
      <c r="GV312" s="155"/>
      <c r="GW312" s="155"/>
      <c r="GX312" s="155"/>
      <c r="GY312" s="155"/>
      <c r="GZ312" s="155"/>
      <c r="HA312" s="155"/>
      <c r="HB312" s="155"/>
      <c r="HC312" s="155"/>
      <c r="HD312" s="155"/>
      <c r="HE312" s="155"/>
    </row>
    <row r="313" spans="2:213" s="156" customFormat="1" hidden="1">
      <c r="B313" s="155"/>
      <c r="C313" s="155"/>
      <c r="D313" s="155"/>
      <c r="E313" s="155"/>
      <c r="F313" s="155"/>
      <c r="G313" s="155"/>
      <c r="H313" s="155"/>
      <c r="I313" s="155"/>
      <c r="J313" s="155"/>
      <c r="K313" s="155"/>
      <c r="L313" s="155"/>
      <c r="M313" s="155"/>
      <c r="N313" s="155"/>
      <c r="O313" s="155"/>
      <c r="P313" s="155"/>
      <c r="Q313" s="155"/>
      <c r="R313" s="155"/>
      <c r="S313" s="155"/>
      <c r="T313" s="155"/>
      <c r="U313" s="155"/>
      <c r="V313" s="155"/>
      <c r="W313" s="155"/>
      <c r="GL313" s="155"/>
      <c r="GM313" s="155"/>
      <c r="GN313" s="155"/>
      <c r="GO313" s="155"/>
      <c r="GP313" s="155"/>
      <c r="GQ313" s="155"/>
      <c r="GR313" s="155"/>
      <c r="GS313" s="155"/>
      <c r="GT313" s="155"/>
      <c r="GU313" s="155"/>
      <c r="GV313" s="155"/>
      <c r="GW313" s="155"/>
      <c r="GX313" s="155"/>
      <c r="GY313" s="155"/>
      <c r="GZ313" s="155"/>
      <c r="HA313" s="155"/>
      <c r="HB313" s="155"/>
      <c r="HC313" s="155"/>
      <c r="HD313" s="155"/>
      <c r="HE313" s="155"/>
    </row>
    <row r="314" spans="2:213" s="156" customFormat="1" hidden="1">
      <c r="B314" s="155"/>
      <c r="C314" s="155"/>
      <c r="D314" s="155"/>
      <c r="E314" s="155"/>
      <c r="F314" s="155"/>
      <c r="G314" s="155"/>
      <c r="H314" s="155"/>
      <c r="I314" s="155"/>
      <c r="J314" s="155"/>
      <c r="K314" s="155"/>
      <c r="L314" s="155"/>
      <c r="M314" s="155"/>
      <c r="N314" s="155"/>
      <c r="O314" s="155"/>
      <c r="P314" s="155"/>
      <c r="Q314" s="155"/>
      <c r="R314" s="155"/>
      <c r="S314" s="155"/>
      <c r="T314" s="155"/>
      <c r="U314" s="155"/>
      <c r="V314" s="155"/>
      <c r="W314" s="155"/>
      <c r="GL314" s="155"/>
      <c r="GM314" s="155"/>
      <c r="GN314" s="155"/>
      <c r="GO314" s="155"/>
      <c r="GP314" s="155"/>
      <c r="GQ314" s="155"/>
      <c r="GR314" s="155"/>
      <c r="GS314" s="155"/>
      <c r="GT314" s="155"/>
      <c r="GU314" s="155"/>
      <c r="GV314" s="155"/>
      <c r="GW314" s="155"/>
      <c r="GX314" s="155"/>
      <c r="GY314" s="155"/>
      <c r="GZ314" s="155"/>
      <c r="HA314" s="155"/>
      <c r="HB314" s="155"/>
      <c r="HC314" s="155"/>
      <c r="HD314" s="155"/>
      <c r="HE314" s="155"/>
    </row>
    <row r="315" spans="2:213" s="156" customFormat="1" hidden="1">
      <c r="B315" s="155"/>
      <c r="C315" s="155"/>
      <c r="D315" s="155"/>
      <c r="E315" s="155"/>
      <c r="F315" s="155"/>
      <c r="G315" s="155"/>
      <c r="H315" s="155"/>
      <c r="I315" s="155"/>
      <c r="J315" s="155"/>
      <c r="K315" s="155"/>
      <c r="L315" s="155"/>
      <c r="M315" s="155"/>
      <c r="N315" s="155"/>
      <c r="O315" s="155"/>
      <c r="P315" s="155"/>
      <c r="Q315" s="155"/>
      <c r="R315" s="155"/>
      <c r="S315" s="155"/>
      <c r="T315" s="155"/>
      <c r="U315" s="155"/>
      <c r="V315" s="155"/>
      <c r="W315" s="155"/>
      <c r="GL315" s="155"/>
      <c r="GM315" s="155"/>
      <c r="GN315" s="155"/>
      <c r="GO315" s="155"/>
      <c r="GP315" s="155"/>
      <c r="GQ315" s="155"/>
      <c r="GR315" s="155"/>
      <c r="GS315" s="155"/>
      <c r="GT315" s="155"/>
      <c r="GU315" s="155"/>
      <c r="GV315" s="155"/>
      <c r="GW315" s="155"/>
      <c r="GX315" s="155"/>
      <c r="GY315" s="155"/>
      <c r="GZ315" s="155"/>
      <c r="HA315" s="155"/>
      <c r="HB315" s="155"/>
      <c r="HC315" s="155"/>
      <c r="HD315" s="155"/>
      <c r="HE315" s="155"/>
    </row>
    <row r="316" spans="2:213" s="156" customFormat="1" hidden="1">
      <c r="B316" s="155"/>
      <c r="C316" s="155"/>
      <c r="D316" s="155"/>
      <c r="E316" s="155"/>
      <c r="F316" s="155"/>
      <c r="G316" s="155"/>
      <c r="H316" s="155"/>
      <c r="I316" s="155"/>
      <c r="J316" s="155"/>
      <c r="K316" s="155"/>
      <c r="L316" s="155"/>
      <c r="M316" s="155"/>
      <c r="N316" s="155"/>
      <c r="O316" s="155"/>
      <c r="P316" s="155"/>
      <c r="Q316" s="155"/>
      <c r="R316" s="155"/>
      <c r="S316" s="155"/>
      <c r="T316" s="155"/>
      <c r="U316" s="155"/>
      <c r="V316" s="155"/>
      <c r="W316" s="155"/>
      <c r="GL316" s="155"/>
      <c r="GM316" s="155"/>
      <c r="GN316" s="155"/>
      <c r="GO316" s="155"/>
      <c r="GP316" s="155"/>
      <c r="GQ316" s="155"/>
      <c r="GR316" s="155"/>
      <c r="GS316" s="155"/>
      <c r="GT316" s="155"/>
      <c r="GU316" s="155"/>
      <c r="GV316" s="155"/>
      <c r="GW316" s="155"/>
      <c r="GX316" s="155"/>
      <c r="GY316" s="155"/>
      <c r="GZ316" s="155"/>
      <c r="HA316" s="155"/>
      <c r="HB316" s="155"/>
      <c r="HC316" s="155"/>
      <c r="HD316" s="155"/>
      <c r="HE316" s="155"/>
    </row>
    <row r="317" spans="2:213" s="156" customFormat="1" hidden="1">
      <c r="B317" s="155"/>
      <c r="C317" s="155"/>
      <c r="D317" s="155"/>
      <c r="E317" s="155"/>
      <c r="F317" s="155"/>
      <c r="G317" s="155"/>
      <c r="H317" s="155"/>
      <c r="I317" s="155"/>
      <c r="J317" s="155"/>
      <c r="K317" s="155"/>
      <c r="L317" s="155"/>
      <c r="M317" s="155"/>
      <c r="N317" s="155"/>
      <c r="O317" s="155"/>
      <c r="P317" s="155"/>
      <c r="Q317" s="155"/>
      <c r="R317" s="155"/>
      <c r="S317" s="155"/>
      <c r="T317" s="155"/>
      <c r="U317" s="155"/>
      <c r="V317" s="155"/>
      <c r="W317" s="155"/>
      <c r="GL317" s="155"/>
      <c r="GM317" s="155"/>
      <c r="GN317" s="155"/>
      <c r="GO317" s="155"/>
      <c r="GP317" s="155"/>
      <c r="GQ317" s="155"/>
      <c r="GR317" s="155"/>
      <c r="GS317" s="155"/>
      <c r="GT317" s="155"/>
      <c r="GU317" s="155"/>
      <c r="GV317" s="155"/>
      <c r="GW317" s="155"/>
      <c r="GX317" s="155"/>
      <c r="GY317" s="155"/>
      <c r="GZ317" s="155"/>
      <c r="HA317" s="155"/>
      <c r="HB317" s="155"/>
      <c r="HC317" s="155"/>
      <c r="HD317" s="155"/>
      <c r="HE317" s="155"/>
    </row>
    <row r="318" spans="2:213" s="156" customFormat="1" hidden="1">
      <c r="B318" s="155"/>
      <c r="C318" s="155"/>
      <c r="D318" s="155"/>
      <c r="E318" s="155"/>
      <c r="F318" s="155"/>
      <c r="G318" s="155"/>
      <c r="H318" s="155"/>
      <c r="I318" s="155"/>
      <c r="J318" s="155"/>
      <c r="K318" s="155"/>
      <c r="L318" s="155"/>
      <c r="M318" s="155"/>
      <c r="N318" s="155"/>
      <c r="O318" s="155"/>
      <c r="P318" s="155"/>
      <c r="Q318" s="155"/>
      <c r="R318" s="155"/>
      <c r="S318" s="155"/>
      <c r="T318" s="155"/>
      <c r="U318" s="155"/>
      <c r="V318" s="155"/>
      <c r="W318" s="155"/>
      <c r="GL318" s="155"/>
      <c r="GM318" s="155"/>
      <c r="GN318" s="155"/>
      <c r="GO318" s="155"/>
      <c r="GP318" s="155"/>
      <c r="GQ318" s="155"/>
      <c r="GR318" s="155"/>
      <c r="GS318" s="155"/>
      <c r="GT318" s="155"/>
      <c r="GU318" s="155"/>
      <c r="GV318" s="155"/>
      <c r="GW318" s="155"/>
      <c r="GX318" s="155"/>
      <c r="GY318" s="155"/>
      <c r="GZ318" s="155"/>
      <c r="HA318" s="155"/>
      <c r="HB318" s="155"/>
      <c r="HC318" s="155"/>
      <c r="HD318" s="155"/>
      <c r="HE318" s="155"/>
    </row>
    <row r="319" spans="2:213" s="156" customFormat="1" hidden="1">
      <c r="B319" s="155"/>
      <c r="C319" s="155"/>
      <c r="D319" s="155"/>
      <c r="E319" s="155"/>
      <c r="F319" s="155"/>
      <c r="G319" s="155"/>
      <c r="H319" s="155"/>
      <c r="I319" s="155"/>
      <c r="J319" s="155"/>
      <c r="K319" s="155"/>
      <c r="L319" s="155"/>
      <c r="M319" s="155"/>
      <c r="N319" s="155"/>
      <c r="O319" s="155"/>
      <c r="P319" s="155"/>
      <c r="Q319" s="155"/>
      <c r="R319" s="155"/>
      <c r="S319" s="155"/>
      <c r="T319" s="155"/>
      <c r="U319" s="155"/>
      <c r="V319" s="155"/>
      <c r="W319" s="155"/>
      <c r="GL319" s="155"/>
      <c r="GM319" s="155"/>
      <c r="GN319" s="155"/>
      <c r="GO319" s="155"/>
      <c r="GP319" s="155"/>
      <c r="GQ319" s="155"/>
      <c r="GR319" s="155"/>
      <c r="GS319" s="155"/>
      <c r="GT319" s="155"/>
      <c r="GU319" s="155"/>
      <c r="GV319" s="155"/>
      <c r="GW319" s="155"/>
      <c r="GX319" s="155"/>
      <c r="GY319" s="155"/>
      <c r="GZ319" s="155"/>
      <c r="HA319" s="155"/>
      <c r="HB319" s="155"/>
      <c r="HC319" s="155"/>
      <c r="HD319" s="155"/>
      <c r="HE319" s="155"/>
    </row>
    <row r="320" spans="2:213" s="156" customFormat="1" hidden="1">
      <c r="B320" s="155"/>
      <c r="C320" s="155"/>
      <c r="D320" s="155"/>
      <c r="E320" s="155"/>
      <c r="F320" s="155"/>
      <c r="G320" s="155"/>
      <c r="H320" s="155"/>
      <c r="I320" s="155"/>
      <c r="J320" s="155"/>
      <c r="K320" s="155"/>
      <c r="L320" s="155"/>
      <c r="M320" s="155"/>
      <c r="N320" s="155"/>
      <c r="O320" s="155"/>
      <c r="P320" s="155"/>
      <c r="Q320" s="155"/>
      <c r="R320" s="155"/>
      <c r="S320" s="155"/>
      <c r="T320" s="155"/>
      <c r="U320" s="155"/>
      <c r="V320" s="155"/>
      <c r="W320" s="155"/>
      <c r="GL320" s="155"/>
      <c r="GM320" s="155"/>
      <c r="GN320" s="155"/>
      <c r="GO320" s="155"/>
      <c r="GP320" s="155"/>
      <c r="GQ320" s="155"/>
      <c r="GR320" s="155"/>
      <c r="GS320" s="155"/>
      <c r="GT320" s="155"/>
      <c r="GU320" s="155"/>
      <c r="GV320" s="155"/>
      <c r="GW320" s="155"/>
      <c r="GX320" s="155"/>
      <c r="GY320" s="155"/>
      <c r="GZ320" s="155"/>
      <c r="HA320" s="155"/>
      <c r="HB320" s="155"/>
      <c r="HC320" s="155"/>
      <c r="HD320" s="155"/>
      <c r="HE320" s="155"/>
    </row>
    <row r="321" spans="2:213" s="156" customFormat="1" hidden="1">
      <c r="B321" s="155"/>
      <c r="C321" s="155"/>
      <c r="D321" s="155"/>
      <c r="E321" s="155"/>
      <c r="F321" s="155"/>
      <c r="G321" s="155"/>
      <c r="H321" s="155"/>
      <c r="I321" s="155"/>
      <c r="J321" s="155"/>
      <c r="K321" s="155"/>
      <c r="L321" s="155"/>
      <c r="M321" s="155"/>
      <c r="N321" s="155"/>
      <c r="O321" s="155"/>
      <c r="P321" s="155"/>
      <c r="Q321" s="155"/>
      <c r="R321" s="155"/>
      <c r="S321" s="155"/>
      <c r="T321" s="155"/>
      <c r="U321" s="155"/>
      <c r="V321" s="155"/>
      <c r="W321" s="155"/>
      <c r="GL321" s="155"/>
      <c r="GM321" s="155"/>
      <c r="GN321" s="155"/>
      <c r="GO321" s="155"/>
      <c r="GP321" s="155"/>
      <c r="GQ321" s="155"/>
      <c r="GR321" s="155"/>
      <c r="GS321" s="155"/>
      <c r="GT321" s="155"/>
      <c r="GU321" s="155"/>
      <c r="GV321" s="155"/>
      <c r="GW321" s="155"/>
      <c r="GX321" s="155"/>
      <c r="GY321" s="155"/>
      <c r="GZ321" s="155"/>
      <c r="HA321" s="155"/>
      <c r="HB321" s="155"/>
      <c r="HC321" s="155"/>
      <c r="HD321" s="155"/>
      <c r="HE321" s="155"/>
    </row>
    <row r="322" spans="2:213" s="156" customFormat="1" hidden="1">
      <c r="B322" s="155"/>
      <c r="C322" s="155"/>
      <c r="D322" s="155"/>
      <c r="E322" s="155"/>
      <c r="F322" s="155"/>
      <c r="G322" s="155"/>
      <c r="H322" s="155"/>
      <c r="I322" s="155"/>
      <c r="J322" s="155"/>
      <c r="K322" s="155"/>
      <c r="L322" s="155"/>
      <c r="M322" s="155"/>
      <c r="N322" s="155"/>
      <c r="O322" s="155"/>
      <c r="P322" s="155"/>
      <c r="Q322" s="155"/>
      <c r="R322" s="155"/>
      <c r="S322" s="155"/>
      <c r="T322" s="155"/>
      <c r="U322" s="155"/>
      <c r="V322" s="155"/>
      <c r="W322" s="155"/>
      <c r="GL322" s="155"/>
      <c r="GM322" s="155"/>
      <c r="GN322" s="155"/>
      <c r="GO322" s="155"/>
      <c r="GP322" s="155"/>
      <c r="GQ322" s="155"/>
      <c r="GR322" s="155"/>
      <c r="GS322" s="155"/>
      <c r="GT322" s="155"/>
      <c r="GU322" s="155"/>
      <c r="GV322" s="155"/>
      <c r="GW322" s="155"/>
      <c r="GX322" s="155"/>
      <c r="GY322" s="155"/>
      <c r="GZ322" s="155"/>
      <c r="HA322" s="155"/>
      <c r="HB322" s="155"/>
      <c r="HC322" s="155"/>
      <c r="HD322" s="155"/>
      <c r="HE322" s="155"/>
    </row>
    <row r="323" spans="2:213" s="156" customFormat="1" hidden="1">
      <c r="B323" s="155"/>
      <c r="C323" s="155"/>
      <c r="D323" s="155"/>
      <c r="E323" s="155"/>
      <c r="F323" s="155"/>
      <c r="G323" s="155"/>
      <c r="H323" s="155"/>
      <c r="I323" s="155"/>
      <c r="J323" s="155"/>
      <c r="K323" s="155"/>
      <c r="L323" s="155"/>
      <c r="M323" s="155"/>
      <c r="N323" s="155"/>
      <c r="O323" s="155"/>
      <c r="P323" s="155"/>
      <c r="Q323" s="155"/>
      <c r="R323" s="155"/>
      <c r="S323" s="155"/>
      <c r="T323" s="155"/>
      <c r="U323" s="155"/>
      <c r="V323" s="155"/>
      <c r="W323" s="155"/>
      <c r="GL323" s="155"/>
      <c r="GM323" s="155"/>
      <c r="GN323" s="155"/>
      <c r="GO323" s="155"/>
      <c r="GP323" s="155"/>
      <c r="GQ323" s="155"/>
      <c r="GR323" s="155"/>
      <c r="GS323" s="155"/>
      <c r="GT323" s="155"/>
      <c r="GU323" s="155"/>
      <c r="GV323" s="155"/>
      <c r="GW323" s="155"/>
      <c r="GX323" s="155"/>
      <c r="GY323" s="155"/>
      <c r="GZ323" s="155"/>
      <c r="HA323" s="155"/>
      <c r="HB323" s="155"/>
      <c r="HC323" s="155"/>
      <c r="HD323" s="155"/>
      <c r="HE323" s="155"/>
    </row>
    <row r="324" spans="2:213" s="156" customFormat="1" hidden="1">
      <c r="B324" s="155"/>
      <c r="C324" s="155"/>
      <c r="D324" s="155"/>
      <c r="E324" s="155"/>
      <c r="F324" s="155"/>
      <c r="G324" s="155"/>
      <c r="H324" s="155"/>
      <c r="I324" s="155"/>
      <c r="J324" s="155"/>
      <c r="K324" s="155"/>
      <c r="L324" s="155"/>
      <c r="M324" s="155"/>
      <c r="N324" s="155"/>
      <c r="O324" s="155"/>
      <c r="P324" s="155"/>
      <c r="Q324" s="155"/>
      <c r="R324" s="155"/>
      <c r="S324" s="155"/>
      <c r="T324" s="155"/>
      <c r="U324" s="155"/>
      <c r="V324" s="155"/>
      <c r="W324" s="155"/>
      <c r="GL324" s="155"/>
      <c r="GM324" s="155"/>
      <c r="GN324" s="155"/>
      <c r="GO324" s="155"/>
      <c r="GP324" s="155"/>
      <c r="GQ324" s="155"/>
      <c r="GR324" s="155"/>
      <c r="GS324" s="155"/>
      <c r="GT324" s="155"/>
      <c r="GU324" s="155"/>
      <c r="GV324" s="155"/>
      <c r="GW324" s="155"/>
      <c r="GX324" s="155"/>
      <c r="GY324" s="155"/>
      <c r="GZ324" s="155"/>
      <c r="HA324" s="155"/>
      <c r="HB324" s="155"/>
      <c r="HC324" s="155"/>
      <c r="HD324" s="155"/>
      <c r="HE324" s="155"/>
    </row>
    <row r="325" spans="2:213" s="156" customFormat="1" hidden="1">
      <c r="B325" s="155"/>
      <c r="C325" s="155"/>
      <c r="D325" s="155"/>
      <c r="E325" s="155"/>
      <c r="F325" s="155"/>
      <c r="G325" s="155"/>
      <c r="H325" s="155"/>
      <c r="I325" s="155"/>
      <c r="J325" s="155"/>
      <c r="K325" s="155"/>
      <c r="L325" s="155"/>
      <c r="M325" s="155"/>
      <c r="N325" s="155"/>
      <c r="O325" s="155"/>
      <c r="P325" s="155"/>
      <c r="Q325" s="155"/>
      <c r="R325" s="155"/>
      <c r="S325" s="155"/>
      <c r="T325" s="155"/>
      <c r="U325" s="155"/>
      <c r="V325" s="155"/>
      <c r="W325" s="155"/>
      <c r="GL325" s="155"/>
      <c r="GM325" s="155"/>
      <c r="GN325" s="155"/>
      <c r="GO325" s="155"/>
      <c r="GP325" s="155"/>
      <c r="GQ325" s="155"/>
      <c r="GR325" s="155"/>
      <c r="GS325" s="155"/>
      <c r="GT325" s="155"/>
      <c r="GU325" s="155"/>
      <c r="GV325" s="155"/>
      <c r="GW325" s="155"/>
      <c r="GX325" s="155"/>
      <c r="GY325" s="155"/>
      <c r="GZ325" s="155"/>
      <c r="HA325" s="155"/>
      <c r="HB325" s="155"/>
      <c r="HC325" s="155"/>
      <c r="HD325" s="155"/>
      <c r="HE325" s="155"/>
    </row>
    <row r="326" spans="2:213" s="156" customFormat="1" hidden="1">
      <c r="B326" s="155"/>
      <c r="C326" s="155"/>
      <c r="D326" s="155"/>
      <c r="E326" s="155"/>
      <c r="F326" s="155"/>
      <c r="G326" s="155"/>
      <c r="H326" s="155"/>
      <c r="I326" s="155"/>
      <c r="J326" s="155"/>
      <c r="K326" s="155"/>
      <c r="L326" s="155"/>
      <c r="M326" s="155"/>
      <c r="N326" s="155"/>
      <c r="O326" s="155"/>
      <c r="P326" s="155"/>
      <c r="Q326" s="155"/>
      <c r="R326" s="155"/>
      <c r="S326" s="155"/>
      <c r="T326" s="155"/>
      <c r="U326" s="155"/>
      <c r="V326" s="155"/>
      <c r="W326" s="155"/>
      <c r="GL326" s="155"/>
      <c r="GM326" s="155"/>
      <c r="GN326" s="155"/>
      <c r="GO326" s="155"/>
      <c r="GP326" s="155"/>
      <c r="GQ326" s="155"/>
      <c r="GR326" s="155"/>
      <c r="GS326" s="155"/>
      <c r="GT326" s="155"/>
      <c r="GU326" s="155"/>
      <c r="GV326" s="155"/>
      <c r="GW326" s="155"/>
      <c r="GX326" s="155"/>
      <c r="GY326" s="155"/>
      <c r="GZ326" s="155"/>
      <c r="HA326" s="155"/>
      <c r="HB326" s="155"/>
      <c r="HC326" s="155"/>
      <c r="HD326" s="155"/>
      <c r="HE326" s="155"/>
    </row>
    <row r="327" spans="2:213" s="156" customFormat="1" hidden="1">
      <c r="B327" s="155"/>
      <c r="C327" s="155"/>
      <c r="D327" s="155"/>
      <c r="E327" s="155"/>
      <c r="F327" s="155"/>
      <c r="G327" s="155"/>
      <c r="H327" s="155"/>
      <c r="I327" s="155"/>
      <c r="J327" s="155"/>
      <c r="K327" s="155"/>
      <c r="L327" s="155"/>
      <c r="M327" s="155"/>
      <c r="N327" s="155"/>
      <c r="O327" s="155"/>
      <c r="P327" s="155"/>
      <c r="Q327" s="155"/>
      <c r="R327" s="155"/>
      <c r="S327" s="155"/>
      <c r="T327" s="155"/>
      <c r="U327" s="155"/>
      <c r="V327" s="155"/>
      <c r="W327" s="155"/>
      <c r="GL327" s="155"/>
      <c r="GM327" s="155"/>
      <c r="GN327" s="155"/>
      <c r="GO327" s="155"/>
      <c r="GP327" s="155"/>
      <c r="GQ327" s="155"/>
      <c r="GR327" s="155"/>
      <c r="GS327" s="155"/>
      <c r="GT327" s="155"/>
      <c r="GU327" s="155"/>
      <c r="GV327" s="155"/>
      <c r="GW327" s="155"/>
      <c r="GX327" s="155"/>
      <c r="GY327" s="155"/>
      <c r="GZ327" s="155"/>
      <c r="HA327" s="155"/>
      <c r="HB327" s="155"/>
      <c r="HC327" s="155"/>
      <c r="HD327" s="155"/>
      <c r="HE327" s="155"/>
    </row>
    <row r="328" spans="2:213" s="156" customFormat="1" hidden="1">
      <c r="B328" s="155"/>
      <c r="C328" s="155"/>
      <c r="D328" s="155"/>
      <c r="E328" s="155"/>
      <c r="F328" s="155"/>
      <c r="G328" s="155"/>
      <c r="H328" s="155"/>
      <c r="I328" s="155"/>
      <c r="J328" s="155"/>
      <c r="K328" s="155"/>
      <c r="L328" s="155"/>
      <c r="M328" s="155"/>
      <c r="N328" s="155"/>
      <c r="O328" s="155"/>
      <c r="P328" s="155"/>
      <c r="Q328" s="155"/>
      <c r="R328" s="155"/>
      <c r="S328" s="155"/>
      <c r="T328" s="155"/>
      <c r="U328" s="155"/>
      <c r="V328" s="155"/>
      <c r="W328" s="155"/>
      <c r="GL328" s="155"/>
      <c r="GM328" s="155"/>
      <c r="GN328" s="155"/>
      <c r="GO328" s="155"/>
      <c r="GP328" s="155"/>
      <c r="GQ328" s="155"/>
      <c r="GR328" s="155"/>
      <c r="GS328" s="155"/>
      <c r="GT328" s="155"/>
      <c r="GU328" s="155"/>
      <c r="GV328" s="155"/>
      <c r="GW328" s="155"/>
      <c r="GX328" s="155"/>
      <c r="GY328" s="155"/>
      <c r="GZ328" s="155"/>
      <c r="HA328" s="155"/>
      <c r="HB328" s="155"/>
      <c r="HC328" s="155"/>
      <c r="HD328" s="155"/>
      <c r="HE328" s="155"/>
    </row>
    <row r="329" spans="2:213" s="156" customFormat="1" hidden="1">
      <c r="B329" s="155"/>
      <c r="C329" s="155"/>
      <c r="D329" s="155"/>
      <c r="E329" s="155"/>
      <c r="F329" s="155"/>
      <c r="G329" s="155"/>
      <c r="H329" s="155"/>
      <c r="I329" s="155"/>
      <c r="J329" s="155"/>
      <c r="K329" s="155"/>
      <c r="L329" s="155"/>
      <c r="M329" s="155"/>
      <c r="N329" s="155"/>
      <c r="O329" s="155"/>
      <c r="P329" s="155"/>
      <c r="Q329" s="155"/>
      <c r="R329" s="155"/>
      <c r="S329" s="155"/>
      <c r="T329" s="155"/>
      <c r="U329" s="155"/>
      <c r="V329" s="155"/>
      <c r="W329" s="155"/>
      <c r="GL329" s="155"/>
      <c r="GM329" s="155"/>
      <c r="GN329" s="155"/>
      <c r="GO329" s="155"/>
      <c r="GP329" s="155"/>
      <c r="GQ329" s="155"/>
      <c r="GR329" s="155"/>
      <c r="GS329" s="155"/>
      <c r="GT329" s="155"/>
      <c r="GU329" s="155"/>
      <c r="GV329" s="155"/>
      <c r="GW329" s="155"/>
      <c r="GX329" s="155"/>
      <c r="GY329" s="155"/>
      <c r="GZ329" s="155"/>
      <c r="HA329" s="155"/>
      <c r="HB329" s="155"/>
      <c r="HC329" s="155"/>
      <c r="HD329" s="155"/>
      <c r="HE329" s="155"/>
    </row>
    <row r="330" spans="2:213" s="156" customFormat="1" hidden="1">
      <c r="B330" s="155"/>
      <c r="C330" s="155"/>
      <c r="D330" s="155"/>
      <c r="E330" s="155"/>
      <c r="F330" s="155"/>
      <c r="G330" s="155"/>
      <c r="H330" s="155"/>
      <c r="I330" s="155"/>
      <c r="J330" s="155"/>
      <c r="K330" s="155"/>
      <c r="L330" s="155"/>
      <c r="M330" s="155"/>
      <c r="N330" s="155"/>
      <c r="O330" s="155"/>
      <c r="P330" s="155"/>
      <c r="Q330" s="155"/>
      <c r="R330" s="155"/>
      <c r="S330" s="155"/>
      <c r="T330" s="155"/>
      <c r="U330" s="155"/>
      <c r="V330" s="155"/>
      <c r="W330" s="155"/>
      <c r="GL330" s="155"/>
      <c r="GM330" s="155"/>
      <c r="GN330" s="155"/>
      <c r="GO330" s="155"/>
      <c r="GP330" s="155"/>
      <c r="GQ330" s="155"/>
      <c r="GR330" s="155"/>
      <c r="GS330" s="155"/>
      <c r="GT330" s="155"/>
      <c r="GU330" s="155"/>
      <c r="GV330" s="155"/>
      <c r="GW330" s="155"/>
      <c r="GX330" s="155"/>
      <c r="GY330" s="155"/>
      <c r="GZ330" s="155"/>
      <c r="HA330" s="155"/>
      <c r="HB330" s="155"/>
      <c r="HC330" s="155"/>
      <c r="HD330" s="155"/>
      <c r="HE330" s="155"/>
    </row>
    <row r="331" spans="2:213" s="156" customFormat="1" hidden="1">
      <c r="B331" s="155"/>
      <c r="C331" s="155"/>
      <c r="D331" s="155"/>
      <c r="E331" s="155"/>
      <c r="F331" s="155"/>
      <c r="G331" s="155"/>
      <c r="H331" s="155"/>
      <c r="I331" s="155"/>
      <c r="J331" s="155"/>
      <c r="K331" s="155"/>
      <c r="L331" s="155"/>
      <c r="M331" s="155"/>
      <c r="N331" s="155"/>
      <c r="O331" s="155"/>
      <c r="P331" s="155"/>
      <c r="Q331" s="155"/>
      <c r="R331" s="155"/>
      <c r="S331" s="155"/>
      <c r="T331" s="155"/>
      <c r="U331" s="155"/>
      <c r="V331" s="155"/>
      <c r="W331" s="155"/>
      <c r="GL331" s="155"/>
      <c r="GM331" s="155"/>
      <c r="GN331" s="155"/>
      <c r="GO331" s="155"/>
      <c r="GP331" s="155"/>
      <c r="GQ331" s="155"/>
      <c r="GR331" s="155"/>
      <c r="GS331" s="155"/>
      <c r="GT331" s="155"/>
      <c r="GU331" s="155"/>
      <c r="GV331" s="155"/>
      <c r="GW331" s="155"/>
      <c r="GX331" s="155"/>
      <c r="GY331" s="155"/>
      <c r="GZ331" s="155"/>
      <c r="HA331" s="155"/>
      <c r="HB331" s="155"/>
      <c r="HC331" s="155"/>
      <c r="HD331" s="155"/>
      <c r="HE331" s="155"/>
    </row>
    <row r="332" spans="2:213" s="156" customFormat="1" hidden="1">
      <c r="B332" s="155"/>
      <c r="C332" s="155"/>
      <c r="D332" s="155"/>
      <c r="E332" s="155"/>
      <c r="F332" s="155"/>
      <c r="G332" s="155"/>
      <c r="H332" s="155"/>
      <c r="I332" s="155"/>
      <c r="J332" s="155"/>
      <c r="K332" s="155"/>
      <c r="L332" s="155"/>
      <c r="M332" s="155"/>
      <c r="N332" s="155"/>
      <c r="O332" s="155"/>
      <c r="P332" s="155"/>
      <c r="Q332" s="155"/>
      <c r="R332" s="155"/>
      <c r="S332" s="155"/>
      <c r="T332" s="155"/>
      <c r="U332" s="155"/>
      <c r="V332" s="155"/>
      <c r="W332" s="155"/>
      <c r="GL332" s="155"/>
      <c r="GM332" s="155"/>
      <c r="GN332" s="155"/>
      <c r="GO332" s="155"/>
      <c r="GP332" s="155"/>
      <c r="GQ332" s="155"/>
      <c r="GR332" s="155"/>
      <c r="GS332" s="155"/>
      <c r="GT332" s="155"/>
      <c r="GU332" s="155"/>
      <c r="GV332" s="155"/>
      <c r="GW332" s="155"/>
      <c r="GX332" s="155"/>
      <c r="GY332" s="155"/>
      <c r="GZ332" s="155"/>
      <c r="HA332" s="155"/>
      <c r="HB332" s="155"/>
      <c r="HC332" s="155"/>
      <c r="HD332" s="155"/>
      <c r="HE332" s="155"/>
    </row>
    <row r="333" spans="2:213" s="156" customFormat="1" hidden="1">
      <c r="B333" s="155"/>
      <c r="C333" s="155"/>
      <c r="D333" s="155"/>
      <c r="E333" s="155"/>
      <c r="F333" s="155"/>
      <c r="G333" s="155"/>
      <c r="H333" s="155"/>
      <c r="I333" s="155"/>
      <c r="J333" s="155"/>
      <c r="K333" s="155"/>
      <c r="L333" s="155"/>
      <c r="M333" s="155"/>
      <c r="N333" s="155"/>
      <c r="O333" s="155"/>
      <c r="P333" s="155"/>
      <c r="Q333" s="155"/>
      <c r="R333" s="155"/>
      <c r="S333" s="155"/>
      <c r="T333" s="155"/>
      <c r="U333" s="155"/>
      <c r="V333" s="155"/>
      <c r="W333" s="155"/>
      <c r="GL333" s="155"/>
      <c r="GM333" s="155"/>
      <c r="GN333" s="155"/>
      <c r="GO333" s="155"/>
      <c r="GP333" s="155"/>
      <c r="GQ333" s="155"/>
      <c r="GR333" s="155"/>
      <c r="GS333" s="155"/>
      <c r="GT333" s="155"/>
      <c r="GU333" s="155"/>
      <c r="GV333" s="155"/>
      <c r="GW333" s="155"/>
      <c r="GX333" s="155"/>
      <c r="GY333" s="155"/>
      <c r="GZ333" s="155"/>
      <c r="HA333" s="155"/>
      <c r="HB333" s="155"/>
      <c r="HC333" s="155"/>
      <c r="HD333" s="155"/>
      <c r="HE333" s="155"/>
    </row>
    <row r="334" spans="2:213" s="156" customFormat="1" hidden="1">
      <c r="B334" s="155"/>
      <c r="C334" s="155"/>
      <c r="D334" s="155"/>
      <c r="E334" s="155"/>
      <c r="F334" s="155"/>
      <c r="G334" s="155"/>
      <c r="H334" s="155"/>
      <c r="I334" s="155"/>
      <c r="J334" s="155"/>
      <c r="K334" s="155"/>
      <c r="L334" s="155"/>
      <c r="M334" s="155"/>
      <c r="N334" s="155"/>
      <c r="O334" s="155"/>
      <c r="P334" s="155"/>
      <c r="Q334" s="155"/>
      <c r="R334" s="155"/>
      <c r="S334" s="155"/>
      <c r="T334" s="155"/>
      <c r="U334" s="155"/>
      <c r="V334" s="155"/>
      <c r="W334" s="155"/>
      <c r="GL334" s="155"/>
      <c r="GM334" s="155"/>
      <c r="GN334" s="155"/>
      <c r="GO334" s="155"/>
      <c r="GP334" s="155"/>
      <c r="GQ334" s="155"/>
      <c r="GR334" s="155"/>
      <c r="GS334" s="155"/>
      <c r="GT334" s="155"/>
      <c r="GU334" s="155"/>
      <c r="GV334" s="155"/>
      <c r="GW334" s="155"/>
      <c r="GX334" s="155"/>
      <c r="GY334" s="155"/>
      <c r="GZ334" s="155"/>
      <c r="HA334" s="155"/>
      <c r="HB334" s="155"/>
      <c r="HC334" s="155"/>
      <c r="HD334" s="155"/>
      <c r="HE334" s="155"/>
    </row>
    <row r="335" spans="2:213" s="156" customFormat="1" hidden="1">
      <c r="B335" s="155"/>
      <c r="C335" s="155"/>
      <c r="D335" s="155"/>
      <c r="E335" s="155"/>
      <c r="F335" s="155"/>
      <c r="G335" s="155"/>
      <c r="H335" s="155"/>
      <c r="I335" s="155"/>
      <c r="J335" s="155"/>
      <c r="K335" s="155"/>
      <c r="L335" s="155"/>
      <c r="M335" s="155"/>
      <c r="N335" s="155"/>
      <c r="O335" s="155"/>
      <c r="P335" s="155"/>
      <c r="Q335" s="155"/>
      <c r="R335" s="155"/>
      <c r="S335" s="155"/>
      <c r="T335" s="155"/>
      <c r="U335" s="155"/>
      <c r="V335" s="155"/>
      <c r="W335" s="155"/>
      <c r="GL335" s="155"/>
      <c r="GM335" s="155"/>
      <c r="GN335" s="155"/>
      <c r="GO335" s="155"/>
      <c r="GP335" s="155"/>
      <c r="GQ335" s="155"/>
      <c r="GR335" s="155"/>
      <c r="GS335" s="155"/>
      <c r="GT335" s="155"/>
      <c r="GU335" s="155"/>
      <c r="GV335" s="155"/>
      <c r="GW335" s="155"/>
      <c r="GX335" s="155"/>
      <c r="GY335" s="155"/>
      <c r="GZ335" s="155"/>
      <c r="HA335" s="155"/>
      <c r="HB335" s="155"/>
      <c r="HC335" s="155"/>
      <c r="HD335" s="155"/>
      <c r="HE335" s="155"/>
    </row>
    <row r="336" spans="2:213" s="156" customFormat="1" hidden="1">
      <c r="B336" s="155"/>
      <c r="C336" s="155"/>
      <c r="D336" s="155"/>
      <c r="E336" s="155"/>
      <c r="F336" s="155"/>
      <c r="G336" s="155"/>
      <c r="H336" s="155"/>
      <c r="I336" s="155"/>
      <c r="J336" s="155"/>
      <c r="K336" s="155"/>
      <c r="L336" s="155"/>
      <c r="M336" s="155"/>
      <c r="N336" s="155"/>
      <c r="O336" s="155"/>
      <c r="P336" s="155"/>
      <c r="Q336" s="155"/>
      <c r="R336" s="155"/>
      <c r="S336" s="155"/>
      <c r="T336" s="155"/>
      <c r="U336" s="155"/>
      <c r="V336" s="155"/>
      <c r="W336" s="155"/>
      <c r="GL336" s="155"/>
      <c r="GM336" s="155"/>
      <c r="GN336" s="155"/>
      <c r="GO336" s="155"/>
      <c r="GP336" s="155"/>
      <c r="GQ336" s="155"/>
      <c r="GR336" s="155"/>
      <c r="GS336" s="155"/>
      <c r="GT336" s="155"/>
      <c r="GU336" s="155"/>
      <c r="GV336" s="155"/>
      <c r="GW336" s="155"/>
      <c r="GX336" s="155"/>
      <c r="GY336" s="155"/>
      <c r="GZ336" s="155"/>
      <c r="HA336" s="155"/>
      <c r="HB336" s="155"/>
      <c r="HC336" s="155"/>
      <c r="HD336" s="155"/>
      <c r="HE336" s="155"/>
    </row>
    <row r="337" spans="2:213" s="156" customFormat="1" hidden="1">
      <c r="B337" s="155"/>
      <c r="C337" s="155"/>
      <c r="D337" s="155"/>
      <c r="E337" s="155"/>
      <c r="F337" s="155"/>
      <c r="G337" s="155"/>
      <c r="H337" s="155"/>
      <c r="I337" s="155"/>
      <c r="J337" s="155"/>
      <c r="K337" s="155"/>
      <c r="L337" s="155"/>
      <c r="M337" s="155"/>
      <c r="N337" s="155"/>
      <c r="O337" s="155"/>
      <c r="P337" s="155"/>
      <c r="Q337" s="155"/>
      <c r="R337" s="155"/>
      <c r="S337" s="155"/>
      <c r="T337" s="155"/>
      <c r="U337" s="155"/>
      <c r="V337" s="155"/>
      <c r="W337" s="155"/>
      <c r="GL337" s="155"/>
      <c r="GM337" s="155"/>
      <c r="GN337" s="155"/>
      <c r="GO337" s="155"/>
      <c r="GP337" s="155"/>
      <c r="GQ337" s="155"/>
      <c r="GR337" s="155"/>
      <c r="GS337" s="155"/>
      <c r="GT337" s="155"/>
      <c r="GU337" s="155"/>
      <c r="GV337" s="155"/>
      <c r="GW337" s="155"/>
      <c r="GX337" s="155"/>
      <c r="GY337" s="155"/>
      <c r="GZ337" s="155"/>
      <c r="HA337" s="155"/>
      <c r="HB337" s="155"/>
      <c r="HC337" s="155"/>
      <c r="HD337" s="155"/>
      <c r="HE337" s="155"/>
    </row>
    <row r="338" spans="2:213" s="156" customFormat="1" hidden="1">
      <c r="B338" s="155"/>
      <c r="C338" s="155"/>
      <c r="D338" s="155"/>
      <c r="E338" s="155"/>
      <c r="F338" s="155"/>
      <c r="G338" s="155"/>
      <c r="H338" s="155"/>
      <c r="I338" s="155"/>
      <c r="J338" s="155"/>
      <c r="K338" s="155"/>
      <c r="L338" s="155"/>
      <c r="M338" s="155"/>
      <c r="N338" s="155"/>
      <c r="O338" s="155"/>
      <c r="P338" s="155"/>
      <c r="Q338" s="155"/>
      <c r="R338" s="155"/>
      <c r="S338" s="155"/>
      <c r="T338" s="155"/>
      <c r="U338" s="155"/>
      <c r="V338" s="155"/>
      <c r="W338" s="155"/>
      <c r="GL338" s="155"/>
      <c r="GM338" s="155"/>
      <c r="GN338" s="155"/>
      <c r="GO338" s="155"/>
      <c r="GP338" s="155"/>
      <c r="GQ338" s="155"/>
      <c r="GR338" s="155"/>
      <c r="GS338" s="155"/>
      <c r="GT338" s="155"/>
      <c r="GU338" s="155"/>
      <c r="GV338" s="155"/>
      <c r="GW338" s="155"/>
      <c r="GX338" s="155"/>
      <c r="GY338" s="155"/>
      <c r="GZ338" s="155"/>
      <c r="HA338" s="155"/>
      <c r="HB338" s="155"/>
      <c r="HC338" s="155"/>
      <c r="HD338" s="155"/>
      <c r="HE338" s="155"/>
    </row>
    <row r="339" spans="2:213" s="156" customFormat="1" hidden="1">
      <c r="B339" s="155"/>
      <c r="C339" s="155"/>
      <c r="D339" s="155"/>
      <c r="E339" s="155"/>
      <c r="F339" s="155"/>
      <c r="G339" s="155"/>
      <c r="H339" s="155"/>
      <c r="I339" s="155"/>
      <c r="J339" s="155"/>
      <c r="K339" s="155"/>
      <c r="L339" s="155"/>
      <c r="M339" s="155"/>
      <c r="N339" s="155"/>
      <c r="O339" s="155"/>
      <c r="P339" s="155"/>
      <c r="Q339" s="155"/>
      <c r="R339" s="155"/>
      <c r="S339" s="155"/>
      <c r="T339" s="155"/>
      <c r="U339" s="155"/>
      <c r="V339" s="155"/>
      <c r="W339" s="155"/>
      <c r="GL339" s="155"/>
      <c r="GM339" s="155"/>
      <c r="GN339" s="155"/>
      <c r="GO339" s="155"/>
      <c r="GP339" s="155"/>
      <c r="GQ339" s="155"/>
      <c r="GR339" s="155"/>
      <c r="GS339" s="155"/>
      <c r="GT339" s="155"/>
      <c r="GU339" s="155"/>
      <c r="GV339" s="155"/>
      <c r="GW339" s="155"/>
      <c r="GX339" s="155"/>
      <c r="GY339" s="155"/>
      <c r="GZ339" s="155"/>
      <c r="HA339" s="155"/>
      <c r="HB339" s="155"/>
      <c r="HC339" s="155"/>
      <c r="HD339" s="155"/>
      <c r="HE339" s="155"/>
    </row>
    <row r="340" spans="2:213" s="156" customFormat="1" hidden="1">
      <c r="B340" s="155"/>
      <c r="C340" s="155"/>
      <c r="D340" s="155"/>
      <c r="E340" s="155"/>
      <c r="F340" s="155"/>
      <c r="G340" s="155"/>
      <c r="H340" s="155"/>
      <c r="I340" s="155"/>
      <c r="J340" s="155"/>
      <c r="K340" s="155"/>
      <c r="L340" s="155"/>
      <c r="M340" s="155"/>
      <c r="N340" s="155"/>
      <c r="O340" s="155"/>
      <c r="P340" s="155"/>
      <c r="Q340" s="155"/>
      <c r="R340" s="155"/>
      <c r="S340" s="155"/>
      <c r="T340" s="155"/>
      <c r="U340" s="155"/>
      <c r="V340" s="155"/>
      <c r="W340" s="155"/>
      <c r="GL340" s="155"/>
      <c r="GM340" s="155"/>
      <c r="GN340" s="155"/>
      <c r="GO340" s="155"/>
      <c r="GP340" s="155"/>
      <c r="GQ340" s="155"/>
      <c r="GR340" s="155"/>
      <c r="GS340" s="155"/>
      <c r="GT340" s="155"/>
      <c r="GU340" s="155"/>
      <c r="GV340" s="155"/>
      <c r="GW340" s="155"/>
      <c r="GX340" s="155"/>
      <c r="GY340" s="155"/>
      <c r="GZ340" s="155"/>
      <c r="HA340" s="155"/>
      <c r="HB340" s="155"/>
      <c r="HC340" s="155"/>
      <c r="HD340" s="155"/>
      <c r="HE340" s="155"/>
    </row>
    <row r="341" spans="2:213" s="156" customFormat="1" hidden="1">
      <c r="B341" s="155"/>
      <c r="C341" s="155"/>
      <c r="D341" s="155"/>
      <c r="E341" s="155"/>
      <c r="F341" s="155"/>
      <c r="G341" s="155"/>
      <c r="H341" s="155"/>
      <c r="I341" s="155"/>
      <c r="J341" s="155"/>
      <c r="K341" s="155"/>
      <c r="L341" s="155"/>
      <c r="M341" s="155"/>
      <c r="N341" s="155"/>
      <c r="O341" s="155"/>
      <c r="P341" s="155"/>
      <c r="Q341" s="155"/>
      <c r="R341" s="155"/>
      <c r="S341" s="155"/>
      <c r="T341" s="155"/>
      <c r="U341" s="155"/>
      <c r="V341" s="155"/>
      <c r="W341" s="155"/>
      <c r="GL341" s="155"/>
      <c r="GM341" s="155"/>
      <c r="GN341" s="155"/>
      <c r="GO341" s="155"/>
      <c r="GP341" s="155"/>
      <c r="GQ341" s="155"/>
      <c r="GR341" s="155"/>
      <c r="GS341" s="155"/>
      <c r="GT341" s="155"/>
      <c r="GU341" s="155"/>
      <c r="GV341" s="155"/>
      <c r="GW341" s="155"/>
      <c r="GX341" s="155"/>
      <c r="GY341" s="155"/>
      <c r="GZ341" s="155"/>
      <c r="HA341" s="155"/>
      <c r="HB341" s="155"/>
      <c r="HC341" s="155"/>
      <c r="HD341" s="155"/>
      <c r="HE341" s="155"/>
    </row>
    <row r="342" spans="2:213" s="156" customFormat="1" hidden="1">
      <c r="B342" s="155"/>
      <c r="C342" s="155"/>
      <c r="D342" s="155"/>
      <c r="E342" s="155"/>
      <c r="F342" s="155"/>
      <c r="G342" s="155"/>
      <c r="H342" s="155"/>
      <c r="I342" s="155"/>
      <c r="J342" s="155"/>
      <c r="K342" s="155"/>
      <c r="L342" s="155"/>
      <c r="M342" s="155"/>
      <c r="N342" s="155"/>
      <c r="O342" s="155"/>
      <c r="P342" s="155"/>
      <c r="Q342" s="155"/>
      <c r="R342" s="155"/>
      <c r="S342" s="155"/>
      <c r="T342" s="155"/>
      <c r="U342" s="155"/>
      <c r="V342" s="155"/>
      <c r="W342" s="155"/>
      <c r="GL342" s="155"/>
      <c r="GM342" s="155"/>
      <c r="GN342" s="155"/>
      <c r="GO342" s="155"/>
      <c r="GP342" s="155"/>
      <c r="GQ342" s="155"/>
      <c r="GR342" s="155"/>
      <c r="GS342" s="155"/>
      <c r="GT342" s="155"/>
      <c r="GU342" s="155"/>
      <c r="GV342" s="155"/>
      <c r="GW342" s="155"/>
      <c r="GX342" s="155"/>
      <c r="GY342" s="155"/>
      <c r="GZ342" s="155"/>
      <c r="HA342" s="155"/>
      <c r="HB342" s="155"/>
      <c r="HC342" s="155"/>
      <c r="HD342" s="155"/>
      <c r="HE342" s="155"/>
    </row>
    <row r="343" spans="2:213" s="156" customFormat="1" hidden="1">
      <c r="B343" s="155"/>
      <c r="C343" s="155"/>
      <c r="D343" s="155"/>
      <c r="E343" s="155"/>
      <c r="F343" s="155"/>
      <c r="G343" s="155"/>
      <c r="H343" s="155"/>
      <c r="I343" s="155"/>
      <c r="J343" s="155"/>
      <c r="K343" s="155"/>
      <c r="L343" s="155"/>
      <c r="M343" s="155"/>
      <c r="N343" s="155"/>
      <c r="O343" s="155"/>
      <c r="P343" s="155"/>
      <c r="Q343" s="155"/>
      <c r="R343" s="155"/>
      <c r="S343" s="155"/>
      <c r="T343" s="155"/>
      <c r="U343" s="155"/>
      <c r="V343" s="155"/>
      <c r="W343" s="155"/>
      <c r="GL343" s="155"/>
      <c r="GM343" s="155"/>
      <c r="GN343" s="155"/>
      <c r="GO343" s="155"/>
      <c r="GP343" s="155"/>
      <c r="GQ343" s="155"/>
      <c r="GR343" s="155"/>
      <c r="GS343" s="155"/>
      <c r="GT343" s="155"/>
      <c r="GU343" s="155"/>
      <c r="GV343" s="155"/>
      <c r="GW343" s="155"/>
      <c r="GX343" s="155"/>
      <c r="GY343" s="155"/>
      <c r="GZ343" s="155"/>
      <c r="HA343" s="155"/>
      <c r="HB343" s="155"/>
      <c r="HC343" s="155"/>
      <c r="HD343" s="155"/>
      <c r="HE343" s="155"/>
    </row>
    <row r="344" spans="2:213" s="156" customFormat="1" hidden="1">
      <c r="B344" s="155"/>
      <c r="C344" s="155"/>
      <c r="D344" s="155"/>
      <c r="E344" s="155"/>
      <c r="F344" s="155"/>
      <c r="G344" s="155"/>
      <c r="H344" s="155"/>
      <c r="I344" s="155"/>
      <c r="J344" s="155"/>
      <c r="K344" s="155"/>
      <c r="L344" s="155"/>
      <c r="M344" s="155"/>
      <c r="N344" s="155"/>
      <c r="O344" s="155"/>
      <c r="P344" s="155"/>
      <c r="Q344" s="155"/>
      <c r="R344" s="155"/>
      <c r="S344" s="155"/>
      <c r="T344" s="155"/>
      <c r="U344" s="155"/>
      <c r="V344" s="155"/>
      <c r="W344" s="155"/>
      <c r="GL344" s="155"/>
      <c r="GM344" s="155"/>
      <c r="GN344" s="155"/>
      <c r="GO344" s="155"/>
      <c r="GP344" s="155"/>
      <c r="GQ344" s="155"/>
      <c r="GR344" s="155"/>
      <c r="GS344" s="155"/>
      <c r="GT344" s="155"/>
      <c r="GU344" s="155"/>
      <c r="GV344" s="155"/>
      <c r="GW344" s="155"/>
      <c r="GX344" s="155"/>
      <c r="GY344" s="155"/>
      <c r="GZ344" s="155"/>
      <c r="HA344" s="155"/>
      <c r="HB344" s="155"/>
      <c r="HC344" s="155"/>
      <c r="HD344" s="155"/>
      <c r="HE344" s="155"/>
    </row>
    <row r="345" spans="2:213" s="156" customFormat="1" hidden="1">
      <c r="B345" s="155"/>
      <c r="C345" s="155"/>
      <c r="D345" s="155"/>
      <c r="E345" s="155"/>
      <c r="F345" s="155"/>
      <c r="G345" s="155"/>
      <c r="H345" s="155"/>
      <c r="I345" s="155"/>
      <c r="J345" s="155"/>
      <c r="K345" s="155"/>
      <c r="L345" s="155"/>
      <c r="M345" s="155"/>
      <c r="N345" s="155"/>
      <c r="O345" s="155"/>
      <c r="P345" s="155"/>
      <c r="Q345" s="155"/>
      <c r="R345" s="155"/>
      <c r="S345" s="155"/>
      <c r="T345" s="155"/>
      <c r="U345" s="155"/>
      <c r="V345" s="155"/>
      <c r="W345" s="155"/>
      <c r="GL345" s="155"/>
      <c r="GM345" s="155"/>
      <c r="GN345" s="155"/>
      <c r="GO345" s="155"/>
      <c r="GP345" s="155"/>
      <c r="GQ345" s="155"/>
      <c r="GR345" s="155"/>
      <c r="GS345" s="155"/>
      <c r="GT345" s="155"/>
      <c r="GU345" s="155"/>
      <c r="GV345" s="155"/>
      <c r="GW345" s="155"/>
      <c r="GX345" s="155"/>
      <c r="GY345" s="155"/>
      <c r="GZ345" s="155"/>
      <c r="HA345" s="155"/>
      <c r="HB345" s="155"/>
      <c r="HC345" s="155"/>
      <c r="HD345" s="155"/>
      <c r="HE345" s="155"/>
    </row>
    <row r="346" spans="2:213" s="156" customFormat="1" hidden="1">
      <c r="B346" s="155"/>
      <c r="C346" s="155"/>
      <c r="D346" s="155"/>
      <c r="E346" s="155"/>
      <c r="F346" s="155"/>
      <c r="G346" s="155"/>
      <c r="H346" s="155"/>
      <c r="I346" s="155"/>
      <c r="J346" s="155"/>
      <c r="K346" s="155"/>
      <c r="L346" s="155"/>
      <c r="M346" s="155"/>
      <c r="N346" s="155"/>
      <c r="O346" s="155"/>
      <c r="P346" s="155"/>
      <c r="Q346" s="155"/>
      <c r="R346" s="155"/>
      <c r="S346" s="155"/>
      <c r="T346" s="155"/>
      <c r="U346" s="155"/>
      <c r="V346" s="155"/>
      <c r="W346" s="155"/>
      <c r="GL346" s="155"/>
      <c r="GM346" s="155"/>
      <c r="GN346" s="155"/>
      <c r="GO346" s="155"/>
      <c r="GP346" s="155"/>
      <c r="GQ346" s="155"/>
      <c r="GR346" s="155"/>
      <c r="GS346" s="155"/>
      <c r="GT346" s="155"/>
      <c r="GU346" s="155"/>
      <c r="GV346" s="155"/>
      <c r="GW346" s="155"/>
      <c r="GX346" s="155"/>
      <c r="GY346" s="155"/>
      <c r="GZ346" s="155"/>
      <c r="HA346" s="155"/>
      <c r="HB346" s="155"/>
      <c r="HC346" s="155"/>
      <c r="HD346" s="155"/>
      <c r="HE346" s="155"/>
    </row>
    <row r="347" spans="2:213" s="156" customFormat="1" hidden="1">
      <c r="B347" s="155"/>
      <c r="C347" s="155"/>
      <c r="D347" s="155"/>
      <c r="E347" s="155"/>
      <c r="F347" s="155"/>
      <c r="G347" s="155"/>
      <c r="H347" s="155"/>
      <c r="I347" s="155"/>
      <c r="J347" s="155"/>
      <c r="K347" s="155"/>
      <c r="L347" s="155"/>
      <c r="M347" s="155"/>
      <c r="N347" s="155"/>
      <c r="O347" s="155"/>
      <c r="P347" s="155"/>
      <c r="Q347" s="155"/>
      <c r="R347" s="155"/>
      <c r="S347" s="155"/>
      <c r="T347" s="155"/>
      <c r="U347" s="155"/>
      <c r="V347" s="155"/>
      <c r="W347" s="155"/>
      <c r="GL347" s="155"/>
      <c r="GM347" s="155"/>
      <c r="GN347" s="155"/>
      <c r="GO347" s="155"/>
      <c r="GP347" s="155"/>
      <c r="GQ347" s="155"/>
      <c r="GR347" s="155"/>
      <c r="GS347" s="155"/>
      <c r="GT347" s="155"/>
      <c r="GU347" s="155"/>
      <c r="GV347" s="155"/>
      <c r="GW347" s="155"/>
      <c r="GX347" s="155"/>
      <c r="GY347" s="155"/>
      <c r="GZ347" s="155"/>
      <c r="HA347" s="155"/>
      <c r="HB347" s="155"/>
      <c r="HC347" s="155"/>
      <c r="HD347" s="155"/>
      <c r="HE347" s="155"/>
    </row>
    <row r="348" spans="2:213" s="156" customFormat="1" hidden="1">
      <c r="B348" s="155"/>
      <c r="C348" s="155"/>
      <c r="D348" s="155"/>
      <c r="E348" s="155"/>
      <c r="F348" s="155"/>
      <c r="G348" s="155"/>
      <c r="H348" s="155"/>
      <c r="I348" s="155"/>
      <c r="J348" s="155"/>
      <c r="K348" s="155"/>
      <c r="L348" s="155"/>
      <c r="M348" s="155"/>
      <c r="N348" s="155"/>
      <c r="O348" s="155"/>
      <c r="P348" s="155"/>
      <c r="Q348" s="155"/>
      <c r="R348" s="155"/>
      <c r="S348" s="155"/>
      <c r="T348" s="155"/>
      <c r="U348" s="155"/>
      <c r="V348" s="155"/>
      <c r="W348" s="155"/>
      <c r="GL348" s="155"/>
      <c r="GM348" s="155"/>
      <c r="GN348" s="155"/>
      <c r="GO348" s="155"/>
      <c r="GP348" s="155"/>
      <c r="GQ348" s="155"/>
      <c r="GR348" s="155"/>
      <c r="GS348" s="155"/>
      <c r="GT348" s="155"/>
      <c r="GU348" s="155"/>
      <c r="GV348" s="155"/>
      <c r="GW348" s="155"/>
      <c r="GX348" s="155"/>
      <c r="GY348" s="155"/>
      <c r="GZ348" s="155"/>
      <c r="HA348" s="155"/>
      <c r="HB348" s="155"/>
      <c r="HC348" s="155"/>
      <c r="HD348" s="155"/>
      <c r="HE348" s="155"/>
    </row>
    <row r="349" spans="2:213" s="156" customFormat="1" hidden="1">
      <c r="B349" s="155"/>
      <c r="C349" s="155"/>
      <c r="D349" s="155"/>
      <c r="E349" s="155"/>
      <c r="F349" s="155"/>
      <c r="G349" s="155"/>
      <c r="H349" s="155"/>
      <c r="I349" s="155"/>
      <c r="J349" s="155"/>
      <c r="K349" s="155"/>
      <c r="L349" s="155"/>
      <c r="M349" s="155"/>
      <c r="N349" s="155"/>
      <c r="O349" s="155"/>
      <c r="P349" s="155"/>
      <c r="Q349" s="155"/>
      <c r="R349" s="155"/>
      <c r="S349" s="155"/>
      <c r="T349" s="155"/>
      <c r="U349" s="155"/>
      <c r="V349" s="155"/>
      <c r="W349" s="155"/>
      <c r="GL349" s="155"/>
      <c r="GM349" s="155"/>
      <c r="GN349" s="155"/>
      <c r="GO349" s="155"/>
      <c r="GP349" s="155"/>
      <c r="GQ349" s="155"/>
      <c r="GR349" s="155"/>
      <c r="GS349" s="155"/>
      <c r="GT349" s="155"/>
      <c r="GU349" s="155"/>
      <c r="GV349" s="155"/>
      <c r="GW349" s="155"/>
      <c r="GX349" s="155"/>
      <c r="GY349" s="155"/>
      <c r="GZ349" s="155"/>
      <c r="HA349" s="155"/>
      <c r="HB349" s="155"/>
      <c r="HC349" s="155"/>
      <c r="HD349" s="155"/>
      <c r="HE349" s="155"/>
    </row>
    <row r="350" spans="2:213" s="156" customFormat="1" hidden="1">
      <c r="B350" s="155"/>
      <c r="C350" s="155"/>
      <c r="D350" s="155"/>
      <c r="E350" s="155"/>
      <c r="F350" s="155"/>
      <c r="G350" s="155"/>
      <c r="H350" s="155"/>
      <c r="I350" s="155"/>
      <c r="J350" s="155"/>
      <c r="K350" s="155"/>
      <c r="L350" s="155"/>
      <c r="M350" s="155"/>
      <c r="N350" s="155"/>
      <c r="O350" s="155"/>
      <c r="P350" s="155"/>
      <c r="Q350" s="155"/>
      <c r="R350" s="155"/>
      <c r="S350" s="155"/>
      <c r="T350" s="155"/>
      <c r="U350" s="155"/>
      <c r="V350" s="155"/>
      <c r="W350" s="155"/>
      <c r="GL350" s="155"/>
      <c r="GM350" s="155"/>
      <c r="GN350" s="155"/>
      <c r="GO350" s="155"/>
      <c r="GP350" s="155"/>
      <c r="GQ350" s="155"/>
      <c r="GR350" s="155"/>
      <c r="GS350" s="155"/>
      <c r="GT350" s="155"/>
      <c r="GU350" s="155"/>
      <c r="GV350" s="155"/>
      <c r="GW350" s="155"/>
      <c r="GX350" s="155"/>
      <c r="GY350" s="155"/>
      <c r="GZ350" s="155"/>
      <c r="HA350" s="155"/>
      <c r="HB350" s="155"/>
      <c r="HC350" s="155"/>
      <c r="HD350" s="155"/>
      <c r="HE350" s="155"/>
    </row>
    <row r="351" spans="2:213" s="156" customFormat="1" hidden="1">
      <c r="B351" s="155"/>
      <c r="C351" s="155"/>
      <c r="D351" s="155"/>
      <c r="E351" s="155"/>
      <c r="F351" s="155"/>
      <c r="G351" s="155"/>
      <c r="H351" s="155"/>
      <c r="I351" s="155"/>
      <c r="J351" s="155"/>
      <c r="K351" s="155"/>
      <c r="L351" s="155"/>
      <c r="M351" s="155"/>
      <c r="N351" s="155"/>
      <c r="O351" s="155"/>
      <c r="P351" s="155"/>
      <c r="Q351" s="155"/>
      <c r="R351" s="155"/>
      <c r="S351" s="155"/>
      <c r="T351" s="155"/>
      <c r="U351" s="155"/>
      <c r="V351" s="155"/>
      <c r="W351" s="155"/>
      <c r="GL351" s="155"/>
      <c r="GM351" s="155"/>
      <c r="GN351" s="155"/>
      <c r="GO351" s="155"/>
      <c r="GP351" s="155"/>
      <c r="GQ351" s="155"/>
      <c r="GR351" s="155"/>
      <c r="GS351" s="155"/>
      <c r="GT351" s="155"/>
      <c r="GU351" s="155"/>
      <c r="GV351" s="155"/>
      <c r="GW351" s="155"/>
      <c r="GX351" s="155"/>
      <c r="GY351" s="155"/>
      <c r="GZ351" s="155"/>
      <c r="HA351" s="155"/>
      <c r="HB351" s="155"/>
      <c r="HC351" s="155"/>
      <c r="HD351" s="155"/>
      <c r="HE351" s="155"/>
    </row>
    <row r="352" spans="2:213" s="156" customFormat="1" hidden="1">
      <c r="B352" s="155"/>
      <c r="C352" s="155"/>
      <c r="D352" s="155"/>
      <c r="E352" s="155"/>
      <c r="F352" s="155"/>
      <c r="G352" s="155"/>
      <c r="H352" s="155"/>
      <c r="I352" s="155"/>
      <c r="J352" s="155"/>
      <c r="K352" s="155"/>
      <c r="L352" s="155"/>
      <c r="M352" s="155"/>
      <c r="N352" s="155"/>
      <c r="O352" s="155"/>
      <c r="P352" s="155"/>
      <c r="Q352" s="155"/>
      <c r="R352" s="155"/>
      <c r="S352" s="155"/>
      <c r="T352" s="155"/>
      <c r="U352" s="155"/>
      <c r="V352" s="155"/>
      <c r="W352" s="155"/>
      <c r="GL352" s="155"/>
      <c r="GM352" s="155"/>
      <c r="GN352" s="155"/>
      <c r="GO352" s="155"/>
      <c r="GP352" s="155"/>
      <c r="GQ352" s="155"/>
      <c r="GR352" s="155"/>
      <c r="GS352" s="155"/>
      <c r="GT352" s="155"/>
      <c r="GU352" s="155"/>
      <c r="GV352" s="155"/>
      <c r="GW352" s="155"/>
      <c r="GX352" s="155"/>
      <c r="GY352" s="155"/>
      <c r="GZ352" s="155"/>
      <c r="HA352" s="155"/>
      <c r="HB352" s="155"/>
      <c r="HC352" s="155"/>
      <c r="HD352" s="155"/>
      <c r="HE352" s="155"/>
    </row>
    <row r="353" spans="2:213" s="156" customFormat="1" hidden="1">
      <c r="B353" s="155"/>
      <c r="C353" s="155"/>
      <c r="D353" s="155"/>
      <c r="E353" s="155"/>
      <c r="F353" s="155"/>
      <c r="G353" s="155"/>
      <c r="H353" s="155"/>
      <c r="I353" s="155"/>
      <c r="J353" s="155"/>
      <c r="K353" s="155"/>
      <c r="L353" s="155"/>
      <c r="M353" s="155"/>
      <c r="N353" s="155"/>
      <c r="O353" s="155"/>
      <c r="P353" s="155"/>
      <c r="Q353" s="155"/>
      <c r="R353" s="155"/>
      <c r="S353" s="155"/>
      <c r="T353" s="155"/>
      <c r="U353" s="155"/>
      <c r="V353" s="155"/>
      <c r="W353" s="155"/>
      <c r="GL353" s="155"/>
      <c r="GM353" s="155"/>
      <c r="GN353" s="155"/>
      <c r="GO353" s="155"/>
      <c r="GP353" s="155"/>
      <c r="GQ353" s="155"/>
      <c r="GR353" s="155"/>
      <c r="GS353" s="155"/>
      <c r="GT353" s="155"/>
      <c r="GU353" s="155"/>
      <c r="GV353" s="155"/>
      <c r="GW353" s="155"/>
      <c r="GX353" s="155"/>
      <c r="GY353" s="155"/>
      <c r="GZ353" s="155"/>
      <c r="HA353" s="155"/>
      <c r="HB353" s="155"/>
      <c r="HC353" s="155"/>
      <c r="HD353" s="155"/>
      <c r="HE353" s="155"/>
    </row>
    <row r="354" spans="2:213" s="156" customFormat="1" hidden="1">
      <c r="B354" s="155"/>
      <c r="C354" s="155"/>
      <c r="D354" s="155"/>
      <c r="E354" s="155"/>
      <c r="F354" s="155"/>
      <c r="G354" s="155"/>
      <c r="H354" s="155"/>
      <c r="I354" s="155"/>
      <c r="J354" s="155"/>
      <c r="K354" s="155"/>
      <c r="L354" s="155"/>
      <c r="M354" s="155"/>
      <c r="N354" s="155"/>
      <c r="O354" s="155"/>
      <c r="P354" s="155"/>
      <c r="Q354" s="155"/>
      <c r="R354" s="155"/>
      <c r="S354" s="155"/>
      <c r="T354" s="155"/>
      <c r="U354" s="155"/>
      <c r="V354" s="155"/>
      <c r="W354" s="155"/>
      <c r="GL354" s="155"/>
      <c r="GM354" s="155"/>
      <c r="GN354" s="155"/>
      <c r="GO354" s="155"/>
      <c r="GP354" s="155"/>
      <c r="GQ354" s="155"/>
      <c r="GR354" s="155"/>
      <c r="GS354" s="155"/>
      <c r="GT354" s="155"/>
      <c r="GU354" s="155"/>
      <c r="GV354" s="155"/>
      <c r="GW354" s="155"/>
      <c r="GX354" s="155"/>
      <c r="GY354" s="155"/>
      <c r="GZ354" s="155"/>
      <c r="HA354" s="155"/>
      <c r="HB354" s="155"/>
      <c r="HC354" s="155"/>
      <c r="HD354" s="155"/>
      <c r="HE354" s="155"/>
    </row>
    <row r="355" spans="2:213" s="156" customFormat="1" hidden="1">
      <c r="B355" s="155"/>
      <c r="C355" s="155"/>
      <c r="D355" s="155"/>
      <c r="E355" s="155"/>
      <c r="F355" s="155"/>
      <c r="G355" s="155"/>
      <c r="H355" s="155"/>
      <c r="I355" s="155"/>
      <c r="J355" s="155"/>
      <c r="K355" s="155"/>
      <c r="L355" s="155"/>
      <c r="M355" s="155"/>
      <c r="N355" s="155"/>
      <c r="O355" s="155"/>
      <c r="P355" s="155"/>
      <c r="Q355" s="155"/>
      <c r="R355" s="155"/>
      <c r="S355" s="155"/>
      <c r="T355" s="155"/>
      <c r="U355" s="155"/>
      <c r="V355" s="155"/>
      <c r="W355" s="155"/>
      <c r="GL355" s="155"/>
      <c r="GM355" s="155"/>
      <c r="GN355" s="155"/>
      <c r="GO355" s="155"/>
      <c r="GP355" s="155"/>
      <c r="GQ355" s="155"/>
      <c r="GR355" s="155"/>
      <c r="GS355" s="155"/>
      <c r="GT355" s="155"/>
      <c r="GU355" s="155"/>
      <c r="GV355" s="155"/>
      <c r="GW355" s="155"/>
      <c r="GX355" s="155"/>
      <c r="GY355" s="155"/>
      <c r="GZ355" s="155"/>
      <c r="HA355" s="155"/>
      <c r="HB355" s="155"/>
      <c r="HC355" s="155"/>
      <c r="HD355" s="155"/>
      <c r="HE355" s="155"/>
    </row>
    <row r="356" spans="2:213" s="156" customFormat="1" hidden="1">
      <c r="B356" s="155"/>
      <c r="C356" s="155"/>
      <c r="D356" s="155"/>
      <c r="E356" s="155"/>
      <c r="F356" s="155"/>
      <c r="G356" s="155"/>
      <c r="H356" s="155"/>
      <c r="I356" s="155"/>
      <c r="J356" s="155"/>
      <c r="K356" s="155"/>
      <c r="L356" s="155"/>
      <c r="M356" s="155"/>
      <c r="N356" s="155"/>
      <c r="O356" s="155"/>
      <c r="P356" s="155"/>
      <c r="Q356" s="155"/>
      <c r="R356" s="155"/>
      <c r="S356" s="155"/>
      <c r="T356" s="155"/>
      <c r="U356" s="155"/>
      <c r="V356" s="155"/>
      <c r="W356" s="155"/>
      <c r="GL356" s="155"/>
      <c r="GM356" s="155"/>
      <c r="GN356" s="155"/>
      <c r="GO356" s="155"/>
      <c r="GP356" s="155"/>
      <c r="GQ356" s="155"/>
      <c r="GR356" s="155"/>
      <c r="GS356" s="155"/>
      <c r="GT356" s="155"/>
      <c r="GU356" s="155"/>
      <c r="GV356" s="155"/>
      <c r="GW356" s="155"/>
      <c r="GX356" s="155"/>
      <c r="GY356" s="155"/>
      <c r="GZ356" s="155"/>
      <c r="HA356" s="155"/>
      <c r="HB356" s="155"/>
      <c r="HC356" s="155"/>
      <c r="HD356" s="155"/>
      <c r="HE356" s="155"/>
    </row>
    <row r="357" spans="2:213" s="156" customFormat="1" hidden="1">
      <c r="B357" s="155"/>
      <c r="C357" s="155"/>
      <c r="D357" s="155"/>
      <c r="E357" s="155"/>
      <c r="F357" s="155"/>
      <c r="G357" s="155"/>
      <c r="H357" s="155"/>
      <c r="I357" s="155"/>
      <c r="J357" s="155"/>
      <c r="K357" s="155"/>
      <c r="L357" s="155"/>
      <c r="M357" s="155"/>
      <c r="N357" s="155"/>
      <c r="O357" s="155"/>
      <c r="P357" s="155"/>
      <c r="Q357" s="155"/>
      <c r="R357" s="155"/>
      <c r="S357" s="155"/>
      <c r="T357" s="155"/>
      <c r="U357" s="155"/>
      <c r="V357" s="155"/>
      <c r="W357" s="155"/>
      <c r="GL357" s="155"/>
      <c r="GM357" s="155"/>
      <c r="GN357" s="155"/>
      <c r="GO357" s="155"/>
      <c r="GP357" s="155"/>
      <c r="GQ357" s="155"/>
      <c r="GR357" s="155"/>
      <c r="GS357" s="155"/>
      <c r="GT357" s="155"/>
      <c r="GU357" s="155"/>
      <c r="GV357" s="155"/>
      <c r="GW357" s="155"/>
      <c r="GX357" s="155"/>
      <c r="GY357" s="155"/>
      <c r="GZ357" s="155"/>
      <c r="HA357" s="155"/>
      <c r="HB357" s="155"/>
      <c r="HC357" s="155"/>
      <c r="HD357" s="155"/>
      <c r="HE357" s="155"/>
    </row>
    <row r="358" spans="2:213" s="156" customFormat="1" hidden="1">
      <c r="B358" s="155"/>
      <c r="C358" s="155"/>
      <c r="D358" s="155"/>
      <c r="E358" s="155"/>
      <c r="F358" s="155"/>
      <c r="G358" s="155"/>
      <c r="H358" s="155"/>
      <c r="I358" s="155"/>
      <c r="J358" s="155"/>
      <c r="K358" s="155"/>
      <c r="L358" s="155"/>
      <c r="M358" s="155"/>
      <c r="N358" s="155"/>
      <c r="O358" s="155"/>
      <c r="P358" s="155"/>
      <c r="Q358" s="155"/>
      <c r="R358" s="155"/>
      <c r="S358" s="155"/>
      <c r="T358" s="155"/>
      <c r="U358" s="155"/>
      <c r="V358" s="155"/>
      <c r="W358" s="155"/>
      <c r="GL358" s="155"/>
      <c r="GM358" s="155"/>
      <c r="GN358" s="155"/>
      <c r="GO358" s="155"/>
      <c r="GP358" s="155"/>
      <c r="GQ358" s="155"/>
      <c r="GR358" s="155"/>
      <c r="GS358" s="155"/>
      <c r="GT358" s="155"/>
      <c r="GU358" s="155"/>
      <c r="GV358" s="155"/>
      <c r="GW358" s="155"/>
      <c r="GX358" s="155"/>
      <c r="GY358" s="155"/>
      <c r="GZ358" s="155"/>
      <c r="HA358" s="155"/>
      <c r="HB358" s="155"/>
      <c r="HC358" s="155"/>
      <c r="HD358" s="155"/>
      <c r="HE358" s="155"/>
    </row>
    <row r="359" spans="2:213" s="156" customFormat="1" hidden="1">
      <c r="B359" s="155"/>
      <c r="C359" s="155"/>
      <c r="D359" s="155"/>
      <c r="E359" s="155"/>
      <c r="F359" s="155"/>
      <c r="G359" s="155"/>
      <c r="H359" s="155"/>
      <c r="I359" s="155"/>
      <c r="J359" s="155"/>
      <c r="K359" s="155"/>
      <c r="L359" s="155"/>
      <c r="M359" s="155"/>
      <c r="N359" s="155"/>
      <c r="O359" s="155"/>
      <c r="P359" s="155"/>
      <c r="Q359" s="155"/>
      <c r="R359" s="155"/>
      <c r="S359" s="155"/>
      <c r="T359" s="155"/>
      <c r="U359" s="155"/>
      <c r="V359" s="155"/>
      <c r="W359" s="155"/>
      <c r="GL359" s="155"/>
      <c r="GM359" s="155"/>
      <c r="GN359" s="155"/>
      <c r="GO359" s="155"/>
      <c r="GP359" s="155"/>
      <c r="GQ359" s="155"/>
      <c r="GR359" s="155"/>
      <c r="GS359" s="155"/>
      <c r="GT359" s="155"/>
      <c r="GU359" s="155"/>
      <c r="GV359" s="155"/>
      <c r="GW359" s="155"/>
      <c r="GX359" s="155"/>
      <c r="GY359" s="155"/>
      <c r="GZ359" s="155"/>
      <c r="HA359" s="155"/>
      <c r="HB359" s="155"/>
      <c r="HC359" s="155"/>
      <c r="HD359" s="155"/>
      <c r="HE359" s="155"/>
    </row>
    <row r="360" spans="2:213" s="156" customFormat="1" hidden="1">
      <c r="B360" s="155"/>
      <c r="C360" s="155"/>
      <c r="D360" s="155"/>
      <c r="E360" s="155"/>
      <c r="F360" s="155"/>
      <c r="G360" s="155"/>
      <c r="H360" s="155"/>
      <c r="I360" s="155"/>
      <c r="J360" s="155"/>
      <c r="K360" s="155"/>
      <c r="L360" s="155"/>
      <c r="M360" s="155"/>
      <c r="N360" s="155"/>
      <c r="O360" s="155"/>
      <c r="P360" s="155"/>
      <c r="Q360" s="155"/>
      <c r="R360" s="155"/>
      <c r="S360" s="155"/>
      <c r="T360" s="155"/>
      <c r="U360" s="155"/>
      <c r="V360" s="155"/>
      <c r="W360" s="155"/>
      <c r="GL360" s="155"/>
      <c r="GM360" s="155"/>
      <c r="GN360" s="155"/>
      <c r="GO360" s="155"/>
      <c r="GP360" s="155"/>
      <c r="GQ360" s="155"/>
      <c r="GR360" s="155"/>
      <c r="GS360" s="155"/>
      <c r="GT360" s="155"/>
      <c r="GU360" s="155"/>
      <c r="GV360" s="155"/>
      <c r="GW360" s="155"/>
      <c r="GX360" s="155"/>
      <c r="GY360" s="155"/>
      <c r="GZ360" s="155"/>
      <c r="HA360" s="155"/>
      <c r="HB360" s="155"/>
      <c r="HC360" s="155"/>
      <c r="HD360" s="155"/>
      <c r="HE360" s="155"/>
    </row>
    <row r="361" spans="2:213" s="156" customFormat="1" hidden="1">
      <c r="B361" s="155"/>
      <c r="C361" s="155"/>
      <c r="D361" s="155"/>
      <c r="E361" s="155"/>
      <c r="F361" s="155"/>
      <c r="G361" s="155"/>
      <c r="H361" s="155"/>
      <c r="I361" s="155"/>
      <c r="J361" s="155"/>
      <c r="K361" s="155"/>
      <c r="L361" s="155"/>
      <c r="M361" s="155"/>
      <c r="N361" s="155"/>
      <c r="O361" s="155"/>
      <c r="P361" s="155"/>
      <c r="Q361" s="155"/>
      <c r="R361" s="155"/>
      <c r="S361" s="155"/>
      <c r="T361" s="155"/>
      <c r="U361" s="155"/>
      <c r="V361" s="155"/>
      <c r="W361" s="155"/>
      <c r="GL361" s="155"/>
      <c r="GM361" s="155"/>
      <c r="GN361" s="155"/>
      <c r="GO361" s="155"/>
      <c r="GP361" s="155"/>
      <c r="GQ361" s="155"/>
      <c r="GR361" s="155"/>
      <c r="GS361" s="155"/>
      <c r="GT361" s="155"/>
      <c r="GU361" s="155"/>
      <c r="GV361" s="155"/>
      <c r="GW361" s="155"/>
      <c r="GX361" s="155"/>
      <c r="GY361" s="155"/>
      <c r="GZ361" s="155"/>
      <c r="HA361" s="155"/>
      <c r="HB361" s="155"/>
      <c r="HC361" s="155"/>
      <c r="HD361" s="155"/>
      <c r="HE361" s="155"/>
    </row>
    <row r="362" spans="2:213" s="156" customFormat="1" hidden="1">
      <c r="B362" s="155"/>
      <c r="C362" s="155"/>
      <c r="D362" s="155"/>
      <c r="E362" s="155"/>
      <c r="F362" s="155"/>
      <c r="G362" s="155"/>
      <c r="H362" s="155"/>
      <c r="I362" s="155"/>
      <c r="J362" s="155"/>
      <c r="K362" s="155"/>
      <c r="L362" s="155"/>
      <c r="M362" s="155"/>
      <c r="N362" s="155"/>
      <c r="O362" s="155"/>
      <c r="P362" s="155"/>
      <c r="Q362" s="155"/>
      <c r="R362" s="155"/>
      <c r="S362" s="155"/>
      <c r="T362" s="155"/>
      <c r="U362" s="155"/>
      <c r="V362" s="155"/>
      <c r="W362" s="155"/>
      <c r="GL362" s="155"/>
      <c r="GM362" s="155"/>
      <c r="GN362" s="155"/>
      <c r="GO362" s="155"/>
      <c r="GP362" s="155"/>
      <c r="GQ362" s="155"/>
      <c r="GR362" s="155"/>
      <c r="GS362" s="155"/>
      <c r="GT362" s="155"/>
      <c r="GU362" s="155"/>
      <c r="GV362" s="155"/>
      <c r="GW362" s="155"/>
      <c r="GX362" s="155"/>
      <c r="GY362" s="155"/>
      <c r="GZ362" s="155"/>
      <c r="HA362" s="155"/>
      <c r="HB362" s="155"/>
      <c r="HC362" s="155"/>
      <c r="HD362" s="155"/>
      <c r="HE362" s="155"/>
    </row>
    <row r="363" spans="2:213" s="156" customFormat="1" hidden="1">
      <c r="B363" s="155"/>
      <c r="C363" s="155"/>
      <c r="D363" s="155"/>
      <c r="E363" s="155"/>
      <c r="F363" s="155"/>
      <c r="G363" s="155"/>
      <c r="H363" s="155"/>
      <c r="I363" s="155"/>
      <c r="J363" s="155"/>
      <c r="K363" s="155"/>
      <c r="L363" s="155"/>
      <c r="M363" s="155"/>
      <c r="N363" s="155"/>
      <c r="O363" s="155"/>
      <c r="P363" s="155"/>
      <c r="Q363" s="155"/>
      <c r="R363" s="155"/>
      <c r="S363" s="155"/>
      <c r="T363" s="155"/>
      <c r="U363" s="155"/>
      <c r="V363" s="155"/>
      <c r="W363" s="155"/>
      <c r="GL363" s="155"/>
      <c r="GM363" s="155"/>
      <c r="GN363" s="155"/>
      <c r="GO363" s="155"/>
      <c r="GP363" s="155"/>
      <c r="GQ363" s="155"/>
      <c r="GR363" s="155"/>
      <c r="GS363" s="155"/>
      <c r="GT363" s="155"/>
      <c r="GU363" s="155"/>
      <c r="GV363" s="155"/>
      <c r="GW363" s="155"/>
      <c r="GX363" s="155"/>
      <c r="GY363" s="155"/>
      <c r="GZ363" s="155"/>
      <c r="HA363" s="155"/>
      <c r="HB363" s="155"/>
      <c r="HC363" s="155"/>
      <c r="HD363" s="155"/>
      <c r="HE363" s="155"/>
    </row>
    <row r="364" spans="2:213" s="156" customFormat="1" hidden="1">
      <c r="B364" s="155"/>
      <c r="C364" s="155"/>
      <c r="D364" s="155"/>
      <c r="E364" s="155"/>
      <c r="F364" s="155"/>
      <c r="G364" s="155"/>
      <c r="H364" s="155"/>
      <c r="I364" s="155"/>
      <c r="J364" s="155"/>
      <c r="K364" s="155"/>
      <c r="L364" s="155"/>
      <c r="M364" s="155"/>
      <c r="N364" s="155"/>
      <c r="O364" s="155"/>
      <c r="P364" s="155"/>
      <c r="Q364" s="155"/>
      <c r="R364" s="155"/>
      <c r="S364" s="155"/>
      <c r="T364" s="155"/>
      <c r="U364" s="155"/>
      <c r="V364" s="155"/>
      <c r="W364" s="155"/>
      <c r="GL364" s="155"/>
      <c r="GM364" s="155"/>
      <c r="GN364" s="155"/>
      <c r="GO364" s="155"/>
      <c r="GP364" s="155"/>
      <c r="GQ364" s="155"/>
      <c r="GR364" s="155"/>
      <c r="GS364" s="155"/>
      <c r="GT364" s="155"/>
      <c r="GU364" s="155"/>
      <c r="GV364" s="155"/>
      <c r="GW364" s="155"/>
      <c r="GX364" s="155"/>
      <c r="GY364" s="155"/>
      <c r="GZ364" s="155"/>
      <c r="HA364" s="155"/>
      <c r="HB364" s="155"/>
      <c r="HC364" s="155"/>
      <c r="HD364" s="155"/>
      <c r="HE364" s="155"/>
    </row>
    <row r="365" spans="2:213" s="156" customFormat="1" hidden="1">
      <c r="B365" s="155"/>
      <c r="C365" s="155"/>
      <c r="D365" s="155"/>
      <c r="E365" s="155"/>
      <c r="F365" s="155"/>
      <c r="G365" s="155"/>
      <c r="H365" s="155"/>
      <c r="I365" s="155"/>
      <c r="J365" s="155"/>
      <c r="K365" s="155"/>
      <c r="L365" s="155"/>
      <c r="M365" s="155"/>
      <c r="N365" s="155"/>
      <c r="O365" s="155"/>
      <c r="P365" s="155"/>
      <c r="Q365" s="155"/>
      <c r="R365" s="155"/>
      <c r="S365" s="155"/>
      <c r="T365" s="155"/>
      <c r="U365" s="155"/>
      <c r="V365" s="155"/>
      <c r="W365" s="155"/>
      <c r="GL365" s="155"/>
      <c r="GM365" s="155"/>
      <c r="GN365" s="155"/>
      <c r="GO365" s="155"/>
      <c r="GP365" s="155"/>
      <c r="GQ365" s="155"/>
      <c r="GR365" s="155"/>
      <c r="GS365" s="155"/>
      <c r="GT365" s="155"/>
      <c r="GU365" s="155"/>
      <c r="GV365" s="155"/>
      <c r="GW365" s="155"/>
      <c r="GX365" s="155"/>
      <c r="GY365" s="155"/>
      <c r="GZ365" s="155"/>
      <c r="HA365" s="155"/>
      <c r="HB365" s="155"/>
      <c r="HC365" s="155"/>
      <c r="HD365" s="155"/>
      <c r="HE365" s="155"/>
    </row>
    <row r="366" spans="2:213" s="156" customFormat="1" hidden="1">
      <c r="B366" s="155"/>
      <c r="C366" s="155"/>
      <c r="D366" s="155"/>
      <c r="E366" s="155"/>
      <c r="F366" s="155"/>
      <c r="G366" s="155"/>
      <c r="H366" s="155"/>
      <c r="I366" s="155"/>
      <c r="J366" s="155"/>
      <c r="K366" s="155"/>
      <c r="L366" s="155"/>
      <c r="M366" s="155"/>
      <c r="N366" s="155"/>
      <c r="O366" s="155"/>
      <c r="P366" s="155"/>
      <c r="Q366" s="155"/>
      <c r="R366" s="155"/>
      <c r="S366" s="155"/>
      <c r="T366" s="155"/>
      <c r="U366" s="155"/>
      <c r="V366" s="155"/>
      <c r="W366" s="155"/>
      <c r="GL366" s="155"/>
      <c r="GM366" s="155"/>
      <c r="GN366" s="155"/>
      <c r="GO366" s="155"/>
      <c r="GP366" s="155"/>
      <c r="GQ366" s="155"/>
      <c r="GR366" s="155"/>
      <c r="GS366" s="155"/>
      <c r="GT366" s="155"/>
      <c r="GU366" s="155"/>
      <c r="GV366" s="155"/>
      <c r="GW366" s="155"/>
      <c r="GX366" s="155"/>
      <c r="GY366" s="155"/>
      <c r="GZ366" s="155"/>
      <c r="HA366" s="155"/>
      <c r="HB366" s="155"/>
      <c r="HC366" s="155"/>
      <c r="HD366" s="155"/>
      <c r="HE366" s="155"/>
    </row>
    <row r="367" spans="2:213" s="156" customFormat="1" hidden="1">
      <c r="B367" s="155"/>
      <c r="C367" s="155"/>
      <c r="D367" s="155"/>
      <c r="E367" s="155"/>
      <c r="F367" s="155"/>
      <c r="G367" s="155"/>
      <c r="H367" s="155"/>
      <c r="I367" s="155"/>
      <c r="J367" s="155"/>
      <c r="K367" s="155"/>
      <c r="L367" s="155"/>
      <c r="M367" s="155"/>
      <c r="N367" s="155"/>
      <c r="O367" s="155"/>
      <c r="P367" s="155"/>
      <c r="Q367" s="155"/>
      <c r="R367" s="155"/>
      <c r="S367" s="155"/>
      <c r="T367" s="155"/>
      <c r="U367" s="155"/>
      <c r="V367" s="155"/>
      <c r="W367" s="155"/>
      <c r="GL367" s="155"/>
      <c r="GM367" s="155"/>
      <c r="GN367" s="155"/>
      <c r="GO367" s="155"/>
      <c r="GP367" s="155"/>
      <c r="GQ367" s="155"/>
      <c r="GR367" s="155"/>
      <c r="GS367" s="155"/>
      <c r="GT367" s="155"/>
      <c r="GU367" s="155"/>
      <c r="GV367" s="155"/>
      <c r="GW367" s="155"/>
      <c r="GX367" s="155"/>
      <c r="GY367" s="155"/>
      <c r="GZ367" s="155"/>
      <c r="HA367" s="155"/>
      <c r="HB367" s="155"/>
      <c r="HC367" s="155"/>
      <c r="HD367" s="155"/>
      <c r="HE367" s="155"/>
    </row>
    <row r="368" spans="2:213" s="156" customFormat="1" hidden="1">
      <c r="B368" s="155"/>
      <c r="C368" s="155"/>
      <c r="D368" s="155"/>
      <c r="E368" s="155"/>
      <c r="F368" s="155"/>
      <c r="G368" s="155"/>
      <c r="H368" s="155"/>
      <c r="I368" s="155"/>
      <c r="J368" s="155"/>
      <c r="K368" s="155"/>
      <c r="L368" s="155"/>
      <c r="M368" s="155"/>
      <c r="N368" s="155"/>
      <c r="O368" s="155"/>
      <c r="P368" s="155"/>
      <c r="Q368" s="155"/>
      <c r="R368" s="155"/>
      <c r="S368" s="155"/>
      <c r="T368" s="155"/>
      <c r="U368" s="155"/>
      <c r="V368" s="155"/>
      <c r="W368" s="155"/>
      <c r="GL368" s="155"/>
      <c r="GM368" s="155"/>
      <c r="GN368" s="155"/>
      <c r="GO368" s="155"/>
      <c r="GP368" s="155"/>
      <c r="GQ368" s="155"/>
      <c r="GR368" s="155"/>
      <c r="GS368" s="155"/>
      <c r="GT368" s="155"/>
      <c r="GU368" s="155"/>
      <c r="GV368" s="155"/>
      <c r="GW368" s="155"/>
      <c r="GX368" s="155"/>
      <c r="GY368" s="155"/>
      <c r="GZ368" s="155"/>
      <c r="HA368" s="155"/>
      <c r="HB368" s="155"/>
      <c r="HC368" s="155"/>
      <c r="HD368" s="155"/>
      <c r="HE368" s="155"/>
    </row>
    <row r="369" spans="2:213" s="156" customFormat="1" hidden="1">
      <c r="B369" s="155"/>
      <c r="C369" s="155"/>
      <c r="D369" s="155"/>
      <c r="E369" s="155"/>
      <c r="F369" s="155"/>
      <c r="G369" s="155"/>
      <c r="H369" s="155"/>
      <c r="I369" s="155"/>
      <c r="J369" s="155"/>
      <c r="K369" s="155"/>
      <c r="L369" s="155"/>
      <c r="M369" s="155"/>
      <c r="N369" s="155"/>
      <c r="O369" s="155"/>
      <c r="P369" s="155"/>
      <c r="Q369" s="155"/>
      <c r="R369" s="155"/>
      <c r="S369" s="155"/>
      <c r="T369" s="155"/>
      <c r="U369" s="155"/>
      <c r="V369" s="155"/>
      <c r="W369" s="155"/>
      <c r="GL369" s="155"/>
      <c r="GM369" s="155"/>
      <c r="GN369" s="155"/>
      <c r="GO369" s="155"/>
      <c r="GP369" s="155"/>
      <c r="GQ369" s="155"/>
      <c r="GR369" s="155"/>
      <c r="GS369" s="155"/>
      <c r="GT369" s="155"/>
      <c r="GU369" s="155"/>
      <c r="GV369" s="155"/>
      <c r="GW369" s="155"/>
      <c r="GX369" s="155"/>
      <c r="GY369" s="155"/>
      <c r="GZ369" s="155"/>
      <c r="HA369" s="155"/>
      <c r="HB369" s="155"/>
      <c r="HC369" s="155"/>
      <c r="HD369" s="155"/>
      <c r="HE369" s="155"/>
    </row>
    <row r="370" spans="2:213" s="156" customFormat="1" hidden="1">
      <c r="B370" s="155"/>
      <c r="C370" s="155"/>
      <c r="D370" s="155"/>
      <c r="E370" s="155"/>
      <c r="F370" s="155"/>
      <c r="G370" s="155"/>
      <c r="H370" s="155"/>
      <c r="I370" s="155"/>
      <c r="J370" s="155"/>
      <c r="K370" s="155"/>
      <c r="L370" s="155"/>
      <c r="M370" s="155"/>
      <c r="N370" s="155"/>
      <c r="O370" s="155"/>
      <c r="P370" s="155"/>
      <c r="Q370" s="155"/>
      <c r="R370" s="155"/>
      <c r="S370" s="155"/>
      <c r="T370" s="155"/>
      <c r="U370" s="155"/>
      <c r="V370" s="155"/>
      <c r="W370" s="155"/>
      <c r="GL370" s="155"/>
      <c r="GM370" s="155"/>
      <c r="GN370" s="155"/>
      <c r="GO370" s="155"/>
      <c r="GP370" s="155"/>
      <c r="GQ370" s="155"/>
      <c r="GR370" s="155"/>
      <c r="GS370" s="155"/>
      <c r="GT370" s="155"/>
      <c r="GU370" s="155"/>
      <c r="GV370" s="155"/>
      <c r="GW370" s="155"/>
      <c r="GX370" s="155"/>
      <c r="GY370" s="155"/>
      <c r="GZ370" s="155"/>
      <c r="HA370" s="155"/>
      <c r="HB370" s="155"/>
      <c r="HC370" s="155"/>
      <c r="HD370" s="155"/>
      <c r="HE370" s="155"/>
    </row>
    <row r="371" spans="2:213" s="156" customFormat="1" hidden="1">
      <c r="B371" s="155"/>
      <c r="C371" s="155"/>
      <c r="D371" s="155"/>
      <c r="E371" s="155"/>
      <c r="F371" s="155"/>
      <c r="G371" s="155"/>
      <c r="H371" s="155"/>
      <c r="I371" s="155"/>
      <c r="J371" s="155"/>
      <c r="K371" s="155"/>
      <c r="L371" s="155"/>
      <c r="M371" s="155"/>
      <c r="N371" s="155"/>
      <c r="O371" s="155"/>
      <c r="P371" s="155"/>
      <c r="Q371" s="155"/>
      <c r="R371" s="155"/>
      <c r="S371" s="155"/>
      <c r="T371" s="155"/>
      <c r="U371" s="155"/>
      <c r="V371" s="155"/>
      <c r="W371" s="155"/>
      <c r="GL371" s="155"/>
      <c r="GM371" s="155"/>
      <c r="GN371" s="155"/>
      <c r="GO371" s="155"/>
      <c r="GP371" s="155"/>
      <c r="GQ371" s="155"/>
      <c r="GR371" s="155"/>
      <c r="GS371" s="155"/>
      <c r="GT371" s="155"/>
      <c r="GU371" s="155"/>
      <c r="GV371" s="155"/>
      <c r="GW371" s="155"/>
      <c r="GX371" s="155"/>
      <c r="GY371" s="155"/>
      <c r="GZ371" s="155"/>
      <c r="HA371" s="155"/>
      <c r="HB371" s="155"/>
      <c r="HC371" s="155"/>
      <c r="HD371" s="155"/>
      <c r="HE371" s="155"/>
    </row>
    <row r="372" spans="2:213" s="156" customFormat="1" hidden="1">
      <c r="B372" s="155"/>
      <c r="C372" s="155"/>
      <c r="D372" s="155"/>
      <c r="E372" s="155"/>
      <c r="F372" s="155"/>
      <c r="G372" s="155"/>
      <c r="H372" s="155"/>
      <c r="I372" s="155"/>
      <c r="J372" s="155"/>
      <c r="K372" s="155"/>
      <c r="L372" s="155"/>
      <c r="M372" s="155"/>
      <c r="N372" s="155"/>
      <c r="O372" s="155"/>
      <c r="P372" s="155"/>
      <c r="Q372" s="155"/>
      <c r="R372" s="155"/>
      <c r="S372" s="155"/>
      <c r="T372" s="155"/>
      <c r="U372" s="155"/>
      <c r="V372" s="155"/>
      <c r="W372" s="155"/>
      <c r="GL372" s="155"/>
      <c r="GM372" s="155"/>
      <c r="GN372" s="155"/>
      <c r="GO372" s="155"/>
      <c r="GP372" s="155"/>
      <c r="GQ372" s="155"/>
      <c r="GR372" s="155"/>
      <c r="GS372" s="155"/>
      <c r="GT372" s="155"/>
      <c r="GU372" s="155"/>
      <c r="GV372" s="155"/>
      <c r="GW372" s="155"/>
      <c r="GX372" s="155"/>
      <c r="GY372" s="155"/>
      <c r="GZ372" s="155"/>
      <c r="HA372" s="155"/>
      <c r="HB372" s="155"/>
      <c r="HC372" s="155"/>
      <c r="HD372" s="155"/>
      <c r="HE372" s="155"/>
    </row>
    <row r="373" spans="2:213" s="156" customFormat="1" hidden="1">
      <c r="B373" s="155"/>
      <c r="C373" s="155"/>
      <c r="D373" s="155"/>
      <c r="E373" s="155"/>
      <c r="F373" s="155"/>
      <c r="G373" s="155"/>
      <c r="H373" s="155"/>
      <c r="I373" s="155"/>
      <c r="J373" s="155"/>
      <c r="K373" s="155"/>
      <c r="L373" s="155"/>
      <c r="M373" s="155"/>
      <c r="N373" s="155"/>
      <c r="O373" s="155"/>
      <c r="P373" s="155"/>
      <c r="Q373" s="155"/>
      <c r="R373" s="155"/>
      <c r="S373" s="155"/>
      <c r="T373" s="155"/>
      <c r="U373" s="155"/>
      <c r="V373" s="155"/>
      <c r="W373" s="155"/>
      <c r="GL373" s="155"/>
      <c r="GM373" s="155"/>
      <c r="GN373" s="155"/>
      <c r="GO373" s="155"/>
      <c r="GP373" s="155"/>
      <c r="GQ373" s="155"/>
      <c r="GR373" s="155"/>
      <c r="GS373" s="155"/>
      <c r="GT373" s="155"/>
      <c r="GU373" s="155"/>
      <c r="GV373" s="155"/>
      <c r="GW373" s="155"/>
      <c r="GX373" s="155"/>
      <c r="GY373" s="155"/>
      <c r="GZ373" s="155"/>
      <c r="HA373" s="155"/>
      <c r="HB373" s="155"/>
      <c r="HC373" s="155"/>
      <c r="HD373" s="155"/>
      <c r="HE373" s="155"/>
    </row>
    <row r="374" spans="2:213" s="156" customFormat="1" hidden="1">
      <c r="B374" s="155"/>
      <c r="C374" s="155"/>
      <c r="D374" s="155"/>
      <c r="E374" s="155"/>
      <c r="F374" s="155"/>
      <c r="G374" s="155"/>
      <c r="H374" s="155"/>
      <c r="I374" s="155"/>
      <c r="J374" s="155"/>
      <c r="K374" s="155"/>
      <c r="L374" s="155"/>
      <c r="M374" s="155"/>
      <c r="N374" s="155"/>
      <c r="O374" s="155"/>
      <c r="P374" s="155"/>
      <c r="Q374" s="155"/>
      <c r="R374" s="155"/>
      <c r="S374" s="155"/>
      <c r="T374" s="155"/>
      <c r="U374" s="155"/>
      <c r="V374" s="155"/>
      <c r="W374" s="155"/>
      <c r="GL374" s="155"/>
      <c r="GM374" s="155"/>
      <c r="GN374" s="155"/>
      <c r="GO374" s="155"/>
      <c r="GP374" s="155"/>
      <c r="GQ374" s="155"/>
      <c r="GR374" s="155"/>
      <c r="GS374" s="155"/>
      <c r="GT374" s="155"/>
      <c r="GU374" s="155"/>
      <c r="GV374" s="155"/>
      <c r="GW374" s="155"/>
      <c r="GX374" s="155"/>
      <c r="GY374" s="155"/>
      <c r="GZ374" s="155"/>
      <c r="HA374" s="155"/>
      <c r="HB374" s="155"/>
      <c r="HC374" s="155"/>
      <c r="HD374" s="155"/>
      <c r="HE374" s="155"/>
    </row>
    <row r="375" spans="2:213" s="156" customFormat="1" hidden="1">
      <c r="B375" s="155"/>
      <c r="C375" s="155"/>
      <c r="D375" s="155"/>
      <c r="E375" s="155"/>
      <c r="F375" s="155"/>
      <c r="G375" s="155"/>
      <c r="H375" s="155"/>
      <c r="I375" s="155"/>
      <c r="J375" s="155"/>
      <c r="K375" s="155"/>
      <c r="L375" s="155"/>
      <c r="M375" s="155"/>
      <c r="N375" s="155"/>
      <c r="O375" s="155"/>
      <c r="P375" s="155"/>
      <c r="Q375" s="155"/>
      <c r="R375" s="155"/>
      <c r="S375" s="155"/>
      <c r="T375" s="155"/>
      <c r="U375" s="155"/>
      <c r="V375" s="155"/>
      <c r="W375" s="155"/>
      <c r="GL375" s="155"/>
      <c r="GM375" s="155"/>
      <c r="GN375" s="155"/>
      <c r="GO375" s="155"/>
      <c r="GP375" s="155"/>
      <c r="GQ375" s="155"/>
      <c r="GR375" s="155"/>
      <c r="GS375" s="155"/>
      <c r="GT375" s="155"/>
      <c r="GU375" s="155"/>
      <c r="GV375" s="155"/>
      <c r="GW375" s="155"/>
      <c r="GX375" s="155"/>
      <c r="GY375" s="155"/>
      <c r="GZ375" s="155"/>
      <c r="HA375" s="155"/>
      <c r="HB375" s="155"/>
      <c r="HC375" s="155"/>
      <c r="HD375" s="155"/>
      <c r="HE375" s="155"/>
    </row>
    <row r="376" spans="2:213" s="156" customFormat="1" hidden="1">
      <c r="B376" s="155"/>
      <c r="C376" s="155"/>
      <c r="D376" s="155"/>
      <c r="E376" s="155"/>
      <c r="F376" s="155"/>
      <c r="G376" s="155"/>
      <c r="H376" s="155"/>
      <c r="I376" s="155"/>
      <c r="J376" s="155"/>
      <c r="K376" s="155"/>
      <c r="L376" s="155"/>
      <c r="M376" s="155"/>
      <c r="N376" s="155"/>
      <c r="O376" s="155"/>
      <c r="P376" s="155"/>
      <c r="Q376" s="155"/>
      <c r="R376" s="155"/>
      <c r="S376" s="155"/>
      <c r="T376" s="155"/>
      <c r="U376" s="155"/>
      <c r="V376" s="155"/>
      <c r="W376" s="155"/>
      <c r="GL376" s="155"/>
      <c r="GM376" s="155"/>
      <c r="GN376" s="155"/>
      <c r="GO376" s="155"/>
      <c r="GP376" s="155"/>
      <c r="GQ376" s="155"/>
      <c r="GR376" s="155"/>
      <c r="GS376" s="155"/>
      <c r="GT376" s="155"/>
      <c r="GU376" s="155"/>
      <c r="GV376" s="155"/>
      <c r="GW376" s="155"/>
      <c r="GX376" s="155"/>
      <c r="GY376" s="155"/>
      <c r="GZ376" s="155"/>
      <c r="HA376" s="155"/>
      <c r="HB376" s="155"/>
      <c r="HC376" s="155"/>
      <c r="HD376" s="155"/>
      <c r="HE376" s="155"/>
    </row>
    <row r="377" spans="2:213" s="156" customFormat="1" hidden="1">
      <c r="B377" s="155"/>
      <c r="C377" s="155"/>
      <c r="D377" s="155"/>
      <c r="E377" s="155"/>
      <c r="F377" s="155"/>
      <c r="G377" s="155"/>
      <c r="H377" s="155"/>
      <c r="I377" s="155"/>
      <c r="J377" s="155"/>
      <c r="K377" s="155"/>
      <c r="L377" s="155"/>
      <c r="M377" s="155"/>
      <c r="N377" s="155"/>
      <c r="O377" s="155"/>
      <c r="P377" s="155"/>
      <c r="Q377" s="155"/>
      <c r="R377" s="155"/>
      <c r="S377" s="155"/>
      <c r="T377" s="155"/>
      <c r="U377" s="155"/>
      <c r="V377" s="155"/>
      <c r="W377" s="155"/>
      <c r="GL377" s="155"/>
      <c r="GM377" s="155"/>
      <c r="GN377" s="155"/>
      <c r="GO377" s="155"/>
      <c r="GP377" s="155"/>
      <c r="GQ377" s="155"/>
      <c r="GR377" s="155"/>
      <c r="GS377" s="155"/>
      <c r="GT377" s="155"/>
      <c r="GU377" s="155"/>
      <c r="GV377" s="155"/>
      <c r="GW377" s="155"/>
      <c r="GX377" s="155"/>
      <c r="GY377" s="155"/>
      <c r="GZ377" s="155"/>
      <c r="HA377" s="155"/>
      <c r="HB377" s="155"/>
      <c r="HC377" s="155"/>
      <c r="HD377" s="155"/>
      <c r="HE377" s="155"/>
    </row>
    <row r="378" spans="2:213" s="156" customFormat="1" hidden="1">
      <c r="B378" s="155"/>
      <c r="C378" s="155"/>
      <c r="D378" s="155"/>
      <c r="E378" s="155"/>
      <c r="F378" s="155"/>
      <c r="G378" s="155"/>
      <c r="H378" s="155"/>
      <c r="I378" s="155"/>
      <c r="J378" s="155"/>
      <c r="K378" s="155"/>
      <c r="L378" s="155"/>
      <c r="M378" s="155"/>
      <c r="N378" s="155"/>
      <c r="O378" s="155"/>
      <c r="P378" s="155"/>
      <c r="Q378" s="155"/>
      <c r="R378" s="155"/>
      <c r="S378" s="155"/>
      <c r="T378" s="155"/>
      <c r="U378" s="155"/>
      <c r="V378" s="155"/>
      <c r="W378" s="155"/>
      <c r="GL378" s="155"/>
      <c r="GM378" s="155"/>
      <c r="GN378" s="155"/>
      <c r="GO378" s="155"/>
      <c r="GP378" s="155"/>
      <c r="GQ378" s="155"/>
      <c r="GR378" s="155"/>
      <c r="GS378" s="155"/>
      <c r="GT378" s="155"/>
      <c r="GU378" s="155"/>
      <c r="GV378" s="155"/>
      <c r="GW378" s="155"/>
      <c r="GX378" s="155"/>
      <c r="GY378" s="155"/>
      <c r="GZ378" s="155"/>
      <c r="HA378" s="155"/>
      <c r="HB378" s="155"/>
      <c r="HC378" s="155"/>
      <c r="HD378" s="155"/>
      <c r="HE378" s="155"/>
    </row>
    <row r="379" spans="2:213" s="156" customFormat="1" hidden="1">
      <c r="B379" s="155"/>
      <c r="C379" s="155"/>
      <c r="D379" s="155"/>
      <c r="E379" s="155"/>
      <c r="F379" s="155"/>
      <c r="G379" s="155"/>
      <c r="H379" s="155"/>
      <c r="I379" s="155"/>
      <c r="J379" s="155"/>
      <c r="K379" s="155"/>
      <c r="L379" s="155"/>
      <c r="M379" s="155"/>
      <c r="N379" s="155"/>
      <c r="O379" s="155"/>
      <c r="P379" s="155"/>
      <c r="Q379" s="155"/>
      <c r="R379" s="155"/>
      <c r="S379" s="155"/>
      <c r="T379" s="155"/>
      <c r="U379" s="155"/>
      <c r="V379" s="155"/>
      <c r="W379" s="155"/>
      <c r="GL379" s="155"/>
      <c r="GM379" s="155"/>
      <c r="GN379" s="155"/>
      <c r="GO379" s="155"/>
      <c r="GP379" s="155"/>
      <c r="GQ379" s="155"/>
      <c r="GR379" s="155"/>
      <c r="GS379" s="155"/>
      <c r="GT379" s="155"/>
      <c r="GU379" s="155"/>
      <c r="GV379" s="155"/>
      <c r="GW379" s="155"/>
      <c r="GX379" s="155"/>
      <c r="GY379" s="155"/>
      <c r="GZ379" s="155"/>
      <c r="HA379" s="155"/>
      <c r="HB379" s="155"/>
      <c r="HC379" s="155"/>
      <c r="HD379" s="155"/>
      <c r="HE379" s="155"/>
    </row>
    <row r="380" spans="2:213" s="156" customFormat="1" hidden="1">
      <c r="B380" s="155"/>
      <c r="C380" s="155"/>
      <c r="D380" s="155"/>
      <c r="E380" s="155"/>
      <c r="F380" s="155"/>
      <c r="G380" s="155"/>
      <c r="H380" s="155"/>
      <c r="I380" s="155"/>
      <c r="J380" s="155"/>
      <c r="K380" s="155"/>
      <c r="L380" s="155"/>
      <c r="M380" s="155"/>
      <c r="N380" s="155"/>
      <c r="O380" s="155"/>
      <c r="P380" s="155"/>
      <c r="Q380" s="155"/>
      <c r="R380" s="155"/>
      <c r="S380" s="155"/>
      <c r="T380" s="155"/>
      <c r="U380" s="155"/>
      <c r="V380" s="155"/>
      <c r="W380" s="155"/>
      <c r="GL380" s="155"/>
      <c r="GM380" s="155"/>
      <c r="GN380" s="155"/>
      <c r="GO380" s="155"/>
      <c r="GP380" s="155"/>
      <c r="GQ380" s="155"/>
      <c r="GR380" s="155"/>
      <c r="GS380" s="155"/>
      <c r="GT380" s="155"/>
      <c r="GU380" s="155"/>
      <c r="GV380" s="155"/>
      <c r="GW380" s="155"/>
      <c r="GX380" s="155"/>
      <c r="GY380" s="155"/>
      <c r="GZ380" s="155"/>
      <c r="HA380" s="155"/>
      <c r="HB380" s="155"/>
      <c r="HC380" s="155"/>
      <c r="HD380" s="155"/>
      <c r="HE380" s="155"/>
    </row>
    <row r="381" spans="2:213" s="156" customFormat="1" hidden="1">
      <c r="B381" s="155"/>
      <c r="C381" s="155"/>
      <c r="D381" s="155"/>
      <c r="E381" s="155"/>
      <c r="F381" s="155"/>
      <c r="G381" s="155"/>
      <c r="H381" s="155"/>
      <c r="I381" s="155"/>
      <c r="J381" s="155"/>
      <c r="K381" s="155"/>
      <c r="L381" s="155"/>
      <c r="M381" s="155"/>
      <c r="N381" s="155"/>
      <c r="O381" s="155"/>
      <c r="P381" s="155"/>
      <c r="Q381" s="155"/>
      <c r="R381" s="155"/>
      <c r="S381" s="155"/>
      <c r="T381" s="155"/>
      <c r="U381" s="155"/>
      <c r="V381" s="155"/>
      <c r="W381" s="155"/>
      <c r="GL381" s="155"/>
      <c r="GM381" s="155"/>
      <c r="GN381" s="155"/>
      <c r="GO381" s="155"/>
      <c r="GP381" s="155"/>
      <c r="GQ381" s="155"/>
      <c r="GR381" s="155"/>
      <c r="GS381" s="155"/>
      <c r="GT381" s="155"/>
      <c r="GU381" s="155"/>
      <c r="GV381" s="155"/>
      <c r="GW381" s="155"/>
      <c r="GX381" s="155"/>
      <c r="GY381" s="155"/>
      <c r="GZ381" s="155"/>
      <c r="HA381" s="155"/>
      <c r="HB381" s="155"/>
      <c r="HC381" s="155"/>
      <c r="HD381" s="155"/>
      <c r="HE381" s="155"/>
    </row>
    <row r="382" spans="2:213" s="156" customFormat="1" hidden="1">
      <c r="B382" s="155"/>
      <c r="C382" s="155"/>
      <c r="D382" s="155"/>
      <c r="E382" s="155"/>
      <c r="F382" s="155"/>
      <c r="G382" s="155"/>
      <c r="H382" s="155"/>
      <c r="I382" s="155"/>
      <c r="J382" s="155"/>
      <c r="K382" s="155"/>
      <c r="L382" s="155"/>
      <c r="M382" s="155"/>
      <c r="N382" s="155"/>
      <c r="O382" s="155"/>
      <c r="P382" s="155"/>
      <c r="Q382" s="155"/>
      <c r="R382" s="155"/>
      <c r="S382" s="155"/>
      <c r="T382" s="155"/>
      <c r="U382" s="155"/>
      <c r="V382" s="155"/>
      <c r="W382" s="155"/>
      <c r="GL382" s="155"/>
      <c r="GM382" s="155"/>
      <c r="GN382" s="155"/>
      <c r="GO382" s="155"/>
      <c r="GP382" s="155"/>
      <c r="GQ382" s="155"/>
      <c r="GR382" s="155"/>
      <c r="GS382" s="155"/>
      <c r="GT382" s="155"/>
      <c r="GU382" s="155"/>
      <c r="GV382" s="155"/>
      <c r="GW382" s="155"/>
      <c r="GX382" s="155"/>
      <c r="GY382" s="155"/>
      <c r="GZ382" s="155"/>
      <c r="HA382" s="155"/>
      <c r="HB382" s="155"/>
      <c r="HC382" s="155"/>
      <c r="HD382" s="155"/>
      <c r="HE382" s="155"/>
    </row>
    <row r="383" spans="2:213" s="156" customFormat="1" hidden="1">
      <c r="B383" s="155"/>
      <c r="C383" s="155"/>
      <c r="D383" s="155"/>
      <c r="E383" s="155"/>
      <c r="F383" s="155"/>
      <c r="G383" s="155"/>
      <c r="H383" s="155"/>
      <c r="I383" s="155"/>
      <c r="J383" s="155"/>
      <c r="K383" s="155"/>
      <c r="L383" s="155"/>
      <c r="M383" s="155"/>
      <c r="N383" s="155"/>
      <c r="O383" s="155"/>
      <c r="P383" s="155"/>
      <c r="Q383" s="155"/>
      <c r="R383" s="155"/>
      <c r="S383" s="155"/>
      <c r="T383" s="155"/>
      <c r="U383" s="155"/>
      <c r="V383" s="155"/>
      <c r="W383" s="155"/>
      <c r="GL383" s="155"/>
      <c r="GM383" s="155"/>
      <c r="GN383" s="155"/>
      <c r="GO383" s="155"/>
      <c r="GP383" s="155"/>
      <c r="GQ383" s="155"/>
      <c r="GR383" s="155"/>
      <c r="GS383" s="155"/>
      <c r="GT383" s="155"/>
      <c r="GU383" s="155"/>
      <c r="GV383" s="155"/>
      <c r="GW383" s="155"/>
      <c r="GX383" s="155"/>
      <c r="GY383" s="155"/>
      <c r="GZ383" s="155"/>
      <c r="HA383" s="155"/>
      <c r="HB383" s="155"/>
      <c r="HC383" s="155"/>
      <c r="HD383" s="155"/>
      <c r="HE383" s="155"/>
    </row>
    <row r="384" spans="2:213" s="156" customFormat="1" hidden="1">
      <c r="B384" s="155"/>
      <c r="C384" s="155"/>
      <c r="D384" s="155"/>
      <c r="E384" s="155"/>
      <c r="F384" s="155"/>
      <c r="G384" s="155"/>
      <c r="H384" s="155"/>
      <c r="I384" s="155"/>
      <c r="J384" s="155"/>
      <c r="K384" s="155"/>
      <c r="L384" s="155"/>
      <c r="M384" s="155"/>
      <c r="N384" s="155"/>
      <c r="O384" s="155"/>
      <c r="P384" s="155"/>
      <c r="Q384" s="155"/>
      <c r="R384" s="155"/>
      <c r="S384" s="155"/>
      <c r="T384" s="155"/>
      <c r="U384" s="155"/>
      <c r="V384" s="155"/>
      <c r="W384" s="155"/>
      <c r="GL384" s="155"/>
      <c r="GM384" s="155"/>
      <c r="GN384" s="155"/>
      <c r="GO384" s="155"/>
      <c r="GP384" s="155"/>
      <c r="GQ384" s="155"/>
      <c r="GR384" s="155"/>
      <c r="GS384" s="155"/>
      <c r="GT384" s="155"/>
      <c r="GU384" s="155"/>
      <c r="GV384" s="155"/>
      <c r="GW384" s="155"/>
      <c r="GX384" s="155"/>
      <c r="GY384" s="155"/>
      <c r="GZ384" s="155"/>
      <c r="HA384" s="155"/>
      <c r="HB384" s="155"/>
      <c r="HC384" s="155"/>
      <c r="HD384" s="155"/>
      <c r="HE384" s="155"/>
    </row>
    <row r="385" spans="2:213" s="156" customFormat="1" hidden="1">
      <c r="B385" s="155"/>
      <c r="C385" s="155"/>
      <c r="D385" s="155"/>
      <c r="E385" s="155"/>
      <c r="F385" s="155"/>
      <c r="G385" s="155"/>
      <c r="H385" s="155"/>
      <c r="I385" s="155"/>
      <c r="J385" s="155"/>
      <c r="K385" s="155"/>
      <c r="L385" s="155"/>
      <c r="M385" s="155"/>
      <c r="N385" s="155"/>
      <c r="O385" s="155"/>
      <c r="P385" s="155"/>
      <c r="Q385" s="155"/>
      <c r="R385" s="155"/>
      <c r="S385" s="155"/>
      <c r="T385" s="155"/>
      <c r="U385" s="155"/>
      <c r="V385" s="155"/>
      <c r="W385" s="155"/>
      <c r="GL385" s="155"/>
      <c r="GM385" s="155"/>
      <c r="GN385" s="155"/>
      <c r="GO385" s="155"/>
      <c r="GP385" s="155"/>
      <c r="GQ385" s="155"/>
      <c r="GR385" s="155"/>
      <c r="GS385" s="155"/>
      <c r="GT385" s="155"/>
      <c r="GU385" s="155"/>
      <c r="GV385" s="155"/>
      <c r="GW385" s="155"/>
      <c r="GX385" s="155"/>
      <c r="GY385" s="155"/>
      <c r="GZ385" s="155"/>
      <c r="HA385" s="155"/>
      <c r="HB385" s="155"/>
      <c r="HC385" s="155"/>
      <c r="HD385" s="155"/>
      <c r="HE385" s="155"/>
    </row>
    <row r="386" spans="2:213" s="156" customFormat="1" hidden="1">
      <c r="B386" s="155"/>
      <c r="C386" s="155"/>
      <c r="D386" s="155"/>
      <c r="E386" s="155"/>
      <c r="F386" s="155"/>
      <c r="G386" s="155"/>
      <c r="H386" s="155"/>
      <c r="I386" s="155"/>
      <c r="J386" s="155"/>
      <c r="K386" s="155"/>
      <c r="L386" s="155"/>
      <c r="M386" s="155"/>
      <c r="N386" s="155"/>
      <c r="O386" s="155"/>
      <c r="P386" s="155"/>
      <c r="Q386" s="155"/>
      <c r="R386" s="155"/>
      <c r="S386" s="155"/>
      <c r="T386" s="155"/>
      <c r="U386" s="155"/>
      <c r="V386" s="155"/>
      <c r="W386" s="155"/>
      <c r="GL386" s="155"/>
      <c r="GM386" s="155"/>
      <c r="GN386" s="155"/>
      <c r="GO386" s="155"/>
      <c r="GP386" s="155"/>
      <c r="GQ386" s="155"/>
      <c r="GR386" s="155"/>
      <c r="GS386" s="155"/>
      <c r="GT386" s="155"/>
      <c r="GU386" s="155"/>
      <c r="GV386" s="155"/>
      <c r="GW386" s="155"/>
      <c r="GX386" s="155"/>
      <c r="GY386" s="155"/>
      <c r="GZ386" s="155"/>
      <c r="HA386" s="155"/>
      <c r="HB386" s="155"/>
      <c r="HC386" s="155"/>
      <c r="HD386" s="155"/>
      <c r="HE386" s="155"/>
    </row>
    <row r="387" spans="2:213" s="156" customFormat="1" hidden="1">
      <c r="B387" s="155"/>
      <c r="C387" s="155"/>
      <c r="D387" s="155"/>
      <c r="E387" s="155"/>
      <c r="F387" s="155"/>
      <c r="G387" s="155"/>
      <c r="H387" s="155"/>
      <c r="I387" s="155"/>
      <c r="J387" s="155"/>
      <c r="K387" s="155"/>
      <c r="L387" s="155"/>
      <c r="M387" s="155"/>
      <c r="N387" s="155"/>
      <c r="O387" s="155"/>
      <c r="P387" s="155"/>
      <c r="Q387" s="155"/>
      <c r="R387" s="155"/>
      <c r="S387" s="155"/>
      <c r="T387" s="155"/>
      <c r="U387" s="155"/>
      <c r="V387" s="155"/>
      <c r="W387" s="155"/>
      <c r="GL387" s="155"/>
      <c r="GM387" s="155"/>
      <c r="GN387" s="155"/>
      <c r="GO387" s="155"/>
      <c r="GP387" s="155"/>
      <c r="GQ387" s="155"/>
      <c r="GR387" s="155"/>
      <c r="GS387" s="155"/>
      <c r="GT387" s="155"/>
      <c r="GU387" s="155"/>
      <c r="GV387" s="155"/>
      <c r="GW387" s="155"/>
      <c r="GX387" s="155"/>
      <c r="GY387" s="155"/>
      <c r="GZ387" s="155"/>
      <c r="HA387" s="155"/>
      <c r="HB387" s="155"/>
      <c r="HC387" s="155"/>
      <c r="HD387" s="155"/>
      <c r="HE387" s="155"/>
    </row>
    <row r="388" spans="2:213" s="156" customFormat="1" hidden="1">
      <c r="B388" s="155"/>
      <c r="C388" s="155"/>
      <c r="D388" s="155"/>
      <c r="E388" s="155"/>
      <c r="F388" s="155"/>
      <c r="G388" s="155"/>
      <c r="H388" s="155"/>
      <c r="I388" s="155"/>
      <c r="J388" s="155"/>
      <c r="K388" s="155"/>
      <c r="L388" s="155"/>
      <c r="M388" s="155"/>
      <c r="N388" s="155"/>
      <c r="O388" s="155"/>
      <c r="P388" s="155"/>
      <c r="Q388" s="155"/>
      <c r="R388" s="155"/>
      <c r="S388" s="155"/>
      <c r="T388" s="155"/>
      <c r="U388" s="155"/>
      <c r="V388" s="155"/>
      <c r="W388" s="155"/>
      <c r="GL388" s="155"/>
      <c r="GM388" s="155"/>
      <c r="GN388" s="155"/>
      <c r="GO388" s="155"/>
      <c r="GP388" s="155"/>
      <c r="GQ388" s="155"/>
      <c r="GR388" s="155"/>
      <c r="GS388" s="155"/>
      <c r="GT388" s="155"/>
      <c r="GU388" s="155"/>
      <c r="GV388" s="155"/>
      <c r="GW388" s="155"/>
      <c r="GX388" s="155"/>
      <c r="GY388" s="155"/>
      <c r="GZ388" s="155"/>
      <c r="HA388" s="155"/>
      <c r="HB388" s="155"/>
      <c r="HC388" s="155"/>
      <c r="HD388" s="155"/>
      <c r="HE388" s="155"/>
    </row>
    <row r="389" spans="2:213" s="156" customFormat="1" hidden="1">
      <c r="B389" s="155"/>
      <c r="C389" s="155"/>
      <c r="D389" s="155"/>
      <c r="E389" s="155"/>
      <c r="F389" s="155"/>
      <c r="G389" s="155"/>
      <c r="H389" s="155"/>
      <c r="I389" s="155"/>
      <c r="J389" s="155"/>
      <c r="K389" s="155"/>
      <c r="L389" s="155"/>
      <c r="M389" s="155"/>
      <c r="N389" s="155"/>
      <c r="O389" s="155"/>
      <c r="P389" s="155"/>
      <c r="Q389" s="155"/>
      <c r="R389" s="155"/>
      <c r="S389" s="155"/>
      <c r="T389" s="155"/>
      <c r="U389" s="155"/>
      <c r="V389" s="155"/>
      <c r="W389" s="155"/>
      <c r="GL389" s="155"/>
      <c r="GM389" s="155"/>
      <c r="GN389" s="155"/>
      <c r="GO389" s="155"/>
      <c r="GP389" s="155"/>
      <c r="GQ389" s="155"/>
      <c r="GR389" s="155"/>
      <c r="GS389" s="155"/>
      <c r="GT389" s="155"/>
      <c r="GU389" s="155"/>
      <c r="GV389" s="155"/>
      <c r="GW389" s="155"/>
      <c r="GX389" s="155"/>
      <c r="GY389" s="155"/>
      <c r="GZ389" s="155"/>
      <c r="HA389" s="155"/>
      <c r="HB389" s="155"/>
      <c r="HC389" s="155"/>
      <c r="HD389" s="155"/>
      <c r="HE389" s="155"/>
    </row>
    <row r="390" spans="2:213" s="156" customFormat="1" hidden="1">
      <c r="B390" s="155"/>
      <c r="C390" s="155"/>
      <c r="D390" s="155"/>
      <c r="E390" s="155"/>
      <c r="F390" s="155"/>
      <c r="G390" s="155"/>
      <c r="H390" s="155"/>
      <c r="I390" s="155"/>
      <c r="J390" s="155"/>
      <c r="K390" s="155"/>
      <c r="L390" s="155"/>
      <c r="M390" s="155"/>
      <c r="N390" s="155"/>
      <c r="O390" s="155"/>
      <c r="P390" s="155"/>
      <c r="Q390" s="155"/>
      <c r="R390" s="155"/>
      <c r="S390" s="155"/>
      <c r="T390" s="155"/>
      <c r="U390" s="155"/>
      <c r="V390" s="155"/>
      <c r="W390" s="155"/>
      <c r="GL390" s="155"/>
      <c r="GM390" s="155"/>
      <c r="GN390" s="155"/>
      <c r="GO390" s="155"/>
      <c r="GP390" s="155"/>
      <c r="GQ390" s="155"/>
      <c r="GR390" s="155"/>
      <c r="GS390" s="155"/>
      <c r="GT390" s="155"/>
      <c r="GU390" s="155"/>
      <c r="GV390" s="155"/>
      <c r="GW390" s="155"/>
      <c r="GX390" s="155"/>
      <c r="GY390" s="155"/>
      <c r="GZ390" s="155"/>
      <c r="HA390" s="155"/>
      <c r="HB390" s="155"/>
      <c r="HC390" s="155"/>
      <c r="HD390" s="155"/>
      <c r="HE390" s="155"/>
    </row>
    <row r="391" spans="2:213" s="156" customFormat="1" hidden="1">
      <c r="B391" s="155"/>
      <c r="C391" s="155"/>
      <c r="D391" s="155"/>
      <c r="E391" s="155"/>
      <c r="F391" s="155"/>
      <c r="G391" s="155"/>
      <c r="H391" s="155"/>
      <c r="I391" s="155"/>
      <c r="J391" s="155"/>
      <c r="K391" s="155"/>
      <c r="L391" s="155"/>
      <c r="M391" s="155"/>
      <c r="N391" s="155"/>
      <c r="O391" s="155"/>
      <c r="P391" s="155"/>
      <c r="Q391" s="155"/>
      <c r="R391" s="155"/>
      <c r="S391" s="155"/>
      <c r="T391" s="155"/>
      <c r="U391" s="155"/>
      <c r="V391" s="155"/>
      <c r="W391" s="155"/>
      <c r="GL391" s="155"/>
      <c r="GM391" s="155"/>
      <c r="GN391" s="155"/>
      <c r="GO391" s="155"/>
      <c r="GP391" s="155"/>
      <c r="GQ391" s="155"/>
      <c r="GR391" s="155"/>
      <c r="GS391" s="155"/>
      <c r="GT391" s="155"/>
      <c r="GU391" s="155"/>
      <c r="GV391" s="155"/>
      <c r="GW391" s="155"/>
      <c r="GX391" s="155"/>
      <c r="GY391" s="155"/>
      <c r="GZ391" s="155"/>
      <c r="HA391" s="155"/>
      <c r="HB391" s="155"/>
      <c r="HC391" s="155"/>
      <c r="HD391" s="155"/>
      <c r="HE391" s="155"/>
    </row>
    <row r="392" spans="2:213" s="156" customFormat="1" hidden="1">
      <c r="B392" s="155"/>
      <c r="C392" s="155"/>
      <c r="D392" s="155"/>
      <c r="E392" s="155"/>
      <c r="F392" s="155"/>
      <c r="G392" s="155"/>
      <c r="H392" s="155"/>
      <c r="I392" s="155"/>
      <c r="J392" s="155"/>
      <c r="K392" s="155"/>
      <c r="L392" s="155"/>
      <c r="M392" s="155"/>
      <c r="N392" s="155"/>
      <c r="O392" s="155"/>
      <c r="P392" s="155"/>
      <c r="Q392" s="155"/>
      <c r="R392" s="155"/>
      <c r="S392" s="155"/>
      <c r="T392" s="155"/>
      <c r="U392" s="155"/>
      <c r="V392" s="155"/>
      <c r="W392" s="155"/>
      <c r="GL392" s="155"/>
      <c r="GM392" s="155"/>
      <c r="GN392" s="155"/>
      <c r="GO392" s="155"/>
      <c r="GP392" s="155"/>
      <c r="GQ392" s="155"/>
      <c r="GR392" s="155"/>
      <c r="GS392" s="155"/>
      <c r="GT392" s="155"/>
      <c r="GU392" s="155"/>
      <c r="GV392" s="155"/>
      <c r="GW392" s="155"/>
      <c r="GX392" s="155"/>
      <c r="GY392" s="155"/>
      <c r="GZ392" s="155"/>
      <c r="HA392" s="155"/>
      <c r="HB392" s="155"/>
      <c r="HC392" s="155"/>
      <c r="HD392" s="155"/>
      <c r="HE392" s="155"/>
    </row>
    <row r="393" spans="2:213" s="156" customFormat="1" hidden="1">
      <c r="B393" s="155"/>
      <c r="C393" s="155"/>
      <c r="D393" s="155"/>
      <c r="E393" s="155"/>
      <c r="F393" s="155"/>
      <c r="G393" s="155"/>
      <c r="H393" s="155"/>
      <c r="I393" s="155"/>
      <c r="J393" s="155"/>
      <c r="K393" s="155"/>
      <c r="L393" s="155"/>
      <c r="M393" s="155"/>
      <c r="N393" s="155"/>
      <c r="O393" s="155"/>
      <c r="P393" s="155"/>
      <c r="Q393" s="155"/>
      <c r="R393" s="155"/>
      <c r="S393" s="155"/>
      <c r="T393" s="155"/>
      <c r="U393" s="155"/>
      <c r="V393" s="155"/>
      <c r="W393" s="155"/>
      <c r="GL393" s="155"/>
      <c r="GM393" s="155"/>
      <c r="GN393" s="155"/>
      <c r="GO393" s="155"/>
      <c r="GP393" s="155"/>
      <c r="GQ393" s="155"/>
      <c r="GR393" s="155"/>
      <c r="GS393" s="155"/>
      <c r="GT393" s="155"/>
      <c r="GU393" s="155"/>
      <c r="GV393" s="155"/>
      <c r="GW393" s="155"/>
      <c r="GX393" s="155"/>
      <c r="GY393" s="155"/>
      <c r="GZ393" s="155"/>
      <c r="HA393" s="155"/>
      <c r="HB393" s="155"/>
      <c r="HC393" s="155"/>
      <c r="HD393" s="155"/>
      <c r="HE393" s="155"/>
    </row>
    <row r="394" spans="2:213" s="156" customFormat="1" hidden="1">
      <c r="B394" s="155"/>
      <c r="C394" s="155"/>
      <c r="D394" s="155"/>
      <c r="E394" s="155"/>
      <c r="F394" s="155"/>
      <c r="G394" s="155"/>
      <c r="H394" s="155"/>
      <c r="I394" s="155"/>
      <c r="J394" s="155"/>
      <c r="K394" s="155"/>
      <c r="L394" s="155"/>
      <c r="M394" s="155"/>
      <c r="N394" s="155"/>
      <c r="O394" s="155"/>
      <c r="P394" s="155"/>
      <c r="Q394" s="155"/>
      <c r="R394" s="155"/>
      <c r="S394" s="155"/>
      <c r="T394" s="155"/>
      <c r="U394" s="155"/>
      <c r="V394" s="155"/>
      <c r="W394" s="155"/>
      <c r="GL394" s="155"/>
      <c r="GM394" s="155"/>
      <c r="GN394" s="155"/>
      <c r="GO394" s="155"/>
      <c r="GP394" s="155"/>
      <c r="GQ394" s="155"/>
      <c r="GR394" s="155"/>
      <c r="GS394" s="155"/>
      <c r="GT394" s="155"/>
      <c r="GU394" s="155"/>
      <c r="GV394" s="155"/>
      <c r="GW394" s="155"/>
      <c r="GX394" s="155"/>
      <c r="GY394" s="155"/>
      <c r="GZ394" s="155"/>
      <c r="HA394" s="155"/>
      <c r="HB394" s="155"/>
      <c r="HC394" s="155"/>
      <c r="HD394" s="155"/>
      <c r="HE394" s="155"/>
    </row>
    <row r="395" spans="2:213" s="156" customFormat="1" hidden="1">
      <c r="B395" s="155"/>
      <c r="C395" s="155"/>
      <c r="D395" s="155"/>
      <c r="E395" s="155"/>
      <c r="F395" s="155"/>
      <c r="G395" s="155"/>
      <c r="H395" s="155"/>
      <c r="I395" s="155"/>
      <c r="J395" s="155"/>
      <c r="K395" s="155"/>
      <c r="L395" s="155"/>
      <c r="M395" s="155"/>
      <c r="N395" s="155"/>
      <c r="O395" s="155"/>
      <c r="P395" s="155"/>
      <c r="Q395" s="155"/>
      <c r="R395" s="155"/>
      <c r="S395" s="155"/>
      <c r="T395" s="155"/>
      <c r="U395" s="155"/>
      <c r="V395" s="155"/>
      <c r="W395" s="155"/>
      <c r="GL395" s="155"/>
      <c r="GM395" s="155"/>
      <c r="GN395" s="155"/>
      <c r="GO395" s="155"/>
      <c r="GP395" s="155"/>
      <c r="GQ395" s="155"/>
      <c r="GR395" s="155"/>
      <c r="GS395" s="155"/>
      <c r="GT395" s="155"/>
      <c r="GU395" s="155"/>
      <c r="GV395" s="155"/>
      <c r="GW395" s="155"/>
      <c r="GX395" s="155"/>
      <c r="GY395" s="155"/>
      <c r="GZ395" s="155"/>
      <c r="HA395" s="155"/>
      <c r="HB395" s="155"/>
      <c r="HC395" s="155"/>
      <c r="HD395" s="155"/>
      <c r="HE395" s="155"/>
    </row>
    <row r="396" spans="2:213" s="156" customFormat="1" hidden="1">
      <c r="B396" s="155"/>
      <c r="C396" s="155"/>
      <c r="D396" s="155"/>
      <c r="E396" s="155"/>
      <c r="F396" s="155"/>
      <c r="G396" s="155"/>
      <c r="H396" s="155"/>
      <c r="I396" s="155"/>
      <c r="J396" s="155"/>
      <c r="K396" s="155"/>
      <c r="L396" s="155"/>
      <c r="M396" s="155"/>
      <c r="N396" s="155"/>
      <c r="O396" s="155"/>
      <c r="P396" s="155"/>
      <c r="Q396" s="155"/>
      <c r="R396" s="155"/>
      <c r="S396" s="155"/>
      <c r="T396" s="155"/>
      <c r="U396" s="155"/>
      <c r="V396" s="155"/>
      <c r="W396" s="155"/>
      <c r="GL396" s="155"/>
      <c r="GM396" s="155"/>
      <c r="GN396" s="155"/>
      <c r="GO396" s="155"/>
      <c r="GP396" s="155"/>
      <c r="GQ396" s="155"/>
      <c r="GR396" s="155"/>
      <c r="GS396" s="155"/>
      <c r="GT396" s="155"/>
      <c r="GU396" s="155"/>
      <c r="GV396" s="155"/>
      <c r="GW396" s="155"/>
      <c r="GX396" s="155"/>
      <c r="GY396" s="155"/>
      <c r="GZ396" s="155"/>
      <c r="HA396" s="155"/>
      <c r="HB396" s="155"/>
      <c r="HC396" s="155"/>
      <c r="HD396" s="155"/>
      <c r="HE396" s="155"/>
    </row>
    <row r="397" spans="2:213" s="156" customFormat="1" hidden="1">
      <c r="B397" s="155"/>
      <c r="C397" s="155"/>
      <c r="D397" s="155"/>
      <c r="E397" s="155"/>
      <c r="F397" s="155"/>
      <c r="G397" s="155"/>
      <c r="H397" s="155"/>
      <c r="I397" s="155"/>
      <c r="J397" s="155"/>
      <c r="K397" s="155"/>
      <c r="L397" s="155"/>
      <c r="M397" s="155"/>
      <c r="N397" s="155"/>
      <c r="O397" s="155"/>
      <c r="P397" s="155"/>
      <c r="Q397" s="155"/>
      <c r="R397" s="155"/>
      <c r="S397" s="155"/>
      <c r="T397" s="155"/>
      <c r="U397" s="155"/>
      <c r="V397" s="155"/>
      <c r="W397" s="155"/>
      <c r="GL397" s="155"/>
      <c r="GM397" s="155"/>
      <c r="GN397" s="155"/>
      <c r="GO397" s="155"/>
      <c r="GP397" s="155"/>
      <c r="GQ397" s="155"/>
      <c r="GR397" s="155"/>
      <c r="GS397" s="155"/>
      <c r="GT397" s="155"/>
      <c r="GU397" s="155"/>
      <c r="GV397" s="155"/>
      <c r="GW397" s="155"/>
      <c r="GX397" s="155"/>
      <c r="GY397" s="155"/>
      <c r="GZ397" s="155"/>
      <c r="HA397" s="155"/>
      <c r="HB397" s="155"/>
      <c r="HC397" s="155"/>
      <c r="HD397" s="155"/>
      <c r="HE397" s="155"/>
    </row>
    <row r="398" spans="2:213" s="156" customFormat="1" hidden="1">
      <c r="B398" s="155"/>
      <c r="C398" s="155"/>
      <c r="D398" s="155"/>
      <c r="E398" s="155"/>
      <c r="F398" s="155"/>
      <c r="G398" s="155"/>
      <c r="H398" s="155"/>
      <c r="I398" s="155"/>
      <c r="J398" s="155"/>
      <c r="K398" s="155"/>
      <c r="L398" s="155"/>
      <c r="M398" s="155"/>
      <c r="N398" s="155"/>
      <c r="O398" s="155"/>
      <c r="P398" s="155"/>
      <c r="Q398" s="155"/>
      <c r="R398" s="155"/>
      <c r="S398" s="155"/>
      <c r="T398" s="155"/>
      <c r="U398" s="155"/>
      <c r="V398" s="155"/>
      <c r="W398" s="155"/>
      <c r="GL398" s="155"/>
      <c r="GM398" s="155"/>
      <c r="GN398" s="155"/>
      <c r="GO398" s="155"/>
      <c r="GP398" s="155"/>
      <c r="GQ398" s="155"/>
      <c r="GR398" s="155"/>
      <c r="GS398" s="155"/>
      <c r="GT398" s="155"/>
      <c r="GU398" s="155"/>
      <c r="GV398" s="155"/>
      <c r="GW398" s="155"/>
      <c r="GX398" s="155"/>
      <c r="GY398" s="155"/>
      <c r="GZ398" s="155"/>
      <c r="HA398" s="155"/>
      <c r="HB398" s="155"/>
      <c r="HC398" s="155"/>
      <c r="HD398" s="155"/>
      <c r="HE398" s="155"/>
    </row>
    <row r="399" spans="2:213" s="156" customFormat="1" hidden="1">
      <c r="B399" s="155"/>
      <c r="C399" s="155"/>
      <c r="D399" s="155"/>
      <c r="E399" s="155"/>
      <c r="F399" s="155"/>
      <c r="G399" s="155"/>
      <c r="H399" s="155"/>
      <c r="I399" s="155"/>
      <c r="J399" s="155"/>
      <c r="K399" s="155"/>
      <c r="L399" s="155"/>
      <c r="M399" s="155"/>
      <c r="N399" s="155"/>
      <c r="O399" s="155"/>
      <c r="P399" s="155"/>
      <c r="Q399" s="155"/>
      <c r="R399" s="155"/>
      <c r="S399" s="155"/>
      <c r="T399" s="155"/>
      <c r="U399" s="155"/>
      <c r="V399" s="155"/>
      <c r="W399" s="155"/>
      <c r="GL399" s="155"/>
      <c r="GM399" s="155"/>
      <c r="GN399" s="155"/>
      <c r="GO399" s="155"/>
      <c r="GP399" s="155"/>
      <c r="GQ399" s="155"/>
      <c r="GR399" s="155"/>
      <c r="GS399" s="155"/>
      <c r="GT399" s="155"/>
      <c r="GU399" s="155"/>
      <c r="GV399" s="155"/>
      <c r="GW399" s="155"/>
      <c r="GX399" s="155"/>
      <c r="GY399" s="155"/>
      <c r="GZ399" s="155"/>
      <c r="HA399" s="155"/>
      <c r="HB399" s="155"/>
      <c r="HC399" s="155"/>
      <c r="HD399" s="155"/>
      <c r="HE399" s="155"/>
    </row>
    <row r="400" spans="2:213" s="156" customFormat="1" hidden="1">
      <c r="B400" s="155"/>
      <c r="C400" s="155"/>
      <c r="D400" s="155"/>
      <c r="E400" s="155"/>
      <c r="F400" s="155"/>
      <c r="G400" s="155"/>
      <c r="H400" s="155"/>
      <c r="I400" s="155"/>
      <c r="J400" s="155"/>
      <c r="K400" s="155"/>
      <c r="L400" s="155"/>
      <c r="M400" s="155"/>
      <c r="N400" s="155"/>
      <c r="O400" s="155"/>
      <c r="P400" s="155"/>
      <c r="Q400" s="155"/>
      <c r="R400" s="155"/>
      <c r="S400" s="155"/>
      <c r="T400" s="155"/>
      <c r="U400" s="155"/>
      <c r="V400" s="155"/>
      <c r="W400" s="155"/>
      <c r="GL400" s="155"/>
      <c r="GM400" s="155"/>
      <c r="GN400" s="155"/>
      <c r="GO400" s="155"/>
      <c r="GP400" s="155"/>
      <c r="GQ400" s="155"/>
      <c r="GR400" s="155"/>
      <c r="GS400" s="155"/>
      <c r="GT400" s="155"/>
      <c r="GU400" s="155"/>
      <c r="GV400" s="155"/>
      <c r="GW400" s="155"/>
      <c r="GX400" s="155"/>
      <c r="GY400" s="155"/>
      <c r="GZ400" s="155"/>
      <c r="HA400" s="155"/>
      <c r="HB400" s="155"/>
      <c r="HC400" s="155"/>
      <c r="HD400" s="155"/>
      <c r="HE400" s="155"/>
    </row>
    <row r="401" spans="2:213" s="156" customFormat="1" hidden="1">
      <c r="B401" s="155"/>
      <c r="C401" s="155"/>
      <c r="D401" s="155"/>
      <c r="E401" s="155"/>
      <c r="F401" s="155"/>
      <c r="G401" s="155"/>
      <c r="H401" s="155"/>
      <c r="I401" s="155"/>
      <c r="J401" s="155"/>
      <c r="K401" s="155"/>
      <c r="L401" s="155"/>
      <c r="M401" s="155"/>
      <c r="N401" s="155"/>
      <c r="O401" s="155"/>
      <c r="P401" s="155"/>
      <c r="Q401" s="155"/>
      <c r="R401" s="155"/>
      <c r="S401" s="155"/>
      <c r="T401" s="155"/>
      <c r="U401" s="155"/>
      <c r="V401" s="155"/>
      <c r="W401" s="155"/>
      <c r="GL401" s="155"/>
      <c r="GM401" s="155"/>
      <c r="GN401" s="155"/>
      <c r="GO401" s="155"/>
      <c r="GP401" s="155"/>
      <c r="GQ401" s="155"/>
      <c r="GR401" s="155"/>
      <c r="GS401" s="155"/>
      <c r="GT401" s="155"/>
      <c r="GU401" s="155"/>
      <c r="GV401" s="155"/>
      <c r="GW401" s="155"/>
      <c r="GX401" s="155"/>
      <c r="GY401" s="155"/>
      <c r="GZ401" s="155"/>
      <c r="HA401" s="155"/>
      <c r="HB401" s="155"/>
      <c r="HC401" s="155"/>
      <c r="HD401" s="155"/>
      <c r="HE401" s="155"/>
    </row>
    <row r="402" spans="2:213" s="156" customFormat="1" hidden="1">
      <c r="B402" s="155"/>
      <c r="C402" s="155"/>
      <c r="D402" s="155"/>
      <c r="E402" s="155"/>
      <c r="F402" s="155"/>
      <c r="G402" s="155"/>
      <c r="H402" s="155"/>
      <c r="I402" s="155"/>
      <c r="J402" s="155"/>
      <c r="K402" s="155"/>
      <c r="L402" s="155"/>
      <c r="M402" s="155"/>
      <c r="N402" s="155"/>
      <c r="O402" s="155"/>
      <c r="P402" s="155"/>
      <c r="Q402" s="155"/>
      <c r="R402" s="155"/>
      <c r="S402" s="155"/>
      <c r="T402" s="155"/>
      <c r="U402" s="155"/>
      <c r="V402" s="155"/>
      <c r="W402" s="155"/>
      <c r="GL402" s="155"/>
      <c r="GM402" s="155"/>
      <c r="GN402" s="155"/>
      <c r="GO402" s="155"/>
      <c r="GP402" s="155"/>
      <c r="GQ402" s="155"/>
      <c r="GR402" s="155"/>
      <c r="GS402" s="155"/>
      <c r="GT402" s="155"/>
      <c r="GU402" s="155"/>
      <c r="GV402" s="155"/>
      <c r="GW402" s="155"/>
      <c r="GX402" s="155"/>
      <c r="GY402" s="155"/>
      <c r="GZ402" s="155"/>
      <c r="HA402" s="155"/>
      <c r="HB402" s="155"/>
      <c r="HC402" s="155"/>
      <c r="HD402" s="155"/>
      <c r="HE402" s="155"/>
    </row>
    <row r="403" spans="2:213" s="156" customFormat="1" hidden="1">
      <c r="B403" s="155"/>
      <c r="C403" s="155"/>
      <c r="D403" s="155"/>
      <c r="E403" s="155"/>
      <c r="F403" s="155"/>
      <c r="G403" s="155"/>
      <c r="H403" s="155"/>
      <c r="I403" s="155"/>
      <c r="J403" s="155"/>
      <c r="K403" s="155"/>
      <c r="L403" s="155"/>
      <c r="M403" s="155"/>
      <c r="N403" s="155"/>
      <c r="O403" s="155"/>
      <c r="P403" s="155"/>
      <c r="Q403" s="155"/>
      <c r="R403" s="155"/>
      <c r="S403" s="155"/>
      <c r="T403" s="155"/>
      <c r="U403" s="155"/>
      <c r="V403" s="155"/>
      <c r="W403" s="155"/>
      <c r="GL403" s="155"/>
      <c r="GM403" s="155"/>
      <c r="GN403" s="155"/>
      <c r="GO403" s="155"/>
      <c r="GP403" s="155"/>
      <c r="GQ403" s="155"/>
      <c r="GR403" s="155"/>
      <c r="GS403" s="155"/>
      <c r="GT403" s="155"/>
      <c r="GU403" s="155"/>
      <c r="GV403" s="155"/>
      <c r="GW403" s="155"/>
      <c r="GX403" s="155"/>
      <c r="GY403" s="155"/>
      <c r="GZ403" s="155"/>
      <c r="HA403" s="155"/>
      <c r="HB403" s="155"/>
      <c r="HC403" s="155"/>
      <c r="HD403" s="155"/>
      <c r="HE403" s="155"/>
    </row>
    <row r="404" spans="2:213" s="156" customFormat="1" hidden="1">
      <c r="B404" s="155"/>
      <c r="C404" s="155"/>
      <c r="D404" s="155"/>
      <c r="E404" s="155"/>
      <c r="F404" s="155"/>
      <c r="G404" s="155"/>
      <c r="H404" s="155"/>
      <c r="I404" s="155"/>
      <c r="J404" s="155"/>
      <c r="K404" s="155"/>
      <c r="L404" s="155"/>
      <c r="M404" s="155"/>
      <c r="N404" s="155"/>
      <c r="O404" s="155"/>
      <c r="P404" s="155"/>
      <c r="Q404" s="155"/>
      <c r="R404" s="155"/>
      <c r="S404" s="155"/>
      <c r="T404" s="155"/>
      <c r="U404" s="155"/>
      <c r="V404" s="155"/>
      <c r="W404" s="155"/>
      <c r="GL404" s="155"/>
      <c r="GM404" s="155"/>
      <c r="GN404" s="155"/>
      <c r="GO404" s="155"/>
      <c r="GP404" s="155"/>
      <c r="GQ404" s="155"/>
      <c r="GR404" s="155"/>
      <c r="GS404" s="155"/>
      <c r="GT404" s="155"/>
      <c r="GU404" s="155"/>
      <c r="GV404" s="155"/>
      <c r="GW404" s="155"/>
      <c r="GX404" s="155"/>
      <c r="GY404" s="155"/>
      <c r="GZ404" s="155"/>
      <c r="HA404" s="155"/>
      <c r="HB404" s="155"/>
      <c r="HC404" s="155"/>
      <c r="HD404" s="155"/>
      <c r="HE404" s="155"/>
    </row>
    <row r="405" spans="2:213" s="156" customFormat="1" hidden="1">
      <c r="B405" s="155"/>
      <c r="C405" s="155"/>
      <c r="D405" s="155"/>
      <c r="E405" s="155"/>
      <c r="F405" s="155"/>
      <c r="G405" s="155"/>
      <c r="H405" s="155"/>
      <c r="I405" s="155"/>
      <c r="J405" s="155"/>
      <c r="K405" s="155"/>
      <c r="L405" s="155"/>
      <c r="M405" s="155"/>
      <c r="N405" s="155"/>
      <c r="O405" s="155"/>
      <c r="P405" s="155"/>
      <c r="Q405" s="155"/>
      <c r="R405" s="155"/>
      <c r="S405" s="155"/>
      <c r="T405" s="155"/>
      <c r="U405" s="155"/>
      <c r="V405" s="155"/>
      <c r="W405" s="155"/>
      <c r="GL405" s="155"/>
      <c r="GM405" s="155"/>
      <c r="GN405" s="155"/>
      <c r="GO405" s="155"/>
      <c r="GP405" s="155"/>
      <c r="GQ405" s="155"/>
      <c r="GR405" s="155"/>
      <c r="GS405" s="155"/>
      <c r="GT405" s="155"/>
      <c r="GU405" s="155"/>
      <c r="GV405" s="155"/>
      <c r="GW405" s="155"/>
      <c r="GX405" s="155"/>
      <c r="GY405" s="155"/>
      <c r="GZ405" s="155"/>
      <c r="HA405" s="155"/>
      <c r="HB405" s="155"/>
      <c r="HC405" s="155"/>
      <c r="HD405" s="155"/>
      <c r="HE405" s="155"/>
    </row>
    <row r="406" spans="2:213" s="156" customFormat="1" hidden="1">
      <c r="B406" s="155"/>
      <c r="C406" s="155"/>
      <c r="D406" s="155"/>
      <c r="E406" s="155"/>
      <c r="F406" s="155"/>
      <c r="G406" s="155"/>
      <c r="H406" s="155"/>
      <c r="I406" s="155"/>
      <c r="J406" s="155"/>
      <c r="K406" s="155"/>
      <c r="L406" s="155"/>
      <c r="M406" s="155"/>
      <c r="N406" s="155"/>
      <c r="O406" s="155"/>
      <c r="P406" s="155"/>
      <c r="Q406" s="155"/>
      <c r="R406" s="155"/>
      <c r="S406" s="155"/>
      <c r="T406" s="155"/>
      <c r="U406" s="155"/>
      <c r="V406" s="155"/>
      <c r="W406" s="155"/>
      <c r="GL406" s="155"/>
      <c r="GM406" s="155"/>
      <c r="GN406" s="155"/>
      <c r="GO406" s="155"/>
      <c r="GP406" s="155"/>
      <c r="GQ406" s="155"/>
      <c r="GR406" s="155"/>
      <c r="GS406" s="155"/>
      <c r="GT406" s="155"/>
      <c r="GU406" s="155"/>
      <c r="GV406" s="155"/>
      <c r="GW406" s="155"/>
      <c r="GX406" s="155"/>
      <c r="GY406" s="155"/>
      <c r="GZ406" s="155"/>
      <c r="HA406" s="155"/>
      <c r="HB406" s="155"/>
      <c r="HC406" s="155"/>
      <c r="HD406" s="155"/>
      <c r="HE406" s="155"/>
    </row>
    <row r="407" spans="2:213" s="156" customFormat="1" hidden="1">
      <c r="B407" s="155"/>
      <c r="C407" s="155"/>
      <c r="D407" s="155"/>
      <c r="E407" s="155"/>
      <c r="F407" s="155"/>
      <c r="G407" s="155"/>
      <c r="H407" s="155"/>
      <c r="I407" s="155"/>
      <c r="J407" s="155"/>
      <c r="K407" s="155"/>
      <c r="L407" s="155"/>
      <c r="M407" s="155"/>
      <c r="N407" s="155"/>
      <c r="O407" s="155"/>
      <c r="P407" s="155"/>
      <c r="Q407" s="155"/>
      <c r="R407" s="155"/>
      <c r="S407" s="155"/>
      <c r="T407" s="155"/>
      <c r="U407" s="155"/>
      <c r="V407" s="155"/>
      <c r="W407" s="155"/>
      <c r="GL407" s="155"/>
      <c r="GM407" s="155"/>
      <c r="GN407" s="155"/>
      <c r="GO407" s="155"/>
      <c r="GP407" s="155"/>
      <c r="GQ407" s="155"/>
      <c r="GR407" s="155"/>
      <c r="GS407" s="155"/>
      <c r="GT407" s="155"/>
      <c r="GU407" s="155"/>
      <c r="GV407" s="155"/>
      <c r="GW407" s="155"/>
      <c r="GX407" s="155"/>
      <c r="GY407" s="155"/>
      <c r="GZ407" s="155"/>
      <c r="HA407" s="155"/>
      <c r="HB407" s="155"/>
      <c r="HC407" s="155"/>
      <c r="HD407" s="155"/>
      <c r="HE407" s="155"/>
    </row>
    <row r="408" spans="2:213" s="156" customFormat="1" hidden="1">
      <c r="B408" s="155"/>
      <c r="C408" s="155"/>
      <c r="D408" s="155"/>
      <c r="E408" s="155"/>
      <c r="F408" s="155"/>
      <c r="G408" s="155"/>
      <c r="H408" s="155"/>
      <c r="I408" s="155"/>
      <c r="J408" s="155"/>
      <c r="K408" s="155"/>
      <c r="L408" s="155"/>
      <c r="M408" s="155"/>
      <c r="N408" s="155"/>
      <c r="O408" s="155"/>
      <c r="P408" s="155"/>
      <c r="Q408" s="155"/>
      <c r="R408" s="155"/>
      <c r="S408" s="155"/>
      <c r="T408" s="155"/>
      <c r="U408" s="155"/>
      <c r="V408" s="155"/>
      <c r="W408" s="155"/>
      <c r="GL408" s="155"/>
      <c r="GM408" s="155"/>
      <c r="GN408" s="155"/>
      <c r="GO408" s="155"/>
      <c r="GP408" s="155"/>
      <c r="GQ408" s="155"/>
      <c r="GR408" s="155"/>
      <c r="GS408" s="155"/>
      <c r="GT408" s="155"/>
      <c r="GU408" s="155"/>
      <c r="GV408" s="155"/>
      <c r="GW408" s="155"/>
      <c r="GX408" s="155"/>
      <c r="GY408" s="155"/>
      <c r="GZ408" s="155"/>
      <c r="HA408" s="155"/>
      <c r="HB408" s="155"/>
      <c r="HC408" s="155"/>
      <c r="HD408" s="155"/>
      <c r="HE408" s="155"/>
    </row>
    <row r="409" spans="2:213" s="156" customFormat="1" hidden="1">
      <c r="B409" s="155"/>
      <c r="C409" s="155"/>
      <c r="D409" s="155"/>
      <c r="E409" s="155"/>
      <c r="F409" s="155"/>
      <c r="G409" s="155"/>
      <c r="H409" s="155"/>
      <c r="I409" s="155"/>
      <c r="J409" s="155"/>
      <c r="K409" s="155"/>
      <c r="L409" s="155"/>
      <c r="M409" s="155"/>
      <c r="N409" s="155"/>
      <c r="O409" s="155"/>
      <c r="P409" s="155"/>
      <c r="Q409" s="155"/>
      <c r="R409" s="155"/>
      <c r="S409" s="155"/>
      <c r="T409" s="155"/>
      <c r="U409" s="155"/>
      <c r="V409" s="155"/>
      <c r="W409" s="155"/>
      <c r="GL409" s="155"/>
      <c r="GM409" s="155"/>
      <c r="GN409" s="155"/>
      <c r="GO409" s="155"/>
      <c r="GP409" s="155"/>
      <c r="GQ409" s="155"/>
      <c r="GR409" s="155"/>
      <c r="GS409" s="155"/>
      <c r="GT409" s="155"/>
      <c r="GU409" s="155"/>
      <c r="GV409" s="155"/>
      <c r="GW409" s="155"/>
      <c r="GX409" s="155"/>
      <c r="GY409" s="155"/>
      <c r="GZ409" s="155"/>
      <c r="HA409" s="155"/>
      <c r="HB409" s="155"/>
      <c r="HC409" s="155"/>
      <c r="HD409" s="155"/>
      <c r="HE409" s="155"/>
    </row>
    <row r="410" spans="2:213" s="156" customFormat="1" hidden="1">
      <c r="B410" s="155"/>
      <c r="C410" s="155"/>
      <c r="D410" s="155"/>
      <c r="E410" s="155"/>
      <c r="F410" s="155"/>
      <c r="G410" s="155"/>
      <c r="H410" s="155"/>
      <c r="I410" s="155"/>
      <c r="J410" s="155"/>
      <c r="K410" s="155"/>
      <c r="L410" s="155"/>
      <c r="M410" s="155"/>
      <c r="N410" s="155"/>
      <c r="O410" s="155"/>
      <c r="P410" s="155"/>
      <c r="Q410" s="155"/>
      <c r="R410" s="155"/>
      <c r="S410" s="155"/>
      <c r="T410" s="155"/>
      <c r="U410" s="155"/>
      <c r="V410" s="155"/>
      <c r="W410" s="155"/>
      <c r="GL410" s="155"/>
      <c r="GM410" s="155"/>
      <c r="GN410" s="155"/>
      <c r="GO410" s="155"/>
      <c r="GP410" s="155"/>
      <c r="GQ410" s="155"/>
      <c r="GR410" s="155"/>
      <c r="GS410" s="155"/>
      <c r="GT410" s="155"/>
      <c r="GU410" s="155"/>
      <c r="GV410" s="155"/>
      <c r="GW410" s="155"/>
      <c r="GX410" s="155"/>
      <c r="GY410" s="155"/>
      <c r="GZ410" s="155"/>
      <c r="HA410" s="155"/>
      <c r="HB410" s="155"/>
      <c r="HC410" s="155"/>
      <c r="HD410" s="155"/>
      <c r="HE410" s="155"/>
    </row>
    <row r="411" spans="2:213" s="156" customFormat="1" hidden="1">
      <c r="B411" s="155"/>
      <c r="C411" s="155"/>
      <c r="D411" s="155"/>
      <c r="E411" s="155"/>
      <c r="F411" s="155"/>
      <c r="G411" s="155"/>
      <c r="H411" s="155"/>
      <c r="I411" s="155"/>
      <c r="J411" s="155"/>
      <c r="K411" s="155"/>
      <c r="L411" s="155"/>
      <c r="M411" s="155"/>
      <c r="N411" s="155"/>
      <c r="O411" s="155"/>
      <c r="P411" s="155"/>
      <c r="Q411" s="155"/>
      <c r="R411" s="155"/>
      <c r="S411" s="155"/>
      <c r="T411" s="155"/>
      <c r="U411" s="155"/>
      <c r="V411" s="155"/>
      <c r="W411" s="155"/>
      <c r="GL411" s="155"/>
      <c r="GM411" s="155"/>
      <c r="GN411" s="155"/>
      <c r="GO411" s="155"/>
      <c r="GP411" s="155"/>
      <c r="GQ411" s="155"/>
      <c r="GR411" s="155"/>
      <c r="GS411" s="155"/>
      <c r="GT411" s="155"/>
      <c r="GU411" s="155"/>
      <c r="GV411" s="155"/>
      <c r="GW411" s="155"/>
      <c r="GX411" s="155"/>
      <c r="GY411" s="155"/>
      <c r="GZ411" s="155"/>
      <c r="HA411" s="155"/>
      <c r="HB411" s="155"/>
      <c r="HC411" s="155"/>
      <c r="HD411" s="155"/>
      <c r="HE411" s="155"/>
    </row>
    <row r="412" spans="2:213" s="156" customFormat="1" hidden="1">
      <c r="B412" s="155"/>
      <c r="C412" s="155"/>
      <c r="D412" s="155"/>
      <c r="E412" s="155"/>
      <c r="F412" s="155"/>
      <c r="G412" s="155"/>
      <c r="H412" s="155"/>
      <c r="I412" s="155"/>
      <c r="J412" s="155"/>
      <c r="K412" s="155"/>
      <c r="L412" s="155"/>
      <c r="M412" s="155"/>
      <c r="N412" s="155"/>
      <c r="O412" s="155"/>
      <c r="P412" s="155"/>
      <c r="Q412" s="155"/>
      <c r="R412" s="155"/>
      <c r="S412" s="155"/>
      <c r="T412" s="155"/>
      <c r="U412" s="155"/>
      <c r="V412" s="155"/>
      <c r="W412" s="155"/>
      <c r="GL412" s="155"/>
      <c r="GM412" s="155"/>
      <c r="GN412" s="155"/>
      <c r="GO412" s="155"/>
      <c r="GP412" s="155"/>
      <c r="GQ412" s="155"/>
      <c r="GR412" s="155"/>
      <c r="GS412" s="155"/>
      <c r="GT412" s="155"/>
      <c r="GU412" s="155"/>
      <c r="GV412" s="155"/>
      <c r="GW412" s="155"/>
      <c r="GX412" s="155"/>
      <c r="GY412" s="155"/>
      <c r="GZ412" s="155"/>
      <c r="HA412" s="155"/>
      <c r="HB412" s="155"/>
      <c r="HC412" s="155"/>
      <c r="HD412" s="155"/>
      <c r="HE412" s="155"/>
    </row>
    <row r="413" spans="2:213" s="156" customFormat="1" hidden="1">
      <c r="B413" s="155"/>
      <c r="C413" s="155"/>
      <c r="D413" s="155"/>
      <c r="E413" s="155"/>
      <c r="F413" s="155"/>
      <c r="G413" s="155"/>
      <c r="H413" s="155"/>
      <c r="I413" s="155"/>
      <c r="J413" s="155"/>
      <c r="K413" s="155"/>
      <c r="L413" s="155"/>
      <c r="M413" s="155"/>
      <c r="N413" s="155"/>
      <c r="O413" s="155"/>
      <c r="P413" s="155"/>
      <c r="Q413" s="155"/>
      <c r="R413" s="155"/>
      <c r="S413" s="155"/>
      <c r="T413" s="155"/>
      <c r="U413" s="155"/>
      <c r="V413" s="155"/>
      <c r="W413" s="155"/>
      <c r="GL413" s="155"/>
      <c r="GM413" s="155"/>
      <c r="GN413" s="155"/>
      <c r="GO413" s="155"/>
      <c r="GP413" s="155"/>
      <c r="GQ413" s="155"/>
      <c r="GR413" s="155"/>
      <c r="GS413" s="155"/>
      <c r="GT413" s="155"/>
      <c r="GU413" s="155"/>
      <c r="GV413" s="155"/>
      <c r="GW413" s="155"/>
      <c r="GX413" s="155"/>
      <c r="GY413" s="155"/>
      <c r="GZ413" s="155"/>
      <c r="HA413" s="155"/>
      <c r="HB413" s="155"/>
      <c r="HC413" s="155"/>
      <c r="HD413" s="155"/>
      <c r="HE413" s="155"/>
    </row>
    <row r="414" spans="2:213" s="156" customFormat="1" hidden="1">
      <c r="B414" s="155"/>
      <c r="C414" s="155"/>
      <c r="D414" s="155"/>
      <c r="E414" s="155"/>
      <c r="F414" s="155"/>
      <c r="G414" s="155"/>
      <c r="H414" s="155"/>
      <c r="I414" s="155"/>
      <c r="J414" s="155"/>
      <c r="K414" s="155"/>
      <c r="L414" s="155"/>
      <c r="M414" s="155"/>
      <c r="N414" s="155"/>
      <c r="O414" s="155"/>
      <c r="P414" s="155"/>
      <c r="Q414" s="155"/>
      <c r="R414" s="155"/>
      <c r="S414" s="155"/>
      <c r="T414" s="155"/>
      <c r="U414" s="155"/>
      <c r="V414" s="155"/>
      <c r="W414" s="155"/>
      <c r="GL414" s="155"/>
      <c r="GM414" s="155"/>
      <c r="GN414" s="155"/>
      <c r="GO414" s="155"/>
      <c r="GP414" s="155"/>
      <c r="GQ414" s="155"/>
      <c r="GR414" s="155"/>
      <c r="GS414" s="155"/>
      <c r="GT414" s="155"/>
      <c r="GU414" s="155"/>
      <c r="GV414" s="155"/>
      <c r="GW414" s="155"/>
      <c r="GX414" s="155"/>
      <c r="GY414" s="155"/>
      <c r="GZ414" s="155"/>
      <c r="HA414" s="155"/>
      <c r="HB414" s="155"/>
      <c r="HC414" s="155"/>
      <c r="HD414" s="155"/>
      <c r="HE414" s="155"/>
    </row>
    <row r="415" spans="2:213" s="156" customFormat="1" hidden="1">
      <c r="B415" s="155"/>
      <c r="C415" s="155"/>
      <c r="D415" s="155"/>
      <c r="E415" s="155"/>
      <c r="F415" s="155"/>
      <c r="G415" s="155"/>
      <c r="H415" s="155"/>
      <c r="I415" s="155"/>
      <c r="J415" s="155"/>
      <c r="K415" s="155"/>
      <c r="L415" s="155"/>
      <c r="M415" s="155"/>
      <c r="N415" s="155"/>
      <c r="O415" s="155"/>
      <c r="P415" s="155"/>
      <c r="Q415" s="155"/>
      <c r="R415" s="155"/>
      <c r="S415" s="155"/>
      <c r="T415" s="155"/>
      <c r="U415" s="155"/>
      <c r="V415" s="155"/>
      <c r="W415" s="155"/>
      <c r="GL415" s="155"/>
      <c r="GM415" s="155"/>
      <c r="GN415" s="155"/>
      <c r="GO415" s="155"/>
      <c r="GP415" s="155"/>
      <c r="GQ415" s="155"/>
      <c r="GR415" s="155"/>
      <c r="GS415" s="155"/>
      <c r="GT415" s="155"/>
      <c r="GU415" s="155"/>
      <c r="GV415" s="155"/>
      <c r="GW415" s="155"/>
      <c r="GX415" s="155"/>
      <c r="GY415" s="155"/>
      <c r="GZ415" s="155"/>
      <c r="HA415" s="155"/>
      <c r="HB415" s="155"/>
      <c r="HC415" s="155"/>
      <c r="HD415" s="155"/>
      <c r="HE415" s="155"/>
    </row>
    <row r="416" spans="2:213" s="156" customFormat="1" hidden="1">
      <c r="B416" s="155"/>
      <c r="C416" s="155"/>
      <c r="D416" s="155"/>
      <c r="E416" s="155"/>
      <c r="F416" s="155"/>
      <c r="G416" s="155"/>
      <c r="H416" s="155"/>
      <c r="I416" s="155"/>
      <c r="J416" s="155"/>
      <c r="K416" s="155"/>
      <c r="L416" s="155"/>
      <c r="M416" s="155"/>
      <c r="N416" s="155"/>
      <c r="O416" s="155"/>
      <c r="P416" s="155"/>
      <c r="Q416" s="155"/>
      <c r="R416" s="155"/>
      <c r="S416" s="155"/>
      <c r="T416" s="155"/>
      <c r="U416" s="155"/>
      <c r="V416" s="155"/>
      <c r="W416" s="155"/>
      <c r="GL416" s="155"/>
      <c r="GM416" s="155"/>
      <c r="GN416" s="155"/>
      <c r="GO416" s="155"/>
      <c r="GP416" s="155"/>
      <c r="GQ416" s="155"/>
      <c r="GR416" s="155"/>
      <c r="GS416" s="155"/>
      <c r="GT416" s="155"/>
      <c r="GU416" s="155"/>
      <c r="GV416" s="155"/>
      <c r="GW416" s="155"/>
      <c r="GX416" s="155"/>
      <c r="GY416" s="155"/>
      <c r="GZ416" s="155"/>
      <c r="HA416" s="155"/>
      <c r="HB416" s="155"/>
      <c r="HC416" s="155"/>
      <c r="HD416" s="155"/>
      <c r="HE416" s="155"/>
    </row>
    <row r="417" spans="2:213" s="156" customFormat="1" hidden="1">
      <c r="B417" s="155"/>
      <c r="C417" s="155"/>
      <c r="D417" s="155"/>
      <c r="E417" s="155"/>
      <c r="F417" s="155"/>
      <c r="G417" s="155"/>
      <c r="H417" s="155"/>
      <c r="I417" s="155"/>
      <c r="J417" s="155"/>
      <c r="K417" s="155"/>
      <c r="L417" s="155"/>
      <c r="M417" s="155"/>
      <c r="N417" s="155"/>
      <c r="O417" s="155"/>
      <c r="P417" s="155"/>
      <c r="Q417" s="155"/>
      <c r="R417" s="155"/>
      <c r="S417" s="155"/>
      <c r="T417" s="155"/>
      <c r="U417" s="155"/>
      <c r="V417" s="155"/>
      <c r="W417" s="155"/>
      <c r="GL417" s="155"/>
      <c r="GM417" s="155"/>
      <c r="GN417" s="155"/>
      <c r="GO417" s="155"/>
      <c r="GP417" s="155"/>
      <c r="GQ417" s="155"/>
      <c r="GR417" s="155"/>
      <c r="GS417" s="155"/>
      <c r="GT417" s="155"/>
      <c r="GU417" s="155"/>
      <c r="GV417" s="155"/>
      <c r="GW417" s="155"/>
      <c r="GX417" s="155"/>
      <c r="GY417" s="155"/>
      <c r="GZ417" s="155"/>
      <c r="HA417" s="155"/>
      <c r="HB417" s="155"/>
      <c r="HC417" s="155"/>
      <c r="HD417" s="155"/>
      <c r="HE417" s="155"/>
    </row>
    <row r="418" spans="2:213" s="156" customFormat="1" hidden="1">
      <c r="B418" s="155"/>
      <c r="C418" s="155"/>
      <c r="D418" s="155"/>
      <c r="E418" s="155"/>
      <c r="F418" s="155"/>
      <c r="G418" s="155"/>
      <c r="H418" s="155"/>
      <c r="I418" s="155"/>
      <c r="J418" s="155"/>
      <c r="K418" s="155"/>
      <c r="L418" s="155"/>
      <c r="M418" s="155"/>
      <c r="N418" s="155"/>
      <c r="O418" s="155"/>
      <c r="P418" s="155"/>
      <c r="Q418" s="155"/>
      <c r="R418" s="155"/>
      <c r="S418" s="155"/>
      <c r="T418" s="155"/>
      <c r="U418" s="155"/>
      <c r="V418" s="155"/>
      <c r="W418" s="155"/>
      <c r="GL418" s="155"/>
      <c r="GM418" s="155"/>
      <c r="GN418" s="155"/>
      <c r="GO418" s="155"/>
      <c r="GP418" s="155"/>
      <c r="GQ418" s="155"/>
      <c r="GR418" s="155"/>
      <c r="GS418" s="155"/>
      <c r="GT418" s="155"/>
      <c r="GU418" s="155"/>
      <c r="GV418" s="155"/>
      <c r="GW418" s="155"/>
      <c r="GX418" s="155"/>
      <c r="GY418" s="155"/>
      <c r="GZ418" s="155"/>
      <c r="HA418" s="155"/>
      <c r="HB418" s="155"/>
      <c r="HC418" s="155"/>
      <c r="HD418" s="155"/>
      <c r="HE418" s="155"/>
    </row>
    <row r="419" spans="2:213" s="156" customFormat="1" hidden="1">
      <c r="B419" s="155"/>
      <c r="C419" s="155"/>
      <c r="D419" s="155"/>
      <c r="E419" s="155"/>
      <c r="F419" s="155"/>
      <c r="G419" s="155"/>
      <c r="H419" s="155"/>
      <c r="I419" s="155"/>
      <c r="J419" s="155"/>
      <c r="K419" s="155"/>
      <c r="L419" s="155"/>
      <c r="M419" s="155"/>
      <c r="N419" s="155"/>
      <c r="O419" s="155"/>
      <c r="P419" s="155"/>
      <c r="Q419" s="155"/>
      <c r="R419" s="155"/>
      <c r="S419" s="155"/>
      <c r="T419" s="155"/>
      <c r="U419" s="155"/>
      <c r="V419" s="155"/>
      <c r="W419" s="155"/>
      <c r="GL419" s="155"/>
      <c r="GM419" s="155"/>
      <c r="GN419" s="155"/>
      <c r="GO419" s="155"/>
      <c r="GP419" s="155"/>
      <c r="GQ419" s="155"/>
      <c r="GR419" s="155"/>
      <c r="GS419" s="155"/>
      <c r="GT419" s="155"/>
      <c r="GU419" s="155"/>
      <c r="GV419" s="155"/>
      <c r="GW419" s="155"/>
      <c r="GX419" s="155"/>
      <c r="GY419" s="155"/>
      <c r="GZ419" s="155"/>
      <c r="HA419" s="155"/>
      <c r="HB419" s="155"/>
      <c r="HC419" s="155"/>
      <c r="HD419" s="155"/>
      <c r="HE419" s="155"/>
    </row>
    <row r="420" spans="2:213" s="156" customFormat="1" hidden="1">
      <c r="B420" s="155"/>
      <c r="C420" s="155"/>
      <c r="D420" s="155"/>
      <c r="E420" s="155"/>
      <c r="F420" s="155"/>
      <c r="G420" s="155"/>
      <c r="H420" s="155"/>
      <c r="I420" s="155"/>
      <c r="J420" s="155"/>
      <c r="K420" s="155"/>
      <c r="L420" s="155"/>
      <c r="M420" s="155"/>
      <c r="N420" s="155"/>
      <c r="O420" s="155"/>
      <c r="P420" s="155"/>
      <c r="Q420" s="155"/>
      <c r="R420" s="155"/>
      <c r="S420" s="155"/>
      <c r="T420" s="155"/>
      <c r="U420" s="155"/>
      <c r="V420" s="155"/>
      <c r="W420" s="155"/>
      <c r="GL420" s="155"/>
      <c r="GM420" s="155"/>
      <c r="GN420" s="155"/>
      <c r="GO420" s="155"/>
      <c r="GP420" s="155"/>
      <c r="GQ420" s="155"/>
      <c r="GR420" s="155"/>
      <c r="GS420" s="155"/>
      <c r="GT420" s="155"/>
      <c r="GU420" s="155"/>
      <c r="GV420" s="155"/>
      <c r="GW420" s="155"/>
      <c r="GX420" s="155"/>
      <c r="GY420" s="155"/>
      <c r="GZ420" s="155"/>
      <c r="HA420" s="155"/>
      <c r="HB420" s="155"/>
      <c r="HC420" s="155"/>
      <c r="HD420" s="155"/>
      <c r="HE420" s="155"/>
    </row>
    <row r="421" spans="2:213" s="156" customFormat="1" hidden="1">
      <c r="B421" s="155"/>
      <c r="C421" s="155"/>
      <c r="D421" s="155"/>
      <c r="E421" s="155"/>
      <c r="F421" s="155"/>
      <c r="G421" s="155"/>
      <c r="H421" s="155"/>
      <c r="I421" s="155"/>
      <c r="J421" s="155"/>
      <c r="K421" s="155"/>
      <c r="L421" s="155"/>
      <c r="M421" s="155"/>
      <c r="N421" s="155"/>
      <c r="O421" s="155"/>
      <c r="P421" s="155"/>
      <c r="Q421" s="155"/>
      <c r="R421" s="155"/>
      <c r="S421" s="155"/>
      <c r="T421" s="155"/>
      <c r="U421" s="155"/>
      <c r="V421" s="155"/>
      <c r="W421" s="155"/>
      <c r="GL421" s="155"/>
      <c r="GM421" s="155"/>
      <c r="GN421" s="155"/>
      <c r="GO421" s="155"/>
      <c r="GP421" s="155"/>
      <c r="GQ421" s="155"/>
      <c r="GR421" s="155"/>
      <c r="GS421" s="155"/>
      <c r="GT421" s="155"/>
      <c r="GU421" s="155"/>
      <c r="GV421" s="155"/>
      <c r="GW421" s="155"/>
      <c r="GX421" s="155"/>
      <c r="GY421" s="155"/>
      <c r="GZ421" s="155"/>
      <c r="HA421" s="155"/>
      <c r="HB421" s="155"/>
      <c r="HC421" s="155"/>
      <c r="HD421" s="155"/>
      <c r="HE421" s="155"/>
    </row>
    <row r="422" spans="2:213" s="156" customFormat="1" hidden="1">
      <c r="B422" s="155"/>
      <c r="C422" s="155"/>
      <c r="D422" s="155"/>
      <c r="E422" s="155"/>
      <c r="F422" s="155"/>
      <c r="G422" s="155"/>
      <c r="H422" s="155"/>
      <c r="I422" s="155"/>
      <c r="J422" s="155"/>
      <c r="K422" s="155"/>
      <c r="L422" s="155"/>
      <c r="M422" s="155"/>
      <c r="N422" s="155"/>
      <c r="O422" s="155"/>
      <c r="P422" s="155"/>
      <c r="Q422" s="155"/>
      <c r="R422" s="155"/>
      <c r="S422" s="155"/>
      <c r="T422" s="155"/>
      <c r="U422" s="155"/>
      <c r="V422" s="155"/>
      <c r="W422" s="155"/>
      <c r="GL422" s="155"/>
      <c r="GM422" s="155"/>
      <c r="GN422" s="155"/>
      <c r="GO422" s="155"/>
      <c r="GP422" s="155"/>
      <c r="GQ422" s="155"/>
      <c r="GR422" s="155"/>
      <c r="GS422" s="155"/>
      <c r="GT422" s="155"/>
      <c r="GU422" s="155"/>
      <c r="GV422" s="155"/>
      <c r="GW422" s="155"/>
      <c r="GX422" s="155"/>
      <c r="GY422" s="155"/>
      <c r="GZ422" s="155"/>
      <c r="HA422" s="155"/>
      <c r="HB422" s="155"/>
      <c r="HC422" s="155"/>
      <c r="HD422" s="155"/>
      <c r="HE422" s="155"/>
    </row>
    <row r="423" spans="2:213" s="156" customFormat="1" hidden="1">
      <c r="B423" s="155"/>
      <c r="C423" s="155"/>
      <c r="D423" s="155"/>
      <c r="E423" s="155"/>
      <c r="F423" s="155"/>
      <c r="G423" s="155"/>
      <c r="H423" s="155"/>
      <c r="I423" s="155"/>
      <c r="J423" s="155"/>
      <c r="K423" s="155"/>
      <c r="L423" s="155"/>
      <c r="M423" s="155"/>
      <c r="N423" s="155"/>
      <c r="O423" s="155"/>
      <c r="P423" s="155"/>
      <c r="Q423" s="155"/>
      <c r="R423" s="155"/>
      <c r="S423" s="155"/>
      <c r="T423" s="155"/>
      <c r="U423" s="155"/>
      <c r="V423" s="155"/>
      <c r="W423" s="155"/>
      <c r="GL423" s="155"/>
      <c r="GM423" s="155"/>
      <c r="GN423" s="155"/>
      <c r="GO423" s="155"/>
      <c r="GP423" s="155"/>
      <c r="GQ423" s="155"/>
      <c r="GR423" s="155"/>
      <c r="GS423" s="155"/>
      <c r="GT423" s="155"/>
      <c r="GU423" s="155"/>
      <c r="GV423" s="155"/>
      <c r="GW423" s="155"/>
      <c r="GX423" s="155"/>
      <c r="GY423" s="155"/>
      <c r="GZ423" s="155"/>
      <c r="HA423" s="155"/>
      <c r="HB423" s="155"/>
      <c r="HC423" s="155"/>
      <c r="HD423" s="155"/>
      <c r="HE423" s="155"/>
    </row>
    <row r="424" spans="2:213" s="156" customFormat="1" hidden="1">
      <c r="B424" s="155"/>
      <c r="C424" s="155"/>
      <c r="D424" s="155"/>
      <c r="E424" s="155"/>
      <c r="F424" s="155"/>
      <c r="G424" s="155"/>
      <c r="H424" s="155"/>
      <c r="I424" s="155"/>
      <c r="J424" s="155"/>
      <c r="K424" s="155"/>
      <c r="L424" s="155"/>
      <c r="M424" s="155"/>
      <c r="N424" s="155"/>
      <c r="O424" s="155"/>
      <c r="P424" s="155"/>
      <c r="Q424" s="155"/>
      <c r="R424" s="155"/>
      <c r="S424" s="155"/>
      <c r="T424" s="155"/>
      <c r="U424" s="155"/>
      <c r="V424" s="155"/>
      <c r="W424" s="155"/>
      <c r="GL424" s="155"/>
      <c r="GM424" s="155"/>
      <c r="GN424" s="155"/>
      <c r="GO424" s="155"/>
      <c r="GP424" s="155"/>
      <c r="GQ424" s="155"/>
      <c r="GR424" s="155"/>
      <c r="GS424" s="155"/>
      <c r="GT424" s="155"/>
      <c r="GU424" s="155"/>
      <c r="GV424" s="155"/>
      <c r="GW424" s="155"/>
      <c r="GX424" s="155"/>
      <c r="GY424" s="155"/>
      <c r="GZ424" s="155"/>
      <c r="HA424" s="155"/>
      <c r="HB424" s="155"/>
      <c r="HC424" s="155"/>
      <c r="HD424" s="155"/>
      <c r="HE424" s="155"/>
    </row>
    <row r="425" spans="2:213" s="156" customFormat="1" hidden="1">
      <c r="B425" s="155"/>
      <c r="C425" s="155"/>
      <c r="D425" s="155"/>
      <c r="E425" s="155"/>
      <c r="F425" s="155"/>
      <c r="G425" s="155"/>
      <c r="H425" s="155"/>
      <c r="I425" s="155"/>
      <c r="J425" s="155"/>
      <c r="K425" s="155"/>
      <c r="L425" s="155"/>
      <c r="M425" s="155"/>
      <c r="N425" s="155"/>
      <c r="O425" s="155"/>
      <c r="P425" s="155"/>
      <c r="Q425" s="155"/>
      <c r="R425" s="155"/>
      <c r="S425" s="155"/>
      <c r="T425" s="155"/>
      <c r="U425" s="155"/>
      <c r="V425" s="155"/>
      <c r="W425" s="155"/>
      <c r="GL425" s="155"/>
      <c r="GM425" s="155"/>
      <c r="GN425" s="155"/>
      <c r="GO425" s="155"/>
      <c r="GP425" s="155"/>
      <c r="GQ425" s="155"/>
      <c r="GR425" s="155"/>
      <c r="GS425" s="155"/>
      <c r="GT425" s="155"/>
      <c r="GU425" s="155"/>
      <c r="GV425" s="155"/>
      <c r="GW425" s="155"/>
      <c r="GX425" s="155"/>
      <c r="GY425" s="155"/>
      <c r="GZ425" s="155"/>
      <c r="HA425" s="155"/>
      <c r="HB425" s="155"/>
      <c r="HC425" s="155"/>
      <c r="HD425" s="155"/>
      <c r="HE425" s="155"/>
    </row>
    <row r="426" spans="2:213" s="156" customFormat="1" hidden="1">
      <c r="B426" s="155"/>
      <c r="C426" s="155"/>
      <c r="D426" s="155"/>
      <c r="E426" s="155"/>
      <c r="F426" s="155"/>
      <c r="G426" s="155"/>
      <c r="H426" s="155"/>
      <c r="I426" s="155"/>
      <c r="J426" s="155"/>
      <c r="K426" s="155"/>
      <c r="L426" s="155"/>
      <c r="M426" s="155"/>
      <c r="N426" s="155"/>
      <c r="O426" s="155"/>
      <c r="P426" s="155"/>
      <c r="Q426" s="155"/>
      <c r="R426" s="155"/>
      <c r="S426" s="155"/>
      <c r="T426" s="155"/>
      <c r="U426" s="155"/>
      <c r="V426" s="155"/>
      <c r="W426" s="155"/>
      <c r="GL426" s="155"/>
      <c r="GM426" s="155"/>
      <c r="GN426" s="155"/>
      <c r="GO426" s="155"/>
      <c r="GP426" s="155"/>
      <c r="GQ426" s="155"/>
      <c r="GR426" s="155"/>
      <c r="GS426" s="155"/>
      <c r="GT426" s="155"/>
      <c r="GU426" s="155"/>
      <c r="GV426" s="155"/>
      <c r="GW426" s="155"/>
      <c r="GX426" s="155"/>
      <c r="GY426" s="155"/>
      <c r="GZ426" s="155"/>
      <c r="HA426" s="155"/>
      <c r="HB426" s="155"/>
      <c r="HC426" s="155"/>
      <c r="HD426" s="155"/>
      <c r="HE426" s="155"/>
    </row>
    <row r="427" spans="2:213" s="156" customFormat="1" hidden="1">
      <c r="B427" s="155"/>
      <c r="C427" s="155"/>
      <c r="D427" s="155"/>
      <c r="E427" s="155"/>
      <c r="F427" s="155"/>
      <c r="G427" s="155"/>
      <c r="H427" s="155"/>
      <c r="I427" s="155"/>
      <c r="J427" s="155"/>
      <c r="K427" s="155"/>
      <c r="L427" s="155"/>
      <c r="M427" s="155"/>
      <c r="N427" s="155"/>
      <c r="O427" s="155"/>
      <c r="P427" s="155"/>
      <c r="Q427" s="155"/>
      <c r="R427" s="155"/>
      <c r="S427" s="155"/>
      <c r="T427" s="155"/>
      <c r="U427" s="155"/>
      <c r="V427" s="155"/>
      <c r="W427" s="155"/>
      <c r="GL427" s="155"/>
      <c r="GM427" s="155"/>
      <c r="GN427" s="155"/>
      <c r="GO427" s="155"/>
      <c r="GP427" s="155"/>
      <c r="GQ427" s="155"/>
      <c r="GR427" s="155"/>
      <c r="GS427" s="155"/>
      <c r="GT427" s="155"/>
      <c r="GU427" s="155"/>
      <c r="GV427" s="155"/>
      <c r="GW427" s="155"/>
      <c r="GX427" s="155"/>
      <c r="GY427" s="155"/>
      <c r="GZ427" s="155"/>
      <c r="HA427" s="155"/>
      <c r="HB427" s="155"/>
      <c r="HC427" s="155"/>
      <c r="HD427" s="155"/>
      <c r="HE427" s="155"/>
    </row>
    <row r="428" spans="2:213" s="156" customFormat="1" hidden="1">
      <c r="B428" s="155"/>
      <c r="C428" s="155"/>
      <c r="D428" s="155"/>
      <c r="E428" s="155"/>
      <c r="F428" s="155"/>
      <c r="G428" s="155"/>
      <c r="H428" s="155"/>
      <c r="I428" s="155"/>
      <c r="J428" s="155"/>
      <c r="K428" s="155"/>
      <c r="L428" s="155"/>
      <c r="M428" s="155"/>
      <c r="N428" s="155"/>
      <c r="O428" s="155"/>
      <c r="P428" s="155"/>
      <c r="Q428" s="155"/>
      <c r="R428" s="155"/>
      <c r="S428" s="155"/>
      <c r="T428" s="155"/>
      <c r="U428" s="155"/>
      <c r="V428" s="155"/>
      <c r="W428" s="155"/>
      <c r="GL428" s="155"/>
      <c r="GM428" s="155"/>
      <c r="GN428" s="155"/>
      <c r="GO428" s="155"/>
      <c r="GP428" s="155"/>
      <c r="GQ428" s="155"/>
      <c r="GR428" s="155"/>
      <c r="GS428" s="155"/>
      <c r="GT428" s="155"/>
      <c r="GU428" s="155"/>
      <c r="GV428" s="155"/>
      <c r="GW428" s="155"/>
      <c r="GX428" s="155"/>
      <c r="GY428" s="155"/>
      <c r="GZ428" s="155"/>
      <c r="HA428" s="155"/>
      <c r="HB428" s="155"/>
      <c r="HC428" s="155"/>
      <c r="HD428" s="155"/>
      <c r="HE428" s="155"/>
    </row>
    <row r="429" spans="2:213" s="156" customFormat="1" hidden="1">
      <c r="B429" s="155"/>
      <c r="C429" s="155"/>
      <c r="D429" s="155"/>
      <c r="E429" s="155"/>
      <c r="F429" s="155"/>
      <c r="G429" s="155"/>
      <c r="H429" s="155"/>
      <c r="I429" s="155"/>
      <c r="J429" s="155"/>
      <c r="K429" s="155"/>
      <c r="L429" s="155"/>
      <c r="M429" s="155"/>
      <c r="N429" s="155"/>
      <c r="O429" s="155"/>
      <c r="P429" s="155"/>
      <c r="Q429" s="155"/>
      <c r="R429" s="155"/>
      <c r="S429" s="155"/>
      <c r="T429" s="155"/>
      <c r="U429" s="155"/>
      <c r="V429" s="155"/>
      <c r="W429" s="155"/>
      <c r="GL429" s="155"/>
      <c r="GM429" s="155"/>
      <c r="GN429" s="155"/>
      <c r="GO429" s="155"/>
      <c r="GP429" s="155"/>
      <c r="GQ429" s="155"/>
      <c r="GR429" s="155"/>
      <c r="GS429" s="155"/>
      <c r="GT429" s="155"/>
      <c r="GU429" s="155"/>
      <c r="GV429" s="155"/>
      <c r="GW429" s="155"/>
      <c r="GX429" s="155"/>
      <c r="GY429" s="155"/>
      <c r="GZ429" s="155"/>
      <c r="HA429" s="155"/>
      <c r="HB429" s="155"/>
      <c r="HC429" s="155"/>
      <c r="HD429" s="155"/>
      <c r="HE429" s="155"/>
    </row>
    <row r="430" spans="2:213" s="156" customFormat="1" hidden="1">
      <c r="B430" s="155"/>
      <c r="C430" s="155"/>
      <c r="D430" s="155"/>
      <c r="E430" s="155"/>
      <c r="F430" s="155"/>
      <c r="G430" s="155"/>
      <c r="H430" s="155"/>
      <c r="I430" s="155"/>
      <c r="J430" s="155"/>
      <c r="K430" s="155"/>
      <c r="L430" s="155"/>
      <c r="M430" s="155"/>
      <c r="N430" s="155"/>
      <c r="O430" s="155"/>
      <c r="P430" s="155"/>
      <c r="Q430" s="155"/>
      <c r="R430" s="155"/>
      <c r="S430" s="155"/>
      <c r="T430" s="155"/>
      <c r="U430" s="155"/>
      <c r="V430" s="155"/>
      <c r="W430" s="155"/>
      <c r="GL430" s="155"/>
      <c r="GM430" s="155"/>
      <c r="GN430" s="155"/>
      <c r="GO430" s="155"/>
      <c r="GP430" s="155"/>
      <c r="GQ430" s="155"/>
      <c r="GR430" s="155"/>
      <c r="GS430" s="155"/>
      <c r="GT430" s="155"/>
      <c r="GU430" s="155"/>
      <c r="GV430" s="155"/>
      <c r="GW430" s="155"/>
      <c r="GX430" s="155"/>
      <c r="GY430" s="155"/>
      <c r="GZ430" s="155"/>
      <c r="HA430" s="155"/>
      <c r="HB430" s="155"/>
      <c r="HC430" s="155"/>
      <c r="HD430" s="155"/>
      <c r="HE430" s="155"/>
    </row>
    <row r="431" spans="2:213" s="156" customFormat="1" hidden="1">
      <c r="B431" s="155"/>
      <c r="C431" s="155"/>
      <c r="D431" s="155"/>
      <c r="E431" s="155"/>
      <c r="F431" s="155"/>
      <c r="G431" s="155"/>
      <c r="H431" s="155"/>
      <c r="I431" s="155"/>
      <c r="J431" s="155"/>
      <c r="K431" s="155"/>
      <c r="L431" s="155"/>
      <c r="M431" s="155"/>
      <c r="N431" s="155"/>
      <c r="O431" s="155"/>
      <c r="P431" s="155"/>
      <c r="Q431" s="155"/>
      <c r="R431" s="155"/>
      <c r="S431" s="155"/>
      <c r="T431" s="155"/>
      <c r="U431" s="155"/>
      <c r="V431" s="155"/>
      <c r="W431" s="155"/>
      <c r="GL431" s="155"/>
      <c r="GM431" s="155"/>
      <c r="GN431" s="155"/>
      <c r="GO431" s="155"/>
      <c r="GP431" s="155"/>
      <c r="GQ431" s="155"/>
      <c r="GR431" s="155"/>
      <c r="GS431" s="155"/>
      <c r="GT431" s="155"/>
      <c r="GU431" s="155"/>
      <c r="GV431" s="155"/>
      <c r="GW431" s="155"/>
      <c r="GX431" s="155"/>
      <c r="GY431" s="155"/>
      <c r="GZ431" s="155"/>
      <c r="HA431" s="155"/>
      <c r="HB431" s="155"/>
      <c r="HC431" s="155"/>
      <c r="HD431" s="155"/>
      <c r="HE431" s="155"/>
    </row>
    <row r="432" spans="2:213" s="156" customFormat="1" hidden="1">
      <c r="B432" s="155"/>
      <c r="C432" s="155"/>
      <c r="D432" s="155"/>
      <c r="E432" s="155"/>
      <c r="F432" s="155"/>
      <c r="G432" s="155"/>
      <c r="H432" s="155"/>
      <c r="I432" s="155"/>
      <c r="J432" s="155"/>
      <c r="K432" s="155"/>
      <c r="L432" s="155"/>
      <c r="M432" s="155"/>
      <c r="N432" s="155"/>
      <c r="O432" s="155"/>
      <c r="P432" s="155"/>
      <c r="Q432" s="155"/>
      <c r="R432" s="155"/>
      <c r="S432" s="155"/>
      <c r="T432" s="155"/>
      <c r="U432" s="155"/>
      <c r="V432" s="155"/>
      <c r="W432" s="155"/>
      <c r="GL432" s="155"/>
      <c r="GM432" s="155"/>
      <c r="GN432" s="155"/>
      <c r="GO432" s="155"/>
      <c r="GP432" s="155"/>
      <c r="GQ432" s="155"/>
      <c r="GR432" s="155"/>
      <c r="GS432" s="155"/>
      <c r="GT432" s="155"/>
      <c r="GU432" s="155"/>
      <c r="GV432" s="155"/>
      <c r="GW432" s="155"/>
      <c r="GX432" s="155"/>
      <c r="GY432" s="155"/>
      <c r="GZ432" s="155"/>
      <c r="HA432" s="155"/>
      <c r="HB432" s="155"/>
      <c r="HC432" s="155"/>
      <c r="HD432" s="155"/>
      <c r="HE432" s="155"/>
    </row>
    <row r="433" spans="2:213" s="156" customFormat="1" hidden="1">
      <c r="B433" s="155"/>
      <c r="C433" s="155"/>
      <c r="D433" s="155"/>
      <c r="E433" s="155"/>
      <c r="F433" s="155"/>
      <c r="G433" s="155"/>
      <c r="H433" s="155"/>
      <c r="I433" s="155"/>
      <c r="J433" s="155"/>
      <c r="K433" s="155"/>
      <c r="L433" s="155"/>
      <c r="M433" s="155"/>
      <c r="N433" s="155"/>
      <c r="O433" s="155"/>
      <c r="P433" s="155"/>
      <c r="Q433" s="155"/>
      <c r="R433" s="155"/>
      <c r="S433" s="155"/>
      <c r="T433" s="155"/>
      <c r="U433" s="155"/>
      <c r="V433" s="155"/>
      <c r="W433" s="155"/>
      <c r="GL433" s="155"/>
      <c r="GM433" s="155"/>
      <c r="GN433" s="155"/>
      <c r="GO433" s="155"/>
      <c r="GP433" s="155"/>
      <c r="GQ433" s="155"/>
      <c r="GR433" s="155"/>
      <c r="GS433" s="155"/>
      <c r="GT433" s="155"/>
      <c r="GU433" s="155"/>
      <c r="GV433" s="155"/>
      <c r="GW433" s="155"/>
      <c r="GX433" s="155"/>
      <c r="GY433" s="155"/>
      <c r="GZ433" s="155"/>
      <c r="HA433" s="155"/>
      <c r="HB433" s="155"/>
      <c r="HC433" s="155"/>
      <c r="HD433" s="155"/>
      <c r="HE433" s="155"/>
    </row>
    <row r="434" spans="2:213" s="156" customFormat="1" hidden="1">
      <c r="B434" s="155"/>
      <c r="C434" s="155"/>
      <c r="D434" s="155"/>
      <c r="E434" s="155"/>
      <c r="F434" s="155"/>
      <c r="G434" s="155"/>
      <c r="H434" s="155"/>
      <c r="I434" s="155"/>
      <c r="J434" s="155"/>
      <c r="K434" s="155"/>
      <c r="L434" s="155"/>
      <c r="M434" s="155"/>
      <c r="N434" s="155"/>
      <c r="O434" s="155"/>
      <c r="P434" s="155"/>
      <c r="Q434" s="155"/>
      <c r="R434" s="155"/>
      <c r="S434" s="155"/>
      <c r="T434" s="155"/>
      <c r="U434" s="155"/>
      <c r="V434" s="155"/>
      <c r="W434" s="155"/>
      <c r="GL434" s="155"/>
      <c r="GM434" s="155"/>
      <c r="GN434" s="155"/>
      <c r="GO434" s="155"/>
      <c r="GP434" s="155"/>
      <c r="GQ434" s="155"/>
      <c r="GR434" s="155"/>
      <c r="GS434" s="155"/>
      <c r="GT434" s="155"/>
      <c r="GU434" s="155"/>
      <c r="GV434" s="155"/>
      <c r="GW434" s="155"/>
      <c r="GX434" s="155"/>
      <c r="GY434" s="155"/>
      <c r="GZ434" s="155"/>
      <c r="HA434" s="155"/>
      <c r="HB434" s="155"/>
      <c r="HC434" s="155"/>
      <c r="HD434" s="155"/>
      <c r="HE434" s="155"/>
    </row>
    <row r="435" spans="2:213" s="156" customFormat="1" hidden="1">
      <c r="B435" s="155"/>
      <c r="C435" s="155"/>
      <c r="D435" s="155"/>
      <c r="E435" s="155"/>
      <c r="F435" s="155"/>
      <c r="G435" s="155"/>
      <c r="H435" s="155"/>
      <c r="I435" s="155"/>
      <c r="J435" s="155"/>
      <c r="K435" s="155"/>
      <c r="L435" s="155"/>
      <c r="M435" s="155"/>
      <c r="N435" s="155"/>
      <c r="O435" s="155"/>
      <c r="P435" s="155"/>
      <c r="Q435" s="155"/>
      <c r="R435" s="155"/>
      <c r="S435" s="155"/>
      <c r="T435" s="155"/>
      <c r="U435" s="155"/>
      <c r="V435" s="155"/>
      <c r="W435" s="155"/>
      <c r="GL435" s="155"/>
      <c r="GM435" s="155"/>
      <c r="GN435" s="155"/>
      <c r="GO435" s="155"/>
      <c r="GP435" s="155"/>
      <c r="GQ435" s="155"/>
      <c r="GR435" s="155"/>
      <c r="GS435" s="155"/>
      <c r="GT435" s="155"/>
      <c r="GU435" s="155"/>
      <c r="GV435" s="155"/>
      <c r="GW435" s="155"/>
      <c r="GX435" s="155"/>
      <c r="GY435" s="155"/>
      <c r="GZ435" s="155"/>
      <c r="HA435" s="155"/>
      <c r="HB435" s="155"/>
      <c r="HC435" s="155"/>
      <c r="HD435" s="155"/>
      <c r="HE435" s="155"/>
    </row>
    <row r="436" spans="2:213" s="156" customFormat="1" hidden="1">
      <c r="B436" s="155"/>
      <c r="C436" s="155"/>
      <c r="D436" s="155"/>
      <c r="E436" s="155"/>
      <c r="F436" s="155"/>
      <c r="G436" s="155"/>
      <c r="H436" s="155"/>
      <c r="I436" s="155"/>
      <c r="J436" s="155"/>
      <c r="K436" s="155"/>
      <c r="L436" s="155"/>
      <c r="M436" s="155"/>
      <c r="N436" s="155"/>
      <c r="O436" s="155"/>
      <c r="P436" s="155"/>
      <c r="Q436" s="155"/>
      <c r="R436" s="155"/>
      <c r="S436" s="155"/>
      <c r="T436" s="155"/>
      <c r="U436" s="155"/>
      <c r="V436" s="155"/>
      <c r="W436" s="155"/>
      <c r="GL436" s="155"/>
      <c r="GM436" s="155"/>
      <c r="GN436" s="155"/>
      <c r="GO436" s="155"/>
      <c r="GP436" s="155"/>
      <c r="GQ436" s="155"/>
      <c r="GR436" s="155"/>
      <c r="GS436" s="155"/>
      <c r="GT436" s="155"/>
      <c r="GU436" s="155"/>
      <c r="GV436" s="155"/>
      <c r="GW436" s="155"/>
      <c r="GX436" s="155"/>
      <c r="GY436" s="155"/>
      <c r="GZ436" s="155"/>
      <c r="HA436" s="155"/>
      <c r="HB436" s="155"/>
      <c r="HC436" s="155"/>
      <c r="HD436" s="155"/>
      <c r="HE436" s="155"/>
    </row>
    <row r="437" spans="2:213" s="156" customFormat="1" hidden="1">
      <c r="B437" s="155"/>
      <c r="C437" s="155"/>
      <c r="D437" s="155"/>
      <c r="E437" s="155"/>
      <c r="F437" s="155"/>
      <c r="G437" s="155"/>
      <c r="H437" s="155"/>
      <c r="I437" s="155"/>
      <c r="J437" s="155"/>
      <c r="K437" s="155"/>
      <c r="L437" s="155"/>
      <c r="M437" s="155"/>
      <c r="N437" s="155"/>
      <c r="O437" s="155"/>
      <c r="P437" s="155"/>
      <c r="Q437" s="155"/>
      <c r="R437" s="155"/>
      <c r="S437" s="155"/>
      <c r="T437" s="155"/>
      <c r="U437" s="155"/>
      <c r="V437" s="155"/>
      <c r="W437" s="155"/>
      <c r="GL437" s="155"/>
      <c r="GM437" s="155"/>
      <c r="GN437" s="155"/>
      <c r="GO437" s="155"/>
      <c r="GP437" s="155"/>
      <c r="GQ437" s="155"/>
      <c r="GR437" s="155"/>
      <c r="GS437" s="155"/>
      <c r="GT437" s="155"/>
      <c r="GU437" s="155"/>
      <c r="GV437" s="155"/>
      <c r="GW437" s="155"/>
      <c r="GX437" s="155"/>
      <c r="GY437" s="155"/>
      <c r="GZ437" s="155"/>
      <c r="HA437" s="155"/>
      <c r="HB437" s="155"/>
      <c r="HC437" s="155"/>
      <c r="HD437" s="155"/>
      <c r="HE437" s="155"/>
    </row>
    <row r="438" spans="2:213" s="156" customFormat="1" hidden="1">
      <c r="B438" s="155"/>
      <c r="C438" s="155"/>
      <c r="D438" s="155"/>
      <c r="E438" s="155"/>
      <c r="F438" s="155"/>
      <c r="G438" s="155"/>
      <c r="H438" s="155"/>
      <c r="I438" s="155"/>
      <c r="J438" s="155"/>
      <c r="K438" s="155"/>
      <c r="L438" s="155"/>
      <c r="M438" s="155"/>
      <c r="N438" s="155"/>
      <c r="O438" s="155"/>
      <c r="P438" s="155"/>
      <c r="Q438" s="155"/>
      <c r="R438" s="155"/>
      <c r="S438" s="155"/>
      <c r="T438" s="155"/>
      <c r="U438" s="155"/>
      <c r="V438" s="155"/>
      <c r="W438" s="155"/>
      <c r="GL438" s="155"/>
      <c r="GM438" s="155"/>
      <c r="GN438" s="155"/>
      <c r="GO438" s="155"/>
      <c r="GP438" s="155"/>
      <c r="GQ438" s="155"/>
      <c r="GR438" s="155"/>
      <c r="GS438" s="155"/>
      <c r="GT438" s="155"/>
      <c r="GU438" s="155"/>
      <c r="GV438" s="155"/>
      <c r="GW438" s="155"/>
      <c r="GX438" s="155"/>
      <c r="GY438" s="155"/>
      <c r="GZ438" s="155"/>
      <c r="HA438" s="155"/>
      <c r="HB438" s="155"/>
      <c r="HC438" s="155"/>
      <c r="HD438" s="155"/>
      <c r="HE438" s="155"/>
    </row>
    <row r="439" spans="2:213" s="156" customFormat="1" hidden="1">
      <c r="B439" s="155"/>
      <c r="C439" s="155"/>
      <c r="D439" s="155"/>
      <c r="E439" s="155"/>
      <c r="F439" s="155"/>
      <c r="G439" s="155"/>
      <c r="H439" s="155"/>
      <c r="I439" s="155"/>
      <c r="J439" s="155"/>
      <c r="K439" s="155"/>
      <c r="L439" s="155"/>
      <c r="M439" s="155"/>
      <c r="N439" s="155"/>
      <c r="O439" s="155"/>
      <c r="P439" s="155"/>
      <c r="Q439" s="155"/>
      <c r="R439" s="155"/>
      <c r="S439" s="155"/>
      <c r="T439" s="155"/>
      <c r="U439" s="155"/>
      <c r="V439" s="155"/>
      <c r="W439" s="155"/>
      <c r="GL439" s="155"/>
      <c r="GM439" s="155"/>
      <c r="GN439" s="155"/>
      <c r="GO439" s="155"/>
      <c r="GP439" s="155"/>
      <c r="GQ439" s="155"/>
      <c r="GR439" s="155"/>
      <c r="GS439" s="155"/>
      <c r="GT439" s="155"/>
      <c r="GU439" s="155"/>
      <c r="GV439" s="155"/>
      <c r="GW439" s="155"/>
      <c r="GX439" s="155"/>
      <c r="GY439" s="155"/>
      <c r="GZ439" s="155"/>
      <c r="HA439" s="155"/>
      <c r="HB439" s="155"/>
      <c r="HC439" s="155"/>
      <c r="HD439" s="155"/>
      <c r="HE439" s="155"/>
    </row>
    <row r="440" spans="2:213" s="156" customFormat="1" hidden="1">
      <c r="B440" s="155"/>
      <c r="C440" s="155"/>
      <c r="D440" s="155"/>
      <c r="E440" s="155"/>
      <c r="F440" s="155"/>
      <c r="G440" s="155"/>
      <c r="H440" s="155"/>
      <c r="I440" s="155"/>
      <c r="J440" s="155"/>
      <c r="K440" s="155"/>
      <c r="L440" s="155"/>
      <c r="M440" s="155"/>
      <c r="N440" s="155"/>
      <c r="O440" s="155"/>
      <c r="P440" s="155"/>
      <c r="Q440" s="155"/>
      <c r="R440" s="155"/>
      <c r="S440" s="155"/>
      <c r="T440" s="155"/>
      <c r="U440" s="155"/>
      <c r="V440" s="155"/>
      <c r="W440" s="155"/>
      <c r="GL440" s="155"/>
      <c r="GM440" s="155"/>
      <c r="GN440" s="155"/>
      <c r="GO440" s="155"/>
      <c r="GP440" s="155"/>
      <c r="GQ440" s="155"/>
      <c r="GR440" s="155"/>
      <c r="GS440" s="155"/>
      <c r="GT440" s="155"/>
      <c r="GU440" s="155"/>
      <c r="GV440" s="155"/>
      <c r="GW440" s="155"/>
      <c r="GX440" s="155"/>
      <c r="GY440" s="155"/>
      <c r="GZ440" s="155"/>
      <c r="HA440" s="155"/>
      <c r="HB440" s="155"/>
      <c r="HC440" s="155"/>
      <c r="HD440" s="155"/>
      <c r="HE440" s="155"/>
    </row>
    <row r="441" spans="2:213" s="156" customFormat="1" hidden="1">
      <c r="B441" s="155"/>
      <c r="C441" s="155"/>
      <c r="D441" s="155"/>
      <c r="E441" s="155"/>
      <c r="F441" s="155"/>
      <c r="G441" s="155"/>
      <c r="H441" s="155"/>
      <c r="I441" s="155"/>
      <c r="J441" s="155"/>
      <c r="K441" s="155"/>
      <c r="L441" s="155"/>
      <c r="M441" s="155"/>
      <c r="N441" s="155"/>
      <c r="O441" s="155"/>
      <c r="P441" s="155"/>
      <c r="Q441" s="155"/>
      <c r="R441" s="155"/>
      <c r="S441" s="155"/>
      <c r="T441" s="155"/>
      <c r="U441" s="155"/>
      <c r="V441" s="155"/>
      <c r="W441" s="155"/>
      <c r="GL441" s="155"/>
      <c r="GM441" s="155"/>
      <c r="GN441" s="155"/>
      <c r="GO441" s="155"/>
      <c r="GP441" s="155"/>
      <c r="GQ441" s="155"/>
      <c r="GR441" s="155"/>
      <c r="GS441" s="155"/>
      <c r="GT441" s="155"/>
      <c r="GU441" s="155"/>
      <c r="GV441" s="155"/>
      <c r="GW441" s="155"/>
      <c r="GX441" s="155"/>
      <c r="GY441" s="155"/>
      <c r="GZ441" s="155"/>
      <c r="HA441" s="155"/>
      <c r="HB441" s="155"/>
      <c r="HC441" s="155"/>
      <c r="HD441" s="155"/>
      <c r="HE441" s="155"/>
    </row>
    <row r="442" spans="2:213" s="156" customFormat="1" hidden="1">
      <c r="B442" s="155"/>
      <c r="C442" s="155"/>
      <c r="D442" s="155"/>
      <c r="E442" s="155"/>
      <c r="F442" s="155"/>
      <c r="G442" s="155"/>
      <c r="H442" s="155"/>
      <c r="I442" s="155"/>
      <c r="J442" s="155"/>
      <c r="K442" s="155"/>
      <c r="L442" s="155"/>
      <c r="M442" s="155"/>
      <c r="N442" s="155"/>
      <c r="O442" s="155"/>
      <c r="P442" s="155"/>
      <c r="Q442" s="155"/>
      <c r="R442" s="155"/>
      <c r="S442" s="155"/>
      <c r="T442" s="155"/>
      <c r="U442" s="155"/>
      <c r="V442" s="155"/>
      <c r="W442" s="155"/>
      <c r="GL442" s="155"/>
      <c r="GM442" s="155"/>
      <c r="GN442" s="155"/>
      <c r="GO442" s="155"/>
      <c r="GP442" s="155"/>
      <c r="GQ442" s="155"/>
      <c r="GR442" s="155"/>
      <c r="GS442" s="155"/>
      <c r="GT442" s="155"/>
      <c r="GU442" s="155"/>
      <c r="GV442" s="155"/>
      <c r="GW442" s="155"/>
      <c r="GX442" s="155"/>
      <c r="GY442" s="155"/>
      <c r="GZ442" s="155"/>
      <c r="HA442" s="155"/>
      <c r="HB442" s="155"/>
      <c r="HC442" s="155"/>
      <c r="HD442" s="155"/>
      <c r="HE442" s="155"/>
    </row>
    <row r="443" spans="2:213" s="156" customFormat="1" hidden="1">
      <c r="B443" s="155"/>
      <c r="C443" s="155"/>
      <c r="D443" s="155"/>
      <c r="E443" s="155"/>
      <c r="F443" s="155"/>
      <c r="G443" s="155"/>
      <c r="H443" s="155"/>
      <c r="I443" s="155"/>
      <c r="J443" s="155"/>
      <c r="K443" s="155"/>
      <c r="L443" s="155"/>
      <c r="M443" s="155"/>
      <c r="N443" s="155"/>
      <c r="O443" s="155"/>
      <c r="P443" s="155"/>
      <c r="Q443" s="155"/>
      <c r="R443" s="155"/>
      <c r="S443" s="155"/>
      <c r="T443" s="155"/>
      <c r="U443" s="155"/>
      <c r="V443" s="155"/>
      <c r="W443" s="155"/>
      <c r="GL443" s="155"/>
      <c r="GM443" s="155"/>
      <c r="GN443" s="155"/>
      <c r="GO443" s="155"/>
      <c r="GP443" s="155"/>
      <c r="GQ443" s="155"/>
      <c r="GR443" s="155"/>
      <c r="GS443" s="155"/>
      <c r="GT443" s="155"/>
      <c r="GU443" s="155"/>
      <c r="GV443" s="155"/>
      <c r="GW443" s="155"/>
      <c r="GX443" s="155"/>
      <c r="GY443" s="155"/>
      <c r="GZ443" s="155"/>
      <c r="HA443" s="155"/>
      <c r="HB443" s="155"/>
      <c r="HC443" s="155"/>
      <c r="HD443" s="155"/>
      <c r="HE443" s="155"/>
    </row>
    <row r="444" spans="2:213" s="156" customFormat="1" hidden="1">
      <c r="B444" s="155"/>
      <c r="C444" s="155"/>
      <c r="D444" s="155"/>
      <c r="E444" s="155"/>
      <c r="F444" s="155"/>
      <c r="G444" s="155"/>
      <c r="H444" s="155"/>
      <c r="I444" s="155"/>
      <c r="J444" s="155"/>
      <c r="K444" s="155"/>
      <c r="L444" s="155"/>
      <c r="M444" s="155"/>
      <c r="N444" s="155"/>
      <c r="O444" s="155"/>
      <c r="P444" s="155"/>
      <c r="Q444" s="155"/>
      <c r="R444" s="155"/>
      <c r="S444" s="155"/>
      <c r="T444" s="155"/>
      <c r="U444" s="155"/>
      <c r="V444" s="155"/>
      <c r="W444" s="155"/>
      <c r="GL444" s="155"/>
      <c r="GM444" s="155"/>
      <c r="GN444" s="155"/>
      <c r="GO444" s="155"/>
      <c r="GP444" s="155"/>
      <c r="GQ444" s="155"/>
      <c r="GR444" s="155"/>
      <c r="GS444" s="155"/>
      <c r="GT444" s="155"/>
      <c r="GU444" s="155"/>
      <c r="GV444" s="155"/>
      <c r="GW444" s="155"/>
      <c r="GX444" s="155"/>
      <c r="GY444" s="155"/>
      <c r="GZ444" s="155"/>
      <c r="HA444" s="155"/>
      <c r="HB444" s="155"/>
      <c r="HC444" s="155"/>
      <c r="HD444" s="155"/>
      <c r="HE444" s="155"/>
    </row>
    <row r="445" spans="2:213" s="156" customFormat="1" hidden="1">
      <c r="B445" s="155"/>
      <c r="C445" s="155"/>
      <c r="D445" s="155"/>
      <c r="E445" s="155"/>
      <c r="F445" s="155"/>
      <c r="G445" s="155"/>
      <c r="H445" s="155"/>
      <c r="I445" s="155"/>
      <c r="J445" s="155"/>
      <c r="K445" s="155"/>
      <c r="L445" s="155"/>
      <c r="M445" s="155"/>
      <c r="N445" s="155"/>
      <c r="O445" s="155"/>
      <c r="P445" s="155"/>
      <c r="Q445" s="155"/>
      <c r="R445" s="155"/>
      <c r="S445" s="155"/>
      <c r="T445" s="155"/>
      <c r="U445" s="155"/>
      <c r="V445" s="155"/>
      <c r="W445" s="155"/>
      <c r="GL445" s="155"/>
      <c r="GM445" s="155"/>
      <c r="GN445" s="155"/>
      <c r="GO445" s="155"/>
      <c r="GP445" s="155"/>
      <c r="GQ445" s="155"/>
      <c r="GR445" s="155"/>
      <c r="GS445" s="155"/>
      <c r="GT445" s="155"/>
      <c r="GU445" s="155"/>
      <c r="GV445" s="155"/>
      <c r="GW445" s="155"/>
      <c r="GX445" s="155"/>
      <c r="GY445" s="155"/>
      <c r="GZ445" s="155"/>
      <c r="HA445" s="155"/>
      <c r="HB445" s="155"/>
      <c r="HC445" s="155"/>
      <c r="HD445" s="155"/>
      <c r="HE445" s="155"/>
    </row>
    <row r="446" spans="2:213" s="156" customFormat="1" hidden="1">
      <c r="B446" s="155"/>
      <c r="C446" s="155"/>
      <c r="D446" s="155"/>
      <c r="E446" s="155"/>
      <c r="F446" s="155"/>
      <c r="G446" s="155"/>
      <c r="H446" s="155"/>
      <c r="I446" s="155"/>
      <c r="J446" s="155"/>
      <c r="K446" s="155"/>
      <c r="L446" s="155"/>
      <c r="M446" s="155"/>
      <c r="N446" s="155"/>
      <c r="O446" s="155"/>
      <c r="P446" s="155"/>
      <c r="Q446" s="155"/>
      <c r="R446" s="155"/>
      <c r="S446" s="155"/>
      <c r="T446" s="155"/>
      <c r="U446" s="155"/>
      <c r="V446" s="155"/>
      <c r="W446" s="155"/>
      <c r="GL446" s="155"/>
      <c r="GM446" s="155"/>
      <c r="GN446" s="155"/>
      <c r="GO446" s="155"/>
      <c r="GP446" s="155"/>
      <c r="GQ446" s="155"/>
      <c r="GR446" s="155"/>
      <c r="GS446" s="155"/>
      <c r="GT446" s="155"/>
      <c r="GU446" s="155"/>
      <c r="GV446" s="155"/>
      <c r="GW446" s="155"/>
      <c r="GX446" s="155"/>
      <c r="GY446" s="155"/>
      <c r="GZ446" s="155"/>
      <c r="HA446" s="155"/>
      <c r="HB446" s="155"/>
      <c r="HC446" s="155"/>
      <c r="HD446" s="155"/>
      <c r="HE446" s="155"/>
    </row>
    <row r="447" spans="2:213" s="156" customFormat="1" hidden="1">
      <c r="B447" s="155"/>
      <c r="C447" s="155"/>
      <c r="D447" s="155"/>
      <c r="E447" s="155"/>
      <c r="F447" s="155"/>
      <c r="G447" s="155"/>
      <c r="H447" s="155"/>
      <c r="I447" s="155"/>
      <c r="J447" s="155"/>
      <c r="K447" s="155"/>
      <c r="L447" s="155"/>
      <c r="M447" s="155"/>
      <c r="N447" s="155"/>
      <c r="O447" s="155"/>
      <c r="P447" s="155"/>
      <c r="Q447" s="155"/>
      <c r="R447" s="155"/>
      <c r="S447" s="155"/>
      <c r="T447" s="155"/>
      <c r="U447" s="155"/>
      <c r="V447" s="155"/>
      <c r="W447" s="155"/>
      <c r="GL447" s="155"/>
      <c r="GM447" s="155"/>
      <c r="GN447" s="155"/>
      <c r="GO447" s="155"/>
      <c r="GP447" s="155"/>
      <c r="GQ447" s="155"/>
      <c r="GR447" s="155"/>
      <c r="GS447" s="155"/>
      <c r="GT447" s="155"/>
      <c r="GU447" s="155"/>
      <c r="GV447" s="155"/>
      <c r="GW447" s="155"/>
      <c r="GX447" s="155"/>
      <c r="GY447" s="155"/>
      <c r="GZ447" s="155"/>
      <c r="HA447" s="155"/>
      <c r="HB447" s="155"/>
      <c r="HC447" s="155"/>
      <c r="HD447" s="155"/>
      <c r="HE447" s="155"/>
    </row>
    <row r="448" spans="2:213" s="156" customFormat="1" hidden="1">
      <c r="B448" s="155"/>
      <c r="C448" s="155"/>
      <c r="D448" s="155"/>
      <c r="E448" s="155"/>
      <c r="F448" s="155"/>
      <c r="G448" s="155"/>
      <c r="H448" s="155"/>
      <c r="I448" s="155"/>
      <c r="J448" s="155"/>
      <c r="K448" s="155"/>
      <c r="L448" s="155"/>
      <c r="M448" s="155"/>
      <c r="N448" s="155"/>
      <c r="O448" s="155"/>
      <c r="P448" s="155"/>
      <c r="Q448" s="155"/>
      <c r="R448" s="155"/>
      <c r="S448" s="155"/>
      <c r="T448" s="155"/>
      <c r="U448" s="155"/>
      <c r="V448" s="155"/>
      <c r="W448" s="155"/>
      <c r="GL448" s="155"/>
      <c r="GM448" s="155"/>
      <c r="GN448" s="155"/>
      <c r="GO448" s="155"/>
      <c r="GP448" s="155"/>
      <c r="GQ448" s="155"/>
      <c r="GR448" s="155"/>
      <c r="GS448" s="155"/>
      <c r="GT448" s="155"/>
      <c r="GU448" s="155"/>
      <c r="GV448" s="155"/>
      <c r="GW448" s="155"/>
      <c r="GX448" s="155"/>
      <c r="GY448" s="155"/>
      <c r="GZ448" s="155"/>
      <c r="HA448" s="155"/>
      <c r="HB448" s="155"/>
      <c r="HC448" s="155"/>
      <c r="HD448" s="155"/>
      <c r="HE448" s="155"/>
    </row>
    <row r="449" spans="2:213" s="156" customFormat="1" hidden="1">
      <c r="B449" s="155"/>
      <c r="C449" s="155"/>
      <c r="D449" s="155"/>
      <c r="E449" s="155"/>
      <c r="F449" s="155"/>
      <c r="G449" s="155"/>
      <c r="H449" s="155"/>
      <c r="I449" s="155"/>
      <c r="J449" s="155"/>
      <c r="K449" s="155"/>
      <c r="L449" s="155"/>
      <c r="M449" s="155"/>
      <c r="N449" s="155"/>
      <c r="O449" s="155"/>
      <c r="P449" s="155"/>
      <c r="Q449" s="155"/>
      <c r="R449" s="155"/>
      <c r="S449" s="155"/>
      <c r="T449" s="155"/>
      <c r="U449" s="155"/>
      <c r="V449" s="155"/>
      <c r="W449" s="155"/>
      <c r="GL449" s="155"/>
      <c r="GM449" s="155"/>
      <c r="GN449" s="155"/>
      <c r="GO449" s="155"/>
      <c r="GP449" s="155"/>
      <c r="GQ449" s="155"/>
      <c r="GR449" s="155"/>
      <c r="GS449" s="155"/>
      <c r="GT449" s="155"/>
      <c r="GU449" s="155"/>
      <c r="GV449" s="155"/>
      <c r="GW449" s="155"/>
      <c r="GX449" s="155"/>
      <c r="GY449" s="155"/>
      <c r="GZ449" s="155"/>
      <c r="HA449" s="155"/>
      <c r="HB449" s="155"/>
      <c r="HC449" s="155"/>
      <c r="HD449" s="155"/>
      <c r="HE449" s="155"/>
    </row>
    <row r="450" spans="2:213" s="156" customFormat="1" hidden="1">
      <c r="B450" s="155"/>
      <c r="C450" s="155"/>
      <c r="D450" s="155"/>
      <c r="E450" s="155"/>
      <c r="F450" s="155"/>
      <c r="G450" s="155"/>
      <c r="H450" s="155"/>
      <c r="I450" s="155"/>
      <c r="J450" s="155"/>
      <c r="K450" s="155"/>
      <c r="L450" s="155"/>
      <c r="M450" s="155"/>
      <c r="N450" s="155"/>
      <c r="O450" s="155"/>
      <c r="P450" s="155"/>
      <c r="Q450" s="155"/>
      <c r="R450" s="155"/>
      <c r="S450" s="155"/>
      <c r="T450" s="155"/>
      <c r="U450" s="155"/>
      <c r="V450" s="155"/>
      <c r="W450" s="155"/>
      <c r="GL450" s="155"/>
      <c r="GM450" s="155"/>
      <c r="GN450" s="155"/>
      <c r="GO450" s="155"/>
      <c r="GP450" s="155"/>
      <c r="GQ450" s="155"/>
      <c r="GR450" s="155"/>
      <c r="GS450" s="155"/>
      <c r="GT450" s="155"/>
      <c r="GU450" s="155"/>
      <c r="GV450" s="155"/>
      <c r="GW450" s="155"/>
      <c r="GX450" s="155"/>
      <c r="GY450" s="155"/>
      <c r="GZ450" s="155"/>
      <c r="HA450" s="155"/>
      <c r="HB450" s="155"/>
      <c r="HC450" s="155"/>
      <c r="HD450" s="155"/>
      <c r="HE450" s="155"/>
    </row>
    <row r="451" spans="2:213" s="156" customFormat="1" hidden="1">
      <c r="B451" s="155"/>
      <c r="C451" s="155"/>
      <c r="D451" s="155"/>
      <c r="E451" s="155"/>
      <c r="F451" s="155"/>
      <c r="G451" s="155"/>
      <c r="H451" s="155"/>
      <c r="I451" s="155"/>
      <c r="J451" s="155"/>
      <c r="K451" s="155"/>
      <c r="L451" s="155"/>
      <c r="M451" s="155"/>
      <c r="N451" s="155"/>
      <c r="O451" s="155"/>
      <c r="P451" s="155"/>
      <c r="Q451" s="155"/>
      <c r="R451" s="155"/>
      <c r="S451" s="155"/>
      <c r="T451" s="155"/>
      <c r="U451" s="155"/>
      <c r="V451" s="155"/>
      <c r="W451" s="155"/>
      <c r="GL451" s="155"/>
      <c r="GM451" s="155"/>
      <c r="GN451" s="155"/>
      <c r="GO451" s="155"/>
      <c r="GP451" s="155"/>
      <c r="GQ451" s="155"/>
      <c r="GR451" s="155"/>
      <c r="GS451" s="155"/>
      <c r="GT451" s="155"/>
      <c r="GU451" s="155"/>
      <c r="GV451" s="155"/>
      <c r="GW451" s="155"/>
      <c r="GX451" s="155"/>
      <c r="GY451" s="155"/>
      <c r="GZ451" s="155"/>
      <c r="HA451" s="155"/>
      <c r="HB451" s="155"/>
      <c r="HC451" s="155"/>
      <c r="HD451" s="155"/>
      <c r="HE451" s="155"/>
    </row>
    <row r="452" spans="2:213" s="156" customFormat="1" hidden="1">
      <c r="B452" s="155"/>
      <c r="C452" s="155"/>
      <c r="D452" s="155"/>
      <c r="E452" s="155"/>
      <c r="F452" s="155"/>
      <c r="G452" s="155"/>
      <c r="H452" s="155"/>
      <c r="I452" s="155"/>
      <c r="J452" s="155"/>
      <c r="K452" s="155"/>
      <c r="L452" s="155"/>
      <c r="M452" s="155"/>
      <c r="N452" s="155"/>
      <c r="O452" s="155"/>
      <c r="P452" s="155"/>
      <c r="Q452" s="155"/>
      <c r="R452" s="155"/>
      <c r="S452" s="155"/>
      <c r="T452" s="155"/>
      <c r="U452" s="155"/>
      <c r="V452" s="155"/>
      <c r="W452" s="155"/>
      <c r="GL452" s="155"/>
      <c r="GM452" s="155"/>
      <c r="GN452" s="155"/>
      <c r="GO452" s="155"/>
      <c r="GP452" s="155"/>
      <c r="GQ452" s="155"/>
      <c r="GR452" s="155"/>
      <c r="GS452" s="155"/>
      <c r="GT452" s="155"/>
      <c r="GU452" s="155"/>
      <c r="GV452" s="155"/>
      <c r="GW452" s="155"/>
      <c r="GX452" s="155"/>
      <c r="GY452" s="155"/>
      <c r="GZ452" s="155"/>
      <c r="HA452" s="155"/>
      <c r="HB452" s="155"/>
      <c r="HC452" s="155"/>
      <c r="HD452" s="155"/>
      <c r="HE452" s="155"/>
    </row>
    <row r="453" spans="2:213" s="156" customFormat="1" hidden="1">
      <c r="B453" s="155"/>
      <c r="C453" s="155"/>
      <c r="D453" s="155"/>
      <c r="E453" s="155"/>
      <c r="F453" s="155"/>
      <c r="G453" s="155"/>
      <c r="H453" s="155"/>
      <c r="I453" s="155"/>
      <c r="J453" s="155"/>
      <c r="K453" s="155"/>
      <c r="L453" s="155"/>
      <c r="M453" s="155"/>
      <c r="N453" s="155"/>
      <c r="O453" s="155"/>
      <c r="P453" s="155"/>
      <c r="Q453" s="155"/>
      <c r="R453" s="155"/>
      <c r="S453" s="155"/>
      <c r="T453" s="155"/>
      <c r="U453" s="155"/>
      <c r="V453" s="155"/>
      <c r="W453" s="155"/>
      <c r="GL453" s="155"/>
      <c r="GM453" s="155"/>
      <c r="GN453" s="155"/>
      <c r="GO453" s="155"/>
      <c r="GP453" s="155"/>
      <c r="GQ453" s="155"/>
      <c r="GR453" s="155"/>
      <c r="GS453" s="155"/>
      <c r="GT453" s="155"/>
      <c r="GU453" s="155"/>
      <c r="GV453" s="155"/>
      <c r="GW453" s="155"/>
      <c r="GX453" s="155"/>
      <c r="GY453" s="155"/>
      <c r="GZ453" s="155"/>
      <c r="HA453" s="155"/>
      <c r="HB453" s="155"/>
      <c r="HC453" s="155"/>
      <c r="HD453" s="155"/>
      <c r="HE453" s="155"/>
    </row>
    <row r="454" spans="2:213" s="156" customFormat="1" hidden="1">
      <c r="B454" s="155"/>
      <c r="C454" s="155"/>
      <c r="D454" s="155"/>
      <c r="E454" s="155"/>
      <c r="F454" s="155"/>
      <c r="G454" s="155"/>
      <c r="H454" s="155"/>
      <c r="I454" s="155"/>
      <c r="J454" s="155"/>
      <c r="K454" s="155"/>
      <c r="L454" s="155"/>
      <c r="M454" s="155"/>
      <c r="N454" s="155"/>
      <c r="O454" s="155"/>
      <c r="P454" s="155"/>
      <c r="Q454" s="155"/>
      <c r="R454" s="155"/>
      <c r="S454" s="155"/>
      <c r="T454" s="155"/>
      <c r="U454" s="155"/>
      <c r="V454" s="155"/>
      <c r="W454" s="155"/>
      <c r="GL454" s="155"/>
      <c r="GM454" s="155"/>
      <c r="GN454" s="155"/>
      <c r="GO454" s="155"/>
      <c r="GP454" s="155"/>
      <c r="GQ454" s="155"/>
      <c r="GR454" s="155"/>
      <c r="GS454" s="155"/>
      <c r="GT454" s="155"/>
      <c r="GU454" s="155"/>
      <c r="GV454" s="155"/>
      <c r="GW454" s="155"/>
      <c r="GX454" s="155"/>
      <c r="GY454" s="155"/>
      <c r="GZ454" s="155"/>
      <c r="HA454" s="155"/>
      <c r="HB454" s="155"/>
      <c r="HC454" s="155"/>
      <c r="HD454" s="155"/>
      <c r="HE454" s="155"/>
    </row>
    <row r="455" spans="2:213" s="156" customFormat="1" hidden="1">
      <c r="B455" s="155"/>
      <c r="C455" s="155"/>
      <c r="D455" s="155"/>
      <c r="E455" s="155"/>
      <c r="F455" s="155"/>
      <c r="G455" s="155"/>
      <c r="H455" s="155"/>
      <c r="I455" s="155"/>
      <c r="J455" s="155"/>
      <c r="K455" s="155"/>
      <c r="L455" s="155"/>
      <c r="M455" s="155"/>
      <c r="N455" s="155"/>
      <c r="O455" s="155"/>
      <c r="P455" s="155"/>
      <c r="Q455" s="155"/>
      <c r="R455" s="155"/>
      <c r="S455" s="155"/>
      <c r="T455" s="155"/>
      <c r="U455" s="155"/>
      <c r="V455" s="155"/>
      <c r="W455" s="155"/>
      <c r="GL455" s="155"/>
      <c r="GM455" s="155"/>
      <c r="GN455" s="155"/>
      <c r="GO455" s="155"/>
      <c r="GP455" s="155"/>
      <c r="GQ455" s="155"/>
      <c r="GR455" s="155"/>
      <c r="GS455" s="155"/>
      <c r="GT455" s="155"/>
      <c r="GU455" s="155"/>
      <c r="GV455" s="155"/>
      <c r="GW455" s="155"/>
      <c r="GX455" s="155"/>
      <c r="GY455" s="155"/>
      <c r="GZ455" s="155"/>
      <c r="HA455" s="155"/>
      <c r="HB455" s="155"/>
      <c r="HC455" s="155"/>
      <c r="HD455" s="155"/>
      <c r="HE455" s="155"/>
    </row>
    <row r="456" spans="2:213" s="156" customFormat="1" hidden="1">
      <c r="B456" s="155"/>
      <c r="C456" s="155"/>
      <c r="D456" s="155"/>
      <c r="E456" s="155"/>
      <c r="F456" s="155"/>
      <c r="G456" s="155"/>
      <c r="H456" s="155"/>
      <c r="I456" s="155"/>
      <c r="J456" s="155"/>
      <c r="K456" s="155"/>
      <c r="L456" s="155"/>
      <c r="M456" s="155"/>
      <c r="N456" s="155"/>
      <c r="O456" s="155"/>
      <c r="P456" s="155"/>
      <c r="Q456" s="155"/>
      <c r="R456" s="155"/>
      <c r="S456" s="155"/>
      <c r="T456" s="155"/>
      <c r="U456" s="155"/>
      <c r="V456" s="155"/>
      <c r="W456" s="155"/>
      <c r="GL456" s="155"/>
      <c r="GM456" s="155"/>
      <c r="GN456" s="155"/>
      <c r="GO456" s="155"/>
      <c r="GP456" s="155"/>
      <c r="GQ456" s="155"/>
      <c r="GR456" s="155"/>
      <c r="GS456" s="155"/>
      <c r="GT456" s="155"/>
      <c r="GU456" s="155"/>
      <c r="GV456" s="155"/>
      <c r="GW456" s="155"/>
      <c r="GX456" s="155"/>
      <c r="GY456" s="155"/>
      <c r="GZ456" s="155"/>
      <c r="HA456" s="155"/>
      <c r="HB456" s="155"/>
      <c r="HC456" s="155"/>
      <c r="HD456" s="155"/>
      <c r="HE456" s="155"/>
    </row>
    <row r="457" spans="2:213" s="156" customFormat="1" hidden="1">
      <c r="B457" s="155"/>
      <c r="C457" s="155"/>
      <c r="D457" s="155"/>
      <c r="E457" s="155"/>
      <c r="F457" s="155"/>
      <c r="G457" s="155"/>
      <c r="H457" s="155"/>
      <c r="I457" s="155"/>
      <c r="J457" s="155"/>
      <c r="K457" s="155"/>
      <c r="L457" s="155"/>
      <c r="M457" s="155"/>
      <c r="N457" s="155"/>
      <c r="O457" s="155"/>
      <c r="P457" s="155"/>
      <c r="Q457" s="155"/>
      <c r="R457" s="155"/>
      <c r="S457" s="155"/>
      <c r="T457" s="155"/>
      <c r="U457" s="155"/>
      <c r="V457" s="155"/>
      <c r="W457" s="155"/>
      <c r="GL457" s="155"/>
      <c r="GM457" s="155"/>
      <c r="GN457" s="155"/>
      <c r="GO457" s="155"/>
      <c r="GP457" s="155"/>
      <c r="GQ457" s="155"/>
      <c r="GR457" s="155"/>
      <c r="GS457" s="155"/>
      <c r="GT457" s="155"/>
      <c r="GU457" s="155"/>
      <c r="GV457" s="155"/>
      <c r="GW457" s="155"/>
      <c r="GX457" s="155"/>
      <c r="GY457" s="155"/>
      <c r="GZ457" s="155"/>
      <c r="HA457" s="155"/>
      <c r="HB457" s="155"/>
      <c r="HC457" s="155"/>
      <c r="HD457" s="155"/>
      <c r="HE457" s="155"/>
    </row>
    <row r="458" spans="2:213" s="156" customFormat="1" hidden="1">
      <c r="B458" s="155"/>
      <c r="C458" s="155"/>
      <c r="D458" s="155"/>
      <c r="E458" s="155"/>
      <c r="F458" s="155"/>
      <c r="G458" s="155"/>
      <c r="H458" s="155"/>
      <c r="I458" s="155"/>
      <c r="J458" s="155"/>
      <c r="K458" s="155"/>
      <c r="L458" s="155"/>
      <c r="M458" s="155"/>
      <c r="N458" s="155"/>
      <c r="O458" s="155"/>
      <c r="P458" s="155"/>
      <c r="Q458" s="155"/>
      <c r="R458" s="155"/>
      <c r="S458" s="155"/>
      <c r="T458" s="155"/>
      <c r="U458" s="155"/>
      <c r="V458" s="155"/>
      <c r="W458" s="155"/>
      <c r="GL458" s="155"/>
      <c r="GM458" s="155"/>
      <c r="GN458" s="155"/>
      <c r="GO458" s="155"/>
      <c r="GP458" s="155"/>
      <c r="GQ458" s="155"/>
      <c r="GR458" s="155"/>
      <c r="GS458" s="155"/>
      <c r="GT458" s="155"/>
      <c r="GU458" s="155"/>
      <c r="GV458" s="155"/>
      <c r="GW458" s="155"/>
      <c r="GX458" s="155"/>
      <c r="GY458" s="155"/>
      <c r="GZ458" s="155"/>
      <c r="HA458" s="155"/>
      <c r="HB458" s="155"/>
      <c r="HC458" s="155"/>
      <c r="HD458" s="155"/>
      <c r="HE458" s="155"/>
    </row>
    <row r="459" spans="2:213" s="156" customFormat="1" hidden="1">
      <c r="B459" s="155"/>
      <c r="C459" s="155"/>
      <c r="D459" s="155"/>
      <c r="E459" s="155"/>
      <c r="F459" s="155"/>
      <c r="G459" s="155"/>
      <c r="H459" s="155"/>
      <c r="I459" s="155"/>
      <c r="J459" s="155"/>
      <c r="K459" s="155"/>
      <c r="L459" s="155"/>
      <c r="M459" s="155"/>
      <c r="N459" s="155"/>
      <c r="O459" s="155"/>
      <c r="P459" s="155"/>
      <c r="Q459" s="155"/>
      <c r="R459" s="155"/>
      <c r="S459" s="155"/>
      <c r="T459" s="155"/>
      <c r="U459" s="155"/>
      <c r="V459" s="155"/>
      <c r="W459" s="155"/>
      <c r="GL459" s="155"/>
      <c r="GM459" s="155"/>
      <c r="GN459" s="155"/>
      <c r="GO459" s="155"/>
      <c r="GP459" s="155"/>
      <c r="GQ459" s="155"/>
      <c r="GR459" s="155"/>
      <c r="GS459" s="155"/>
      <c r="GT459" s="155"/>
      <c r="GU459" s="155"/>
      <c r="GV459" s="155"/>
      <c r="GW459" s="155"/>
      <c r="GX459" s="155"/>
      <c r="GY459" s="155"/>
      <c r="GZ459" s="155"/>
      <c r="HA459" s="155"/>
      <c r="HB459" s="155"/>
      <c r="HC459" s="155"/>
      <c r="HD459" s="155"/>
      <c r="HE459" s="155"/>
    </row>
    <row r="460" spans="2:213" s="156" customFormat="1" hidden="1">
      <c r="B460" s="155"/>
      <c r="C460" s="155"/>
      <c r="D460" s="155"/>
      <c r="E460" s="155"/>
      <c r="F460" s="155"/>
      <c r="G460" s="155"/>
      <c r="H460" s="155"/>
      <c r="I460" s="155"/>
      <c r="J460" s="155"/>
      <c r="K460" s="155"/>
      <c r="L460" s="155"/>
      <c r="M460" s="155"/>
      <c r="N460" s="155"/>
      <c r="O460" s="155"/>
      <c r="P460" s="155"/>
      <c r="Q460" s="155"/>
      <c r="R460" s="155"/>
      <c r="S460" s="155"/>
      <c r="T460" s="155"/>
      <c r="U460" s="155"/>
      <c r="V460" s="155"/>
      <c r="W460" s="155"/>
      <c r="GL460" s="155"/>
      <c r="GM460" s="155"/>
      <c r="GN460" s="155"/>
      <c r="GO460" s="155"/>
      <c r="GP460" s="155"/>
      <c r="GQ460" s="155"/>
      <c r="GR460" s="155"/>
      <c r="GS460" s="155"/>
      <c r="GT460" s="155"/>
      <c r="GU460" s="155"/>
      <c r="GV460" s="155"/>
      <c r="GW460" s="155"/>
      <c r="GX460" s="155"/>
      <c r="GY460" s="155"/>
      <c r="GZ460" s="155"/>
      <c r="HA460" s="155"/>
      <c r="HB460" s="155"/>
      <c r="HC460" s="155"/>
      <c r="HD460" s="155"/>
      <c r="HE460" s="155"/>
    </row>
    <row r="461" spans="2:213" s="156" customFormat="1" hidden="1">
      <c r="B461" s="155"/>
      <c r="C461" s="155"/>
      <c r="D461" s="155"/>
      <c r="E461" s="155"/>
      <c r="F461" s="155"/>
      <c r="G461" s="155"/>
      <c r="H461" s="155"/>
      <c r="I461" s="155"/>
      <c r="J461" s="155"/>
      <c r="K461" s="155"/>
      <c r="L461" s="155"/>
      <c r="M461" s="155"/>
      <c r="N461" s="155"/>
      <c r="O461" s="155"/>
      <c r="P461" s="155"/>
      <c r="Q461" s="155"/>
      <c r="R461" s="155"/>
      <c r="S461" s="155"/>
      <c r="T461" s="155"/>
      <c r="U461" s="155"/>
      <c r="V461" s="155"/>
      <c r="W461" s="155"/>
      <c r="GL461" s="155"/>
      <c r="GM461" s="155"/>
      <c r="GN461" s="155"/>
      <c r="GO461" s="155"/>
      <c r="GP461" s="155"/>
      <c r="GQ461" s="155"/>
      <c r="GR461" s="155"/>
      <c r="GS461" s="155"/>
      <c r="GT461" s="155"/>
      <c r="GU461" s="155"/>
      <c r="GV461" s="155"/>
      <c r="GW461" s="155"/>
      <c r="GX461" s="155"/>
      <c r="GY461" s="155"/>
      <c r="GZ461" s="155"/>
      <c r="HA461" s="155"/>
      <c r="HB461" s="155"/>
      <c r="HC461" s="155"/>
      <c r="HD461" s="155"/>
      <c r="HE461" s="155"/>
    </row>
    <row r="462" spans="2:213" s="156" customFormat="1" hidden="1">
      <c r="B462" s="155"/>
      <c r="C462" s="155"/>
      <c r="D462" s="155"/>
      <c r="E462" s="155"/>
      <c r="F462" s="155"/>
      <c r="G462" s="155"/>
      <c r="H462" s="155"/>
      <c r="I462" s="155"/>
      <c r="J462" s="155"/>
      <c r="K462" s="155"/>
      <c r="L462" s="155"/>
      <c r="M462" s="155"/>
      <c r="N462" s="155"/>
      <c r="O462" s="155"/>
      <c r="P462" s="155"/>
      <c r="Q462" s="155"/>
      <c r="R462" s="155"/>
      <c r="S462" s="155"/>
      <c r="T462" s="155"/>
      <c r="U462" s="155"/>
      <c r="V462" s="155"/>
      <c r="W462" s="155"/>
      <c r="GL462" s="155"/>
      <c r="GM462" s="155"/>
      <c r="GN462" s="155"/>
      <c r="GO462" s="155"/>
      <c r="GP462" s="155"/>
      <c r="GQ462" s="155"/>
      <c r="GR462" s="155"/>
      <c r="GS462" s="155"/>
      <c r="GT462" s="155"/>
      <c r="GU462" s="155"/>
      <c r="GV462" s="155"/>
      <c r="GW462" s="155"/>
      <c r="GX462" s="155"/>
      <c r="GY462" s="155"/>
      <c r="GZ462" s="155"/>
      <c r="HA462" s="155"/>
      <c r="HB462" s="155"/>
      <c r="HC462" s="155"/>
      <c r="HD462" s="155"/>
      <c r="HE462" s="155"/>
    </row>
    <row r="463" spans="2:213" s="156" customFormat="1" hidden="1">
      <c r="B463" s="155"/>
      <c r="C463" s="155"/>
      <c r="D463" s="155"/>
      <c r="E463" s="155"/>
      <c r="F463" s="155"/>
      <c r="G463" s="155"/>
      <c r="H463" s="155"/>
      <c r="I463" s="155"/>
      <c r="J463" s="155"/>
      <c r="K463" s="155"/>
      <c r="L463" s="155"/>
      <c r="M463" s="155"/>
      <c r="N463" s="155"/>
      <c r="O463" s="155"/>
      <c r="P463" s="155"/>
      <c r="Q463" s="155"/>
      <c r="R463" s="155"/>
      <c r="S463" s="155"/>
      <c r="T463" s="155"/>
      <c r="U463" s="155"/>
      <c r="V463" s="155"/>
      <c r="W463" s="155"/>
      <c r="GL463" s="155"/>
      <c r="GM463" s="155"/>
      <c r="GN463" s="155"/>
      <c r="GO463" s="155"/>
      <c r="GP463" s="155"/>
      <c r="GQ463" s="155"/>
      <c r="GR463" s="155"/>
      <c r="GS463" s="155"/>
      <c r="GT463" s="155"/>
      <c r="GU463" s="155"/>
      <c r="GV463" s="155"/>
      <c r="GW463" s="155"/>
      <c r="GX463" s="155"/>
      <c r="GY463" s="155"/>
      <c r="GZ463" s="155"/>
      <c r="HA463" s="155"/>
      <c r="HB463" s="155"/>
      <c r="HC463" s="155"/>
      <c r="HD463" s="155"/>
      <c r="HE463" s="155"/>
    </row>
    <row r="464" spans="2:213" s="156" customFormat="1" hidden="1">
      <c r="B464" s="155"/>
      <c r="C464" s="155"/>
      <c r="D464" s="155"/>
      <c r="E464" s="155"/>
      <c r="F464" s="155"/>
      <c r="G464" s="155"/>
      <c r="H464" s="155"/>
      <c r="I464" s="155"/>
      <c r="J464" s="155"/>
      <c r="K464" s="155"/>
      <c r="L464" s="155"/>
      <c r="M464" s="155"/>
      <c r="N464" s="155"/>
      <c r="O464" s="155"/>
      <c r="P464" s="155"/>
      <c r="Q464" s="155"/>
      <c r="R464" s="155"/>
      <c r="S464" s="155"/>
      <c r="T464" s="155"/>
      <c r="U464" s="155"/>
      <c r="V464" s="155"/>
      <c r="W464" s="155"/>
      <c r="GL464" s="155"/>
      <c r="GM464" s="155"/>
      <c r="GN464" s="155"/>
      <c r="GO464" s="155"/>
      <c r="GP464" s="155"/>
      <c r="GQ464" s="155"/>
      <c r="GR464" s="155"/>
      <c r="GS464" s="155"/>
      <c r="GT464" s="155"/>
      <c r="GU464" s="155"/>
      <c r="GV464" s="155"/>
      <c r="GW464" s="155"/>
      <c r="GX464" s="155"/>
      <c r="GY464" s="155"/>
      <c r="GZ464" s="155"/>
      <c r="HA464" s="155"/>
      <c r="HB464" s="155"/>
      <c r="HC464" s="155"/>
      <c r="HD464" s="155"/>
      <c r="HE464" s="155"/>
    </row>
    <row r="465" spans="2:213" s="156" customFormat="1" hidden="1">
      <c r="B465" s="155"/>
      <c r="C465" s="155"/>
      <c r="D465" s="155"/>
      <c r="E465" s="155"/>
      <c r="F465" s="155"/>
      <c r="G465" s="155"/>
      <c r="H465" s="155"/>
      <c r="I465" s="155"/>
      <c r="J465" s="155"/>
      <c r="K465" s="155"/>
      <c r="L465" s="155"/>
      <c r="M465" s="155"/>
      <c r="N465" s="155"/>
      <c r="O465" s="155"/>
      <c r="P465" s="155"/>
      <c r="Q465" s="155"/>
      <c r="R465" s="155"/>
      <c r="S465" s="155"/>
      <c r="T465" s="155"/>
      <c r="U465" s="155"/>
      <c r="V465" s="155"/>
      <c r="W465" s="155"/>
      <c r="GL465" s="155"/>
      <c r="GM465" s="155"/>
      <c r="GN465" s="155"/>
      <c r="GO465" s="155"/>
      <c r="GP465" s="155"/>
      <c r="GQ465" s="155"/>
      <c r="GR465" s="155"/>
      <c r="GS465" s="155"/>
      <c r="GT465" s="155"/>
      <c r="GU465" s="155"/>
      <c r="GV465" s="155"/>
      <c r="GW465" s="155"/>
      <c r="GX465" s="155"/>
      <c r="GY465" s="155"/>
      <c r="GZ465" s="155"/>
      <c r="HA465" s="155"/>
      <c r="HB465" s="155"/>
      <c r="HC465" s="155"/>
      <c r="HD465" s="155"/>
      <c r="HE465" s="155"/>
    </row>
    <row r="466" spans="2:213" s="156" customFormat="1" hidden="1">
      <c r="B466" s="155"/>
      <c r="C466" s="155"/>
      <c r="D466" s="155"/>
      <c r="E466" s="155"/>
      <c r="F466" s="155"/>
      <c r="G466" s="155"/>
      <c r="H466" s="155"/>
      <c r="I466" s="155"/>
      <c r="J466" s="155"/>
      <c r="K466" s="155"/>
      <c r="L466" s="155"/>
      <c r="M466" s="155"/>
      <c r="N466" s="155"/>
      <c r="O466" s="155"/>
      <c r="P466" s="155"/>
      <c r="Q466" s="155"/>
      <c r="R466" s="155"/>
      <c r="S466" s="155"/>
      <c r="T466" s="155"/>
      <c r="U466" s="155"/>
      <c r="V466" s="155"/>
      <c r="W466" s="155"/>
      <c r="GL466" s="155"/>
      <c r="GM466" s="155"/>
      <c r="GN466" s="155"/>
      <c r="GO466" s="155"/>
      <c r="GP466" s="155"/>
      <c r="GQ466" s="155"/>
      <c r="GR466" s="155"/>
      <c r="GS466" s="155"/>
      <c r="GT466" s="155"/>
      <c r="GU466" s="155"/>
      <c r="GV466" s="155"/>
      <c r="GW466" s="155"/>
      <c r="GX466" s="155"/>
      <c r="GY466" s="155"/>
      <c r="GZ466" s="155"/>
      <c r="HA466" s="155"/>
      <c r="HB466" s="155"/>
      <c r="HC466" s="155"/>
      <c r="HD466" s="155"/>
      <c r="HE466" s="155"/>
    </row>
    <row r="467" spans="2:213" s="156" customFormat="1" hidden="1">
      <c r="B467" s="155"/>
      <c r="C467" s="155"/>
      <c r="D467" s="155"/>
      <c r="E467" s="155"/>
      <c r="F467" s="155"/>
      <c r="G467" s="155"/>
      <c r="H467" s="155"/>
      <c r="I467" s="155"/>
      <c r="J467" s="155"/>
      <c r="K467" s="155"/>
      <c r="L467" s="155"/>
      <c r="M467" s="155"/>
      <c r="N467" s="155"/>
      <c r="O467" s="155"/>
      <c r="P467" s="155"/>
      <c r="Q467" s="155"/>
      <c r="R467" s="155"/>
      <c r="S467" s="155"/>
      <c r="T467" s="155"/>
      <c r="U467" s="155"/>
      <c r="V467" s="155"/>
      <c r="W467" s="155"/>
      <c r="GL467" s="155"/>
      <c r="GM467" s="155"/>
      <c r="GN467" s="155"/>
      <c r="GO467" s="155"/>
      <c r="GP467" s="155"/>
      <c r="GQ467" s="155"/>
      <c r="GR467" s="155"/>
      <c r="GS467" s="155"/>
      <c r="GT467" s="155"/>
      <c r="GU467" s="155"/>
      <c r="GV467" s="155"/>
      <c r="GW467" s="155"/>
      <c r="GX467" s="155"/>
      <c r="GY467" s="155"/>
      <c r="GZ467" s="155"/>
      <c r="HA467" s="155"/>
      <c r="HB467" s="155"/>
      <c r="HC467" s="155"/>
      <c r="HD467" s="155"/>
      <c r="HE467" s="155"/>
    </row>
    <row r="468" spans="2:213" s="156" customFormat="1" hidden="1">
      <c r="B468" s="155"/>
      <c r="C468" s="155"/>
      <c r="D468" s="155"/>
      <c r="E468" s="155"/>
      <c r="F468" s="155"/>
      <c r="G468" s="155"/>
      <c r="H468" s="155"/>
      <c r="I468" s="155"/>
      <c r="J468" s="155"/>
      <c r="K468" s="155"/>
      <c r="L468" s="155"/>
      <c r="M468" s="155"/>
      <c r="N468" s="155"/>
      <c r="O468" s="155"/>
      <c r="P468" s="155"/>
      <c r="Q468" s="155"/>
      <c r="R468" s="155"/>
      <c r="S468" s="155"/>
      <c r="T468" s="155"/>
      <c r="U468" s="155"/>
      <c r="V468" s="155"/>
      <c r="W468" s="155"/>
      <c r="GL468" s="155"/>
      <c r="GM468" s="155"/>
      <c r="GN468" s="155"/>
      <c r="GO468" s="155"/>
      <c r="GP468" s="155"/>
      <c r="GQ468" s="155"/>
      <c r="GR468" s="155"/>
      <c r="GS468" s="155"/>
      <c r="GT468" s="155"/>
      <c r="GU468" s="155"/>
      <c r="GV468" s="155"/>
      <c r="GW468" s="155"/>
      <c r="GX468" s="155"/>
      <c r="GY468" s="155"/>
      <c r="GZ468" s="155"/>
      <c r="HA468" s="155"/>
      <c r="HB468" s="155"/>
      <c r="HC468" s="155"/>
      <c r="HD468" s="155"/>
      <c r="HE468" s="155"/>
    </row>
    <row r="469" spans="2:213" s="156" customFormat="1" hidden="1">
      <c r="B469" s="155"/>
      <c r="C469" s="155"/>
      <c r="D469" s="155"/>
      <c r="E469" s="155"/>
      <c r="F469" s="155"/>
      <c r="G469" s="155"/>
      <c r="H469" s="155"/>
      <c r="I469" s="155"/>
      <c r="J469" s="155"/>
      <c r="K469" s="155"/>
      <c r="L469" s="155"/>
      <c r="M469" s="155"/>
      <c r="N469" s="155"/>
      <c r="O469" s="155"/>
      <c r="P469" s="155"/>
      <c r="Q469" s="155"/>
      <c r="R469" s="155"/>
      <c r="S469" s="155"/>
      <c r="T469" s="155"/>
      <c r="U469" s="155"/>
      <c r="V469" s="155"/>
      <c r="W469" s="155"/>
      <c r="GL469" s="155"/>
      <c r="GM469" s="155"/>
      <c r="GN469" s="155"/>
      <c r="GO469" s="155"/>
      <c r="GP469" s="155"/>
      <c r="GQ469" s="155"/>
      <c r="GR469" s="155"/>
      <c r="GS469" s="155"/>
      <c r="GT469" s="155"/>
      <c r="GU469" s="155"/>
      <c r="GV469" s="155"/>
      <c r="GW469" s="155"/>
      <c r="GX469" s="155"/>
      <c r="GY469" s="155"/>
      <c r="GZ469" s="155"/>
      <c r="HA469" s="155"/>
      <c r="HB469" s="155"/>
      <c r="HC469" s="155"/>
      <c r="HD469" s="155"/>
      <c r="HE469" s="155"/>
    </row>
    <row r="470" spans="2:213" s="156" customFormat="1" hidden="1">
      <c r="B470" s="155"/>
      <c r="C470" s="155"/>
      <c r="D470" s="155"/>
      <c r="E470" s="155"/>
      <c r="F470" s="155"/>
      <c r="G470" s="155"/>
      <c r="H470" s="155"/>
      <c r="I470" s="155"/>
      <c r="J470" s="155"/>
      <c r="K470" s="155"/>
      <c r="L470" s="155"/>
      <c r="M470" s="155"/>
      <c r="N470" s="155"/>
      <c r="O470" s="155"/>
      <c r="P470" s="155"/>
      <c r="Q470" s="155"/>
      <c r="R470" s="155"/>
      <c r="S470" s="155"/>
      <c r="T470" s="155"/>
      <c r="U470" s="155"/>
      <c r="V470" s="155"/>
      <c r="W470" s="155"/>
      <c r="GL470" s="155"/>
      <c r="GM470" s="155"/>
      <c r="GN470" s="155"/>
      <c r="GO470" s="155"/>
      <c r="GP470" s="155"/>
      <c r="GQ470" s="155"/>
      <c r="GR470" s="155"/>
      <c r="GS470" s="155"/>
      <c r="GT470" s="155"/>
      <c r="GU470" s="155"/>
      <c r="GV470" s="155"/>
      <c r="GW470" s="155"/>
      <c r="GX470" s="155"/>
      <c r="GY470" s="155"/>
      <c r="GZ470" s="155"/>
      <c r="HA470" s="155"/>
      <c r="HB470" s="155"/>
      <c r="HC470" s="155"/>
      <c r="HD470" s="155"/>
      <c r="HE470" s="155"/>
    </row>
    <row r="471" spans="2:213" s="156" customFormat="1" hidden="1">
      <c r="B471" s="155"/>
      <c r="C471" s="155"/>
      <c r="D471" s="155"/>
      <c r="E471" s="155"/>
      <c r="F471" s="155"/>
      <c r="G471" s="155"/>
      <c r="H471" s="155"/>
      <c r="I471" s="155"/>
      <c r="J471" s="155"/>
      <c r="K471" s="155"/>
      <c r="L471" s="155"/>
      <c r="M471" s="155"/>
      <c r="N471" s="155"/>
      <c r="O471" s="155"/>
      <c r="P471" s="155"/>
      <c r="Q471" s="155"/>
      <c r="R471" s="155"/>
      <c r="S471" s="155"/>
      <c r="T471" s="155"/>
      <c r="U471" s="155"/>
      <c r="V471" s="155"/>
      <c r="W471" s="155"/>
      <c r="GL471" s="155"/>
      <c r="GM471" s="155"/>
      <c r="GN471" s="155"/>
      <c r="GO471" s="155"/>
      <c r="GP471" s="155"/>
      <c r="GQ471" s="155"/>
      <c r="GR471" s="155"/>
      <c r="GS471" s="155"/>
      <c r="GT471" s="155"/>
      <c r="GU471" s="155"/>
      <c r="GV471" s="155"/>
      <c r="GW471" s="155"/>
      <c r="GX471" s="155"/>
      <c r="GY471" s="155"/>
      <c r="GZ471" s="155"/>
      <c r="HA471" s="155"/>
      <c r="HB471" s="155"/>
      <c r="HC471" s="155"/>
      <c r="HD471" s="155"/>
      <c r="HE471" s="155"/>
    </row>
    <row r="472" spans="2:213" s="156" customFormat="1" hidden="1">
      <c r="B472" s="155"/>
      <c r="C472" s="155"/>
      <c r="D472" s="155"/>
      <c r="E472" s="155"/>
      <c r="F472" s="155"/>
      <c r="G472" s="155"/>
      <c r="H472" s="155"/>
      <c r="I472" s="155"/>
      <c r="J472" s="155"/>
      <c r="K472" s="155"/>
      <c r="L472" s="155"/>
      <c r="M472" s="155"/>
      <c r="N472" s="155"/>
      <c r="O472" s="155"/>
      <c r="P472" s="155"/>
      <c r="Q472" s="155"/>
      <c r="R472" s="155"/>
      <c r="S472" s="155"/>
      <c r="T472" s="155"/>
      <c r="U472" s="155"/>
      <c r="V472" s="155"/>
      <c r="W472" s="155"/>
      <c r="GL472" s="155"/>
      <c r="GM472" s="155"/>
      <c r="GN472" s="155"/>
      <c r="GO472" s="155"/>
      <c r="GP472" s="155"/>
      <c r="GQ472" s="155"/>
      <c r="GR472" s="155"/>
      <c r="GS472" s="155"/>
      <c r="GT472" s="155"/>
      <c r="GU472" s="155"/>
      <c r="GV472" s="155"/>
      <c r="GW472" s="155"/>
      <c r="GX472" s="155"/>
      <c r="GY472" s="155"/>
      <c r="GZ472" s="155"/>
      <c r="HA472" s="155"/>
      <c r="HB472" s="155"/>
      <c r="HC472" s="155"/>
      <c r="HD472" s="155"/>
      <c r="HE472" s="155"/>
    </row>
    <row r="473" spans="2:213" s="156" customFormat="1" hidden="1">
      <c r="B473" s="155"/>
      <c r="C473" s="155"/>
      <c r="D473" s="155"/>
      <c r="E473" s="155"/>
      <c r="F473" s="155"/>
      <c r="G473" s="155"/>
      <c r="H473" s="155"/>
      <c r="I473" s="155"/>
      <c r="J473" s="155"/>
      <c r="K473" s="155"/>
      <c r="L473" s="155"/>
      <c r="M473" s="155"/>
      <c r="N473" s="155"/>
      <c r="O473" s="155"/>
      <c r="P473" s="155"/>
      <c r="Q473" s="155"/>
      <c r="R473" s="155"/>
      <c r="S473" s="155"/>
      <c r="T473" s="155"/>
      <c r="U473" s="155"/>
      <c r="V473" s="155"/>
      <c r="W473" s="155"/>
      <c r="GL473" s="155"/>
      <c r="GM473" s="155"/>
      <c r="GN473" s="155"/>
      <c r="GO473" s="155"/>
      <c r="GP473" s="155"/>
      <c r="GQ473" s="155"/>
      <c r="GR473" s="155"/>
      <c r="GS473" s="155"/>
      <c r="GT473" s="155"/>
      <c r="GU473" s="155"/>
      <c r="GV473" s="155"/>
      <c r="GW473" s="155"/>
      <c r="GX473" s="155"/>
      <c r="GY473" s="155"/>
      <c r="GZ473" s="155"/>
      <c r="HA473" s="155"/>
      <c r="HB473" s="155"/>
      <c r="HC473" s="155"/>
      <c r="HD473" s="155"/>
      <c r="HE473" s="155"/>
    </row>
    <row r="474" spans="2:213" s="156" customFormat="1" hidden="1">
      <c r="B474" s="155"/>
      <c r="C474" s="155"/>
      <c r="D474" s="155"/>
      <c r="E474" s="155"/>
      <c r="F474" s="155"/>
      <c r="G474" s="155"/>
      <c r="H474" s="155"/>
      <c r="I474" s="155"/>
      <c r="J474" s="155"/>
      <c r="K474" s="155"/>
      <c r="L474" s="155"/>
      <c r="M474" s="155"/>
      <c r="N474" s="155"/>
      <c r="O474" s="155"/>
      <c r="P474" s="155"/>
      <c r="Q474" s="155"/>
      <c r="R474" s="155"/>
      <c r="S474" s="155"/>
      <c r="T474" s="155"/>
      <c r="U474" s="155"/>
      <c r="V474" s="155"/>
      <c r="W474" s="155"/>
      <c r="GL474" s="155"/>
      <c r="GM474" s="155"/>
      <c r="GN474" s="155"/>
      <c r="GO474" s="155"/>
      <c r="GP474" s="155"/>
      <c r="GQ474" s="155"/>
      <c r="GR474" s="155"/>
      <c r="GS474" s="155"/>
      <c r="GT474" s="155"/>
      <c r="GU474" s="155"/>
      <c r="GV474" s="155"/>
      <c r="GW474" s="155"/>
      <c r="GX474" s="155"/>
      <c r="GY474" s="155"/>
      <c r="GZ474" s="155"/>
      <c r="HA474" s="155"/>
      <c r="HB474" s="155"/>
      <c r="HC474" s="155"/>
      <c r="HD474" s="155"/>
      <c r="HE474" s="155"/>
    </row>
    <row r="475" spans="2:213" s="156" customFormat="1" hidden="1">
      <c r="B475" s="155"/>
      <c r="C475" s="155"/>
      <c r="D475" s="155"/>
      <c r="E475" s="155"/>
      <c r="F475" s="155"/>
      <c r="G475" s="155"/>
      <c r="H475" s="155"/>
      <c r="I475" s="155"/>
      <c r="J475" s="155"/>
      <c r="K475" s="155"/>
      <c r="L475" s="155"/>
      <c r="M475" s="155"/>
      <c r="N475" s="155"/>
      <c r="O475" s="155"/>
      <c r="P475" s="155"/>
      <c r="Q475" s="155"/>
      <c r="R475" s="155"/>
      <c r="S475" s="155"/>
      <c r="T475" s="155"/>
      <c r="U475" s="155"/>
      <c r="V475" s="155"/>
      <c r="W475" s="155"/>
      <c r="GL475" s="155"/>
      <c r="GM475" s="155"/>
      <c r="GN475" s="155"/>
      <c r="GO475" s="155"/>
      <c r="GP475" s="155"/>
      <c r="GQ475" s="155"/>
      <c r="GR475" s="155"/>
      <c r="GS475" s="155"/>
      <c r="GT475" s="155"/>
      <c r="GU475" s="155"/>
      <c r="GV475" s="155"/>
      <c r="GW475" s="155"/>
      <c r="GX475" s="155"/>
      <c r="GY475" s="155"/>
      <c r="GZ475" s="155"/>
      <c r="HA475" s="155"/>
      <c r="HB475" s="155"/>
      <c r="HC475" s="155"/>
      <c r="HD475" s="155"/>
      <c r="HE475" s="155"/>
    </row>
    <row r="476" spans="2:213" s="156" customFormat="1" hidden="1">
      <c r="B476" s="155"/>
      <c r="C476" s="155"/>
      <c r="D476" s="155"/>
      <c r="E476" s="155"/>
      <c r="F476" s="155"/>
      <c r="G476" s="155"/>
      <c r="H476" s="155"/>
      <c r="I476" s="155"/>
      <c r="J476" s="155"/>
      <c r="K476" s="155"/>
      <c r="L476" s="155"/>
      <c r="M476" s="155"/>
      <c r="N476" s="155"/>
      <c r="O476" s="155"/>
      <c r="P476" s="155"/>
      <c r="Q476" s="155"/>
      <c r="R476" s="155"/>
      <c r="S476" s="155"/>
      <c r="T476" s="155"/>
      <c r="U476" s="155"/>
      <c r="V476" s="155"/>
      <c r="W476" s="155"/>
      <c r="GL476" s="155"/>
      <c r="GM476" s="155"/>
      <c r="GN476" s="155"/>
      <c r="GO476" s="155"/>
      <c r="GP476" s="155"/>
      <c r="GQ476" s="155"/>
      <c r="GR476" s="155"/>
      <c r="GS476" s="155"/>
      <c r="GT476" s="155"/>
      <c r="GU476" s="155"/>
      <c r="GV476" s="155"/>
      <c r="GW476" s="155"/>
      <c r="GX476" s="155"/>
      <c r="GY476" s="155"/>
      <c r="GZ476" s="155"/>
      <c r="HA476" s="155"/>
      <c r="HB476" s="155"/>
      <c r="HC476" s="155"/>
      <c r="HD476" s="155"/>
      <c r="HE476" s="155"/>
    </row>
    <row r="477" spans="2:213" s="156" customFormat="1" hidden="1">
      <c r="B477" s="155"/>
      <c r="C477" s="155"/>
      <c r="D477" s="155"/>
      <c r="E477" s="155"/>
      <c r="F477" s="155"/>
      <c r="G477" s="155"/>
      <c r="H477" s="155"/>
      <c r="I477" s="155"/>
      <c r="J477" s="155"/>
      <c r="K477" s="155"/>
      <c r="L477" s="155"/>
      <c r="M477" s="155"/>
      <c r="N477" s="155"/>
      <c r="O477" s="155"/>
      <c r="P477" s="155"/>
      <c r="Q477" s="155"/>
      <c r="R477" s="155"/>
      <c r="S477" s="155"/>
      <c r="T477" s="155"/>
      <c r="U477" s="155"/>
      <c r="V477" s="155"/>
      <c r="W477" s="155"/>
      <c r="GL477" s="155"/>
      <c r="GM477" s="155"/>
      <c r="GN477" s="155"/>
      <c r="GO477" s="155"/>
      <c r="GP477" s="155"/>
      <c r="GQ477" s="155"/>
      <c r="GR477" s="155"/>
      <c r="GS477" s="155"/>
      <c r="GT477" s="155"/>
      <c r="GU477" s="155"/>
      <c r="GV477" s="155"/>
      <c r="GW477" s="155"/>
      <c r="GX477" s="155"/>
      <c r="GY477" s="155"/>
      <c r="GZ477" s="155"/>
      <c r="HA477" s="155"/>
      <c r="HB477" s="155"/>
      <c r="HC477" s="155"/>
      <c r="HD477" s="155"/>
      <c r="HE477" s="155"/>
    </row>
    <row r="478" spans="2:213" s="156" customFormat="1" hidden="1">
      <c r="B478" s="155"/>
      <c r="C478" s="155"/>
      <c r="D478" s="155"/>
      <c r="E478" s="155"/>
      <c r="F478" s="155"/>
      <c r="G478" s="155"/>
      <c r="H478" s="155"/>
      <c r="I478" s="155"/>
      <c r="J478" s="155"/>
      <c r="K478" s="155"/>
      <c r="L478" s="155"/>
      <c r="M478" s="155"/>
      <c r="N478" s="155"/>
      <c r="O478" s="155"/>
      <c r="P478" s="155"/>
      <c r="Q478" s="155"/>
      <c r="R478" s="155"/>
      <c r="S478" s="155"/>
      <c r="T478" s="155"/>
      <c r="U478" s="155"/>
      <c r="V478" s="155"/>
      <c r="W478" s="155"/>
      <c r="GL478" s="155"/>
      <c r="GM478" s="155"/>
      <c r="GN478" s="155"/>
      <c r="GO478" s="155"/>
      <c r="GP478" s="155"/>
      <c r="GQ478" s="155"/>
      <c r="GR478" s="155"/>
      <c r="GS478" s="155"/>
      <c r="GT478" s="155"/>
      <c r="GU478" s="155"/>
      <c r="GV478" s="155"/>
      <c r="GW478" s="155"/>
      <c r="GX478" s="155"/>
      <c r="GY478" s="155"/>
      <c r="GZ478" s="155"/>
      <c r="HA478" s="155"/>
      <c r="HB478" s="155"/>
      <c r="HC478" s="155"/>
      <c r="HD478" s="155"/>
      <c r="HE478" s="155"/>
    </row>
    <row r="479" spans="2:213" s="156" customFormat="1" hidden="1">
      <c r="B479" s="155"/>
      <c r="C479" s="155"/>
      <c r="D479" s="155"/>
      <c r="E479" s="155"/>
      <c r="F479" s="155"/>
      <c r="G479" s="155"/>
      <c r="H479" s="155"/>
      <c r="I479" s="155"/>
      <c r="J479" s="155"/>
      <c r="K479" s="155"/>
      <c r="L479" s="155"/>
      <c r="M479" s="155"/>
      <c r="N479" s="155"/>
      <c r="O479" s="155"/>
      <c r="P479" s="155"/>
      <c r="Q479" s="155"/>
      <c r="R479" s="155"/>
      <c r="S479" s="155"/>
      <c r="T479" s="155"/>
      <c r="U479" s="155"/>
      <c r="V479" s="155"/>
      <c r="W479" s="155"/>
      <c r="GL479" s="155"/>
      <c r="GM479" s="155"/>
      <c r="GN479" s="155"/>
      <c r="GO479" s="155"/>
      <c r="GP479" s="155"/>
      <c r="GQ479" s="155"/>
      <c r="GR479" s="155"/>
      <c r="GS479" s="155"/>
      <c r="GT479" s="155"/>
      <c r="GU479" s="155"/>
      <c r="GV479" s="155"/>
      <c r="GW479" s="155"/>
      <c r="GX479" s="155"/>
      <c r="GY479" s="155"/>
      <c r="GZ479" s="155"/>
      <c r="HA479" s="155"/>
      <c r="HB479" s="155"/>
      <c r="HC479" s="155"/>
      <c r="HD479" s="155"/>
      <c r="HE479" s="155"/>
    </row>
    <row r="480" spans="2:213" s="156" customFormat="1" hidden="1">
      <c r="B480" s="155"/>
      <c r="C480" s="155"/>
      <c r="D480" s="155"/>
      <c r="E480" s="155"/>
      <c r="F480" s="155"/>
      <c r="G480" s="155"/>
      <c r="H480" s="155"/>
      <c r="I480" s="155"/>
      <c r="J480" s="155"/>
      <c r="K480" s="155"/>
      <c r="L480" s="155"/>
      <c r="M480" s="155"/>
      <c r="N480" s="155"/>
      <c r="O480" s="155"/>
      <c r="P480" s="155"/>
      <c r="Q480" s="155"/>
      <c r="R480" s="155"/>
      <c r="S480" s="155"/>
      <c r="T480" s="155"/>
      <c r="U480" s="155"/>
      <c r="V480" s="155"/>
      <c r="W480" s="155"/>
      <c r="GL480" s="155"/>
      <c r="GM480" s="155"/>
      <c r="GN480" s="155"/>
      <c r="GO480" s="155"/>
      <c r="GP480" s="155"/>
      <c r="GQ480" s="155"/>
      <c r="GR480" s="155"/>
      <c r="GS480" s="155"/>
      <c r="GT480" s="155"/>
      <c r="GU480" s="155"/>
      <c r="GV480" s="155"/>
      <c r="GW480" s="155"/>
      <c r="GX480" s="155"/>
      <c r="GY480" s="155"/>
      <c r="GZ480" s="155"/>
      <c r="HA480" s="155"/>
      <c r="HB480" s="155"/>
      <c r="HC480" s="155"/>
      <c r="HD480" s="155"/>
      <c r="HE480" s="155"/>
    </row>
    <row r="481" spans="2:213" s="156" customFormat="1" hidden="1">
      <c r="B481" s="155"/>
      <c r="C481" s="155"/>
      <c r="D481" s="155"/>
      <c r="E481" s="155"/>
      <c r="F481" s="155"/>
      <c r="G481" s="155"/>
      <c r="H481" s="155"/>
      <c r="I481" s="155"/>
      <c r="J481" s="155"/>
      <c r="K481" s="155"/>
      <c r="L481" s="155"/>
      <c r="M481" s="155"/>
      <c r="N481" s="155"/>
      <c r="O481" s="155"/>
      <c r="P481" s="155"/>
      <c r="Q481" s="155"/>
      <c r="R481" s="155"/>
      <c r="S481" s="155"/>
      <c r="T481" s="155"/>
      <c r="U481" s="155"/>
      <c r="V481" s="155"/>
      <c r="W481" s="155"/>
      <c r="GL481" s="155"/>
      <c r="GM481" s="155"/>
      <c r="GN481" s="155"/>
      <c r="GO481" s="155"/>
      <c r="GP481" s="155"/>
      <c r="GQ481" s="155"/>
      <c r="GR481" s="155"/>
      <c r="GS481" s="155"/>
      <c r="GT481" s="155"/>
      <c r="GU481" s="155"/>
      <c r="GV481" s="155"/>
      <c r="GW481" s="155"/>
      <c r="GX481" s="155"/>
      <c r="GY481" s="155"/>
      <c r="GZ481" s="155"/>
      <c r="HA481" s="155"/>
      <c r="HB481" s="155"/>
      <c r="HC481" s="155"/>
      <c r="HD481" s="155"/>
      <c r="HE481" s="155"/>
    </row>
    <row r="482" spans="2:213" s="156" customFormat="1" hidden="1">
      <c r="B482" s="155"/>
      <c r="C482" s="155"/>
      <c r="D482" s="155"/>
      <c r="E482" s="155"/>
      <c r="F482" s="155"/>
      <c r="G482" s="155"/>
      <c r="H482" s="155"/>
      <c r="I482" s="155"/>
      <c r="J482" s="155"/>
      <c r="K482" s="155"/>
      <c r="L482" s="155"/>
      <c r="M482" s="155"/>
      <c r="N482" s="155"/>
      <c r="O482" s="155"/>
      <c r="P482" s="155"/>
      <c r="Q482" s="155"/>
      <c r="R482" s="155"/>
      <c r="S482" s="155"/>
      <c r="T482" s="155"/>
      <c r="U482" s="155"/>
      <c r="V482" s="155"/>
      <c r="W482" s="155"/>
      <c r="GL482" s="155"/>
      <c r="GM482" s="155"/>
      <c r="GN482" s="155"/>
      <c r="GO482" s="155"/>
      <c r="GP482" s="155"/>
      <c r="GQ482" s="155"/>
      <c r="GR482" s="155"/>
      <c r="GS482" s="155"/>
      <c r="GT482" s="155"/>
      <c r="GU482" s="155"/>
      <c r="GV482" s="155"/>
      <c r="GW482" s="155"/>
      <c r="GX482" s="155"/>
      <c r="GY482" s="155"/>
      <c r="GZ482" s="155"/>
      <c r="HA482" s="155"/>
      <c r="HB482" s="155"/>
      <c r="HC482" s="155"/>
      <c r="HD482" s="155"/>
      <c r="HE482" s="155"/>
    </row>
    <row r="483" spans="2:213" s="156" customFormat="1" hidden="1">
      <c r="B483" s="155"/>
      <c r="C483" s="155"/>
      <c r="D483" s="155"/>
      <c r="E483" s="155"/>
      <c r="F483" s="155"/>
      <c r="G483" s="155"/>
      <c r="H483" s="155"/>
      <c r="I483" s="155"/>
      <c r="J483" s="155"/>
      <c r="K483" s="155"/>
      <c r="L483" s="155"/>
      <c r="M483" s="155"/>
      <c r="N483" s="155"/>
      <c r="O483" s="155"/>
      <c r="P483" s="155"/>
      <c r="Q483" s="155"/>
      <c r="R483" s="155"/>
      <c r="S483" s="155"/>
      <c r="T483" s="155"/>
      <c r="U483" s="155"/>
      <c r="V483" s="155"/>
      <c r="W483" s="155"/>
      <c r="GL483" s="155"/>
      <c r="GM483" s="155"/>
      <c r="GN483" s="155"/>
      <c r="GO483" s="155"/>
      <c r="GP483" s="155"/>
      <c r="GQ483" s="155"/>
      <c r="GR483" s="155"/>
      <c r="GS483" s="155"/>
      <c r="GT483" s="155"/>
      <c r="GU483" s="155"/>
      <c r="GV483" s="155"/>
      <c r="GW483" s="155"/>
      <c r="GX483" s="155"/>
      <c r="GY483" s="155"/>
      <c r="GZ483" s="155"/>
      <c r="HA483" s="155"/>
      <c r="HB483" s="155"/>
      <c r="HC483" s="155"/>
      <c r="HD483" s="155"/>
      <c r="HE483" s="155"/>
    </row>
    <row r="484" spans="2:213" s="156" customFormat="1" hidden="1">
      <c r="B484" s="155"/>
      <c r="C484" s="155"/>
      <c r="D484" s="155"/>
      <c r="E484" s="155"/>
      <c r="F484" s="155"/>
      <c r="G484" s="155"/>
      <c r="H484" s="155"/>
      <c r="I484" s="155"/>
      <c r="J484" s="155"/>
      <c r="K484" s="155"/>
      <c r="L484" s="155"/>
      <c r="M484" s="155"/>
      <c r="N484" s="155"/>
      <c r="O484" s="155"/>
      <c r="P484" s="155"/>
      <c r="Q484" s="155"/>
      <c r="R484" s="155"/>
      <c r="S484" s="155"/>
      <c r="T484" s="155"/>
      <c r="U484" s="155"/>
      <c r="V484" s="155"/>
      <c r="W484" s="155"/>
      <c r="GL484" s="155"/>
      <c r="GM484" s="155"/>
      <c r="GN484" s="155"/>
      <c r="GO484" s="155"/>
      <c r="GP484" s="155"/>
      <c r="GQ484" s="155"/>
      <c r="GR484" s="155"/>
      <c r="GS484" s="155"/>
      <c r="GT484" s="155"/>
      <c r="GU484" s="155"/>
      <c r="GV484" s="155"/>
      <c r="GW484" s="155"/>
      <c r="GX484" s="155"/>
      <c r="GY484" s="155"/>
      <c r="GZ484" s="155"/>
      <c r="HA484" s="155"/>
      <c r="HB484" s="155"/>
      <c r="HC484" s="155"/>
      <c r="HD484" s="155"/>
      <c r="HE484" s="155"/>
    </row>
    <row r="485" spans="2:213" s="156" customFormat="1" hidden="1">
      <c r="B485" s="155"/>
      <c r="C485" s="155"/>
      <c r="D485" s="155"/>
      <c r="E485" s="155"/>
      <c r="F485" s="155"/>
      <c r="G485" s="155"/>
      <c r="H485" s="155"/>
      <c r="I485" s="155"/>
      <c r="J485" s="155"/>
      <c r="K485" s="155"/>
      <c r="L485" s="155"/>
      <c r="M485" s="155"/>
      <c r="N485" s="155"/>
      <c r="O485" s="155"/>
      <c r="P485" s="155"/>
      <c r="Q485" s="155"/>
      <c r="R485" s="155"/>
      <c r="S485" s="155"/>
      <c r="T485" s="155"/>
      <c r="U485" s="155"/>
      <c r="V485" s="155"/>
      <c r="W485" s="155"/>
      <c r="GL485" s="155"/>
      <c r="GM485" s="155"/>
      <c r="GN485" s="155"/>
      <c r="GO485" s="155"/>
      <c r="GP485" s="155"/>
      <c r="GQ485" s="155"/>
      <c r="GR485" s="155"/>
      <c r="GS485" s="155"/>
      <c r="GT485" s="155"/>
      <c r="GU485" s="155"/>
      <c r="GV485" s="155"/>
      <c r="GW485" s="155"/>
      <c r="GX485" s="155"/>
      <c r="GY485" s="155"/>
      <c r="GZ485" s="155"/>
      <c r="HA485" s="155"/>
      <c r="HB485" s="155"/>
      <c r="HC485" s="155"/>
      <c r="HD485" s="155"/>
      <c r="HE485" s="155"/>
    </row>
    <row r="486" spans="2:213" s="156" customFormat="1" hidden="1">
      <c r="B486" s="155"/>
      <c r="C486" s="155"/>
      <c r="D486" s="155"/>
      <c r="E486" s="155"/>
      <c r="F486" s="155"/>
      <c r="G486" s="155"/>
      <c r="H486" s="155"/>
      <c r="I486" s="155"/>
      <c r="J486" s="155"/>
      <c r="K486" s="155"/>
      <c r="L486" s="155"/>
      <c r="M486" s="155"/>
      <c r="N486" s="155"/>
      <c r="O486" s="155"/>
      <c r="P486" s="155"/>
      <c r="Q486" s="155"/>
      <c r="R486" s="155"/>
      <c r="S486" s="155"/>
      <c r="T486" s="155"/>
      <c r="U486" s="155"/>
      <c r="V486" s="155"/>
      <c r="W486" s="155"/>
      <c r="GL486" s="155"/>
      <c r="GM486" s="155"/>
      <c r="GN486" s="155"/>
      <c r="GO486" s="155"/>
      <c r="GP486" s="155"/>
      <c r="GQ486" s="155"/>
      <c r="GR486" s="155"/>
      <c r="GS486" s="155"/>
      <c r="GT486" s="155"/>
      <c r="GU486" s="155"/>
      <c r="GV486" s="155"/>
      <c r="GW486" s="155"/>
      <c r="GX486" s="155"/>
      <c r="GY486" s="155"/>
      <c r="GZ486" s="155"/>
      <c r="HA486" s="155"/>
      <c r="HB486" s="155"/>
      <c r="HC486" s="155"/>
      <c r="HD486" s="155"/>
      <c r="HE486" s="155"/>
    </row>
    <row r="487" spans="2:213" s="156" customFormat="1" hidden="1">
      <c r="B487" s="155"/>
      <c r="C487" s="155"/>
      <c r="D487" s="155"/>
      <c r="E487" s="155"/>
      <c r="F487" s="155"/>
      <c r="G487" s="155"/>
      <c r="H487" s="155"/>
      <c r="I487" s="155"/>
      <c r="J487" s="155"/>
      <c r="K487" s="155"/>
      <c r="L487" s="155"/>
      <c r="M487" s="155"/>
      <c r="N487" s="155"/>
      <c r="O487" s="155"/>
      <c r="P487" s="155"/>
      <c r="Q487" s="155"/>
      <c r="R487" s="155"/>
      <c r="S487" s="155"/>
      <c r="T487" s="155"/>
      <c r="U487" s="155"/>
      <c r="V487" s="155"/>
      <c r="W487" s="155"/>
      <c r="GL487" s="155"/>
      <c r="GM487" s="155"/>
      <c r="GN487" s="155"/>
      <c r="GO487" s="155"/>
      <c r="GP487" s="155"/>
      <c r="GQ487" s="155"/>
      <c r="GR487" s="155"/>
      <c r="GS487" s="155"/>
      <c r="GT487" s="155"/>
      <c r="GU487" s="155"/>
      <c r="GV487" s="155"/>
      <c r="GW487" s="155"/>
      <c r="GX487" s="155"/>
      <c r="GY487" s="155"/>
      <c r="GZ487" s="155"/>
      <c r="HA487" s="155"/>
      <c r="HB487" s="155"/>
      <c r="HC487" s="155"/>
      <c r="HD487" s="155"/>
      <c r="HE487" s="155"/>
    </row>
    <row r="488" spans="2:213" s="156" customFormat="1" hidden="1">
      <c r="B488" s="155"/>
      <c r="C488" s="155"/>
      <c r="D488" s="155"/>
      <c r="E488" s="155"/>
      <c r="F488" s="155"/>
      <c r="G488" s="155"/>
      <c r="H488" s="155"/>
      <c r="I488" s="155"/>
      <c r="J488" s="155"/>
      <c r="K488" s="155"/>
      <c r="L488" s="155"/>
      <c r="M488" s="155"/>
      <c r="N488" s="155"/>
      <c r="O488" s="155"/>
      <c r="P488" s="155"/>
      <c r="Q488" s="155"/>
      <c r="R488" s="155"/>
      <c r="S488" s="155"/>
      <c r="T488" s="155"/>
      <c r="U488" s="155"/>
      <c r="V488" s="155"/>
      <c r="W488" s="155"/>
      <c r="GL488" s="155"/>
      <c r="GM488" s="155"/>
      <c r="GN488" s="155"/>
      <c r="GO488" s="155"/>
      <c r="GP488" s="155"/>
      <c r="GQ488" s="155"/>
      <c r="GR488" s="155"/>
      <c r="GS488" s="155"/>
      <c r="GT488" s="155"/>
      <c r="GU488" s="155"/>
      <c r="GV488" s="155"/>
      <c r="GW488" s="155"/>
      <c r="GX488" s="155"/>
      <c r="GY488" s="155"/>
      <c r="GZ488" s="155"/>
      <c r="HA488" s="155"/>
      <c r="HB488" s="155"/>
      <c r="HC488" s="155"/>
      <c r="HD488" s="155"/>
      <c r="HE488" s="155"/>
    </row>
    <row r="489" spans="2:213" s="156" customFormat="1" hidden="1">
      <c r="B489" s="155"/>
      <c r="C489" s="155"/>
      <c r="D489" s="155"/>
      <c r="E489" s="155"/>
      <c r="F489" s="155"/>
      <c r="G489" s="155"/>
      <c r="H489" s="155"/>
      <c r="I489" s="155"/>
      <c r="J489" s="155"/>
      <c r="K489" s="155"/>
      <c r="L489" s="155"/>
      <c r="M489" s="155"/>
      <c r="N489" s="155"/>
      <c r="O489" s="155"/>
      <c r="P489" s="155"/>
      <c r="Q489" s="155"/>
      <c r="R489" s="155"/>
      <c r="S489" s="155"/>
      <c r="T489" s="155"/>
      <c r="U489" s="155"/>
      <c r="V489" s="155"/>
      <c r="W489" s="155"/>
      <c r="GL489" s="155"/>
      <c r="GM489" s="155"/>
      <c r="GN489" s="155"/>
      <c r="GO489" s="155"/>
      <c r="GP489" s="155"/>
      <c r="GQ489" s="155"/>
      <c r="GR489" s="155"/>
      <c r="GS489" s="155"/>
      <c r="GT489" s="155"/>
      <c r="GU489" s="155"/>
      <c r="GV489" s="155"/>
      <c r="GW489" s="155"/>
      <c r="GX489" s="155"/>
      <c r="GY489" s="155"/>
      <c r="GZ489" s="155"/>
      <c r="HA489" s="155"/>
      <c r="HB489" s="155"/>
      <c r="HC489" s="155"/>
      <c r="HD489" s="155"/>
      <c r="HE489" s="155"/>
    </row>
    <row r="490" spans="2:213" s="156" customFormat="1" hidden="1">
      <c r="B490" s="155"/>
      <c r="C490" s="155"/>
      <c r="D490" s="155"/>
      <c r="E490" s="155"/>
      <c r="F490" s="155"/>
      <c r="G490" s="155"/>
      <c r="H490" s="155"/>
      <c r="I490" s="155"/>
      <c r="J490" s="155"/>
      <c r="K490" s="155"/>
      <c r="L490" s="155"/>
      <c r="M490" s="155"/>
      <c r="N490" s="155"/>
      <c r="O490" s="155"/>
      <c r="P490" s="155"/>
      <c r="Q490" s="155"/>
      <c r="R490" s="155"/>
      <c r="S490" s="155"/>
      <c r="T490" s="155"/>
      <c r="U490" s="155"/>
      <c r="V490" s="155"/>
      <c r="W490" s="155"/>
      <c r="GL490" s="155"/>
      <c r="GM490" s="155"/>
      <c r="GN490" s="155"/>
      <c r="GO490" s="155"/>
      <c r="GP490" s="155"/>
      <c r="GQ490" s="155"/>
      <c r="GR490" s="155"/>
      <c r="GS490" s="155"/>
      <c r="GT490" s="155"/>
      <c r="GU490" s="155"/>
      <c r="GV490" s="155"/>
      <c r="GW490" s="155"/>
      <c r="GX490" s="155"/>
      <c r="GY490" s="155"/>
      <c r="GZ490" s="155"/>
      <c r="HA490" s="155"/>
      <c r="HB490" s="155"/>
      <c r="HC490" s="155"/>
      <c r="HD490" s="155"/>
      <c r="HE490" s="155"/>
    </row>
    <row r="491" spans="2:213" s="156" customFormat="1" hidden="1">
      <c r="B491" s="155"/>
      <c r="C491" s="155"/>
      <c r="D491" s="155"/>
      <c r="E491" s="155"/>
      <c r="F491" s="155"/>
      <c r="G491" s="155"/>
      <c r="H491" s="155"/>
      <c r="I491" s="155"/>
      <c r="J491" s="155"/>
      <c r="K491" s="155"/>
      <c r="L491" s="155"/>
      <c r="M491" s="155"/>
      <c r="N491" s="155"/>
      <c r="O491" s="155"/>
      <c r="P491" s="155"/>
      <c r="Q491" s="155"/>
      <c r="R491" s="155"/>
      <c r="S491" s="155"/>
      <c r="T491" s="155"/>
      <c r="U491" s="155"/>
      <c r="V491" s="155"/>
      <c r="W491" s="155"/>
      <c r="GL491" s="155"/>
      <c r="GM491" s="155"/>
      <c r="GN491" s="155"/>
      <c r="GO491" s="155"/>
      <c r="GP491" s="155"/>
      <c r="GQ491" s="155"/>
      <c r="GR491" s="155"/>
      <c r="GS491" s="155"/>
      <c r="GT491" s="155"/>
      <c r="GU491" s="155"/>
      <c r="GV491" s="155"/>
      <c r="GW491" s="155"/>
      <c r="GX491" s="155"/>
      <c r="GY491" s="155"/>
      <c r="GZ491" s="155"/>
      <c r="HA491" s="155"/>
      <c r="HB491" s="155"/>
      <c r="HC491" s="155"/>
      <c r="HD491" s="155"/>
      <c r="HE491" s="155"/>
    </row>
    <row r="492" spans="2:213" s="156" customFormat="1" hidden="1">
      <c r="B492" s="155"/>
      <c r="C492" s="155"/>
      <c r="D492" s="155"/>
      <c r="E492" s="155"/>
      <c r="F492" s="155"/>
      <c r="G492" s="155"/>
      <c r="H492" s="155"/>
      <c r="I492" s="155"/>
      <c r="J492" s="155"/>
      <c r="K492" s="155"/>
      <c r="L492" s="155"/>
      <c r="M492" s="155"/>
      <c r="N492" s="155"/>
      <c r="O492" s="155"/>
      <c r="P492" s="155"/>
      <c r="Q492" s="155"/>
      <c r="R492" s="155"/>
      <c r="S492" s="155"/>
      <c r="T492" s="155"/>
      <c r="U492" s="155"/>
      <c r="V492" s="155"/>
      <c r="W492" s="155"/>
      <c r="GL492" s="155"/>
      <c r="GM492" s="155"/>
      <c r="GN492" s="155"/>
      <c r="GO492" s="155"/>
      <c r="GP492" s="155"/>
      <c r="GQ492" s="155"/>
      <c r="GR492" s="155"/>
      <c r="GS492" s="155"/>
      <c r="GT492" s="155"/>
      <c r="GU492" s="155"/>
      <c r="GV492" s="155"/>
      <c r="GW492" s="155"/>
      <c r="GX492" s="155"/>
      <c r="GY492" s="155"/>
      <c r="GZ492" s="155"/>
      <c r="HA492" s="155"/>
      <c r="HB492" s="155"/>
      <c r="HC492" s="155"/>
      <c r="HD492" s="155"/>
      <c r="HE492" s="155"/>
    </row>
    <row r="493" spans="2:213" s="156" customFormat="1" hidden="1">
      <c r="B493" s="155"/>
      <c r="C493" s="155"/>
      <c r="D493" s="155"/>
      <c r="E493" s="155"/>
      <c r="F493" s="155"/>
      <c r="G493" s="155"/>
      <c r="H493" s="155"/>
      <c r="I493" s="155"/>
      <c r="J493" s="155"/>
      <c r="K493" s="155"/>
      <c r="L493" s="155"/>
      <c r="M493" s="155"/>
      <c r="N493" s="155"/>
      <c r="O493" s="155"/>
      <c r="P493" s="155"/>
      <c r="Q493" s="155"/>
      <c r="R493" s="155"/>
      <c r="S493" s="155"/>
      <c r="T493" s="155"/>
      <c r="U493" s="155"/>
      <c r="V493" s="155"/>
      <c r="W493" s="155"/>
      <c r="GL493" s="155"/>
      <c r="GM493" s="155"/>
      <c r="GN493" s="155"/>
      <c r="GO493" s="155"/>
      <c r="GP493" s="155"/>
      <c r="GQ493" s="155"/>
      <c r="GR493" s="155"/>
      <c r="GS493" s="155"/>
      <c r="GT493" s="155"/>
      <c r="GU493" s="155"/>
      <c r="GV493" s="155"/>
      <c r="GW493" s="155"/>
      <c r="GX493" s="155"/>
      <c r="GY493" s="155"/>
      <c r="GZ493" s="155"/>
      <c r="HA493" s="155"/>
      <c r="HB493" s="155"/>
      <c r="HC493" s="155"/>
      <c r="HD493" s="155"/>
      <c r="HE493" s="155"/>
    </row>
    <row r="494" spans="2:213" s="156" customFormat="1" hidden="1">
      <c r="B494" s="155"/>
      <c r="C494" s="155"/>
      <c r="D494" s="155"/>
      <c r="E494" s="155"/>
      <c r="F494" s="155"/>
      <c r="G494" s="155"/>
      <c r="H494" s="155"/>
      <c r="I494" s="155"/>
      <c r="J494" s="155"/>
      <c r="K494" s="155"/>
      <c r="L494" s="155"/>
      <c r="M494" s="155"/>
      <c r="N494" s="155"/>
      <c r="O494" s="155"/>
      <c r="P494" s="155"/>
      <c r="Q494" s="155"/>
      <c r="R494" s="155"/>
      <c r="S494" s="155"/>
      <c r="T494" s="155"/>
      <c r="U494" s="155"/>
      <c r="V494" s="155"/>
      <c r="W494" s="155"/>
      <c r="GL494" s="155"/>
      <c r="GM494" s="155"/>
      <c r="GN494" s="155"/>
      <c r="GO494" s="155"/>
      <c r="GP494" s="155"/>
      <c r="GQ494" s="155"/>
      <c r="GR494" s="155"/>
      <c r="GS494" s="155"/>
      <c r="GT494" s="155"/>
      <c r="GU494" s="155"/>
      <c r="GV494" s="155"/>
      <c r="GW494" s="155"/>
      <c r="GX494" s="155"/>
      <c r="GY494" s="155"/>
      <c r="GZ494" s="155"/>
      <c r="HA494" s="155"/>
      <c r="HB494" s="155"/>
      <c r="HC494" s="155"/>
      <c r="HD494" s="155"/>
      <c r="HE494" s="155"/>
    </row>
    <row r="495" spans="2:213" s="156" customFormat="1" hidden="1">
      <c r="B495" s="155"/>
      <c r="C495" s="155"/>
      <c r="D495" s="155"/>
      <c r="E495" s="155"/>
      <c r="F495" s="155"/>
      <c r="G495" s="155"/>
      <c r="H495" s="155"/>
      <c r="I495" s="155"/>
      <c r="J495" s="155"/>
      <c r="K495" s="155"/>
      <c r="L495" s="155"/>
      <c r="M495" s="155"/>
      <c r="N495" s="155"/>
      <c r="O495" s="155"/>
      <c r="P495" s="155"/>
      <c r="Q495" s="155"/>
      <c r="R495" s="155"/>
      <c r="S495" s="155"/>
      <c r="T495" s="155"/>
      <c r="U495" s="155"/>
      <c r="V495" s="155"/>
      <c r="W495" s="155"/>
      <c r="GL495" s="155"/>
      <c r="GM495" s="155"/>
      <c r="GN495" s="155"/>
      <c r="GO495" s="155"/>
      <c r="GP495" s="155"/>
      <c r="GQ495" s="155"/>
      <c r="GR495" s="155"/>
      <c r="GS495" s="155"/>
      <c r="GT495" s="155"/>
      <c r="GU495" s="155"/>
      <c r="GV495" s="155"/>
      <c r="GW495" s="155"/>
      <c r="GX495" s="155"/>
      <c r="GY495" s="155"/>
      <c r="GZ495" s="155"/>
      <c r="HA495" s="155"/>
      <c r="HB495" s="155"/>
      <c r="HC495" s="155"/>
      <c r="HD495" s="155"/>
      <c r="HE495" s="155"/>
    </row>
    <row r="496" spans="2:213" s="156" customFormat="1" hidden="1">
      <c r="B496" s="155"/>
      <c r="C496" s="155"/>
      <c r="D496" s="155"/>
      <c r="E496" s="155"/>
      <c r="F496" s="155"/>
      <c r="G496" s="155"/>
      <c r="H496" s="155"/>
      <c r="I496" s="155"/>
      <c r="J496" s="155"/>
      <c r="K496" s="155"/>
      <c r="L496" s="155"/>
      <c r="M496" s="155"/>
      <c r="N496" s="155"/>
      <c r="O496" s="155"/>
      <c r="P496" s="155"/>
      <c r="Q496" s="155"/>
      <c r="R496" s="155"/>
      <c r="S496" s="155"/>
      <c r="T496" s="155"/>
      <c r="U496" s="155"/>
      <c r="V496" s="155"/>
      <c r="W496" s="155"/>
      <c r="GL496" s="155"/>
      <c r="GM496" s="155"/>
      <c r="GN496" s="155"/>
      <c r="GO496" s="155"/>
      <c r="GP496" s="155"/>
      <c r="GQ496" s="155"/>
      <c r="GR496" s="155"/>
      <c r="GS496" s="155"/>
      <c r="GT496" s="155"/>
      <c r="GU496" s="155"/>
      <c r="GV496" s="155"/>
      <c r="GW496" s="155"/>
      <c r="GX496" s="155"/>
      <c r="GY496" s="155"/>
      <c r="GZ496" s="155"/>
      <c r="HA496" s="155"/>
      <c r="HB496" s="155"/>
      <c r="HC496" s="155"/>
      <c r="HD496" s="155"/>
      <c r="HE496" s="155"/>
    </row>
    <row r="497" spans="2:213" s="156" customFormat="1" hidden="1">
      <c r="B497" s="155"/>
      <c r="C497" s="155"/>
      <c r="D497" s="155"/>
      <c r="E497" s="155"/>
      <c r="F497" s="155"/>
      <c r="G497" s="155"/>
      <c r="H497" s="155"/>
      <c r="I497" s="155"/>
      <c r="J497" s="155"/>
      <c r="K497" s="155"/>
      <c r="L497" s="155"/>
      <c r="M497" s="155"/>
      <c r="N497" s="155"/>
      <c r="O497" s="155"/>
      <c r="P497" s="155"/>
      <c r="Q497" s="155"/>
      <c r="R497" s="155"/>
      <c r="S497" s="155"/>
      <c r="T497" s="155"/>
      <c r="U497" s="155"/>
      <c r="V497" s="155"/>
      <c r="W497" s="155"/>
      <c r="GL497" s="155"/>
      <c r="GM497" s="155"/>
      <c r="GN497" s="155"/>
      <c r="GO497" s="155"/>
      <c r="GP497" s="155"/>
      <c r="GQ497" s="155"/>
      <c r="GR497" s="155"/>
      <c r="GS497" s="155"/>
      <c r="GT497" s="155"/>
      <c r="GU497" s="155"/>
      <c r="GV497" s="155"/>
      <c r="GW497" s="155"/>
      <c r="GX497" s="155"/>
      <c r="GY497" s="155"/>
      <c r="GZ497" s="155"/>
      <c r="HA497" s="155"/>
      <c r="HB497" s="155"/>
      <c r="HC497" s="155"/>
      <c r="HD497" s="155"/>
      <c r="HE497" s="155"/>
    </row>
    <row r="498" spans="2:213" s="156" customFormat="1" hidden="1">
      <c r="B498" s="155"/>
      <c r="C498" s="155"/>
      <c r="D498" s="155"/>
      <c r="E498" s="155"/>
      <c r="F498" s="155"/>
      <c r="G498" s="155"/>
      <c r="H498" s="155"/>
      <c r="I498" s="155"/>
      <c r="J498" s="155"/>
      <c r="K498" s="155"/>
      <c r="L498" s="155"/>
      <c r="M498" s="155"/>
      <c r="N498" s="155"/>
      <c r="O498" s="155"/>
      <c r="P498" s="155"/>
      <c r="Q498" s="155"/>
      <c r="R498" s="155"/>
      <c r="S498" s="155"/>
      <c r="T498" s="155"/>
      <c r="U498" s="155"/>
      <c r="V498" s="155"/>
      <c r="W498" s="155"/>
      <c r="GL498" s="155"/>
      <c r="GM498" s="155"/>
      <c r="GN498" s="155"/>
      <c r="GO498" s="155"/>
      <c r="GP498" s="155"/>
      <c r="GQ498" s="155"/>
      <c r="GR498" s="155"/>
      <c r="GS498" s="155"/>
      <c r="GT498" s="155"/>
      <c r="GU498" s="155"/>
      <c r="GV498" s="155"/>
      <c r="GW498" s="155"/>
      <c r="GX498" s="155"/>
      <c r="GY498" s="155"/>
      <c r="GZ498" s="155"/>
      <c r="HA498" s="155"/>
      <c r="HB498" s="155"/>
      <c r="HC498" s="155"/>
      <c r="HD498" s="155"/>
      <c r="HE498" s="155"/>
    </row>
    <row r="499" spans="2:213" s="156" customFormat="1" hidden="1">
      <c r="B499" s="155"/>
      <c r="C499" s="155"/>
      <c r="D499" s="155"/>
      <c r="E499" s="155"/>
      <c r="F499" s="155"/>
      <c r="G499" s="155"/>
      <c r="H499" s="155"/>
      <c r="I499" s="155"/>
      <c r="J499" s="155"/>
      <c r="K499" s="155"/>
      <c r="L499" s="155"/>
      <c r="M499" s="155"/>
      <c r="N499" s="155"/>
      <c r="O499" s="155"/>
      <c r="P499" s="155"/>
      <c r="Q499" s="155"/>
      <c r="R499" s="155"/>
      <c r="S499" s="155"/>
      <c r="T499" s="155"/>
      <c r="U499" s="155"/>
      <c r="V499" s="155"/>
      <c r="W499" s="155"/>
      <c r="GL499" s="155"/>
      <c r="GM499" s="155"/>
      <c r="GN499" s="155"/>
      <c r="GO499" s="155"/>
      <c r="GP499" s="155"/>
      <c r="GQ499" s="155"/>
      <c r="GR499" s="155"/>
      <c r="GS499" s="155"/>
      <c r="GT499" s="155"/>
      <c r="GU499" s="155"/>
      <c r="GV499" s="155"/>
      <c r="GW499" s="155"/>
      <c r="GX499" s="155"/>
      <c r="GY499" s="155"/>
      <c r="GZ499" s="155"/>
      <c r="HA499" s="155"/>
      <c r="HB499" s="155"/>
      <c r="HC499" s="155"/>
      <c r="HD499" s="155"/>
      <c r="HE499" s="155"/>
    </row>
    <row r="500" spans="2:213" s="156" customFormat="1" hidden="1">
      <c r="B500" s="155"/>
      <c r="C500" s="155"/>
      <c r="D500" s="155"/>
      <c r="E500" s="155"/>
      <c r="F500" s="155"/>
      <c r="G500" s="155"/>
      <c r="H500" s="155"/>
      <c r="I500" s="155"/>
      <c r="J500" s="155"/>
      <c r="K500" s="155"/>
      <c r="L500" s="155"/>
      <c r="M500" s="155"/>
      <c r="N500" s="155"/>
      <c r="O500" s="155"/>
      <c r="P500" s="155"/>
      <c r="Q500" s="155"/>
      <c r="R500" s="155"/>
      <c r="S500" s="155"/>
      <c r="T500" s="155"/>
      <c r="U500" s="155"/>
      <c r="V500" s="155"/>
      <c r="W500" s="155"/>
      <c r="GL500" s="155"/>
      <c r="GM500" s="155"/>
      <c r="GN500" s="155"/>
      <c r="GO500" s="155"/>
      <c r="GP500" s="155"/>
      <c r="GQ500" s="155"/>
      <c r="GR500" s="155"/>
      <c r="GS500" s="155"/>
      <c r="GT500" s="155"/>
      <c r="GU500" s="155"/>
      <c r="GV500" s="155"/>
      <c r="GW500" s="155"/>
      <c r="GX500" s="155"/>
      <c r="GY500" s="155"/>
      <c r="GZ500" s="155"/>
      <c r="HA500" s="155"/>
      <c r="HB500" s="155"/>
      <c r="HC500" s="155"/>
      <c r="HD500" s="155"/>
      <c r="HE500" s="155"/>
    </row>
    <row r="501" spans="2:213" s="156" customFormat="1" hidden="1">
      <c r="B501" s="155"/>
      <c r="C501" s="155"/>
      <c r="D501" s="155"/>
      <c r="E501" s="155"/>
      <c r="F501" s="155"/>
      <c r="G501" s="155"/>
      <c r="H501" s="155"/>
      <c r="I501" s="155"/>
      <c r="J501" s="155"/>
      <c r="K501" s="155"/>
      <c r="L501" s="155"/>
      <c r="M501" s="155"/>
      <c r="N501" s="155"/>
      <c r="O501" s="155"/>
      <c r="P501" s="155"/>
      <c r="Q501" s="155"/>
      <c r="R501" s="155"/>
      <c r="S501" s="155"/>
      <c r="T501" s="155"/>
      <c r="U501" s="155"/>
      <c r="V501" s="155"/>
      <c r="W501" s="155"/>
      <c r="GL501" s="155"/>
      <c r="GM501" s="155"/>
      <c r="GN501" s="155"/>
      <c r="GO501" s="155"/>
      <c r="GP501" s="155"/>
      <c r="GQ501" s="155"/>
      <c r="GR501" s="155"/>
      <c r="GS501" s="155"/>
      <c r="GT501" s="155"/>
      <c r="GU501" s="155"/>
      <c r="GV501" s="155"/>
      <c r="GW501" s="155"/>
      <c r="GX501" s="155"/>
      <c r="GY501" s="155"/>
      <c r="GZ501" s="155"/>
      <c r="HA501" s="155"/>
      <c r="HB501" s="155"/>
      <c r="HC501" s="155"/>
      <c r="HD501" s="155"/>
      <c r="HE501" s="155"/>
    </row>
    <row r="502" spans="2:213" s="156" customFormat="1" hidden="1">
      <c r="B502" s="155"/>
      <c r="C502" s="155"/>
      <c r="D502" s="155"/>
      <c r="E502" s="155"/>
      <c r="F502" s="155"/>
      <c r="G502" s="155"/>
      <c r="H502" s="155"/>
      <c r="I502" s="155"/>
      <c r="J502" s="155"/>
      <c r="K502" s="155"/>
      <c r="L502" s="155"/>
      <c r="M502" s="155"/>
      <c r="N502" s="155"/>
      <c r="O502" s="155"/>
      <c r="P502" s="155"/>
      <c r="Q502" s="155"/>
      <c r="R502" s="155"/>
      <c r="S502" s="155"/>
      <c r="T502" s="155"/>
      <c r="U502" s="155"/>
      <c r="V502" s="155"/>
      <c r="W502" s="155"/>
      <c r="GL502" s="155"/>
      <c r="GM502" s="155"/>
      <c r="GN502" s="155"/>
      <c r="GO502" s="155"/>
      <c r="GP502" s="155"/>
      <c r="GQ502" s="155"/>
      <c r="GR502" s="155"/>
      <c r="GS502" s="155"/>
      <c r="GT502" s="155"/>
      <c r="GU502" s="155"/>
      <c r="GV502" s="155"/>
      <c r="GW502" s="155"/>
      <c r="GX502" s="155"/>
      <c r="GY502" s="155"/>
      <c r="GZ502" s="155"/>
      <c r="HA502" s="155"/>
      <c r="HB502" s="155"/>
      <c r="HC502" s="155"/>
      <c r="HD502" s="155"/>
      <c r="HE502" s="155"/>
    </row>
    <row r="503" spans="2:213" s="156" customFormat="1" hidden="1">
      <c r="B503" s="155"/>
      <c r="C503" s="155"/>
      <c r="D503" s="155"/>
      <c r="E503" s="155"/>
      <c r="F503" s="155"/>
      <c r="G503" s="155"/>
      <c r="H503" s="155"/>
      <c r="I503" s="155"/>
      <c r="J503" s="155"/>
      <c r="K503" s="155"/>
      <c r="L503" s="155"/>
      <c r="M503" s="155"/>
      <c r="N503" s="155"/>
      <c r="O503" s="155"/>
      <c r="P503" s="155"/>
      <c r="Q503" s="155"/>
      <c r="R503" s="155"/>
      <c r="S503" s="155"/>
      <c r="T503" s="155"/>
      <c r="U503" s="155"/>
      <c r="V503" s="155"/>
      <c r="W503" s="155"/>
      <c r="GL503" s="155"/>
      <c r="GM503" s="155"/>
      <c r="GN503" s="155"/>
      <c r="GO503" s="155"/>
      <c r="GP503" s="155"/>
      <c r="GQ503" s="155"/>
      <c r="GR503" s="155"/>
      <c r="GS503" s="155"/>
      <c r="GT503" s="155"/>
      <c r="GU503" s="155"/>
      <c r="GV503" s="155"/>
      <c r="GW503" s="155"/>
      <c r="GX503" s="155"/>
      <c r="GY503" s="155"/>
      <c r="GZ503" s="155"/>
      <c r="HA503" s="155"/>
      <c r="HB503" s="155"/>
      <c r="HC503" s="155"/>
      <c r="HD503" s="155"/>
      <c r="HE503" s="155"/>
    </row>
    <row r="504" spans="2:213" s="156" customFormat="1" hidden="1">
      <c r="B504" s="155"/>
      <c r="C504" s="155"/>
      <c r="D504" s="155"/>
      <c r="E504" s="155"/>
      <c r="F504" s="155"/>
      <c r="G504" s="155"/>
      <c r="H504" s="155"/>
      <c r="I504" s="155"/>
      <c r="J504" s="155"/>
      <c r="K504" s="155"/>
      <c r="L504" s="155"/>
      <c r="M504" s="155"/>
      <c r="N504" s="155"/>
      <c r="O504" s="155"/>
      <c r="P504" s="155"/>
      <c r="Q504" s="155"/>
      <c r="R504" s="155"/>
      <c r="S504" s="155"/>
      <c r="T504" s="155"/>
      <c r="U504" s="155"/>
      <c r="V504" s="155"/>
      <c r="W504" s="155"/>
      <c r="GL504" s="155"/>
      <c r="GM504" s="155"/>
      <c r="GN504" s="155"/>
      <c r="GO504" s="155"/>
      <c r="GP504" s="155"/>
      <c r="GQ504" s="155"/>
      <c r="GR504" s="155"/>
      <c r="GS504" s="155"/>
      <c r="GT504" s="155"/>
      <c r="GU504" s="155"/>
      <c r="GV504" s="155"/>
      <c r="GW504" s="155"/>
      <c r="GX504" s="155"/>
      <c r="GY504" s="155"/>
      <c r="GZ504" s="155"/>
      <c r="HA504" s="155"/>
      <c r="HB504" s="155"/>
      <c r="HC504" s="155"/>
      <c r="HD504" s="155"/>
      <c r="HE504" s="155"/>
    </row>
    <row r="505" spans="2:213" s="156" customFormat="1" hidden="1">
      <c r="B505" s="155"/>
      <c r="C505" s="155"/>
      <c r="D505" s="155"/>
      <c r="E505" s="155"/>
      <c r="F505" s="155"/>
      <c r="G505" s="155"/>
      <c r="H505" s="155"/>
      <c r="I505" s="155"/>
      <c r="J505" s="155"/>
      <c r="K505" s="155"/>
      <c r="L505" s="155"/>
      <c r="M505" s="155"/>
      <c r="N505" s="155"/>
      <c r="O505" s="155"/>
      <c r="P505" s="155"/>
      <c r="Q505" s="155"/>
      <c r="R505" s="155"/>
      <c r="S505" s="155"/>
      <c r="T505" s="155"/>
      <c r="U505" s="155"/>
      <c r="V505" s="155"/>
      <c r="W505" s="155"/>
      <c r="GL505" s="155"/>
      <c r="GM505" s="155"/>
      <c r="GN505" s="155"/>
      <c r="GO505" s="155"/>
      <c r="GP505" s="155"/>
      <c r="GQ505" s="155"/>
      <c r="GR505" s="155"/>
      <c r="GS505" s="155"/>
      <c r="GT505" s="155"/>
      <c r="GU505" s="155"/>
      <c r="GV505" s="155"/>
      <c r="GW505" s="155"/>
      <c r="GX505" s="155"/>
      <c r="GY505" s="155"/>
      <c r="GZ505" s="155"/>
      <c r="HA505" s="155"/>
      <c r="HB505" s="155"/>
      <c r="HC505" s="155"/>
      <c r="HD505" s="155"/>
      <c r="HE505" s="155"/>
    </row>
    <row r="506" spans="2:213" s="156" customFormat="1" hidden="1">
      <c r="B506" s="155"/>
      <c r="C506" s="155"/>
      <c r="D506" s="155"/>
      <c r="E506" s="155"/>
      <c r="F506" s="155"/>
      <c r="G506" s="155"/>
      <c r="H506" s="155"/>
      <c r="I506" s="155"/>
      <c r="J506" s="155"/>
      <c r="K506" s="155"/>
      <c r="L506" s="155"/>
      <c r="M506" s="155"/>
      <c r="N506" s="155"/>
      <c r="O506" s="155"/>
      <c r="P506" s="155"/>
      <c r="Q506" s="155"/>
      <c r="R506" s="155"/>
      <c r="S506" s="155"/>
      <c r="T506" s="155"/>
      <c r="U506" s="155"/>
      <c r="V506" s="155"/>
      <c r="W506" s="155"/>
      <c r="GL506" s="155"/>
      <c r="GM506" s="155"/>
      <c r="GN506" s="155"/>
      <c r="GO506" s="155"/>
      <c r="GP506" s="155"/>
      <c r="GQ506" s="155"/>
      <c r="GR506" s="155"/>
      <c r="GS506" s="155"/>
      <c r="GT506" s="155"/>
      <c r="GU506" s="155"/>
      <c r="GV506" s="155"/>
      <c r="GW506" s="155"/>
      <c r="GX506" s="155"/>
      <c r="GY506" s="155"/>
      <c r="GZ506" s="155"/>
      <c r="HA506" s="155"/>
      <c r="HB506" s="155"/>
      <c r="HC506" s="155"/>
      <c r="HD506" s="155"/>
      <c r="HE506" s="155"/>
    </row>
    <row r="507" spans="2:213" s="156" customFormat="1" hidden="1">
      <c r="B507" s="155"/>
      <c r="C507" s="155"/>
      <c r="D507" s="155"/>
      <c r="E507" s="155"/>
      <c r="F507" s="155"/>
      <c r="G507" s="155"/>
      <c r="H507" s="155"/>
      <c r="I507" s="155"/>
      <c r="J507" s="155"/>
      <c r="K507" s="155"/>
      <c r="L507" s="155"/>
      <c r="M507" s="155"/>
      <c r="N507" s="155"/>
      <c r="O507" s="155"/>
      <c r="P507" s="155"/>
      <c r="Q507" s="155"/>
      <c r="R507" s="155"/>
      <c r="S507" s="155"/>
      <c r="T507" s="155"/>
      <c r="U507" s="155"/>
      <c r="V507" s="155"/>
      <c r="W507" s="155"/>
      <c r="GL507" s="155"/>
      <c r="GM507" s="155"/>
      <c r="GN507" s="155"/>
      <c r="GO507" s="155"/>
      <c r="GP507" s="155"/>
      <c r="GQ507" s="155"/>
      <c r="GR507" s="155"/>
      <c r="GS507" s="155"/>
      <c r="GT507" s="155"/>
      <c r="GU507" s="155"/>
      <c r="GV507" s="155"/>
      <c r="GW507" s="155"/>
      <c r="GX507" s="155"/>
      <c r="GY507" s="155"/>
      <c r="GZ507" s="155"/>
      <c r="HA507" s="155"/>
      <c r="HB507" s="155"/>
      <c r="HC507" s="155"/>
      <c r="HD507" s="155"/>
      <c r="HE507" s="155"/>
    </row>
    <row r="508" spans="2:213" s="156" customFormat="1" hidden="1">
      <c r="B508" s="155"/>
      <c r="C508" s="155"/>
      <c r="D508" s="155"/>
      <c r="E508" s="155"/>
      <c r="F508" s="155"/>
      <c r="G508" s="155"/>
      <c r="H508" s="155"/>
      <c r="I508" s="155"/>
      <c r="J508" s="155"/>
      <c r="K508" s="155"/>
      <c r="L508" s="155"/>
      <c r="M508" s="155"/>
      <c r="N508" s="155"/>
      <c r="O508" s="155"/>
      <c r="P508" s="155"/>
      <c r="Q508" s="155"/>
      <c r="R508" s="155"/>
      <c r="S508" s="155"/>
      <c r="T508" s="155"/>
      <c r="U508" s="155"/>
      <c r="V508" s="155"/>
      <c r="W508" s="155"/>
      <c r="GL508" s="155"/>
      <c r="GM508" s="155"/>
      <c r="GN508" s="155"/>
      <c r="GO508" s="155"/>
      <c r="GP508" s="155"/>
      <c r="GQ508" s="155"/>
      <c r="GR508" s="155"/>
      <c r="GS508" s="155"/>
      <c r="GT508" s="155"/>
      <c r="GU508" s="155"/>
      <c r="GV508" s="155"/>
      <c r="GW508" s="155"/>
      <c r="GX508" s="155"/>
      <c r="GY508" s="155"/>
      <c r="GZ508" s="155"/>
      <c r="HA508" s="155"/>
      <c r="HB508" s="155"/>
      <c r="HC508" s="155"/>
      <c r="HD508" s="155"/>
      <c r="HE508" s="155"/>
    </row>
    <row r="509" spans="2:213" s="156" customFormat="1" hidden="1">
      <c r="B509" s="155"/>
      <c r="C509" s="155"/>
      <c r="D509" s="155"/>
      <c r="E509" s="155"/>
      <c r="F509" s="155"/>
      <c r="G509" s="155"/>
      <c r="H509" s="155"/>
      <c r="I509" s="155"/>
      <c r="J509" s="155"/>
      <c r="K509" s="155"/>
      <c r="L509" s="155"/>
      <c r="M509" s="155"/>
      <c r="N509" s="155"/>
      <c r="O509" s="155"/>
      <c r="P509" s="155"/>
      <c r="Q509" s="155"/>
      <c r="R509" s="155"/>
      <c r="S509" s="155"/>
      <c r="T509" s="155"/>
      <c r="U509" s="155"/>
      <c r="V509" s="155"/>
      <c r="W509" s="155"/>
      <c r="GL509" s="155"/>
      <c r="GM509" s="155"/>
      <c r="GN509" s="155"/>
      <c r="GO509" s="155"/>
      <c r="GP509" s="155"/>
      <c r="GQ509" s="155"/>
      <c r="GR509" s="155"/>
      <c r="GS509" s="155"/>
      <c r="GT509" s="155"/>
      <c r="GU509" s="155"/>
      <c r="GV509" s="155"/>
      <c r="GW509" s="155"/>
      <c r="GX509" s="155"/>
      <c r="GY509" s="155"/>
      <c r="GZ509" s="155"/>
      <c r="HA509" s="155"/>
      <c r="HB509" s="155"/>
      <c r="HC509" s="155"/>
      <c r="HD509" s="155"/>
      <c r="HE509" s="155"/>
    </row>
    <row r="510" spans="2:213" s="156" customFormat="1" hidden="1">
      <c r="B510" s="155"/>
      <c r="C510" s="155"/>
      <c r="D510" s="155"/>
      <c r="E510" s="155"/>
      <c r="F510" s="155"/>
      <c r="G510" s="155"/>
      <c r="H510" s="155"/>
      <c r="I510" s="155"/>
      <c r="J510" s="155"/>
      <c r="K510" s="155"/>
      <c r="L510" s="155"/>
      <c r="M510" s="155"/>
      <c r="N510" s="155"/>
      <c r="O510" s="155"/>
      <c r="P510" s="155"/>
      <c r="Q510" s="155"/>
      <c r="R510" s="155"/>
      <c r="S510" s="155"/>
      <c r="T510" s="155"/>
      <c r="U510" s="155"/>
      <c r="V510" s="155"/>
      <c r="W510" s="155"/>
      <c r="GL510" s="155"/>
      <c r="GM510" s="155"/>
      <c r="GN510" s="155"/>
      <c r="GO510" s="155"/>
      <c r="GP510" s="155"/>
      <c r="GQ510" s="155"/>
      <c r="GR510" s="155"/>
      <c r="GS510" s="155"/>
      <c r="GT510" s="155"/>
      <c r="GU510" s="155"/>
      <c r="GV510" s="155"/>
      <c r="GW510" s="155"/>
      <c r="GX510" s="155"/>
      <c r="GY510" s="155"/>
      <c r="GZ510" s="155"/>
      <c r="HA510" s="155"/>
      <c r="HB510" s="155"/>
      <c r="HC510" s="155"/>
      <c r="HD510" s="155"/>
      <c r="HE510" s="155"/>
    </row>
    <row r="511" spans="2:213" s="156" customFormat="1" hidden="1">
      <c r="B511" s="155"/>
      <c r="C511" s="155"/>
      <c r="D511" s="155"/>
      <c r="E511" s="155"/>
      <c r="F511" s="155"/>
      <c r="G511" s="155"/>
      <c r="H511" s="155"/>
      <c r="I511" s="155"/>
      <c r="J511" s="155"/>
      <c r="K511" s="155"/>
      <c r="L511" s="155"/>
      <c r="M511" s="155"/>
      <c r="N511" s="155"/>
      <c r="O511" s="155"/>
      <c r="P511" s="155"/>
      <c r="Q511" s="155"/>
      <c r="R511" s="155"/>
      <c r="S511" s="155"/>
      <c r="T511" s="155"/>
      <c r="U511" s="155"/>
      <c r="V511" s="155"/>
      <c r="W511" s="155"/>
      <c r="GL511" s="155"/>
      <c r="GM511" s="155"/>
      <c r="GN511" s="155"/>
      <c r="GO511" s="155"/>
      <c r="GP511" s="155"/>
      <c r="GQ511" s="155"/>
      <c r="GR511" s="155"/>
      <c r="GS511" s="155"/>
      <c r="GT511" s="155"/>
      <c r="GU511" s="155"/>
      <c r="GV511" s="155"/>
      <c r="GW511" s="155"/>
      <c r="GX511" s="155"/>
      <c r="GY511" s="155"/>
      <c r="GZ511" s="155"/>
      <c r="HA511" s="155"/>
      <c r="HB511" s="155"/>
      <c r="HC511" s="155"/>
      <c r="HD511" s="155"/>
      <c r="HE511" s="155"/>
    </row>
    <row r="512" spans="2:213" s="156" customFormat="1" hidden="1">
      <c r="B512" s="155"/>
      <c r="C512" s="155"/>
      <c r="D512" s="155"/>
      <c r="E512" s="155"/>
      <c r="F512" s="155"/>
      <c r="G512" s="155"/>
      <c r="H512" s="155"/>
      <c r="I512" s="155"/>
      <c r="J512" s="155"/>
      <c r="K512" s="155"/>
      <c r="L512" s="155"/>
      <c r="M512" s="155"/>
      <c r="N512" s="155"/>
      <c r="O512" s="155"/>
      <c r="P512" s="155"/>
      <c r="Q512" s="155"/>
      <c r="R512" s="155"/>
      <c r="S512" s="155"/>
      <c r="T512" s="155"/>
      <c r="U512" s="155"/>
      <c r="V512" s="155"/>
      <c r="W512" s="155"/>
      <c r="GL512" s="155"/>
      <c r="GM512" s="155"/>
      <c r="GN512" s="155"/>
      <c r="GO512" s="155"/>
      <c r="GP512" s="155"/>
      <c r="GQ512" s="155"/>
      <c r="GR512" s="155"/>
      <c r="GS512" s="155"/>
      <c r="GT512" s="155"/>
      <c r="GU512" s="155"/>
      <c r="GV512" s="155"/>
      <c r="GW512" s="155"/>
      <c r="GX512" s="155"/>
      <c r="GY512" s="155"/>
      <c r="GZ512" s="155"/>
      <c r="HA512" s="155"/>
      <c r="HB512" s="155"/>
      <c r="HC512" s="155"/>
      <c r="HD512" s="155"/>
      <c r="HE512" s="155"/>
    </row>
    <row r="513" spans="2:213" s="156" customFormat="1" hidden="1">
      <c r="B513" s="155"/>
      <c r="C513" s="155"/>
      <c r="D513" s="155"/>
      <c r="E513" s="155"/>
      <c r="F513" s="155"/>
      <c r="G513" s="155"/>
      <c r="H513" s="155"/>
      <c r="I513" s="155"/>
      <c r="J513" s="155"/>
      <c r="K513" s="155"/>
      <c r="L513" s="155"/>
      <c r="M513" s="155"/>
      <c r="N513" s="155"/>
      <c r="O513" s="155"/>
      <c r="P513" s="155"/>
      <c r="Q513" s="155"/>
      <c r="R513" s="155"/>
      <c r="S513" s="155"/>
      <c r="T513" s="155"/>
      <c r="U513" s="155"/>
      <c r="V513" s="155"/>
      <c r="W513" s="155"/>
      <c r="GL513" s="155"/>
      <c r="GM513" s="155"/>
      <c r="GN513" s="155"/>
      <c r="GO513" s="155"/>
      <c r="GP513" s="155"/>
      <c r="GQ513" s="155"/>
      <c r="GR513" s="155"/>
      <c r="GS513" s="155"/>
      <c r="GT513" s="155"/>
      <c r="GU513" s="155"/>
      <c r="GV513" s="155"/>
      <c r="GW513" s="155"/>
      <c r="GX513" s="155"/>
      <c r="GY513" s="155"/>
      <c r="GZ513" s="155"/>
      <c r="HA513" s="155"/>
      <c r="HB513" s="155"/>
      <c r="HC513" s="155"/>
      <c r="HD513" s="155"/>
      <c r="HE513" s="155"/>
    </row>
    <row r="514" spans="2:213" s="156" customFormat="1" hidden="1">
      <c r="B514" s="155"/>
      <c r="C514" s="155"/>
      <c r="D514" s="155"/>
      <c r="E514" s="155"/>
      <c r="F514" s="155"/>
      <c r="G514" s="155"/>
      <c r="H514" s="155"/>
      <c r="I514" s="155"/>
      <c r="J514" s="155"/>
      <c r="K514" s="155"/>
      <c r="L514" s="155"/>
      <c r="M514" s="155"/>
      <c r="N514" s="155"/>
      <c r="O514" s="155"/>
      <c r="P514" s="155"/>
      <c r="Q514" s="155"/>
      <c r="R514" s="155"/>
      <c r="S514" s="155"/>
      <c r="T514" s="155"/>
      <c r="U514" s="155"/>
      <c r="V514" s="155"/>
      <c r="W514" s="155"/>
      <c r="GL514" s="155"/>
      <c r="GM514" s="155"/>
      <c r="GN514" s="155"/>
      <c r="GO514" s="155"/>
      <c r="GP514" s="155"/>
      <c r="GQ514" s="155"/>
      <c r="GR514" s="155"/>
      <c r="GS514" s="155"/>
      <c r="GT514" s="155"/>
      <c r="GU514" s="155"/>
      <c r="GV514" s="155"/>
      <c r="GW514" s="155"/>
      <c r="GX514" s="155"/>
      <c r="GY514" s="155"/>
      <c r="GZ514" s="155"/>
      <c r="HA514" s="155"/>
      <c r="HB514" s="155"/>
      <c r="HC514" s="155"/>
      <c r="HD514" s="155"/>
      <c r="HE514" s="155"/>
    </row>
    <row r="515" spans="2:213" s="156" customFormat="1" hidden="1">
      <c r="B515" s="155"/>
      <c r="C515" s="155"/>
      <c r="D515" s="155"/>
      <c r="E515" s="155"/>
      <c r="F515" s="155"/>
      <c r="G515" s="155"/>
      <c r="H515" s="155"/>
      <c r="I515" s="155"/>
      <c r="J515" s="155"/>
      <c r="K515" s="155"/>
      <c r="L515" s="155"/>
      <c r="M515" s="155"/>
      <c r="N515" s="155"/>
      <c r="O515" s="155"/>
      <c r="P515" s="155"/>
      <c r="Q515" s="155"/>
      <c r="R515" s="155"/>
      <c r="S515" s="155"/>
      <c r="T515" s="155"/>
      <c r="U515" s="155"/>
      <c r="V515" s="155"/>
      <c r="W515" s="155"/>
      <c r="GL515" s="155"/>
      <c r="GM515" s="155"/>
      <c r="GN515" s="155"/>
      <c r="GO515" s="155"/>
      <c r="GP515" s="155"/>
      <c r="GQ515" s="155"/>
      <c r="GR515" s="155"/>
      <c r="GS515" s="155"/>
      <c r="GT515" s="155"/>
      <c r="GU515" s="155"/>
      <c r="GV515" s="155"/>
      <c r="GW515" s="155"/>
      <c r="GX515" s="155"/>
      <c r="GY515" s="155"/>
      <c r="GZ515" s="155"/>
      <c r="HA515" s="155"/>
      <c r="HB515" s="155"/>
      <c r="HC515" s="155"/>
      <c r="HD515" s="155"/>
      <c r="HE515" s="155"/>
    </row>
    <row r="516" spans="2:213" s="156" customFormat="1" hidden="1">
      <c r="B516" s="155"/>
      <c r="C516" s="155"/>
      <c r="D516" s="155"/>
      <c r="E516" s="155"/>
      <c r="F516" s="155"/>
      <c r="G516" s="155"/>
      <c r="H516" s="155"/>
      <c r="I516" s="155"/>
      <c r="J516" s="155"/>
      <c r="K516" s="155"/>
      <c r="L516" s="155"/>
      <c r="M516" s="155"/>
      <c r="N516" s="155"/>
      <c r="O516" s="155"/>
      <c r="P516" s="155"/>
      <c r="Q516" s="155"/>
      <c r="R516" s="155"/>
      <c r="S516" s="155"/>
      <c r="T516" s="155"/>
      <c r="U516" s="155"/>
      <c r="V516" s="155"/>
      <c r="W516" s="155"/>
      <c r="GL516" s="155"/>
      <c r="GM516" s="155"/>
      <c r="GN516" s="155"/>
      <c r="GO516" s="155"/>
      <c r="GP516" s="155"/>
      <c r="GQ516" s="155"/>
      <c r="GR516" s="155"/>
      <c r="GS516" s="155"/>
      <c r="GT516" s="155"/>
      <c r="GU516" s="155"/>
      <c r="GV516" s="155"/>
      <c r="GW516" s="155"/>
      <c r="GX516" s="155"/>
      <c r="GY516" s="155"/>
      <c r="GZ516" s="155"/>
      <c r="HA516" s="155"/>
      <c r="HB516" s="155"/>
      <c r="HC516" s="155"/>
      <c r="HD516" s="155"/>
      <c r="HE516" s="155"/>
    </row>
    <row r="517" spans="2:213" s="156" customFormat="1" hidden="1">
      <c r="B517" s="155"/>
      <c r="C517" s="155"/>
      <c r="D517" s="155"/>
      <c r="E517" s="155"/>
      <c r="F517" s="155"/>
      <c r="G517" s="155"/>
      <c r="H517" s="155"/>
      <c r="I517" s="155"/>
      <c r="J517" s="155"/>
      <c r="K517" s="155"/>
      <c r="L517" s="155"/>
      <c r="M517" s="155"/>
      <c r="N517" s="155"/>
      <c r="O517" s="155"/>
      <c r="P517" s="155"/>
      <c r="Q517" s="155"/>
      <c r="R517" s="155"/>
      <c r="S517" s="155"/>
      <c r="T517" s="155"/>
      <c r="U517" s="155"/>
      <c r="V517" s="155"/>
      <c r="W517" s="155"/>
      <c r="GL517" s="155"/>
      <c r="GM517" s="155"/>
      <c r="GN517" s="155"/>
      <c r="GO517" s="155"/>
      <c r="GP517" s="155"/>
      <c r="GQ517" s="155"/>
      <c r="GR517" s="155"/>
      <c r="GS517" s="155"/>
      <c r="GT517" s="155"/>
      <c r="GU517" s="155"/>
      <c r="GV517" s="155"/>
      <c r="GW517" s="155"/>
      <c r="GX517" s="155"/>
      <c r="GY517" s="155"/>
      <c r="GZ517" s="155"/>
      <c r="HA517" s="155"/>
      <c r="HB517" s="155"/>
      <c r="HC517" s="155"/>
      <c r="HD517" s="155"/>
      <c r="HE517" s="155"/>
    </row>
    <row r="518" spans="2:213" s="156" customFormat="1" hidden="1">
      <c r="B518" s="155"/>
      <c r="C518" s="155"/>
      <c r="D518" s="155"/>
      <c r="E518" s="155"/>
      <c r="F518" s="155"/>
      <c r="G518" s="155"/>
      <c r="H518" s="155"/>
      <c r="I518" s="155"/>
      <c r="J518" s="155"/>
      <c r="K518" s="155"/>
      <c r="L518" s="155"/>
      <c r="M518" s="155"/>
      <c r="N518" s="155"/>
      <c r="O518" s="155"/>
      <c r="P518" s="155"/>
      <c r="Q518" s="155"/>
      <c r="R518" s="155"/>
      <c r="S518" s="155"/>
      <c r="T518" s="155"/>
      <c r="U518" s="155"/>
      <c r="V518" s="155"/>
      <c r="W518" s="155"/>
      <c r="GL518" s="155"/>
      <c r="GM518" s="155"/>
      <c r="GN518" s="155"/>
      <c r="GO518" s="155"/>
      <c r="GP518" s="155"/>
      <c r="GQ518" s="155"/>
      <c r="GR518" s="155"/>
      <c r="GS518" s="155"/>
      <c r="GT518" s="155"/>
      <c r="GU518" s="155"/>
      <c r="GV518" s="155"/>
      <c r="GW518" s="155"/>
      <c r="GX518" s="155"/>
      <c r="GY518" s="155"/>
      <c r="GZ518" s="155"/>
      <c r="HA518" s="155"/>
      <c r="HB518" s="155"/>
      <c r="HC518" s="155"/>
      <c r="HD518" s="155"/>
      <c r="HE518" s="155"/>
    </row>
    <row r="519" spans="2:213" s="156" customFormat="1" hidden="1">
      <c r="B519" s="155"/>
      <c r="C519" s="155"/>
      <c r="D519" s="155"/>
      <c r="E519" s="155"/>
      <c r="F519" s="155"/>
      <c r="G519" s="155"/>
      <c r="H519" s="155"/>
      <c r="I519" s="155"/>
      <c r="J519" s="155"/>
      <c r="K519" s="155"/>
      <c r="L519" s="155"/>
      <c r="M519" s="155"/>
      <c r="N519" s="155"/>
      <c r="O519" s="155"/>
      <c r="P519" s="155"/>
      <c r="Q519" s="155"/>
      <c r="R519" s="155"/>
      <c r="S519" s="155"/>
      <c r="T519" s="155"/>
      <c r="U519" s="155"/>
      <c r="V519" s="155"/>
      <c r="W519" s="155"/>
      <c r="GL519" s="155"/>
      <c r="GM519" s="155"/>
      <c r="GN519" s="155"/>
      <c r="GO519" s="155"/>
      <c r="GP519" s="155"/>
      <c r="GQ519" s="155"/>
      <c r="GR519" s="155"/>
      <c r="GS519" s="155"/>
      <c r="GT519" s="155"/>
      <c r="GU519" s="155"/>
      <c r="GV519" s="155"/>
      <c r="GW519" s="155"/>
      <c r="GX519" s="155"/>
      <c r="GY519" s="155"/>
      <c r="GZ519" s="155"/>
      <c r="HA519" s="155"/>
      <c r="HB519" s="155"/>
      <c r="HC519" s="155"/>
      <c r="HD519" s="155"/>
      <c r="HE519" s="155"/>
    </row>
    <row r="520" spans="2:213" s="156" customFormat="1" hidden="1">
      <c r="B520" s="155"/>
      <c r="C520" s="155"/>
      <c r="D520" s="155"/>
      <c r="E520" s="155"/>
      <c r="F520" s="155"/>
      <c r="G520" s="155"/>
      <c r="H520" s="155"/>
      <c r="I520" s="155"/>
      <c r="J520" s="155"/>
      <c r="K520" s="155"/>
      <c r="L520" s="155"/>
      <c r="M520" s="155"/>
      <c r="N520" s="155"/>
      <c r="O520" s="155"/>
      <c r="P520" s="155"/>
      <c r="Q520" s="155"/>
      <c r="R520" s="155"/>
      <c r="S520" s="155"/>
      <c r="T520" s="155"/>
      <c r="U520" s="155"/>
      <c r="V520" s="155"/>
      <c r="W520" s="155"/>
      <c r="GL520" s="155"/>
      <c r="GM520" s="155"/>
      <c r="GN520" s="155"/>
      <c r="GO520" s="155"/>
      <c r="GP520" s="155"/>
      <c r="GQ520" s="155"/>
      <c r="GR520" s="155"/>
      <c r="GS520" s="155"/>
      <c r="GT520" s="155"/>
      <c r="GU520" s="155"/>
      <c r="GV520" s="155"/>
      <c r="GW520" s="155"/>
      <c r="GX520" s="155"/>
      <c r="GY520" s="155"/>
      <c r="GZ520" s="155"/>
      <c r="HA520" s="155"/>
      <c r="HB520" s="155"/>
      <c r="HC520" s="155"/>
      <c r="HD520" s="155"/>
      <c r="HE520" s="155"/>
    </row>
    <row r="521" spans="2:213" s="156" customFormat="1" hidden="1">
      <c r="B521" s="155"/>
      <c r="C521" s="155"/>
      <c r="D521" s="155"/>
      <c r="E521" s="155"/>
      <c r="F521" s="155"/>
      <c r="G521" s="155"/>
      <c r="H521" s="155"/>
      <c r="I521" s="155"/>
      <c r="J521" s="155"/>
      <c r="K521" s="155"/>
      <c r="L521" s="155"/>
      <c r="M521" s="155"/>
      <c r="N521" s="155"/>
      <c r="O521" s="155"/>
      <c r="P521" s="155"/>
      <c r="Q521" s="155"/>
      <c r="R521" s="155"/>
      <c r="S521" s="155"/>
      <c r="T521" s="155"/>
      <c r="U521" s="155"/>
      <c r="V521" s="155"/>
      <c r="W521" s="155"/>
      <c r="GL521" s="155"/>
      <c r="GM521" s="155"/>
      <c r="GN521" s="155"/>
      <c r="GO521" s="155"/>
      <c r="GP521" s="155"/>
      <c r="GQ521" s="155"/>
      <c r="GR521" s="155"/>
      <c r="GS521" s="155"/>
      <c r="GT521" s="155"/>
      <c r="GU521" s="155"/>
      <c r="GV521" s="155"/>
      <c r="GW521" s="155"/>
      <c r="GX521" s="155"/>
      <c r="GY521" s="155"/>
      <c r="GZ521" s="155"/>
      <c r="HA521" s="155"/>
      <c r="HB521" s="155"/>
      <c r="HC521" s="155"/>
      <c r="HD521" s="155"/>
      <c r="HE521" s="155"/>
    </row>
    <row r="522" spans="2:213" s="156" customFormat="1" hidden="1">
      <c r="B522" s="155"/>
      <c r="C522" s="155"/>
      <c r="D522" s="155"/>
      <c r="E522" s="155"/>
      <c r="F522" s="155"/>
      <c r="G522" s="155"/>
      <c r="H522" s="155"/>
      <c r="I522" s="155"/>
      <c r="J522" s="155"/>
      <c r="K522" s="155"/>
      <c r="L522" s="155"/>
      <c r="M522" s="155"/>
      <c r="N522" s="155"/>
      <c r="O522" s="155"/>
      <c r="P522" s="155"/>
      <c r="Q522" s="155"/>
      <c r="R522" s="155"/>
      <c r="S522" s="155"/>
      <c r="T522" s="155"/>
      <c r="U522" s="155"/>
      <c r="V522" s="155"/>
      <c r="W522" s="155"/>
      <c r="GL522" s="155"/>
      <c r="GM522" s="155"/>
      <c r="GN522" s="155"/>
      <c r="GO522" s="155"/>
      <c r="GP522" s="155"/>
      <c r="GQ522" s="155"/>
      <c r="GR522" s="155"/>
      <c r="GS522" s="155"/>
      <c r="GT522" s="155"/>
      <c r="GU522" s="155"/>
      <c r="GV522" s="155"/>
      <c r="GW522" s="155"/>
      <c r="GX522" s="155"/>
      <c r="GY522" s="155"/>
      <c r="GZ522" s="155"/>
      <c r="HA522" s="155"/>
      <c r="HB522" s="155"/>
      <c r="HC522" s="155"/>
      <c r="HD522" s="155"/>
      <c r="HE522" s="155"/>
    </row>
    <row r="523" spans="2:213" s="156" customFormat="1" hidden="1">
      <c r="B523" s="155"/>
      <c r="C523" s="155"/>
      <c r="D523" s="155"/>
      <c r="E523" s="155"/>
      <c r="F523" s="155"/>
      <c r="G523" s="155"/>
      <c r="H523" s="155"/>
      <c r="I523" s="155"/>
      <c r="J523" s="155"/>
      <c r="K523" s="155"/>
      <c r="L523" s="155"/>
      <c r="M523" s="155"/>
      <c r="N523" s="155"/>
      <c r="O523" s="155"/>
      <c r="P523" s="155"/>
      <c r="Q523" s="155"/>
      <c r="R523" s="155"/>
      <c r="S523" s="155"/>
      <c r="T523" s="155"/>
      <c r="U523" s="155"/>
      <c r="V523" s="155"/>
      <c r="W523" s="155"/>
      <c r="GL523" s="155"/>
      <c r="GM523" s="155"/>
      <c r="GN523" s="155"/>
      <c r="GO523" s="155"/>
      <c r="GP523" s="155"/>
      <c r="GQ523" s="155"/>
      <c r="GR523" s="155"/>
      <c r="GS523" s="155"/>
      <c r="GT523" s="155"/>
      <c r="GU523" s="155"/>
      <c r="GV523" s="155"/>
      <c r="GW523" s="155"/>
      <c r="GX523" s="155"/>
      <c r="GY523" s="155"/>
      <c r="GZ523" s="155"/>
      <c r="HA523" s="155"/>
      <c r="HB523" s="155"/>
      <c r="HC523" s="155"/>
      <c r="HD523" s="155"/>
      <c r="HE523" s="155"/>
    </row>
    <row r="524" spans="2:213" s="156" customFormat="1" hidden="1">
      <c r="B524" s="155"/>
      <c r="C524" s="155"/>
      <c r="D524" s="155"/>
      <c r="E524" s="155"/>
      <c r="F524" s="155"/>
      <c r="G524" s="155"/>
      <c r="H524" s="155"/>
      <c r="I524" s="155"/>
      <c r="J524" s="155"/>
      <c r="K524" s="155"/>
      <c r="L524" s="155"/>
      <c r="M524" s="155"/>
      <c r="N524" s="155"/>
      <c r="O524" s="155"/>
      <c r="P524" s="155"/>
      <c r="Q524" s="155"/>
      <c r="R524" s="155"/>
      <c r="S524" s="155"/>
      <c r="T524" s="155"/>
      <c r="U524" s="155"/>
      <c r="V524" s="155"/>
      <c r="W524" s="155"/>
      <c r="GL524" s="155"/>
      <c r="GM524" s="155"/>
      <c r="GN524" s="155"/>
      <c r="GO524" s="155"/>
      <c r="GP524" s="155"/>
      <c r="GQ524" s="155"/>
      <c r="GR524" s="155"/>
      <c r="GS524" s="155"/>
      <c r="GT524" s="155"/>
      <c r="GU524" s="155"/>
      <c r="GV524" s="155"/>
      <c r="GW524" s="155"/>
      <c r="GX524" s="155"/>
      <c r="GY524" s="155"/>
      <c r="GZ524" s="155"/>
      <c r="HA524" s="155"/>
      <c r="HB524" s="155"/>
      <c r="HC524" s="155"/>
      <c r="HD524" s="155"/>
      <c r="HE524" s="155"/>
    </row>
    <row r="525" spans="2:213" s="156" customFormat="1" hidden="1">
      <c r="B525" s="155"/>
      <c r="C525" s="155"/>
      <c r="D525" s="155"/>
      <c r="E525" s="155"/>
      <c r="F525" s="155"/>
      <c r="G525" s="155"/>
      <c r="H525" s="155"/>
      <c r="I525" s="155"/>
      <c r="J525" s="155"/>
      <c r="K525" s="155"/>
      <c r="L525" s="155"/>
      <c r="M525" s="155"/>
      <c r="N525" s="155"/>
      <c r="O525" s="155"/>
      <c r="P525" s="155"/>
      <c r="Q525" s="155"/>
      <c r="R525" s="155"/>
      <c r="S525" s="155"/>
      <c r="T525" s="155"/>
      <c r="U525" s="155"/>
      <c r="V525" s="155"/>
      <c r="W525" s="155"/>
      <c r="GL525" s="155"/>
      <c r="GM525" s="155"/>
      <c r="GN525" s="155"/>
      <c r="GO525" s="155"/>
      <c r="GP525" s="155"/>
      <c r="GQ525" s="155"/>
      <c r="GR525" s="155"/>
      <c r="GS525" s="155"/>
      <c r="GT525" s="155"/>
      <c r="GU525" s="155"/>
      <c r="GV525" s="155"/>
      <c r="GW525" s="155"/>
      <c r="GX525" s="155"/>
      <c r="GY525" s="155"/>
      <c r="GZ525" s="155"/>
      <c r="HA525" s="155"/>
      <c r="HB525" s="155"/>
      <c r="HC525" s="155"/>
      <c r="HD525" s="155"/>
      <c r="HE525" s="155"/>
    </row>
    <row r="526" spans="2:213" s="156" customFormat="1" hidden="1">
      <c r="B526" s="155"/>
      <c r="C526" s="155"/>
      <c r="D526" s="155"/>
      <c r="E526" s="155"/>
      <c r="F526" s="155"/>
      <c r="G526" s="155"/>
      <c r="H526" s="155"/>
      <c r="I526" s="155"/>
      <c r="J526" s="155"/>
      <c r="K526" s="155"/>
      <c r="L526" s="155"/>
      <c r="M526" s="155"/>
      <c r="N526" s="155"/>
      <c r="O526" s="155"/>
      <c r="P526" s="155"/>
      <c r="Q526" s="155"/>
      <c r="R526" s="155"/>
      <c r="S526" s="155"/>
      <c r="T526" s="155"/>
      <c r="U526" s="155"/>
      <c r="V526" s="155"/>
      <c r="W526" s="155"/>
      <c r="GL526" s="155"/>
      <c r="GM526" s="155"/>
      <c r="GN526" s="155"/>
      <c r="GO526" s="155"/>
      <c r="GP526" s="155"/>
      <c r="GQ526" s="155"/>
      <c r="GR526" s="155"/>
      <c r="GS526" s="155"/>
      <c r="GT526" s="155"/>
      <c r="GU526" s="155"/>
      <c r="GV526" s="155"/>
      <c r="GW526" s="155"/>
      <c r="GX526" s="155"/>
      <c r="GY526" s="155"/>
      <c r="GZ526" s="155"/>
      <c r="HA526" s="155"/>
      <c r="HB526" s="155"/>
      <c r="HC526" s="155"/>
      <c r="HD526" s="155"/>
      <c r="HE526" s="155"/>
    </row>
    <row r="527" spans="2:213" s="156" customFormat="1" hidden="1">
      <c r="B527" s="155"/>
      <c r="C527" s="155"/>
      <c r="D527" s="155"/>
      <c r="E527" s="155"/>
      <c r="F527" s="155"/>
      <c r="G527" s="155"/>
      <c r="H527" s="155"/>
      <c r="I527" s="155"/>
      <c r="J527" s="155"/>
      <c r="K527" s="155"/>
      <c r="L527" s="155"/>
      <c r="M527" s="155"/>
      <c r="N527" s="155"/>
      <c r="O527" s="155"/>
      <c r="P527" s="155"/>
      <c r="Q527" s="155"/>
      <c r="R527" s="155"/>
      <c r="S527" s="155"/>
      <c r="T527" s="155"/>
      <c r="U527" s="155"/>
      <c r="V527" s="155"/>
      <c r="W527" s="155"/>
      <c r="GL527" s="155"/>
      <c r="GM527" s="155"/>
      <c r="GN527" s="155"/>
      <c r="GO527" s="155"/>
      <c r="GP527" s="155"/>
      <c r="GQ527" s="155"/>
      <c r="GR527" s="155"/>
      <c r="GS527" s="155"/>
      <c r="GT527" s="155"/>
      <c r="GU527" s="155"/>
      <c r="GV527" s="155"/>
      <c r="GW527" s="155"/>
      <c r="GX527" s="155"/>
      <c r="GY527" s="155"/>
      <c r="GZ527" s="155"/>
      <c r="HA527" s="155"/>
      <c r="HB527" s="155"/>
      <c r="HC527" s="155"/>
      <c r="HD527" s="155"/>
      <c r="HE527" s="155"/>
    </row>
    <row r="528" spans="2:213" s="156" customFormat="1" hidden="1">
      <c r="B528" s="155"/>
      <c r="C528" s="155"/>
      <c r="D528" s="155"/>
      <c r="E528" s="155"/>
      <c r="F528" s="155"/>
      <c r="G528" s="155"/>
      <c r="H528" s="155"/>
      <c r="I528" s="155"/>
      <c r="J528" s="155"/>
      <c r="K528" s="155"/>
      <c r="L528" s="155"/>
      <c r="M528" s="155"/>
      <c r="N528" s="155"/>
      <c r="O528" s="155"/>
      <c r="P528" s="155"/>
      <c r="Q528" s="155"/>
      <c r="R528" s="155"/>
      <c r="S528" s="155"/>
      <c r="T528" s="155"/>
      <c r="U528" s="155"/>
      <c r="V528" s="155"/>
      <c r="W528" s="155"/>
      <c r="GL528" s="155"/>
      <c r="GM528" s="155"/>
      <c r="GN528" s="155"/>
      <c r="GO528" s="155"/>
      <c r="GP528" s="155"/>
      <c r="GQ528" s="155"/>
      <c r="GR528" s="155"/>
      <c r="GS528" s="155"/>
      <c r="GT528" s="155"/>
      <c r="GU528" s="155"/>
      <c r="GV528" s="155"/>
      <c r="GW528" s="155"/>
      <c r="GX528" s="155"/>
      <c r="GY528" s="155"/>
      <c r="GZ528" s="155"/>
      <c r="HA528" s="155"/>
      <c r="HB528" s="155"/>
      <c r="HC528" s="155"/>
      <c r="HD528" s="155"/>
      <c r="HE528" s="155"/>
    </row>
    <row r="529" spans="2:213" s="156" customFormat="1" hidden="1">
      <c r="B529" s="155"/>
      <c r="C529" s="155"/>
      <c r="D529" s="155"/>
      <c r="E529" s="155"/>
      <c r="F529" s="155"/>
      <c r="G529" s="155"/>
      <c r="H529" s="155"/>
      <c r="I529" s="155"/>
      <c r="J529" s="155"/>
      <c r="K529" s="155"/>
      <c r="L529" s="155"/>
      <c r="M529" s="155"/>
      <c r="N529" s="155"/>
      <c r="O529" s="155"/>
      <c r="P529" s="155"/>
      <c r="Q529" s="155"/>
      <c r="R529" s="155"/>
      <c r="S529" s="155"/>
      <c r="T529" s="155"/>
      <c r="U529" s="155"/>
      <c r="V529" s="155"/>
      <c r="W529" s="155"/>
      <c r="GL529" s="155"/>
      <c r="GM529" s="155"/>
      <c r="GN529" s="155"/>
      <c r="GO529" s="155"/>
      <c r="GP529" s="155"/>
      <c r="GQ529" s="155"/>
      <c r="GR529" s="155"/>
      <c r="GS529" s="155"/>
      <c r="GT529" s="155"/>
      <c r="GU529" s="155"/>
      <c r="GV529" s="155"/>
      <c r="GW529" s="155"/>
      <c r="GX529" s="155"/>
      <c r="GY529" s="155"/>
      <c r="GZ529" s="155"/>
      <c r="HA529" s="155"/>
      <c r="HB529" s="155"/>
      <c r="HC529" s="155"/>
      <c r="HD529" s="155"/>
      <c r="HE529" s="155"/>
    </row>
    <row r="530" spans="2:213" s="156" customFormat="1" hidden="1">
      <c r="B530" s="155"/>
      <c r="C530" s="155"/>
      <c r="D530" s="155"/>
      <c r="E530" s="155"/>
      <c r="F530" s="155"/>
      <c r="G530" s="155"/>
      <c r="H530" s="155"/>
      <c r="I530" s="155"/>
      <c r="J530" s="155"/>
      <c r="K530" s="155"/>
      <c r="L530" s="155"/>
      <c r="M530" s="155"/>
      <c r="N530" s="155"/>
      <c r="O530" s="155"/>
      <c r="P530" s="155"/>
      <c r="Q530" s="155"/>
      <c r="R530" s="155"/>
      <c r="S530" s="155"/>
      <c r="T530" s="155"/>
      <c r="U530" s="155"/>
      <c r="V530" s="155"/>
      <c r="W530" s="155"/>
      <c r="GL530" s="155"/>
      <c r="GM530" s="155"/>
      <c r="GN530" s="155"/>
      <c r="GO530" s="155"/>
      <c r="GP530" s="155"/>
      <c r="GQ530" s="155"/>
      <c r="GR530" s="155"/>
      <c r="GS530" s="155"/>
      <c r="GT530" s="155"/>
      <c r="GU530" s="155"/>
      <c r="GV530" s="155"/>
      <c r="GW530" s="155"/>
      <c r="GX530" s="155"/>
      <c r="GY530" s="155"/>
      <c r="GZ530" s="155"/>
      <c r="HA530" s="155"/>
      <c r="HB530" s="155"/>
      <c r="HC530" s="155"/>
      <c r="HD530" s="155"/>
      <c r="HE530" s="155"/>
    </row>
    <row r="531" spans="2:213" s="156" customFormat="1" hidden="1">
      <c r="B531" s="155"/>
      <c r="C531" s="155"/>
      <c r="D531" s="155"/>
      <c r="E531" s="155"/>
      <c r="F531" s="155"/>
      <c r="G531" s="155"/>
      <c r="H531" s="155"/>
      <c r="I531" s="155"/>
      <c r="J531" s="155"/>
      <c r="K531" s="155"/>
      <c r="L531" s="155"/>
      <c r="M531" s="155"/>
      <c r="N531" s="155"/>
      <c r="O531" s="155"/>
      <c r="P531" s="155"/>
      <c r="Q531" s="155"/>
      <c r="R531" s="155"/>
      <c r="S531" s="155"/>
      <c r="T531" s="155"/>
      <c r="U531" s="155"/>
      <c r="V531" s="155"/>
      <c r="W531" s="155"/>
      <c r="GL531" s="155"/>
      <c r="GM531" s="155"/>
      <c r="GN531" s="155"/>
      <c r="GO531" s="155"/>
      <c r="GP531" s="155"/>
      <c r="GQ531" s="155"/>
      <c r="GR531" s="155"/>
      <c r="GS531" s="155"/>
      <c r="GT531" s="155"/>
      <c r="GU531" s="155"/>
      <c r="GV531" s="155"/>
      <c r="GW531" s="155"/>
      <c r="GX531" s="155"/>
      <c r="GY531" s="155"/>
      <c r="GZ531" s="155"/>
      <c r="HA531" s="155"/>
      <c r="HB531" s="155"/>
      <c r="HC531" s="155"/>
      <c r="HD531" s="155"/>
      <c r="HE531" s="155"/>
    </row>
    <row r="532" spans="2:213" s="156" customFormat="1" hidden="1">
      <c r="B532" s="155"/>
      <c r="C532" s="155"/>
      <c r="D532" s="155"/>
      <c r="E532" s="155"/>
      <c r="F532" s="155"/>
      <c r="G532" s="155"/>
      <c r="H532" s="155"/>
      <c r="I532" s="155"/>
      <c r="J532" s="155"/>
      <c r="K532" s="155"/>
      <c r="L532" s="155"/>
      <c r="M532" s="155"/>
      <c r="N532" s="155"/>
      <c r="O532" s="155"/>
      <c r="P532" s="155"/>
      <c r="Q532" s="155"/>
      <c r="R532" s="155"/>
      <c r="S532" s="155"/>
      <c r="T532" s="155"/>
      <c r="U532" s="155"/>
      <c r="V532" s="155"/>
      <c r="W532" s="155"/>
      <c r="GL532" s="155"/>
      <c r="GM532" s="155"/>
      <c r="GN532" s="155"/>
      <c r="GO532" s="155"/>
      <c r="GP532" s="155"/>
      <c r="GQ532" s="155"/>
      <c r="GR532" s="155"/>
      <c r="GS532" s="155"/>
      <c r="GT532" s="155"/>
      <c r="GU532" s="155"/>
      <c r="GV532" s="155"/>
      <c r="GW532" s="155"/>
      <c r="GX532" s="155"/>
      <c r="GY532" s="155"/>
      <c r="GZ532" s="155"/>
      <c r="HA532" s="155"/>
      <c r="HB532" s="155"/>
      <c r="HC532" s="155"/>
      <c r="HD532" s="155"/>
      <c r="HE532" s="155"/>
    </row>
    <row r="533" spans="2:213" s="156" customFormat="1" hidden="1">
      <c r="B533" s="155"/>
      <c r="C533" s="155"/>
      <c r="D533" s="155"/>
      <c r="E533" s="155"/>
      <c r="F533" s="155"/>
      <c r="G533" s="155"/>
      <c r="H533" s="155"/>
      <c r="I533" s="155"/>
      <c r="J533" s="155"/>
      <c r="K533" s="155"/>
      <c r="L533" s="155"/>
      <c r="M533" s="155"/>
      <c r="N533" s="155"/>
      <c r="O533" s="155"/>
      <c r="P533" s="155"/>
      <c r="Q533" s="155"/>
      <c r="R533" s="155"/>
      <c r="S533" s="155"/>
      <c r="T533" s="155"/>
      <c r="U533" s="155"/>
      <c r="V533" s="155"/>
      <c r="W533" s="155"/>
      <c r="GL533" s="155"/>
      <c r="GM533" s="155"/>
      <c r="GN533" s="155"/>
      <c r="GO533" s="155"/>
      <c r="GP533" s="155"/>
      <c r="GQ533" s="155"/>
      <c r="GR533" s="155"/>
      <c r="GS533" s="155"/>
      <c r="GT533" s="155"/>
      <c r="GU533" s="155"/>
      <c r="GV533" s="155"/>
      <c r="GW533" s="155"/>
      <c r="GX533" s="155"/>
      <c r="GY533" s="155"/>
      <c r="GZ533" s="155"/>
      <c r="HA533" s="155"/>
      <c r="HB533" s="155"/>
      <c r="HC533" s="155"/>
      <c r="HD533" s="155"/>
      <c r="HE533" s="155"/>
    </row>
    <row r="534" spans="2:213" s="156" customFormat="1" hidden="1">
      <c r="B534" s="155"/>
      <c r="C534" s="155"/>
      <c r="D534" s="155"/>
      <c r="E534" s="155"/>
      <c r="F534" s="155"/>
      <c r="G534" s="155"/>
      <c r="H534" s="155"/>
      <c r="I534" s="155"/>
      <c r="J534" s="155"/>
      <c r="K534" s="155"/>
      <c r="L534" s="155"/>
      <c r="M534" s="155"/>
      <c r="N534" s="155"/>
      <c r="O534" s="155"/>
      <c r="P534" s="155"/>
      <c r="Q534" s="155"/>
      <c r="R534" s="155"/>
      <c r="S534" s="155"/>
      <c r="T534" s="155"/>
      <c r="U534" s="155"/>
      <c r="V534" s="155"/>
      <c r="W534" s="155"/>
      <c r="GL534" s="155"/>
      <c r="GM534" s="155"/>
      <c r="GN534" s="155"/>
      <c r="GO534" s="155"/>
      <c r="GP534" s="155"/>
      <c r="GQ534" s="155"/>
      <c r="GR534" s="155"/>
      <c r="GS534" s="155"/>
      <c r="GT534" s="155"/>
      <c r="GU534" s="155"/>
      <c r="GV534" s="155"/>
      <c r="GW534" s="155"/>
      <c r="GX534" s="155"/>
      <c r="GY534" s="155"/>
      <c r="GZ534" s="155"/>
      <c r="HA534" s="155"/>
      <c r="HB534" s="155"/>
      <c r="HC534" s="155"/>
      <c r="HD534" s="155"/>
      <c r="HE534" s="155"/>
    </row>
    <row r="535" spans="2:213" s="156" customFormat="1" hidden="1">
      <c r="B535" s="155"/>
      <c r="C535" s="155"/>
      <c r="D535" s="155"/>
      <c r="E535" s="155"/>
      <c r="F535" s="155"/>
      <c r="G535" s="155"/>
      <c r="H535" s="155"/>
      <c r="I535" s="155"/>
      <c r="J535" s="155"/>
      <c r="K535" s="155"/>
      <c r="L535" s="155"/>
      <c r="M535" s="155"/>
      <c r="N535" s="155"/>
      <c r="O535" s="155"/>
      <c r="P535" s="155"/>
      <c r="Q535" s="155"/>
      <c r="R535" s="155"/>
      <c r="S535" s="155"/>
      <c r="T535" s="155"/>
      <c r="U535" s="155"/>
      <c r="V535" s="155"/>
      <c r="W535" s="155"/>
      <c r="GL535" s="155"/>
      <c r="GM535" s="155"/>
      <c r="GN535" s="155"/>
      <c r="GO535" s="155"/>
      <c r="GP535" s="155"/>
      <c r="GQ535" s="155"/>
      <c r="GR535" s="155"/>
      <c r="GS535" s="155"/>
      <c r="GT535" s="155"/>
      <c r="GU535" s="155"/>
      <c r="GV535" s="155"/>
      <c r="GW535" s="155"/>
      <c r="GX535" s="155"/>
      <c r="GY535" s="155"/>
      <c r="GZ535" s="155"/>
      <c r="HA535" s="155"/>
      <c r="HB535" s="155"/>
      <c r="HC535" s="155"/>
      <c r="HD535" s="155"/>
      <c r="HE535" s="155"/>
    </row>
    <row r="536" spans="2:213" s="156" customFormat="1" hidden="1">
      <c r="B536" s="155"/>
      <c r="C536" s="155"/>
      <c r="D536" s="155"/>
      <c r="E536" s="155"/>
      <c r="F536" s="155"/>
      <c r="G536" s="155"/>
      <c r="H536" s="155"/>
      <c r="I536" s="155"/>
      <c r="J536" s="155"/>
      <c r="K536" s="155"/>
      <c r="L536" s="155"/>
      <c r="M536" s="155"/>
      <c r="N536" s="155"/>
      <c r="O536" s="155"/>
      <c r="P536" s="155"/>
      <c r="Q536" s="155"/>
      <c r="R536" s="155"/>
      <c r="S536" s="155"/>
      <c r="T536" s="155"/>
      <c r="U536" s="155"/>
      <c r="V536" s="155"/>
      <c r="W536" s="155"/>
      <c r="GL536" s="155"/>
      <c r="GM536" s="155"/>
      <c r="GN536" s="155"/>
      <c r="GO536" s="155"/>
      <c r="GP536" s="155"/>
      <c r="GQ536" s="155"/>
      <c r="GR536" s="155"/>
      <c r="GS536" s="155"/>
      <c r="GT536" s="155"/>
      <c r="GU536" s="155"/>
      <c r="GV536" s="155"/>
      <c r="GW536" s="155"/>
      <c r="GX536" s="155"/>
      <c r="GY536" s="155"/>
      <c r="GZ536" s="155"/>
      <c r="HA536" s="155"/>
      <c r="HB536" s="155"/>
      <c r="HC536" s="155"/>
      <c r="HD536" s="155"/>
      <c r="HE536" s="155"/>
    </row>
    <row r="537" spans="2:213" s="156" customFormat="1" hidden="1">
      <c r="B537" s="155"/>
      <c r="C537" s="155"/>
      <c r="D537" s="155"/>
      <c r="E537" s="155"/>
      <c r="F537" s="155"/>
      <c r="G537" s="155"/>
      <c r="H537" s="155"/>
      <c r="I537" s="155"/>
      <c r="J537" s="155"/>
      <c r="K537" s="155"/>
      <c r="L537" s="155"/>
      <c r="M537" s="155"/>
      <c r="N537" s="155"/>
      <c r="O537" s="155"/>
      <c r="P537" s="155"/>
      <c r="Q537" s="155"/>
      <c r="R537" s="155"/>
      <c r="S537" s="155"/>
      <c r="T537" s="155"/>
      <c r="U537" s="155"/>
      <c r="V537" s="155"/>
      <c r="W537" s="155"/>
      <c r="GL537" s="155"/>
      <c r="GM537" s="155"/>
      <c r="GN537" s="155"/>
      <c r="GO537" s="155"/>
      <c r="GP537" s="155"/>
      <c r="GQ537" s="155"/>
      <c r="GR537" s="155"/>
      <c r="GS537" s="155"/>
      <c r="GT537" s="155"/>
      <c r="GU537" s="155"/>
      <c r="GV537" s="155"/>
      <c r="GW537" s="155"/>
      <c r="GX537" s="155"/>
      <c r="GY537" s="155"/>
      <c r="GZ537" s="155"/>
      <c r="HA537" s="155"/>
      <c r="HB537" s="155"/>
      <c r="HC537" s="155"/>
      <c r="HD537" s="155"/>
      <c r="HE537" s="155"/>
    </row>
    <row r="538" spans="2:213" s="156" customFormat="1" hidden="1">
      <c r="B538" s="155"/>
      <c r="C538" s="155"/>
      <c r="D538" s="155"/>
      <c r="E538" s="155"/>
      <c r="F538" s="155"/>
      <c r="G538" s="155"/>
      <c r="H538" s="155"/>
      <c r="I538" s="155"/>
      <c r="J538" s="155"/>
      <c r="K538" s="155"/>
      <c r="L538" s="155"/>
      <c r="M538" s="155"/>
      <c r="N538" s="155"/>
      <c r="O538" s="155"/>
      <c r="P538" s="155"/>
      <c r="Q538" s="155"/>
      <c r="R538" s="155"/>
      <c r="S538" s="155"/>
      <c r="T538" s="155"/>
      <c r="U538" s="155"/>
      <c r="V538" s="155"/>
      <c r="W538" s="155"/>
      <c r="GL538" s="155"/>
      <c r="GM538" s="155"/>
      <c r="GN538" s="155"/>
      <c r="GO538" s="155"/>
      <c r="GP538" s="155"/>
      <c r="GQ538" s="155"/>
      <c r="GR538" s="155"/>
      <c r="GS538" s="155"/>
      <c r="GT538" s="155"/>
      <c r="GU538" s="155"/>
      <c r="GV538" s="155"/>
      <c r="GW538" s="155"/>
      <c r="GX538" s="155"/>
      <c r="GY538" s="155"/>
      <c r="GZ538" s="155"/>
      <c r="HA538" s="155"/>
      <c r="HB538" s="155"/>
      <c r="HC538" s="155"/>
      <c r="HD538" s="155"/>
      <c r="HE538" s="155"/>
    </row>
    <row r="539" spans="2:213" s="156" customFormat="1" hidden="1">
      <c r="B539" s="155"/>
      <c r="C539" s="155"/>
      <c r="D539" s="155"/>
      <c r="E539" s="155"/>
      <c r="F539" s="155"/>
      <c r="G539" s="155"/>
      <c r="H539" s="155"/>
      <c r="I539" s="155"/>
      <c r="J539" s="155"/>
      <c r="K539" s="155"/>
      <c r="L539" s="155"/>
      <c r="M539" s="155"/>
      <c r="N539" s="155"/>
      <c r="O539" s="155"/>
      <c r="P539" s="155"/>
      <c r="Q539" s="155"/>
      <c r="R539" s="155"/>
      <c r="S539" s="155"/>
      <c r="T539" s="155"/>
      <c r="U539" s="155"/>
      <c r="V539" s="155"/>
      <c r="W539" s="155"/>
      <c r="GL539" s="155"/>
      <c r="GM539" s="155"/>
      <c r="GN539" s="155"/>
      <c r="GO539" s="155"/>
      <c r="GP539" s="155"/>
      <c r="GQ539" s="155"/>
      <c r="GR539" s="155"/>
      <c r="GS539" s="155"/>
      <c r="GT539" s="155"/>
      <c r="GU539" s="155"/>
      <c r="GV539" s="155"/>
      <c r="GW539" s="155"/>
      <c r="GX539" s="155"/>
      <c r="GY539" s="155"/>
      <c r="GZ539" s="155"/>
      <c r="HA539" s="155"/>
      <c r="HB539" s="155"/>
      <c r="HC539" s="155"/>
      <c r="HD539" s="155"/>
      <c r="HE539" s="155"/>
    </row>
    <row r="540" spans="2:213" s="156" customFormat="1" hidden="1">
      <c r="B540" s="155"/>
      <c r="C540" s="155"/>
      <c r="D540" s="155"/>
      <c r="E540" s="155"/>
      <c r="F540" s="155"/>
      <c r="G540" s="155"/>
      <c r="H540" s="155"/>
      <c r="I540" s="155"/>
      <c r="J540" s="155"/>
      <c r="K540" s="155"/>
      <c r="L540" s="155"/>
      <c r="M540" s="155"/>
      <c r="N540" s="155"/>
      <c r="O540" s="155"/>
      <c r="P540" s="155"/>
      <c r="Q540" s="155"/>
      <c r="R540" s="155"/>
      <c r="S540" s="155"/>
      <c r="T540" s="155"/>
      <c r="U540" s="155"/>
      <c r="V540" s="155"/>
      <c r="W540" s="155"/>
      <c r="GL540" s="155"/>
      <c r="GM540" s="155"/>
      <c r="GN540" s="155"/>
      <c r="GO540" s="155"/>
      <c r="GP540" s="155"/>
      <c r="GQ540" s="155"/>
      <c r="GR540" s="155"/>
      <c r="GS540" s="155"/>
      <c r="GT540" s="155"/>
      <c r="GU540" s="155"/>
      <c r="GV540" s="155"/>
      <c r="GW540" s="155"/>
      <c r="GX540" s="155"/>
      <c r="GY540" s="155"/>
      <c r="GZ540" s="155"/>
      <c r="HA540" s="155"/>
      <c r="HB540" s="155"/>
      <c r="HC540" s="155"/>
      <c r="HD540" s="155"/>
      <c r="HE540" s="155"/>
    </row>
    <row r="541" spans="2:213" s="156" customFormat="1" hidden="1">
      <c r="B541" s="155"/>
      <c r="C541" s="155"/>
      <c r="D541" s="155"/>
      <c r="E541" s="155"/>
      <c r="F541" s="155"/>
      <c r="G541" s="155"/>
      <c r="H541" s="155"/>
      <c r="I541" s="155"/>
      <c r="J541" s="155"/>
      <c r="K541" s="155"/>
      <c r="L541" s="155"/>
      <c r="M541" s="155"/>
      <c r="N541" s="155"/>
      <c r="O541" s="155"/>
      <c r="P541" s="155"/>
      <c r="Q541" s="155"/>
      <c r="R541" s="155"/>
      <c r="S541" s="155"/>
      <c r="T541" s="155"/>
      <c r="U541" s="155"/>
      <c r="V541" s="155"/>
      <c r="W541" s="155"/>
      <c r="GL541" s="155"/>
      <c r="GM541" s="155"/>
      <c r="GN541" s="155"/>
      <c r="GO541" s="155"/>
      <c r="GP541" s="155"/>
      <c r="GQ541" s="155"/>
      <c r="GR541" s="155"/>
      <c r="GS541" s="155"/>
      <c r="GT541" s="155"/>
      <c r="GU541" s="155"/>
      <c r="GV541" s="155"/>
      <c r="GW541" s="155"/>
      <c r="GX541" s="155"/>
      <c r="GY541" s="155"/>
      <c r="GZ541" s="155"/>
      <c r="HA541" s="155"/>
      <c r="HB541" s="155"/>
      <c r="HC541" s="155"/>
      <c r="HD541" s="155"/>
      <c r="HE541" s="155"/>
    </row>
    <row r="542" spans="2:213" s="156" customFormat="1" hidden="1">
      <c r="B542" s="155"/>
      <c r="C542" s="155"/>
      <c r="D542" s="155"/>
      <c r="E542" s="155"/>
      <c r="F542" s="155"/>
      <c r="G542" s="155"/>
      <c r="H542" s="155"/>
      <c r="I542" s="155"/>
      <c r="J542" s="155"/>
      <c r="K542" s="155"/>
      <c r="L542" s="155"/>
      <c r="M542" s="155"/>
      <c r="N542" s="155"/>
      <c r="O542" s="155"/>
      <c r="P542" s="155"/>
      <c r="Q542" s="155"/>
      <c r="R542" s="155"/>
      <c r="S542" s="155"/>
      <c r="T542" s="155"/>
      <c r="U542" s="155"/>
      <c r="V542" s="155"/>
      <c r="W542" s="155"/>
      <c r="GL542" s="155"/>
      <c r="GM542" s="155"/>
      <c r="GN542" s="155"/>
      <c r="GO542" s="155"/>
      <c r="GP542" s="155"/>
      <c r="GQ542" s="155"/>
      <c r="GR542" s="155"/>
      <c r="GS542" s="155"/>
      <c r="GT542" s="155"/>
      <c r="GU542" s="155"/>
      <c r="GV542" s="155"/>
      <c r="GW542" s="155"/>
      <c r="GX542" s="155"/>
      <c r="GY542" s="155"/>
      <c r="GZ542" s="155"/>
      <c r="HA542" s="155"/>
      <c r="HB542" s="155"/>
      <c r="HC542" s="155"/>
      <c r="HD542" s="155"/>
      <c r="HE542" s="155"/>
    </row>
    <row r="543" spans="2:213" s="156" customFormat="1" hidden="1">
      <c r="B543" s="155"/>
      <c r="C543" s="155"/>
      <c r="D543" s="155"/>
      <c r="E543" s="155"/>
      <c r="F543" s="155"/>
      <c r="G543" s="155"/>
      <c r="H543" s="155"/>
      <c r="I543" s="155"/>
      <c r="J543" s="155"/>
      <c r="K543" s="155"/>
      <c r="L543" s="155"/>
      <c r="M543" s="155"/>
      <c r="N543" s="155"/>
      <c r="O543" s="155"/>
      <c r="P543" s="155"/>
      <c r="Q543" s="155"/>
      <c r="R543" s="155"/>
      <c r="S543" s="155"/>
      <c r="T543" s="155"/>
      <c r="U543" s="155"/>
      <c r="V543" s="155"/>
      <c r="W543" s="155"/>
      <c r="GL543" s="155"/>
      <c r="GM543" s="155"/>
      <c r="GN543" s="155"/>
      <c r="GO543" s="155"/>
      <c r="GP543" s="155"/>
      <c r="GQ543" s="155"/>
      <c r="GR543" s="155"/>
      <c r="GS543" s="155"/>
      <c r="GT543" s="155"/>
      <c r="GU543" s="155"/>
      <c r="GV543" s="155"/>
      <c r="GW543" s="155"/>
      <c r="GX543" s="155"/>
      <c r="GY543" s="155"/>
      <c r="GZ543" s="155"/>
      <c r="HA543" s="155"/>
      <c r="HB543" s="155"/>
      <c r="HC543" s="155"/>
      <c r="HD543" s="155"/>
      <c r="HE543" s="155"/>
    </row>
    <row r="544" spans="2:213" s="156" customFormat="1" hidden="1">
      <c r="B544" s="155"/>
      <c r="C544" s="155"/>
      <c r="D544" s="155"/>
      <c r="E544" s="155"/>
      <c r="F544" s="155"/>
      <c r="G544" s="155"/>
      <c r="H544" s="155"/>
      <c r="I544" s="155"/>
      <c r="J544" s="155"/>
      <c r="K544" s="155"/>
      <c r="L544" s="155"/>
      <c r="M544" s="155"/>
      <c r="N544" s="155"/>
      <c r="O544" s="155"/>
      <c r="P544" s="155"/>
      <c r="Q544" s="155"/>
      <c r="R544" s="155"/>
      <c r="S544" s="155"/>
      <c r="T544" s="155"/>
      <c r="U544" s="155"/>
      <c r="V544" s="155"/>
      <c r="W544" s="155"/>
      <c r="GL544" s="155"/>
      <c r="GM544" s="155"/>
      <c r="GN544" s="155"/>
      <c r="GO544" s="155"/>
      <c r="GP544" s="155"/>
      <c r="GQ544" s="155"/>
      <c r="GR544" s="155"/>
      <c r="GS544" s="155"/>
      <c r="GT544" s="155"/>
      <c r="GU544" s="155"/>
      <c r="GV544" s="155"/>
      <c r="GW544" s="155"/>
      <c r="GX544" s="155"/>
      <c r="GY544" s="155"/>
      <c r="GZ544" s="155"/>
      <c r="HA544" s="155"/>
      <c r="HB544" s="155"/>
      <c r="HC544" s="155"/>
      <c r="HD544" s="155"/>
      <c r="HE544" s="155"/>
    </row>
    <row r="545" spans="2:213" s="156" customFormat="1" hidden="1">
      <c r="B545" s="155"/>
      <c r="C545" s="155"/>
      <c r="D545" s="155"/>
      <c r="E545" s="155"/>
      <c r="F545" s="155"/>
      <c r="G545" s="155"/>
      <c r="H545" s="155"/>
      <c r="I545" s="155"/>
      <c r="J545" s="155"/>
      <c r="K545" s="155"/>
      <c r="L545" s="155"/>
      <c r="M545" s="155"/>
      <c r="N545" s="155"/>
      <c r="O545" s="155"/>
      <c r="P545" s="155"/>
      <c r="Q545" s="155"/>
      <c r="R545" s="155"/>
      <c r="S545" s="155"/>
      <c r="T545" s="155"/>
      <c r="U545" s="155"/>
      <c r="V545" s="155"/>
      <c r="W545" s="155"/>
      <c r="GL545" s="155"/>
      <c r="GM545" s="155"/>
      <c r="GN545" s="155"/>
      <c r="GO545" s="155"/>
      <c r="GP545" s="155"/>
      <c r="GQ545" s="155"/>
      <c r="GR545" s="155"/>
      <c r="GS545" s="155"/>
      <c r="GT545" s="155"/>
      <c r="GU545" s="155"/>
      <c r="GV545" s="155"/>
      <c r="GW545" s="155"/>
      <c r="GX545" s="155"/>
      <c r="GY545" s="155"/>
      <c r="GZ545" s="155"/>
      <c r="HA545" s="155"/>
      <c r="HB545" s="155"/>
      <c r="HC545" s="155"/>
      <c r="HD545" s="155"/>
      <c r="HE545" s="155"/>
    </row>
    <row r="546" spans="2:213" s="156" customFormat="1" hidden="1">
      <c r="B546" s="155"/>
      <c r="C546" s="155"/>
      <c r="D546" s="155"/>
      <c r="E546" s="155"/>
      <c r="F546" s="155"/>
      <c r="G546" s="155"/>
      <c r="H546" s="155"/>
      <c r="I546" s="155"/>
      <c r="J546" s="155"/>
      <c r="K546" s="155"/>
      <c r="L546" s="155"/>
      <c r="M546" s="155"/>
      <c r="N546" s="155"/>
      <c r="O546" s="155"/>
      <c r="P546" s="155"/>
      <c r="Q546" s="155"/>
      <c r="R546" s="155"/>
      <c r="S546" s="155"/>
      <c r="T546" s="155"/>
      <c r="U546" s="155"/>
      <c r="V546" s="155"/>
      <c r="W546" s="155"/>
      <c r="GL546" s="155"/>
      <c r="GM546" s="155"/>
      <c r="GN546" s="155"/>
      <c r="GO546" s="155"/>
      <c r="GP546" s="155"/>
      <c r="GQ546" s="155"/>
      <c r="GR546" s="155"/>
      <c r="GS546" s="155"/>
      <c r="GT546" s="155"/>
      <c r="GU546" s="155"/>
      <c r="GV546" s="155"/>
      <c r="GW546" s="155"/>
      <c r="GX546" s="155"/>
      <c r="GY546" s="155"/>
      <c r="GZ546" s="155"/>
      <c r="HA546" s="155"/>
      <c r="HB546" s="155"/>
      <c r="HC546" s="155"/>
      <c r="HD546" s="155"/>
      <c r="HE546" s="155"/>
    </row>
    <row r="547" spans="2:213" s="156" customFormat="1" hidden="1">
      <c r="B547" s="155"/>
      <c r="C547" s="155"/>
      <c r="D547" s="155"/>
      <c r="E547" s="155"/>
      <c r="F547" s="155"/>
      <c r="G547" s="155"/>
      <c r="H547" s="155"/>
      <c r="I547" s="155"/>
      <c r="J547" s="155"/>
      <c r="K547" s="155"/>
      <c r="L547" s="155"/>
      <c r="M547" s="155"/>
      <c r="N547" s="155"/>
      <c r="O547" s="155"/>
      <c r="P547" s="155"/>
      <c r="Q547" s="155"/>
      <c r="R547" s="155"/>
      <c r="S547" s="155"/>
      <c r="T547" s="155"/>
      <c r="U547" s="155"/>
      <c r="V547" s="155"/>
      <c r="W547" s="155"/>
      <c r="GL547" s="155"/>
      <c r="GM547" s="155"/>
      <c r="GN547" s="155"/>
      <c r="GO547" s="155"/>
      <c r="GP547" s="155"/>
      <c r="GQ547" s="155"/>
      <c r="GR547" s="155"/>
      <c r="GS547" s="155"/>
      <c r="GT547" s="155"/>
      <c r="GU547" s="155"/>
      <c r="GV547" s="155"/>
      <c r="GW547" s="155"/>
      <c r="GX547" s="155"/>
      <c r="GY547" s="155"/>
      <c r="GZ547" s="155"/>
      <c r="HA547" s="155"/>
      <c r="HB547" s="155"/>
      <c r="HC547" s="155"/>
      <c r="HD547" s="155"/>
      <c r="HE547" s="155"/>
    </row>
    <row r="548" spans="2:213" s="156" customFormat="1" hidden="1">
      <c r="B548" s="155"/>
      <c r="C548" s="155"/>
      <c r="D548" s="155"/>
      <c r="E548" s="155"/>
      <c r="F548" s="155"/>
      <c r="G548" s="155"/>
      <c r="H548" s="155"/>
      <c r="I548" s="155"/>
      <c r="J548" s="155"/>
      <c r="K548" s="155"/>
      <c r="L548" s="155"/>
      <c r="M548" s="155"/>
      <c r="N548" s="155"/>
      <c r="O548" s="155"/>
      <c r="P548" s="155"/>
      <c r="Q548" s="155"/>
      <c r="R548" s="155"/>
      <c r="S548" s="155"/>
      <c r="T548" s="155"/>
      <c r="U548" s="155"/>
      <c r="V548" s="155"/>
      <c r="W548" s="155"/>
      <c r="GL548" s="155"/>
      <c r="GM548" s="155"/>
      <c r="GN548" s="155"/>
      <c r="GO548" s="155"/>
      <c r="GP548" s="155"/>
      <c r="GQ548" s="155"/>
      <c r="GR548" s="155"/>
      <c r="GS548" s="155"/>
      <c r="GT548" s="155"/>
      <c r="GU548" s="155"/>
      <c r="GV548" s="155"/>
      <c r="GW548" s="155"/>
      <c r="GX548" s="155"/>
      <c r="GY548" s="155"/>
      <c r="GZ548" s="155"/>
      <c r="HA548" s="155"/>
      <c r="HB548" s="155"/>
      <c r="HC548" s="155"/>
      <c r="HD548" s="155"/>
      <c r="HE548" s="155"/>
    </row>
    <row r="549" spans="2:213" s="156" customFormat="1" hidden="1">
      <c r="B549" s="155"/>
      <c r="C549" s="155"/>
      <c r="D549" s="155"/>
      <c r="E549" s="155"/>
      <c r="F549" s="155"/>
      <c r="G549" s="155"/>
      <c r="H549" s="155"/>
      <c r="I549" s="155"/>
      <c r="J549" s="155"/>
      <c r="K549" s="155"/>
      <c r="L549" s="155"/>
      <c r="M549" s="155"/>
      <c r="N549" s="155"/>
      <c r="O549" s="155"/>
      <c r="P549" s="155"/>
      <c r="Q549" s="155"/>
      <c r="R549" s="155"/>
      <c r="S549" s="155"/>
      <c r="T549" s="155"/>
      <c r="U549" s="155"/>
      <c r="V549" s="155"/>
      <c r="W549" s="155"/>
      <c r="GL549" s="155"/>
      <c r="GM549" s="155"/>
      <c r="GN549" s="155"/>
      <c r="GO549" s="155"/>
      <c r="GP549" s="155"/>
      <c r="GQ549" s="155"/>
      <c r="GR549" s="155"/>
      <c r="GS549" s="155"/>
      <c r="GT549" s="155"/>
      <c r="GU549" s="155"/>
      <c r="GV549" s="155"/>
      <c r="GW549" s="155"/>
      <c r="GX549" s="155"/>
      <c r="GY549" s="155"/>
      <c r="GZ549" s="155"/>
      <c r="HA549" s="155"/>
      <c r="HB549" s="155"/>
      <c r="HC549" s="155"/>
      <c r="HD549" s="155"/>
      <c r="HE549" s="155"/>
    </row>
    <row r="550" spans="2:213" s="156" customFormat="1" hidden="1">
      <c r="B550" s="155"/>
      <c r="C550" s="155"/>
      <c r="D550" s="155"/>
      <c r="E550" s="155"/>
      <c r="F550" s="155"/>
      <c r="G550" s="155"/>
      <c r="H550" s="155"/>
      <c r="I550" s="155"/>
      <c r="J550" s="155"/>
      <c r="K550" s="155"/>
      <c r="L550" s="155"/>
      <c r="M550" s="155"/>
      <c r="N550" s="155"/>
      <c r="O550" s="155"/>
      <c r="P550" s="155"/>
      <c r="Q550" s="155"/>
      <c r="R550" s="155"/>
      <c r="S550" s="155"/>
      <c r="T550" s="155"/>
      <c r="U550" s="155"/>
      <c r="V550" s="155"/>
      <c r="W550" s="155"/>
      <c r="GL550" s="155"/>
      <c r="GM550" s="155"/>
      <c r="GN550" s="155"/>
      <c r="GO550" s="155"/>
      <c r="GP550" s="155"/>
      <c r="GQ550" s="155"/>
      <c r="GR550" s="155"/>
      <c r="GS550" s="155"/>
      <c r="GT550" s="155"/>
      <c r="GU550" s="155"/>
      <c r="GV550" s="155"/>
      <c r="GW550" s="155"/>
      <c r="GX550" s="155"/>
      <c r="GY550" s="155"/>
      <c r="GZ550" s="155"/>
      <c r="HA550" s="155"/>
      <c r="HB550" s="155"/>
      <c r="HC550" s="155"/>
      <c r="HD550" s="155"/>
      <c r="HE550" s="155"/>
    </row>
    <row r="551" spans="2:213" s="156" customFormat="1" hidden="1">
      <c r="B551" s="155"/>
      <c r="C551" s="155"/>
      <c r="D551" s="155"/>
      <c r="E551" s="155"/>
      <c r="F551" s="155"/>
      <c r="G551" s="155"/>
      <c r="H551" s="155"/>
      <c r="I551" s="155"/>
      <c r="J551" s="155"/>
      <c r="K551" s="155"/>
      <c r="L551" s="155"/>
      <c r="M551" s="155"/>
      <c r="N551" s="155"/>
      <c r="O551" s="155"/>
      <c r="P551" s="155"/>
      <c r="Q551" s="155"/>
      <c r="R551" s="155"/>
      <c r="S551" s="155"/>
      <c r="T551" s="155"/>
      <c r="U551" s="155"/>
      <c r="V551" s="155"/>
      <c r="W551" s="155"/>
      <c r="GL551" s="155"/>
      <c r="GM551" s="155"/>
      <c r="GN551" s="155"/>
      <c r="GO551" s="155"/>
      <c r="GP551" s="155"/>
      <c r="GQ551" s="155"/>
      <c r="GR551" s="155"/>
      <c r="GS551" s="155"/>
      <c r="GT551" s="155"/>
      <c r="GU551" s="155"/>
      <c r="GV551" s="155"/>
      <c r="GW551" s="155"/>
      <c r="GX551" s="155"/>
      <c r="GY551" s="155"/>
      <c r="GZ551" s="155"/>
      <c r="HA551" s="155"/>
      <c r="HB551" s="155"/>
      <c r="HC551" s="155"/>
      <c r="HD551" s="155"/>
      <c r="HE551" s="155"/>
    </row>
    <row r="552" spans="2:213" s="156" customFormat="1" hidden="1">
      <c r="B552" s="155"/>
      <c r="C552" s="155"/>
      <c r="D552" s="155"/>
      <c r="E552" s="155"/>
      <c r="F552" s="155"/>
      <c r="G552" s="155"/>
      <c r="H552" s="155"/>
      <c r="I552" s="155"/>
      <c r="J552" s="155"/>
      <c r="K552" s="155"/>
      <c r="L552" s="155"/>
      <c r="M552" s="155"/>
      <c r="N552" s="155"/>
      <c r="O552" s="155"/>
      <c r="P552" s="155"/>
      <c r="Q552" s="155"/>
      <c r="R552" s="155"/>
      <c r="S552" s="155"/>
      <c r="T552" s="155"/>
      <c r="U552" s="155"/>
      <c r="V552" s="155"/>
      <c r="W552" s="155"/>
      <c r="GL552" s="155"/>
      <c r="GM552" s="155"/>
      <c r="GN552" s="155"/>
      <c r="GO552" s="155"/>
      <c r="GP552" s="155"/>
      <c r="GQ552" s="155"/>
      <c r="GR552" s="155"/>
      <c r="GS552" s="155"/>
      <c r="GT552" s="155"/>
      <c r="GU552" s="155"/>
      <c r="GV552" s="155"/>
      <c r="GW552" s="155"/>
      <c r="GX552" s="155"/>
      <c r="GY552" s="155"/>
      <c r="GZ552" s="155"/>
      <c r="HA552" s="155"/>
      <c r="HB552" s="155"/>
      <c r="HC552" s="155"/>
      <c r="HD552" s="155"/>
      <c r="HE552" s="155"/>
    </row>
    <row r="553" spans="2:213" s="156" customFormat="1" hidden="1">
      <c r="B553" s="155"/>
      <c r="C553" s="155"/>
      <c r="D553" s="155"/>
      <c r="E553" s="155"/>
      <c r="F553" s="155"/>
      <c r="G553" s="155"/>
      <c r="H553" s="155"/>
      <c r="I553" s="155"/>
      <c r="J553" s="155"/>
      <c r="K553" s="155"/>
      <c r="L553" s="155"/>
      <c r="M553" s="155"/>
      <c r="N553" s="155"/>
      <c r="O553" s="155"/>
      <c r="P553" s="155"/>
      <c r="Q553" s="155"/>
      <c r="R553" s="155"/>
      <c r="S553" s="155"/>
      <c r="T553" s="155"/>
      <c r="U553" s="155"/>
      <c r="V553" s="155"/>
      <c r="W553" s="155"/>
      <c r="GL553" s="155"/>
      <c r="GM553" s="155"/>
      <c r="GN553" s="155"/>
      <c r="GO553" s="155"/>
      <c r="GP553" s="155"/>
      <c r="GQ553" s="155"/>
      <c r="GR553" s="155"/>
      <c r="GS553" s="155"/>
      <c r="GT553" s="155"/>
      <c r="GU553" s="155"/>
      <c r="GV553" s="155"/>
      <c r="GW553" s="155"/>
      <c r="GX553" s="155"/>
      <c r="GY553" s="155"/>
      <c r="GZ553" s="155"/>
      <c r="HA553" s="155"/>
      <c r="HB553" s="155"/>
      <c r="HC553" s="155"/>
      <c r="HD553" s="155"/>
      <c r="HE553" s="155"/>
    </row>
    <row r="554" spans="2:213" s="156" customFormat="1" hidden="1">
      <c r="B554" s="155"/>
      <c r="C554" s="155"/>
      <c r="D554" s="155"/>
      <c r="E554" s="155"/>
      <c r="F554" s="155"/>
      <c r="G554" s="155"/>
      <c r="H554" s="155"/>
      <c r="I554" s="155"/>
      <c r="J554" s="155"/>
      <c r="K554" s="155"/>
      <c r="L554" s="155"/>
      <c r="M554" s="155"/>
      <c r="N554" s="155"/>
      <c r="O554" s="155"/>
      <c r="P554" s="155"/>
      <c r="Q554" s="155"/>
      <c r="R554" s="155"/>
      <c r="S554" s="155"/>
      <c r="T554" s="155"/>
      <c r="U554" s="155"/>
      <c r="V554" s="155"/>
      <c r="W554" s="155"/>
      <c r="GL554" s="155"/>
      <c r="GM554" s="155"/>
      <c r="GN554" s="155"/>
      <c r="GO554" s="155"/>
      <c r="GP554" s="155"/>
      <c r="GQ554" s="155"/>
      <c r="GR554" s="155"/>
      <c r="GS554" s="155"/>
      <c r="GT554" s="155"/>
      <c r="GU554" s="155"/>
      <c r="GV554" s="155"/>
      <c r="GW554" s="155"/>
      <c r="GX554" s="155"/>
      <c r="GY554" s="155"/>
      <c r="GZ554" s="155"/>
      <c r="HA554" s="155"/>
      <c r="HB554" s="155"/>
      <c r="HC554" s="155"/>
      <c r="HD554" s="155"/>
      <c r="HE554" s="155"/>
    </row>
    <row r="555" spans="2:213" s="156" customFormat="1" hidden="1">
      <c r="B555" s="155"/>
      <c r="C555" s="155"/>
      <c r="D555" s="155"/>
      <c r="E555" s="155"/>
      <c r="F555" s="155"/>
      <c r="G555" s="155"/>
      <c r="H555" s="155"/>
      <c r="I555" s="155"/>
      <c r="J555" s="155"/>
      <c r="K555" s="155"/>
      <c r="L555" s="155"/>
      <c r="M555" s="155"/>
      <c r="N555" s="155"/>
      <c r="O555" s="155"/>
      <c r="P555" s="155"/>
      <c r="Q555" s="155"/>
      <c r="R555" s="155"/>
      <c r="S555" s="155"/>
      <c r="T555" s="155"/>
      <c r="U555" s="155"/>
      <c r="V555" s="155"/>
      <c r="W555" s="155"/>
      <c r="GL555" s="155"/>
      <c r="GM555" s="155"/>
      <c r="GN555" s="155"/>
      <c r="GO555" s="155"/>
      <c r="GP555" s="155"/>
      <c r="GQ555" s="155"/>
      <c r="GR555" s="155"/>
      <c r="GS555" s="155"/>
      <c r="GT555" s="155"/>
      <c r="GU555" s="155"/>
      <c r="GV555" s="155"/>
      <c r="GW555" s="155"/>
      <c r="GX555" s="155"/>
      <c r="GY555" s="155"/>
      <c r="GZ555" s="155"/>
      <c r="HA555" s="155"/>
      <c r="HB555" s="155"/>
      <c r="HC555" s="155"/>
      <c r="HD555" s="155"/>
      <c r="HE555" s="155"/>
    </row>
    <row r="556" spans="2:213" s="156" customFormat="1" hidden="1">
      <c r="B556" s="155"/>
      <c r="C556" s="155"/>
      <c r="D556" s="155"/>
      <c r="E556" s="155"/>
      <c r="F556" s="155"/>
      <c r="G556" s="155"/>
      <c r="H556" s="155"/>
      <c r="I556" s="155"/>
      <c r="J556" s="155"/>
      <c r="K556" s="155"/>
      <c r="L556" s="155"/>
      <c r="M556" s="155"/>
      <c r="N556" s="155"/>
      <c r="O556" s="155"/>
      <c r="P556" s="155"/>
      <c r="Q556" s="155"/>
      <c r="R556" s="155"/>
      <c r="S556" s="155"/>
      <c r="T556" s="155"/>
      <c r="U556" s="155"/>
      <c r="V556" s="155"/>
      <c r="W556" s="155"/>
      <c r="GL556" s="155"/>
      <c r="GM556" s="155"/>
      <c r="GN556" s="155"/>
      <c r="GO556" s="155"/>
      <c r="GP556" s="155"/>
      <c r="GQ556" s="155"/>
      <c r="GR556" s="155"/>
      <c r="GS556" s="155"/>
      <c r="GT556" s="155"/>
      <c r="GU556" s="155"/>
      <c r="GV556" s="155"/>
      <c r="GW556" s="155"/>
      <c r="GX556" s="155"/>
      <c r="GY556" s="155"/>
      <c r="GZ556" s="155"/>
      <c r="HA556" s="155"/>
      <c r="HB556" s="155"/>
      <c r="HC556" s="155"/>
      <c r="HD556" s="155"/>
      <c r="HE556" s="155"/>
    </row>
    <row r="557" spans="2:213" s="156" customFormat="1" hidden="1">
      <c r="B557" s="155"/>
      <c r="C557" s="155"/>
      <c r="D557" s="155"/>
      <c r="E557" s="155"/>
      <c r="F557" s="155"/>
      <c r="G557" s="155"/>
      <c r="H557" s="155"/>
      <c r="I557" s="155"/>
      <c r="J557" s="155"/>
      <c r="K557" s="155"/>
      <c r="L557" s="155"/>
      <c r="M557" s="155"/>
      <c r="N557" s="155"/>
      <c r="O557" s="155"/>
      <c r="P557" s="155"/>
      <c r="Q557" s="155"/>
      <c r="R557" s="155"/>
      <c r="S557" s="155"/>
      <c r="T557" s="155"/>
      <c r="U557" s="155"/>
      <c r="V557" s="155"/>
      <c r="W557" s="155"/>
      <c r="GL557" s="155"/>
      <c r="GM557" s="155"/>
      <c r="GN557" s="155"/>
      <c r="GO557" s="155"/>
      <c r="GP557" s="155"/>
      <c r="GQ557" s="155"/>
      <c r="GR557" s="155"/>
      <c r="GS557" s="155"/>
      <c r="GT557" s="155"/>
      <c r="GU557" s="155"/>
      <c r="GV557" s="155"/>
      <c r="GW557" s="155"/>
      <c r="GX557" s="155"/>
      <c r="GY557" s="155"/>
      <c r="GZ557" s="155"/>
      <c r="HA557" s="155"/>
      <c r="HB557" s="155"/>
      <c r="HC557" s="155"/>
      <c r="HD557" s="155"/>
      <c r="HE557" s="155"/>
    </row>
    <row r="558" spans="2:213" s="156" customFormat="1" hidden="1">
      <c r="B558" s="155"/>
      <c r="C558" s="155"/>
      <c r="D558" s="155"/>
      <c r="E558" s="155"/>
      <c r="F558" s="155"/>
      <c r="G558" s="155"/>
      <c r="H558" s="155"/>
      <c r="I558" s="155"/>
      <c r="J558" s="155"/>
      <c r="K558" s="155"/>
      <c r="L558" s="155"/>
      <c r="M558" s="155"/>
      <c r="N558" s="155"/>
      <c r="O558" s="155"/>
      <c r="P558" s="155"/>
      <c r="Q558" s="155"/>
      <c r="R558" s="155"/>
      <c r="S558" s="155"/>
      <c r="T558" s="155"/>
      <c r="U558" s="155"/>
      <c r="V558" s="155"/>
      <c r="W558" s="155"/>
      <c r="GL558" s="155"/>
      <c r="GM558" s="155"/>
      <c r="GN558" s="155"/>
      <c r="GO558" s="155"/>
      <c r="GP558" s="155"/>
      <c r="GQ558" s="155"/>
      <c r="GR558" s="155"/>
      <c r="GS558" s="155"/>
      <c r="GT558" s="155"/>
      <c r="GU558" s="155"/>
      <c r="GV558" s="155"/>
      <c r="GW558" s="155"/>
      <c r="GX558" s="155"/>
      <c r="GY558" s="155"/>
      <c r="GZ558" s="155"/>
      <c r="HA558" s="155"/>
      <c r="HB558" s="155"/>
      <c r="HC558" s="155"/>
      <c r="HD558" s="155"/>
      <c r="HE558" s="155"/>
    </row>
    <row r="559" spans="2:213" s="156" customFormat="1" hidden="1">
      <c r="B559" s="155"/>
      <c r="C559" s="155"/>
      <c r="D559" s="155"/>
      <c r="E559" s="155"/>
      <c r="F559" s="155"/>
      <c r="G559" s="155"/>
      <c r="H559" s="155"/>
      <c r="I559" s="155"/>
      <c r="J559" s="155"/>
      <c r="K559" s="155"/>
      <c r="L559" s="155"/>
      <c r="M559" s="155"/>
      <c r="N559" s="155"/>
      <c r="O559" s="155"/>
      <c r="P559" s="155"/>
      <c r="Q559" s="155"/>
      <c r="R559" s="155"/>
      <c r="S559" s="155"/>
      <c r="T559" s="155"/>
      <c r="U559" s="155"/>
      <c r="V559" s="155"/>
      <c r="W559" s="155"/>
      <c r="GL559" s="155"/>
      <c r="GM559" s="155"/>
      <c r="GN559" s="155"/>
      <c r="GO559" s="155"/>
      <c r="GP559" s="155"/>
      <c r="GQ559" s="155"/>
      <c r="GR559" s="155"/>
      <c r="GS559" s="155"/>
      <c r="GT559" s="155"/>
      <c r="GU559" s="155"/>
      <c r="GV559" s="155"/>
      <c r="GW559" s="155"/>
      <c r="GX559" s="155"/>
      <c r="GY559" s="155"/>
      <c r="GZ559" s="155"/>
      <c r="HA559" s="155"/>
      <c r="HB559" s="155"/>
      <c r="HC559" s="155"/>
      <c r="HD559" s="155"/>
      <c r="HE559" s="155"/>
    </row>
    <row r="560" spans="2:213" s="156" customFormat="1" hidden="1">
      <c r="B560" s="155"/>
      <c r="C560" s="155"/>
      <c r="D560" s="155"/>
      <c r="E560" s="155"/>
      <c r="F560" s="155"/>
      <c r="G560" s="155"/>
      <c r="H560" s="155"/>
      <c r="I560" s="155"/>
      <c r="J560" s="155"/>
      <c r="K560" s="155"/>
      <c r="L560" s="155"/>
      <c r="M560" s="155"/>
      <c r="N560" s="155"/>
      <c r="O560" s="155"/>
      <c r="P560" s="155"/>
      <c r="Q560" s="155"/>
      <c r="R560" s="155"/>
      <c r="S560" s="155"/>
      <c r="T560" s="155"/>
      <c r="U560" s="155"/>
      <c r="V560" s="155"/>
      <c r="W560" s="155"/>
      <c r="GL560" s="155"/>
      <c r="GM560" s="155"/>
      <c r="GN560" s="155"/>
      <c r="GO560" s="155"/>
      <c r="GP560" s="155"/>
      <c r="GQ560" s="155"/>
      <c r="GR560" s="155"/>
      <c r="GS560" s="155"/>
      <c r="GT560" s="155"/>
      <c r="GU560" s="155"/>
      <c r="GV560" s="155"/>
      <c r="GW560" s="155"/>
      <c r="GX560" s="155"/>
      <c r="GY560" s="155"/>
      <c r="GZ560" s="155"/>
      <c r="HA560" s="155"/>
      <c r="HB560" s="155"/>
      <c r="HC560" s="155"/>
      <c r="HD560" s="155"/>
      <c r="HE560" s="155"/>
    </row>
    <row r="561" spans="2:213" s="156" customFormat="1" hidden="1">
      <c r="B561" s="155"/>
      <c r="C561" s="155"/>
      <c r="D561" s="155"/>
      <c r="E561" s="155"/>
      <c r="F561" s="155"/>
      <c r="G561" s="155"/>
      <c r="H561" s="155"/>
      <c r="I561" s="155"/>
      <c r="J561" s="155"/>
      <c r="K561" s="155"/>
      <c r="L561" s="155"/>
      <c r="M561" s="155"/>
      <c r="N561" s="155"/>
      <c r="O561" s="155"/>
      <c r="P561" s="155"/>
      <c r="Q561" s="155"/>
      <c r="R561" s="155"/>
      <c r="S561" s="155"/>
      <c r="T561" s="155"/>
      <c r="U561" s="155"/>
      <c r="V561" s="155"/>
      <c r="W561" s="155"/>
      <c r="GL561" s="155"/>
      <c r="GM561" s="155"/>
      <c r="GN561" s="155"/>
      <c r="GO561" s="155"/>
      <c r="GP561" s="155"/>
      <c r="GQ561" s="155"/>
      <c r="GR561" s="155"/>
      <c r="GS561" s="155"/>
      <c r="GT561" s="155"/>
      <c r="GU561" s="155"/>
      <c r="GV561" s="155"/>
      <c r="GW561" s="155"/>
      <c r="GX561" s="155"/>
      <c r="GY561" s="155"/>
      <c r="GZ561" s="155"/>
      <c r="HA561" s="155"/>
      <c r="HB561" s="155"/>
      <c r="HC561" s="155"/>
      <c r="HD561" s="155"/>
      <c r="HE561" s="155"/>
    </row>
    <row r="562" spans="2:213" s="156" customFormat="1" hidden="1">
      <c r="B562" s="155"/>
      <c r="C562" s="155"/>
      <c r="D562" s="155"/>
      <c r="E562" s="155"/>
      <c r="F562" s="155"/>
      <c r="G562" s="155"/>
      <c r="H562" s="155"/>
      <c r="I562" s="155"/>
      <c r="J562" s="155"/>
      <c r="K562" s="155"/>
      <c r="L562" s="155"/>
      <c r="M562" s="155"/>
      <c r="N562" s="155"/>
      <c r="O562" s="155"/>
      <c r="P562" s="155"/>
      <c r="Q562" s="155"/>
      <c r="R562" s="155"/>
      <c r="S562" s="155"/>
      <c r="T562" s="155"/>
      <c r="U562" s="155"/>
      <c r="V562" s="155"/>
      <c r="W562" s="155"/>
      <c r="GL562" s="155"/>
      <c r="GM562" s="155"/>
      <c r="GN562" s="155"/>
      <c r="GO562" s="155"/>
      <c r="GP562" s="155"/>
      <c r="GQ562" s="155"/>
      <c r="GR562" s="155"/>
      <c r="GS562" s="155"/>
      <c r="GT562" s="155"/>
      <c r="GU562" s="155"/>
      <c r="GV562" s="155"/>
      <c r="GW562" s="155"/>
      <c r="GX562" s="155"/>
      <c r="GY562" s="155"/>
      <c r="GZ562" s="155"/>
      <c r="HA562" s="155"/>
      <c r="HB562" s="155"/>
      <c r="HC562" s="155"/>
      <c r="HD562" s="155"/>
      <c r="HE562" s="155"/>
    </row>
    <row r="563" spans="2:213" s="156" customFormat="1" hidden="1">
      <c r="B563" s="155"/>
      <c r="C563" s="155"/>
      <c r="D563" s="155"/>
      <c r="E563" s="155"/>
      <c r="F563" s="155"/>
      <c r="G563" s="155"/>
      <c r="H563" s="155"/>
      <c r="I563" s="155"/>
      <c r="J563" s="155"/>
      <c r="K563" s="155"/>
      <c r="L563" s="155"/>
      <c r="M563" s="155"/>
      <c r="N563" s="155"/>
      <c r="O563" s="155"/>
      <c r="P563" s="155"/>
      <c r="Q563" s="155"/>
      <c r="R563" s="155"/>
      <c r="S563" s="155"/>
      <c r="T563" s="155"/>
      <c r="U563" s="155"/>
      <c r="V563" s="155"/>
      <c r="W563" s="155"/>
      <c r="GL563" s="155"/>
      <c r="GM563" s="155"/>
      <c r="GN563" s="155"/>
      <c r="GO563" s="155"/>
      <c r="GP563" s="155"/>
      <c r="GQ563" s="155"/>
      <c r="GR563" s="155"/>
      <c r="GS563" s="155"/>
      <c r="GT563" s="155"/>
      <c r="GU563" s="155"/>
      <c r="GV563" s="155"/>
      <c r="GW563" s="155"/>
      <c r="GX563" s="155"/>
      <c r="GY563" s="155"/>
      <c r="GZ563" s="155"/>
      <c r="HA563" s="155"/>
      <c r="HB563" s="155"/>
      <c r="HC563" s="155"/>
      <c r="HD563" s="155"/>
      <c r="HE563" s="155"/>
    </row>
    <row r="564" spans="2:213" s="156" customFormat="1" hidden="1">
      <c r="B564" s="155"/>
      <c r="C564" s="155"/>
      <c r="D564" s="155"/>
      <c r="E564" s="155"/>
      <c r="F564" s="155"/>
      <c r="G564" s="155"/>
      <c r="H564" s="155"/>
      <c r="I564" s="155"/>
      <c r="J564" s="155"/>
      <c r="K564" s="155"/>
      <c r="L564" s="155"/>
      <c r="M564" s="155"/>
      <c r="N564" s="155"/>
      <c r="O564" s="155"/>
      <c r="P564" s="155"/>
      <c r="Q564" s="155"/>
      <c r="R564" s="155"/>
      <c r="S564" s="155"/>
      <c r="T564" s="155"/>
      <c r="U564" s="155"/>
      <c r="V564" s="155"/>
      <c r="W564" s="155"/>
      <c r="GL564" s="155"/>
      <c r="GM564" s="155"/>
      <c r="GN564" s="155"/>
      <c r="GO564" s="155"/>
      <c r="GP564" s="155"/>
      <c r="GQ564" s="155"/>
      <c r="GR564" s="155"/>
      <c r="GS564" s="155"/>
      <c r="GT564" s="155"/>
      <c r="GU564" s="155"/>
      <c r="GV564" s="155"/>
      <c r="GW564" s="155"/>
      <c r="GX564" s="155"/>
      <c r="GY564" s="155"/>
      <c r="GZ564" s="155"/>
      <c r="HA564" s="155"/>
      <c r="HB564" s="155"/>
      <c r="HC564" s="155"/>
      <c r="HD564" s="155"/>
      <c r="HE564" s="155"/>
    </row>
    <row r="565" spans="2:213" s="156" customFormat="1" hidden="1">
      <c r="B565" s="155"/>
      <c r="C565" s="155"/>
      <c r="D565" s="155"/>
      <c r="E565" s="155"/>
      <c r="F565" s="155"/>
      <c r="G565" s="155"/>
      <c r="H565" s="155"/>
      <c r="I565" s="155"/>
      <c r="J565" s="155"/>
      <c r="K565" s="155"/>
      <c r="L565" s="155"/>
      <c r="M565" s="155"/>
      <c r="N565" s="155"/>
      <c r="O565" s="155"/>
      <c r="P565" s="155"/>
      <c r="Q565" s="155"/>
      <c r="R565" s="155"/>
      <c r="S565" s="155"/>
      <c r="T565" s="155"/>
      <c r="U565" s="155"/>
      <c r="V565" s="155"/>
      <c r="W565" s="155"/>
      <c r="GL565" s="155"/>
      <c r="GM565" s="155"/>
      <c r="GN565" s="155"/>
      <c r="GO565" s="155"/>
      <c r="GP565" s="155"/>
      <c r="GQ565" s="155"/>
      <c r="GR565" s="155"/>
      <c r="GS565" s="155"/>
      <c r="GT565" s="155"/>
      <c r="GU565" s="155"/>
      <c r="GV565" s="155"/>
      <c r="GW565" s="155"/>
      <c r="GX565" s="155"/>
      <c r="GY565" s="155"/>
      <c r="GZ565" s="155"/>
      <c r="HA565" s="155"/>
      <c r="HB565" s="155"/>
      <c r="HC565" s="155"/>
      <c r="HD565" s="155"/>
      <c r="HE565" s="155"/>
    </row>
    <row r="566" spans="2:213" s="156" customFormat="1" hidden="1">
      <c r="B566" s="155"/>
      <c r="C566" s="155"/>
      <c r="D566" s="155"/>
      <c r="E566" s="155"/>
      <c r="F566" s="155"/>
      <c r="G566" s="155"/>
      <c r="H566" s="155"/>
      <c r="I566" s="155"/>
      <c r="J566" s="155"/>
      <c r="K566" s="155"/>
      <c r="L566" s="155"/>
      <c r="M566" s="155"/>
      <c r="N566" s="155"/>
      <c r="O566" s="155"/>
      <c r="P566" s="155"/>
      <c r="Q566" s="155"/>
      <c r="R566" s="155"/>
      <c r="S566" s="155"/>
      <c r="T566" s="155"/>
      <c r="U566" s="155"/>
      <c r="V566" s="155"/>
      <c r="W566" s="155"/>
      <c r="GL566" s="155"/>
      <c r="GM566" s="155"/>
      <c r="GN566" s="155"/>
      <c r="GO566" s="155"/>
      <c r="GP566" s="155"/>
      <c r="GQ566" s="155"/>
      <c r="GR566" s="155"/>
      <c r="GS566" s="155"/>
      <c r="GT566" s="155"/>
      <c r="GU566" s="155"/>
      <c r="GV566" s="155"/>
      <c r="GW566" s="155"/>
      <c r="GX566" s="155"/>
      <c r="GY566" s="155"/>
      <c r="GZ566" s="155"/>
      <c r="HA566" s="155"/>
      <c r="HB566" s="155"/>
      <c r="HC566" s="155"/>
      <c r="HD566" s="155"/>
      <c r="HE566" s="155"/>
    </row>
    <row r="567" spans="2:213" s="156" customFormat="1" hidden="1">
      <c r="B567" s="155"/>
      <c r="C567" s="155"/>
      <c r="D567" s="155"/>
      <c r="E567" s="155"/>
      <c r="F567" s="155"/>
      <c r="G567" s="155"/>
      <c r="H567" s="155"/>
      <c r="I567" s="155"/>
      <c r="J567" s="155"/>
      <c r="K567" s="155"/>
      <c r="L567" s="155"/>
      <c r="M567" s="155"/>
      <c r="N567" s="155"/>
      <c r="O567" s="155"/>
      <c r="P567" s="155"/>
      <c r="Q567" s="155"/>
      <c r="R567" s="155"/>
      <c r="S567" s="155"/>
      <c r="T567" s="155"/>
      <c r="U567" s="155"/>
      <c r="V567" s="155"/>
      <c r="W567" s="155"/>
      <c r="GL567" s="155"/>
      <c r="GM567" s="155"/>
      <c r="GN567" s="155"/>
      <c r="GO567" s="155"/>
      <c r="GP567" s="155"/>
      <c r="GQ567" s="155"/>
      <c r="GR567" s="155"/>
      <c r="GS567" s="155"/>
      <c r="GT567" s="155"/>
      <c r="GU567" s="155"/>
      <c r="GV567" s="155"/>
      <c r="GW567" s="155"/>
      <c r="GX567" s="155"/>
      <c r="GY567" s="155"/>
      <c r="GZ567" s="155"/>
      <c r="HA567" s="155"/>
      <c r="HB567" s="155"/>
      <c r="HC567" s="155"/>
      <c r="HD567" s="155"/>
      <c r="HE567" s="155"/>
    </row>
    <row r="568" spans="2:213" s="156" customFormat="1" hidden="1">
      <c r="B568" s="155"/>
      <c r="C568" s="155"/>
      <c r="D568" s="155"/>
      <c r="E568" s="155"/>
      <c r="F568" s="155"/>
      <c r="G568" s="155"/>
      <c r="H568" s="155"/>
      <c r="I568" s="155"/>
      <c r="J568" s="155"/>
      <c r="K568" s="155"/>
      <c r="L568" s="155"/>
      <c r="M568" s="155"/>
      <c r="N568" s="155"/>
      <c r="O568" s="155"/>
      <c r="P568" s="155"/>
      <c r="Q568" s="155"/>
      <c r="R568" s="155"/>
      <c r="S568" s="155"/>
      <c r="T568" s="155"/>
      <c r="U568" s="155"/>
      <c r="V568" s="155"/>
      <c r="W568" s="155"/>
      <c r="GL568" s="155"/>
      <c r="GM568" s="155"/>
      <c r="GN568" s="155"/>
      <c r="GO568" s="155"/>
      <c r="GP568" s="155"/>
      <c r="GQ568" s="155"/>
      <c r="GR568" s="155"/>
      <c r="GS568" s="155"/>
      <c r="GT568" s="155"/>
      <c r="GU568" s="155"/>
      <c r="GV568" s="155"/>
      <c r="GW568" s="155"/>
      <c r="GX568" s="155"/>
      <c r="GY568" s="155"/>
      <c r="GZ568" s="155"/>
      <c r="HA568" s="155"/>
      <c r="HB568" s="155"/>
      <c r="HC568" s="155"/>
      <c r="HD568" s="155"/>
      <c r="HE568" s="155"/>
    </row>
    <row r="569" spans="2:213" s="156" customFormat="1" hidden="1">
      <c r="B569" s="155"/>
      <c r="C569" s="155"/>
      <c r="D569" s="155"/>
      <c r="E569" s="155"/>
      <c r="F569" s="155"/>
      <c r="G569" s="155"/>
      <c r="H569" s="155"/>
      <c r="I569" s="155"/>
      <c r="J569" s="155"/>
      <c r="K569" s="155"/>
      <c r="L569" s="155"/>
      <c r="M569" s="155"/>
      <c r="N569" s="155"/>
      <c r="O569" s="155"/>
      <c r="P569" s="155"/>
      <c r="Q569" s="155"/>
      <c r="R569" s="155"/>
      <c r="S569" s="155"/>
      <c r="T569" s="155"/>
      <c r="U569" s="155"/>
      <c r="V569" s="155"/>
      <c r="W569" s="155"/>
      <c r="GL569" s="155"/>
      <c r="GM569" s="155"/>
      <c r="GN569" s="155"/>
      <c r="GO569" s="155"/>
      <c r="GP569" s="155"/>
      <c r="GQ569" s="155"/>
      <c r="GR569" s="155"/>
      <c r="GS569" s="155"/>
      <c r="GT569" s="155"/>
      <c r="GU569" s="155"/>
      <c r="GV569" s="155"/>
      <c r="GW569" s="155"/>
      <c r="GX569" s="155"/>
      <c r="GY569" s="155"/>
      <c r="GZ569" s="155"/>
      <c r="HA569" s="155"/>
      <c r="HB569" s="155"/>
      <c r="HC569" s="155"/>
      <c r="HD569" s="155"/>
      <c r="HE569" s="155"/>
    </row>
    <row r="570" spans="2:213" s="156" customFormat="1" hidden="1">
      <c r="B570" s="155"/>
      <c r="C570" s="155"/>
      <c r="D570" s="155"/>
      <c r="E570" s="155"/>
      <c r="F570" s="155"/>
      <c r="G570" s="155"/>
      <c r="H570" s="155"/>
      <c r="I570" s="155"/>
      <c r="J570" s="155"/>
      <c r="K570" s="155"/>
      <c r="L570" s="155"/>
      <c r="M570" s="155"/>
      <c r="N570" s="155"/>
      <c r="O570" s="155"/>
      <c r="P570" s="155"/>
      <c r="Q570" s="155"/>
      <c r="R570" s="155"/>
      <c r="S570" s="155"/>
      <c r="T570" s="155"/>
      <c r="U570" s="155"/>
      <c r="V570" s="155"/>
      <c r="W570" s="155"/>
      <c r="GL570" s="155"/>
      <c r="GM570" s="155"/>
      <c r="GN570" s="155"/>
      <c r="GO570" s="155"/>
      <c r="GP570" s="155"/>
      <c r="GQ570" s="155"/>
      <c r="GR570" s="155"/>
      <c r="GS570" s="155"/>
      <c r="GT570" s="155"/>
      <c r="GU570" s="155"/>
      <c r="GV570" s="155"/>
      <c r="GW570" s="155"/>
      <c r="GX570" s="155"/>
      <c r="GY570" s="155"/>
      <c r="GZ570" s="155"/>
      <c r="HA570" s="155"/>
      <c r="HB570" s="155"/>
      <c r="HC570" s="155"/>
      <c r="HD570" s="155"/>
      <c r="HE570" s="155"/>
    </row>
    <row r="571" spans="2:213" s="156" customFormat="1" hidden="1">
      <c r="B571" s="155"/>
      <c r="C571" s="155"/>
      <c r="D571" s="155"/>
      <c r="E571" s="155"/>
      <c r="F571" s="155"/>
      <c r="G571" s="155"/>
      <c r="H571" s="155"/>
      <c r="I571" s="155"/>
      <c r="J571" s="155"/>
      <c r="K571" s="155"/>
      <c r="L571" s="155"/>
      <c r="M571" s="155"/>
      <c r="N571" s="155"/>
      <c r="O571" s="155"/>
      <c r="P571" s="155"/>
      <c r="Q571" s="155"/>
      <c r="R571" s="155"/>
      <c r="S571" s="155"/>
      <c r="T571" s="155"/>
      <c r="U571" s="155"/>
      <c r="V571" s="155"/>
      <c r="W571" s="155"/>
      <c r="GL571" s="155"/>
      <c r="GM571" s="155"/>
      <c r="GN571" s="155"/>
      <c r="GO571" s="155"/>
      <c r="GP571" s="155"/>
      <c r="GQ571" s="155"/>
      <c r="GR571" s="155"/>
      <c r="GS571" s="155"/>
      <c r="GT571" s="155"/>
      <c r="GU571" s="155"/>
      <c r="GV571" s="155"/>
      <c r="GW571" s="155"/>
      <c r="GX571" s="155"/>
      <c r="GY571" s="155"/>
      <c r="GZ571" s="155"/>
      <c r="HA571" s="155"/>
      <c r="HB571" s="155"/>
      <c r="HC571" s="155"/>
      <c r="HD571" s="155"/>
      <c r="HE571" s="155"/>
    </row>
    <row r="572" spans="2:213" s="156" customFormat="1" hidden="1">
      <c r="B572" s="155"/>
      <c r="C572" s="155"/>
      <c r="D572" s="155"/>
      <c r="E572" s="155"/>
      <c r="F572" s="155"/>
      <c r="G572" s="155"/>
      <c r="H572" s="155"/>
      <c r="I572" s="155"/>
      <c r="J572" s="155"/>
      <c r="K572" s="155"/>
      <c r="L572" s="155"/>
      <c r="M572" s="155"/>
      <c r="N572" s="155"/>
      <c r="O572" s="155"/>
      <c r="P572" s="155"/>
      <c r="Q572" s="155"/>
      <c r="R572" s="155"/>
      <c r="S572" s="155"/>
      <c r="T572" s="155"/>
      <c r="U572" s="155"/>
      <c r="V572" s="155"/>
      <c r="W572" s="155"/>
      <c r="GL572" s="155"/>
      <c r="GM572" s="155"/>
      <c r="GN572" s="155"/>
      <c r="GO572" s="155"/>
      <c r="GP572" s="155"/>
      <c r="GQ572" s="155"/>
      <c r="GR572" s="155"/>
      <c r="GS572" s="155"/>
      <c r="GT572" s="155"/>
      <c r="GU572" s="155"/>
      <c r="GV572" s="155"/>
      <c r="GW572" s="155"/>
      <c r="GX572" s="155"/>
      <c r="GY572" s="155"/>
      <c r="GZ572" s="155"/>
      <c r="HA572" s="155"/>
      <c r="HB572" s="155"/>
      <c r="HC572" s="155"/>
      <c r="HD572" s="155"/>
      <c r="HE572" s="155"/>
    </row>
    <row r="573" spans="2:213" s="156" customFormat="1" hidden="1">
      <c r="B573" s="155"/>
      <c r="C573" s="155"/>
      <c r="D573" s="155"/>
      <c r="E573" s="155"/>
      <c r="F573" s="155"/>
      <c r="G573" s="155"/>
      <c r="H573" s="155"/>
      <c r="I573" s="155"/>
      <c r="J573" s="155"/>
      <c r="K573" s="155"/>
      <c r="L573" s="155"/>
      <c r="M573" s="155"/>
      <c r="N573" s="155"/>
      <c r="O573" s="155"/>
      <c r="P573" s="155"/>
      <c r="Q573" s="155"/>
      <c r="R573" s="155"/>
      <c r="S573" s="155"/>
      <c r="T573" s="155"/>
      <c r="U573" s="155"/>
      <c r="V573" s="155"/>
      <c r="W573" s="155"/>
      <c r="GL573" s="155"/>
      <c r="GM573" s="155"/>
      <c r="GN573" s="155"/>
      <c r="GO573" s="155"/>
      <c r="GP573" s="155"/>
      <c r="GQ573" s="155"/>
      <c r="GR573" s="155"/>
      <c r="GS573" s="155"/>
      <c r="GT573" s="155"/>
      <c r="GU573" s="155"/>
      <c r="GV573" s="155"/>
      <c r="GW573" s="155"/>
      <c r="GX573" s="155"/>
      <c r="GY573" s="155"/>
      <c r="GZ573" s="155"/>
      <c r="HA573" s="155"/>
      <c r="HB573" s="155"/>
      <c r="HC573" s="155"/>
      <c r="HD573" s="155"/>
      <c r="HE573" s="155"/>
    </row>
    <row r="574" spans="2:213" s="156" customFormat="1" hidden="1">
      <c r="B574" s="155"/>
      <c r="C574" s="155"/>
      <c r="D574" s="155"/>
      <c r="E574" s="155"/>
      <c r="F574" s="155"/>
      <c r="G574" s="155"/>
      <c r="H574" s="155"/>
      <c r="I574" s="155"/>
      <c r="J574" s="155"/>
      <c r="K574" s="155"/>
      <c r="L574" s="155"/>
      <c r="M574" s="155"/>
      <c r="N574" s="155"/>
      <c r="O574" s="155"/>
      <c r="P574" s="155"/>
      <c r="Q574" s="155"/>
      <c r="R574" s="155"/>
      <c r="S574" s="155"/>
      <c r="T574" s="155"/>
      <c r="U574" s="155"/>
      <c r="V574" s="155"/>
      <c r="W574" s="155"/>
      <c r="GL574" s="155"/>
      <c r="GM574" s="155"/>
      <c r="GN574" s="155"/>
      <c r="GO574" s="155"/>
      <c r="GP574" s="155"/>
      <c r="GQ574" s="155"/>
      <c r="GR574" s="155"/>
      <c r="GS574" s="155"/>
      <c r="GT574" s="155"/>
      <c r="GU574" s="155"/>
      <c r="GV574" s="155"/>
      <c r="GW574" s="155"/>
      <c r="GX574" s="155"/>
      <c r="GY574" s="155"/>
      <c r="GZ574" s="155"/>
      <c r="HA574" s="155"/>
      <c r="HB574" s="155"/>
      <c r="HC574" s="155"/>
      <c r="HD574" s="155"/>
      <c r="HE574" s="155"/>
    </row>
    <row r="575" spans="2:213" s="156" customFormat="1" hidden="1">
      <c r="B575" s="155"/>
      <c r="C575" s="155"/>
      <c r="D575" s="155"/>
      <c r="E575" s="155"/>
      <c r="F575" s="155"/>
      <c r="G575" s="155"/>
      <c r="H575" s="155"/>
      <c r="I575" s="155"/>
      <c r="J575" s="155"/>
      <c r="K575" s="155"/>
      <c r="L575" s="155"/>
      <c r="M575" s="155"/>
      <c r="N575" s="155"/>
      <c r="O575" s="155"/>
      <c r="P575" s="155"/>
      <c r="Q575" s="155"/>
      <c r="R575" s="155"/>
      <c r="S575" s="155"/>
      <c r="T575" s="155"/>
      <c r="U575" s="155"/>
      <c r="V575" s="155"/>
      <c r="W575" s="155"/>
      <c r="GL575" s="155"/>
      <c r="GM575" s="155"/>
      <c r="GN575" s="155"/>
      <c r="GO575" s="155"/>
      <c r="GP575" s="155"/>
      <c r="GQ575" s="155"/>
      <c r="GR575" s="155"/>
      <c r="GS575" s="155"/>
      <c r="GT575" s="155"/>
      <c r="GU575" s="155"/>
      <c r="GV575" s="155"/>
      <c r="GW575" s="155"/>
      <c r="GX575" s="155"/>
      <c r="GY575" s="155"/>
      <c r="GZ575" s="155"/>
      <c r="HA575" s="155"/>
      <c r="HB575" s="155"/>
      <c r="HC575" s="155"/>
      <c r="HD575" s="155"/>
      <c r="HE575" s="155"/>
    </row>
    <row r="576" spans="2:213" s="156" customFormat="1" hidden="1">
      <c r="B576" s="155"/>
      <c r="C576" s="155"/>
      <c r="D576" s="155"/>
      <c r="E576" s="155"/>
      <c r="F576" s="155"/>
      <c r="G576" s="155"/>
      <c r="H576" s="155"/>
      <c r="I576" s="155"/>
      <c r="J576" s="155"/>
      <c r="K576" s="155"/>
      <c r="L576" s="155"/>
      <c r="M576" s="155"/>
      <c r="N576" s="155"/>
      <c r="O576" s="155"/>
      <c r="P576" s="155"/>
      <c r="Q576" s="155"/>
      <c r="R576" s="155"/>
      <c r="S576" s="155"/>
      <c r="T576" s="155"/>
      <c r="U576" s="155"/>
      <c r="V576" s="155"/>
      <c r="W576" s="155"/>
      <c r="GL576" s="155"/>
      <c r="GM576" s="155"/>
      <c r="GN576" s="155"/>
      <c r="GO576" s="155"/>
      <c r="GP576" s="155"/>
      <c r="GQ576" s="155"/>
      <c r="GR576" s="155"/>
      <c r="GS576" s="155"/>
      <c r="GT576" s="155"/>
      <c r="GU576" s="155"/>
      <c r="GV576" s="155"/>
      <c r="GW576" s="155"/>
      <c r="GX576" s="155"/>
      <c r="GY576" s="155"/>
      <c r="GZ576" s="155"/>
      <c r="HA576" s="155"/>
      <c r="HB576" s="155"/>
      <c r="HC576" s="155"/>
      <c r="HD576" s="155"/>
      <c r="HE576" s="155"/>
    </row>
    <row r="577" spans="2:213" s="156" customFormat="1" hidden="1">
      <c r="B577" s="155"/>
      <c r="C577" s="155"/>
      <c r="D577" s="155"/>
      <c r="E577" s="155"/>
      <c r="F577" s="155"/>
      <c r="G577" s="155"/>
      <c r="H577" s="155"/>
      <c r="I577" s="155"/>
      <c r="J577" s="155"/>
      <c r="K577" s="155"/>
      <c r="L577" s="155"/>
      <c r="M577" s="155"/>
      <c r="N577" s="155"/>
      <c r="O577" s="155"/>
      <c r="P577" s="155"/>
      <c r="Q577" s="155"/>
      <c r="R577" s="155"/>
      <c r="S577" s="155"/>
      <c r="T577" s="155"/>
      <c r="U577" s="155"/>
      <c r="V577" s="155"/>
      <c r="W577" s="155"/>
      <c r="GL577" s="155"/>
      <c r="GM577" s="155"/>
      <c r="GN577" s="155"/>
      <c r="GO577" s="155"/>
      <c r="GP577" s="155"/>
      <c r="GQ577" s="155"/>
      <c r="GR577" s="155"/>
      <c r="GS577" s="155"/>
      <c r="GT577" s="155"/>
      <c r="GU577" s="155"/>
      <c r="GV577" s="155"/>
      <c r="GW577" s="155"/>
      <c r="GX577" s="155"/>
      <c r="GY577" s="155"/>
      <c r="GZ577" s="155"/>
      <c r="HA577" s="155"/>
      <c r="HB577" s="155"/>
      <c r="HC577" s="155"/>
      <c r="HD577" s="155"/>
      <c r="HE577" s="155"/>
    </row>
    <row r="578" spans="2:213" s="156" customFormat="1" hidden="1">
      <c r="B578" s="155"/>
      <c r="C578" s="155"/>
      <c r="D578" s="155"/>
      <c r="E578" s="155"/>
      <c r="F578" s="155"/>
      <c r="G578" s="155"/>
      <c r="H578" s="155"/>
      <c r="I578" s="155"/>
      <c r="J578" s="155"/>
      <c r="K578" s="155"/>
      <c r="L578" s="155"/>
      <c r="M578" s="155"/>
      <c r="N578" s="155"/>
      <c r="O578" s="155"/>
      <c r="P578" s="155"/>
      <c r="Q578" s="155"/>
      <c r="R578" s="155"/>
      <c r="S578" s="155"/>
      <c r="T578" s="155"/>
      <c r="U578" s="155"/>
      <c r="V578" s="155"/>
      <c r="W578" s="155"/>
      <c r="GL578" s="155"/>
      <c r="GM578" s="155"/>
      <c r="GN578" s="155"/>
      <c r="GO578" s="155"/>
      <c r="GP578" s="155"/>
      <c r="GQ578" s="155"/>
      <c r="GR578" s="155"/>
      <c r="GS578" s="155"/>
      <c r="GT578" s="155"/>
      <c r="GU578" s="155"/>
      <c r="GV578" s="155"/>
      <c r="GW578" s="155"/>
      <c r="GX578" s="155"/>
      <c r="GY578" s="155"/>
      <c r="GZ578" s="155"/>
      <c r="HA578" s="155"/>
      <c r="HB578" s="155"/>
      <c r="HC578" s="155"/>
      <c r="HD578" s="155"/>
      <c r="HE578" s="155"/>
    </row>
    <row r="579" spans="2:213" s="156" customFormat="1" hidden="1">
      <c r="B579" s="155"/>
      <c r="C579" s="155"/>
      <c r="D579" s="155"/>
      <c r="E579" s="155"/>
      <c r="F579" s="155"/>
      <c r="G579" s="155"/>
      <c r="H579" s="155"/>
      <c r="I579" s="155"/>
      <c r="J579" s="155"/>
      <c r="K579" s="155"/>
      <c r="L579" s="155"/>
      <c r="M579" s="155"/>
      <c r="N579" s="155"/>
      <c r="O579" s="155"/>
      <c r="P579" s="155"/>
      <c r="Q579" s="155"/>
      <c r="R579" s="155"/>
      <c r="S579" s="155"/>
      <c r="T579" s="155"/>
      <c r="U579" s="155"/>
      <c r="V579" s="155"/>
      <c r="W579" s="155"/>
      <c r="GL579" s="155"/>
      <c r="GM579" s="155"/>
      <c r="GN579" s="155"/>
      <c r="GO579" s="155"/>
      <c r="GP579" s="155"/>
      <c r="GQ579" s="155"/>
      <c r="GR579" s="155"/>
      <c r="GS579" s="155"/>
      <c r="GT579" s="155"/>
      <c r="GU579" s="155"/>
      <c r="GV579" s="155"/>
      <c r="GW579" s="155"/>
      <c r="GX579" s="155"/>
      <c r="GY579" s="155"/>
      <c r="GZ579" s="155"/>
      <c r="HA579" s="155"/>
      <c r="HB579" s="155"/>
      <c r="HC579" s="155"/>
      <c r="HD579" s="155"/>
      <c r="HE579" s="155"/>
    </row>
    <row r="580" spans="2:213" s="156" customFormat="1" hidden="1">
      <c r="B580" s="155"/>
      <c r="C580" s="155"/>
      <c r="D580" s="155"/>
      <c r="E580" s="155"/>
      <c r="F580" s="155"/>
      <c r="G580" s="155"/>
      <c r="H580" s="155"/>
      <c r="I580" s="155"/>
      <c r="J580" s="155"/>
      <c r="K580" s="155"/>
      <c r="L580" s="155"/>
      <c r="M580" s="155"/>
      <c r="N580" s="155"/>
      <c r="O580" s="155"/>
      <c r="P580" s="155"/>
      <c r="Q580" s="155"/>
      <c r="R580" s="155"/>
      <c r="S580" s="155"/>
      <c r="T580" s="155"/>
      <c r="U580" s="155"/>
      <c r="V580" s="155"/>
      <c r="W580" s="155"/>
      <c r="GL580" s="155"/>
      <c r="GM580" s="155"/>
      <c r="GN580" s="155"/>
      <c r="GO580" s="155"/>
      <c r="GP580" s="155"/>
      <c r="GQ580" s="155"/>
      <c r="GR580" s="155"/>
      <c r="GS580" s="155"/>
      <c r="GT580" s="155"/>
      <c r="GU580" s="155"/>
      <c r="GV580" s="155"/>
      <c r="GW580" s="155"/>
      <c r="GX580" s="155"/>
      <c r="GY580" s="155"/>
      <c r="GZ580" s="155"/>
      <c r="HA580" s="155"/>
      <c r="HB580" s="155"/>
      <c r="HC580" s="155"/>
      <c r="HD580" s="155"/>
      <c r="HE580" s="155"/>
    </row>
    <row r="581" spans="2:213" s="156" customFormat="1" hidden="1">
      <c r="B581" s="155"/>
      <c r="C581" s="155"/>
      <c r="D581" s="155"/>
      <c r="E581" s="155"/>
      <c r="F581" s="155"/>
      <c r="G581" s="155"/>
      <c r="H581" s="155"/>
      <c r="I581" s="155"/>
      <c r="J581" s="155"/>
      <c r="K581" s="155"/>
      <c r="L581" s="155"/>
      <c r="M581" s="155"/>
      <c r="N581" s="155"/>
      <c r="O581" s="155"/>
      <c r="P581" s="155"/>
      <c r="Q581" s="155"/>
      <c r="R581" s="155"/>
      <c r="S581" s="155"/>
      <c r="T581" s="155"/>
      <c r="U581" s="155"/>
      <c r="V581" s="155"/>
      <c r="W581" s="155"/>
      <c r="GL581" s="155"/>
      <c r="GM581" s="155"/>
      <c r="GN581" s="155"/>
      <c r="GO581" s="155"/>
      <c r="GP581" s="155"/>
      <c r="GQ581" s="155"/>
      <c r="GR581" s="155"/>
      <c r="GS581" s="155"/>
      <c r="GT581" s="155"/>
      <c r="GU581" s="155"/>
      <c r="GV581" s="155"/>
      <c r="GW581" s="155"/>
      <c r="GX581" s="155"/>
      <c r="GY581" s="155"/>
      <c r="GZ581" s="155"/>
      <c r="HA581" s="155"/>
      <c r="HB581" s="155"/>
      <c r="HC581" s="155"/>
      <c r="HD581" s="155"/>
      <c r="HE581" s="155"/>
    </row>
    <row r="582" spans="2:213" s="156" customFormat="1" hidden="1">
      <c r="B582" s="155"/>
      <c r="C582" s="155"/>
      <c r="D582" s="155"/>
      <c r="E582" s="155"/>
      <c r="F582" s="155"/>
      <c r="G582" s="155"/>
      <c r="H582" s="155"/>
      <c r="I582" s="155"/>
      <c r="J582" s="155"/>
      <c r="K582" s="155"/>
      <c r="L582" s="155"/>
      <c r="M582" s="155"/>
      <c r="N582" s="155"/>
      <c r="O582" s="155"/>
      <c r="P582" s="155"/>
      <c r="Q582" s="155"/>
      <c r="R582" s="155"/>
      <c r="S582" s="155"/>
      <c r="T582" s="155"/>
      <c r="U582" s="155"/>
      <c r="V582" s="155"/>
      <c r="W582" s="155"/>
      <c r="GL582" s="155"/>
      <c r="GM582" s="155"/>
      <c r="GN582" s="155"/>
      <c r="GO582" s="155"/>
      <c r="GP582" s="155"/>
      <c r="GQ582" s="155"/>
      <c r="GR582" s="155"/>
      <c r="GS582" s="155"/>
      <c r="GT582" s="155"/>
      <c r="GU582" s="155"/>
      <c r="GV582" s="155"/>
      <c r="GW582" s="155"/>
      <c r="GX582" s="155"/>
      <c r="GY582" s="155"/>
      <c r="GZ582" s="155"/>
      <c r="HA582" s="155"/>
      <c r="HB582" s="155"/>
      <c r="HC582" s="155"/>
      <c r="HD582" s="155"/>
      <c r="HE582" s="155"/>
    </row>
    <row r="583" spans="2:213" s="156" customFormat="1" hidden="1">
      <c r="B583" s="155"/>
      <c r="C583" s="155"/>
      <c r="D583" s="155"/>
      <c r="E583" s="155"/>
      <c r="F583" s="155"/>
      <c r="G583" s="155"/>
      <c r="H583" s="155"/>
      <c r="I583" s="155"/>
      <c r="J583" s="155"/>
      <c r="K583" s="155"/>
      <c r="L583" s="155"/>
      <c r="M583" s="155"/>
      <c r="N583" s="155"/>
      <c r="O583" s="155"/>
      <c r="P583" s="155"/>
      <c r="Q583" s="155"/>
      <c r="R583" s="155"/>
      <c r="S583" s="155"/>
      <c r="T583" s="155"/>
      <c r="U583" s="155"/>
      <c r="V583" s="155"/>
      <c r="W583" s="155"/>
      <c r="GL583" s="155"/>
      <c r="GM583" s="155"/>
      <c r="GN583" s="155"/>
      <c r="GO583" s="155"/>
      <c r="GP583" s="155"/>
      <c r="GQ583" s="155"/>
      <c r="GR583" s="155"/>
      <c r="GS583" s="155"/>
      <c r="GT583" s="155"/>
      <c r="GU583" s="155"/>
      <c r="GV583" s="155"/>
      <c r="GW583" s="155"/>
      <c r="GX583" s="155"/>
      <c r="GY583" s="155"/>
      <c r="GZ583" s="155"/>
      <c r="HA583" s="155"/>
      <c r="HB583" s="155"/>
      <c r="HC583" s="155"/>
      <c r="HD583" s="155"/>
      <c r="HE583" s="155"/>
    </row>
    <row r="584" spans="2:213" s="156" customFormat="1" hidden="1">
      <c r="B584" s="155"/>
      <c r="C584" s="155"/>
      <c r="D584" s="155"/>
      <c r="E584" s="155"/>
      <c r="F584" s="155"/>
      <c r="G584" s="155"/>
      <c r="H584" s="155"/>
      <c r="I584" s="155"/>
      <c r="J584" s="155"/>
      <c r="K584" s="155"/>
      <c r="L584" s="155"/>
      <c r="M584" s="155"/>
      <c r="N584" s="155"/>
      <c r="O584" s="155"/>
      <c r="P584" s="155"/>
      <c r="Q584" s="155"/>
      <c r="R584" s="155"/>
      <c r="S584" s="155"/>
      <c r="T584" s="155"/>
      <c r="U584" s="155"/>
      <c r="V584" s="155"/>
      <c r="W584" s="155"/>
      <c r="GL584" s="155"/>
      <c r="GM584" s="155"/>
      <c r="GN584" s="155"/>
      <c r="GO584" s="155"/>
      <c r="GP584" s="155"/>
      <c r="GQ584" s="155"/>
      <c r="GR584" s="155"/>
      <c r="GS584" s="155"/>
      <c r="GT584" s="155"/>
      <c r="GU584" s="155"/>
      <c r="GV584" s="155"/>
      <c r="GW584" s="155"/>
      <c r="GX584" s="155"/>
      <c r="GY584" s="155"/>
      <c r="GZ584" s="155"/>
      <c r="HA584" s="155"/>
      <c r="HB584" s="155"/>
      <c r="HC584" s="155"/>
      <c r="HD584" s="155"/>
      <c r="HE584" s="155"/>
    </row>
    <row r="585" spans="2:213" s="156" customFormat="1" hidden="1">
      <c r="B585" s="155"/>
      <c r="C585" s="155"/>
      <c r="D585" s="155"/>
      <c r="E585" s="155"/>
      <c r="F585" s="155"/>
      <c r="G585" s="155"/>
      <c r="H585" s="155"/>
      <c r="I585" s="155"/>
      <c r="J585" s="155"/>
      <c r="K585" s="155"/>
      <c r="L585" s="155"/>
      <c r="M585" s="155"/>
      <c r="N585" s="155"/>
      <c r="O585" s="155"/>
      <c r="P585" s="155"/>
      <c r="Q585" s="155"/>
      <c r="R585" s="155"/>
      <c r="S585" s="155"/>
      <c r="T585" s="155"/>
      <c r="U585" s="155"/>
      <c r="V585" s="155"/>
      <c r="W585" s="155"/>
      <c r="GL585" s="155"/>
      <c r="GM585" s="155"/>
      <c r="GN585" s="155"/>
      <c r="GO585" s="155"/>
      <c r="GP585" s="155"/>
      <c r="GQ585" s="155"/>
      <c r="GR585" s="155"/>
      <c r="GS585" s="155"/>
      <c r="GT585" s="155"/>
      <c r="GU585" s="155"/>
      <c r="GV585" s="155"/>
      <c r="GW585" s="155"/>
      <c r="GX585" s="155"/>
      <c r="GY585" s="155"/>
      <c r="GZ585" s="155"/>
      <c r="HA585" s="155"/>
      <c r="HB585" s="155"/>
      <c r="HC585" s="155"/>
      <c r="HD585" s="155"/>
      <c r="HE585" s="155"/>
    </row>
    <row r="586" spans="2:213" s="156" customFormat="1" hidden="1">
      <c r="B586" s="155"/>
      <c r="C586" s="155"/>
      <c r="D586" s="155"/>
      <c r="E586" s="155"/>
      <c r="F586" s="155"/>
      <c r="G586" s="155"/>
      <c r="H586" s="155"/>
      <c r="I586" s="155"/>
      <c r="J586" s="155"/>
      <c r="K586" s="155"/>
      <c r="L586" s="155"/>
      <c r="M586" s="155"/>
      <c r="N586" s="155"/>
      <c r="O586" s="155"/>
      <c r="P586" s="155"/>
      <c r="Q586" s="155"/>
      <c r="R586" s="155"/>
      <c r="S586" s="155"/>
      <c r="T586" s="155"/>
      <c r="U586" s="155"/>
      <c r="V586" s="155"/>
      <c r="W586" s="155"/>
      <c r="GL586" s="155"/>
      <c r="GM586" s="155"/>
      <c r="GN586" s="155"/>
      <c r="GO586" s="155"/>
      <c r="GP586" s="155"/>
      <c r="GQ586" s="155"/>
      <c r="GR586" s="155"/>
      <c r="GS586" s="155"/>
      <c r="GT586" s="155"/>
      <c r="GU586" s="155"/>
      <c r="GV586" s="155"/>
      <c r="GW586" s="155"/>
      <c r="GX586" s="155"/>
      <c r="GY586" s="155"/>
      <c r="GZ586" s="155"/>
      <c r="HA586" s="155"/>
      <c r="HB586" s="155"/>
      <c r="HC586" s="155"/>
      <c r="HD586" s="155"/>
      <c r="HE586" s="155"/>
    </row>
    <row r="587" spans="2:213" s="156" customFormat="1" hidden="1">
      <c r="B587" s="155"/>
      <c r="C587" s="155"/>
      <c r="D587" s="155"/>
      <c r="E587" s="155"/>
      <c r="F587" s="155"/>
      <c r="G587" s="155"/>
      <c r="H587" s="155"/>
      <c r="I587" s="155"/>
      <c r="J587" s="155"/>
      <c r="K587" s="155"/>
      <c r="L587" s="155"/>
      <c r="M587" s="155"/>
      <c r="N587" s="155"/>
      <c r="O587" s="155"/>
      <c r="P587" s="155"/>
      <c r="Q587" s="155"/>
      <c r="R587" s="155"/>
      <c r="S587" s="155"/>
      <c r="T587" s="155"/>
      <c r="U587" s="155"/>
      <c r="V587" s="155"/>
      <c r="W587" s="155"/>
      <c r="GL587" s="155"/>
      <c r="GM587" s="155"/>
      <c r="GN587" s="155"/>
      <c r="GO587" s="155"/>
      <c r="GP587" s="155"/>
      <c r="GQ587" s="155"/>
      <c r="GR587" s="155"/>
      <c r="GS587" s="155"/>
      <c r="GT587" s="155"/>
      <c r="GU587" s="155"/>
      <c r="GV587" s="155"/>
      <c r="GW587" s="155"/>
      <c r="GX587" s="155"/>
      <c r="GY587" s="155"/>
      <c r="GZ587" s="155"/>
      <c r="HA587" s="155"/>
      <c r="HB587" s="155"/>
      <c r="HC587" s="155"/>
      <c r="HD587" s="155"/>
      <c r="HE587" s="155"/>
    </row>
    <row r="588" spans="2:213" s="156" customFormat="1" hidden="1">
      <c r="B588" s="155"/>
      <c r="C588" s="155"/>
      <c r="D588" s="155"/>
      <c r="E588" s="155"/>
      <c r="F588" s="155"/>
      <c r="G588" s="155"/>
      <c r="H588" s="155"/>
      <c r="I588" s="155"/>
      <c r="J588" s="155"/>
      <c r="K588" s="155"/>
      <c r="L588" s="155"/>
      <c r="M588" s="155"/>
      <c r="N588" s="155"/>
      <c r="O588" s="155"/>
      <c r="P588" s="155"/>
      <c r="Q588" s="155"/>
      <c r="R588" s="155"/>
      <c r="S588" s="155"/>
      <c r="T588" s="155"/>
      <c r="U588" s="155"/>
      <c r="V588" s="155"/>
      <c r="W588" s="155"/>
      <c r="GL588" s="155"/>
      <c r="GM588" s="155"/>
      <c r="GN588" s="155"/>
      <c r="GO588" s="155"/>
      <c r="GP588" s="155"/>
      <c r="GQ588" s="155"/>
      <c r="GR588" s="155"/>
      <c r="GS588" s="155"/>
      <c r="GT588" s="155"/>
      <c r="GU588" s="155"/>
      <c r="GV588" s="155"/>
      <c r="GW588" s="155"/>
      <c r="GX588" s="155"/>
      <c r="GY588" s="155"/>
      <c r="GZ588" s="155"/>
      <c r="HA588" s="155"/>
      <c r="HB588" s="155"/>
      <c r="HC588" s="155"/>
      <c r="HD588" s="155"/>
      <c r="HE588" s="155"/>
    </row>
    <row r="589" spans="2:213" s="156" customFormat="1" hidden="1">
      <c r="B589" s="155"/>
      <c r="C589" s="155"/>
      <c r="D589" s="155"/>
      <c r="E589" s="155"/>
      <c r="F589" s="155"/>
      <c r="G589" s="155"/>
      <c r="H589" s="155"/>
      <c r="I589" s="155"/>
      <c r="J589" s="155"/>
      <c r="K589" s="155"/>
      <c r="L589" s="155"/>
      <c r="M589" s="155"/>
      <c r="N589" s="155"/>
      <c r="O589" s="155"/>
      <c r="P589" s="155"/>
      <c r="Q589" s="155"/>
      <c r="R589" s="155"/>
      <c r="S589" s="155"/>
      <c r="T589" s="155"/>
      <c r="U589" s="155"/>
      <c r="V589" s="155"/>
      <c r="W589" s="155"/>
      <c r="GL589" s="155"/>
      <c r="GM589" s="155"/>
      <c r="GN589" s="155"/>
      <c r="GO589" s="155"/>
      <c r="GP589" s="155"/>
      <c r="GQ589" s="155"/>
      <c r="GR589" s="155"/>
      <c r="GS589" s="155"/>
      <c r="GT589" s="155"/>
      <c r="GU589" s="155"/>
      <c r="GV589" s="155"/>
      <c r="GW589" s="155"/>
      <c r="GX589" s="155"/>
      <c r="GY589" s="155"/>
      <c r="GZ589" s="155"/>
      <c r="HA589" s="155"/>
      <c r="HB589" s="155"/>
      <c r="HC589" s="155"/>
      <c r="HD589" s="155"/>
      <c r="HE589" s="155"/>
    </row>
    <row r="590" spans="2:213" s="156" customFormat="1" hidden="1">
      <c r="B590" s="155"/>
      <c r="C590" s="155"/>
      <c r="D590" s="155"/>
      <c r="E590" s="155"/>
      <c r="F590" s="155"/>
      <c r="G590" s="155"/>
      <c r="H590" s="155"/>
      <c r="I590" s="155"/>
      <c r="J590" s="155"/>
      <c r="K590" s="155"/>
      <c r="L590" s="155"/>
      <c r="M590" s="155"/>
      <c r="N590" s="155"/>
      <c r="O590" s="155"/>
      <c r="P590" s="155"/>
      <c r="Q590" s="155"/>
      <c r="R590" s="155"/>
      <c r="S590" s="155"/>
      <c r="T590" s="155"/>
      <c r="U590" s="155"/>
      <c r="V590" s="155"/>
      <c r="W590" s="155"/>
      <c r="GL590" s="155"/>
      <c r="GM590" s="155"/>
      <c r="GN590" s="155"/>
      <c r="GO590" s="155"/>
      <c r="GP590" s="155"/>
      <c r="GQ590" s="155"/>
      <c r="GR590" s="155"/>
      <c r="GS590" s="155"/>
      <c r="GT590" s="155"/>
      <c r="GU590" s="155"/>
      <c r="GV590" s="155"/>
      <c r="GW590" s="155"/>
      <c r="GX590" s="155"/>
      <c r="GY590" s="155"/>
      <c r="GZ590" s="155"/>
      <c r="HA590" s="155"/>
      <c r="HB590" s="155"/>
      <c r="HC590" s="155"/>
      <c r="HD590" s="155"/>
      <c r="HE590" s="155"/>
    </row>
    <row r="591" spans="2:213" s="156" customFormat="1" hidden="1">
      <c r="B591" s="155"/>
      <c r="C591" s="155"/>
      <c r="D591" s="155"/>
      <c r="E591" s="155"/>
      <c r="F591" s="155"/>
      <c r="G591" s="155"/>
      <c r="H591" s="155"/>
      <c r="I591" s="155"/>
      <c r="J591" s="155"/>
      <c r="K591" s="155"/>
      <c r="L591" s="155"/>
      <c r="M591" s="155"/>
      <c r="N591" s="155"/>
      <c r="O591" s="155"/>
      <c r="P591" s="155"/>
      <c r="Q591" s="155"/>
      <c r="R591" s="155"/>
      <c r="S591" s="155"/>
      <c r="T591" s="155"/>
      <c r="U591" s="155"/>
      <c r="V591" s="155"/>
      <c r="W591" s="155"/>
      <c r="GL591" s="155"/>
      <c r="GM591" s="155"/>
      <c r="GN591" s="155"/>
      <c r="GO591" s="155"/>
      <c r="GP591" s="155"/>
      <c r="GQ591" s="155"/>
      <c r="GR591" s="155"/>
      <c r="GS591" s="155"/>
      <c r="GT591" s="155"/>
      <c r="GU591" s="155"/>
      <c r="GV591" s="155"/>
      <c r="GW591" s="155"/>
      <c r="GX591" s="155"/>
      <c r="GY591" s="155"/>
      <c r="GZ591" s="155"/>
      <c r="HA591" s="155"/>
      <c r="HB591" s="155"/>
      <c r="HC591" s="155"/>
      <c r="HD591" s="155"/>
      <c r="HE591" s="155"/>
    </row>
    <row r="592" spans="2:213" s="156" customFormat="1" hidden="1">
      <c r="B592" s="155"/>
      <c r="C592" s="155"/>
      <c r="D592" s="155"/>
      <c r="E592" s="155"/>
      <c r="F592" s="155"/>
      <c r="G592" s="155"/>
      <c r="H592" s="155"/>
      <c r="I592" s="155"/>
      <c r="J592" s="155"/>
      <c r="K592" s="155"/>
      <c r="L592" s="155"/>
      <c r="M592" s="155"/>
      <c r="N592" s="155"/>
      <c r="O592" s="155"/>
      <c r="P592" s="155"/>
      <c r="Q592" s="155"/>
      <c r="R592" s="155"/>
      <c r="S592" s="155"/>
      <c r="T592" s="155"/>
      <c r="U592" s="155"/>
      <c r="V592" s="155"/>
      <c r="W592" s="155"/>
      <c r="GL592" s="155"/>
      <c r="GM592" s="155"/>
      <c r="GN592" s="155"/>
      <c r="GO592" s="155"/>
      <c r="GP592" s="155"/>
      <c r="GQ592" s="155"/>
      <c r="GR592" s="155"/>
      <c r="GS592" s="155"/>
      <c r="GT592" s="155"/>
      <c r="GU592" s="155"/>
      <c r="GV592" s="155"/>
      <c r="GW592" s="155"/>
      <c r="GX592" s="155"/>
      <c r="GY592" s="155"/>
      <c r="GZ592" s="155"/>
      <c r="HA592" s="155"/>
      <c r="HB592" s="155"/>
      <c r="HC592" s="155"/>
      <c r="HD592" s="155"/>
      <c r="HE592" s="155"/>
    </row>
    <row r="593" spans="2:213" s="156" customFormat="1" hidden="1">
      <c r="B593" s="155"/>
      <c r="C593" s="155"/>
      <c r="D593" s="155"/>
      <c r="E593" s="155"/>
      <c r="F593" s="155"/>
      <c r="G593" s="155"/>
      <c r="H593" s="155"/>
      <c r="I593" s="155"/>
      <c r="J593" s="155"/>
      <c r="K593" s="155"/>
      <c r="L593" s="155"/>
      <c r="M593" s="155"/>
      <c r="N593" s="155"/>
      <c r="O593" s="155"/>
      <c r="P593" s="155"/>
      <c r="Q593" s="155"/>
      <c r="R593" s="155"/>
      <c r="S593" s="155"/>
      <c r="T593" s="155"/>
      <c r="U593" s="155"/>
      <c r="V593" s="155"/>
      <c r="W593" s="155"/>
      <c r="GL593" s="155"/>
      <c r="GM593" s="155"/>
      <c r="GN593" s="155"/>
      <c r="GO593" s="155"/>
      <c r="GP593" s="155"/>
      <c r="GQ593" s="155"/>
      <c r="GR593" s="155"/>
      <c r="GS593" s="155"/>
      <c r="GT593" s="155"/>
      <c r="GU593" s="155"/>
      <c r="GV593" s="155"/>
      <c r="GW593" s="155"/>
      <c r="GX593" s="155"/>
      <c r="GY593" s="155"/>
      <c r="GZ593" s="155"/>
      <c r="HA593" s="155"/>
      <c r="HB593" s="155"/>
      <c r="HC593" s="155"/>
      <c r="HD593" s="155"/>
      <c r="HE593" s="155"/>
    </row>
    <row r="594" spans="2:213" s="156" customFormat="1" hidden="1">
      <c r="B594" s="155"/>
      <c r="C594" s="155"/>
      <c r="D594" s="155"/>
      <c r="E594" s="155"/>
      <c r="F594" s="155"/>
      <c r="G594" s="155"/>
      <c r="H594" s="155"/>
      <c r="I594" s="155"/>
      <c r="J594" s="155"/>
      <c r="K594" s="155"/>
      <c r="L594" s="155"/>
      <c r="M594" s="155"/>
      <c r="N594" s="155"/>
      <c r="O594" s="155"/>
      <c r="P594" s="155"/>
      <c r="Q594" s="155"/>
      <c r="R594" s="155"/>
      <c r="S594" s="155"/>
      <c r="T594" s="155"/>
      <c r="U594" s="155"/>
      <c r="V594" s="155"/>
      <c r="W594" s="155"/>
      <c r="GL594" s="155"/>
      <c r="GM594" s="155"/>
      <c r="GN594" s="155"/>
      <c r="GO594" s="155"/>
      <c r="GP594" s="155"/>
      <c r="GQ594" s="155"/>
      <c r="GR594" s="155"/>
      <c r="GS594" s="155"/>
      <c r="GT594" s="155"/>
      <c r="GU594" s="155"/>
      <c r="GV594" s="155"/>
      <c r="GW594" s="155"/>
      <c r="GX594" s="155"/>
      <c r="GY594" s="155"/>
      <c r="GZ594" s="155"/>
      <c r="HA594" s="155"/>
      <c r="HB594" s="155"/>
      <c r="HC594" s="155"/>
      <c r="HD594" s="155"/>
      <c r="HE594" s="155"/>
    </row>
    <row r="595" spans="2:213" s="156" customFormat="1" hidden="1">
      <c r="B595" s="155"/>
      <c r="C595" s="155"/>
      <c r="D595" s="155"/>
      <c r="E595" s="155"/>
      <c r="F595" s="155"/>
      <c r="G595" s="155"/>
      <c r="H595" s="155"/>
      <c r="I595" s="155"/>
      <c r="J595" s="155"/>
      <c r="K595" s="155"/>
      <c r="L595" s="155"/>
      <c r="M595" s="155"/>
      <c r="N595" s="155"/>
      <c r="O595" s="155"/>
      <c r="P595" s="155"/>
      <c r="Q595" s="155"/>
      <c r="R595" s="155"/>
      <c r="S595" s="155"/>
      <c r="T595" s="155"/>
      <c r="U595" s="155"/>
      <c r="V595" s="155"/>
      <c r="W595" s="155"/>
      <c r="GL595" s="155"/>
      <c r="GM595" s="155"/>
      <c r="GN595" s="155"/>
      <c r="GO595" s="155"/>
      <c r="GP595" s="155"/>
      <c r="GQ595" s="155"/>
      <c r="GR595" s="155"/>
      <c r="GS595" s="155"/>
      <c r="GT595" s="155"/>
      <c r="GU595" s="155"/>
      <c r="GV595" s="155"/>
      <c r="GW595" s="155"/>
      <c r="GX595" s="155"/>
      <c r="GY595" s="155"/>
      <c r="GZ595" s="155"/>
      <c r="HA595" s="155"/>
      <c r="HB595" s="155"/>
      <c r="HC595" s="155"/>
      <c r="HD595" s="155"/>
      <c r="HE595" s="155"/>
    </row>
    <row r="596" spans="2:213" s="156" customFormat="1" hidden="1">
      <c r="B596" s="155"/>
      <c r="C596" s="155"/>
      <c r="D596" s="155"/>
      <c r="E596" s="155"/>
      <c r="F596" s="155"/>
      <c r="G596" s="155"/>
      <c r="H596" s="155"/>
      <c r="I596" s="155"/>
      <c r="J596" s="155"/>
      <c r="K596" s="155"/>
      <c r="L596" s="155"/>
      <c r="M596" s="155"/>
      <c r="N596" s="155"/>
      <c r="O596" s="155"/>
      <c r="P596" s="155"/>
      <c r="Q596" s="155"/>
      <c r="R596" s="155"/>
      <c r="S596" s="155"/>
      <c r="T596" s="155"/>
      <c r="U596" s="155"/>
      <c r="V596" s="155"/>
      <c r="W596" s="155"/>
      <c r="GL596" s="155"/>
      <c r="GM596" s="155"/>
      <c r="GN596" s="155"/>
      <c r="GO596" s="155"/>
      <c r="GP596" s="155"/>
      <c r="GQ596" s="155"/>
      <c r="GR596" s="155"/>
      <c r="GS596" s="155"/>
      <c r="GT596" s="155"/>
      <c r="GU596" s="155"/>
      <c r="GV596" s="155"/>
      <c r="GW596" s="155"/>
      <c r="GX596" s="155"/>
      <c r="GY596" s="155"/>
      <c r="GZ596" s="155"/>
      <c r="HA596" s="155"/>
      <c r="HB596" s="155"/>
      <c r="HC596" s="155"/>
      <c r="HD596" s="155"/>
      <c r="HE596" s="155"/>
    </row>
    <row r="597" spans="2:213" s="156" customFormat="1" hidden="1">
      <c r="B597" s="155"/>
      <c r="C597" s="155"/>
      <c r="D597" s="155"/>
      <c r="E597" s="155"/>
      <c r="F597" s="155"/>
      <c r="G597" s="155"/>
      <c r="H597" s="155"/>
      <c r="I597" s="155"/>
      <c r="J597" s="155"/>
      <c r="K597" s="155"/>
      <c r="L597" s="155"/>
      <c r="M597" s="155"/>
      <c r="N597" s="155"/>
      <c r="O597" s="155"/>
      <c r="P597" s="155"/>
      <c r="Q597" s="155"/>
      <c r="R597" s="155"/>
      <c r="S597" s="155"/>
      <c r="T597" s="155"/>
      <c r="U597" s="155"/>
      <c r="V597" s="155"/>
      <c r="W597" s="155"/>
      <c r="GL597" s="155"/>
      <c r="GM597" s="155"/>
      <c r="GN597" s="155"/>
      <c r="GO597" s="155"/>
      <c r="GP597" s="155"/>
      <c r="GQ597" s="155"/>
      <c r="GR597" s="155"/>
      <c r="GS597" s="155"/>
      <c r="GT597" s="155"/>
      <c r="GU597" s="155"/>
      <c r="GV597" s="155"/>
      <c r="GW597" s="155"/>
      <c r="GX597" s="155"/>
      <c r="GY597" s="155"/>
      <c r="GZ597" s="155"/>
      <c r="HA597" s="155"/>
      <c r="HB597" s="155"/>
      <c r="HC597" s="155"/>
      <c r="HD597" s="155"/>
      <c r="HE597" s="155"/>
    </row>
    <row r="598" spans="2:213" s="156" customFormat="1" hidden="1">
      <c r="B598" s="155"/>
      <c r="C598" s="155"/>
      <c r="D598" s="155"/>
      <c r="E598" s="155"/>
      <c r="F598" s="155"/>
      <c r="G598" s="155"/>
      <c r="H598" s="155"/>
      <c r="I598" s="155"/>
      <c r="J598" s="155"/>
      <c r="K598" s="155"/>
      <c r="L598" s="155"/>
      <c r="M598" s="155"/>
      <c r="N598" s="155"/>
      <c r="O598" s="155"/>
      <c r="P598" s="155"/>
      <c r="Q598" s="155"/>
      <c r="R598" s="155"/>
      <c r="S598" s="155"/>
      <c r="T598" s="155"/>
      <c r="U598" s="155"/>
      <c r="V598" s="155"/>
      <c r="W598" s="155"/>
      <c r="GL598" s="155"/>
      <c r="GM598" s="155"/>
      <c r="GN598" s="155"/>
      <c r="GO598" s="155"/>
      <c r="GP598" s="155"/>
      <c r="GQ598" s="155"/>
      <c r="GR598" s="155"/>
      <c r="GS598" s="155"/>
      <c r="GT598" s="155"/>
      <c r="GU598" s="155"/>
      <c r="GV598" s="155"/>
      <c r="GW598" s="155"/>
      <c r="GX598" s="155"/>
      <c r="GY598" s="155"/>
      <c r="GZ598" s="155"/>
      <c r="HA598" s="155"/>
      <c r="HB598" s="155"/>
      <c r="HC598" s="155"/>
      <c r="HD598" s="155"/>
      <c r="HE598" s="155"/>
    </row>
    <row r="599" spans="2:213" s="156" customFormat="1" hidden="1">
      <c r="B599" s="155"/>
      <c r="C599" s="155"/>
      <c r="D599" s="155"/>
      <c r="E599" s="155"/>
      <c r="F599" s="155"/>
      <c r="G599" s="155"/>
      <c r="H599" s="155"/>
      <c r="I599" s="155"/>
      <c r="J599" s="155"/>
      <c r="K599" s="155"/>
      <c r="L599" s="155"/>
      <c r="M599" s="155"/>
      <c r="N599" s="155"/>
      <c r="O599" s="155"/>
      <c r="P599" s="155"/>
      <c r="Q599" s="155"/>
      <c r="R599" s="155"/>
      <c r="S599" s="155"/>
      <c r="T599" s="155"/>
      <c r="U599" s="155"/>
      <c r="V599" s="155"/>
      <c r="W599" s="155"/>
      <c r="GL599" s="155"/>
      <c r="GM599" s="155"/>
      <c r="GN599" s="155"/>
      <c r="GO599" s="155"/>
      <c r="GP599" s="155"/>
      <c r="GQ599" s="155"/>
      <c r="GR599" s="155"/>
      <c r="GS599" s="155"/>
      <c r="GT599" s="155"/>
      <c r="GU599" s="155"/>
      <c r="GV599" s="155"/>
      <c r="GW599" s="155"/>
      <c r="GX599" s="155"/>
      <c r="GY599" s="155"/>
      <c r="GZ599" s="155"/>
      <c r="HA599" s="155"/>
      <c r="HB599" s="155"/>
      <c r="HC599" s="155"/>
      <c r="HD599" s="155"/>
      <c r="HE599" s="155"/>
    </row>
    <row r="600" spans="2:213" s="156" customFormat="1" hidden="1">
      <c r="B600" s="155"/>
      <c r="C600" s="155"/>
      <c r="D600" s="155"/>
      <c r="E600" s="155"/>
      <c r="F600" s="155"/>
      <c r="G600" s="155"/>
      <c r="H600" s="155"/>
      <c r="I600" s="155"/>
      <c r="J600" s="155"/>
      <c r="K600" s="155"/>
      <c r="L600" s="155"/>
      <c r="M600" s="155"/>
      <c r="N600" s="155"/>
      <c r="O600" s="155"/>
      <c r="P600" s="155"/>
      <c r="Q600" s="155"/>
      <c r="R600" s="155"/>
      <c r="S600" s="155"/>
      <c r="T600" s="155"/>
      <c r="U600" s="155"/>
      <c r="V600" s="155"/>
      <c r="W600" s="155"/>
      <c r="GL600" s="155"/>
      <c r="GM600" s="155"/>
      <c r="GN600" s="155"/>
      <c r="GO600" s="155"/>
      <c r="GP600" s="155"/>
      <c r="GQ600" s="155"/>
      <c r="GR600" s="155"/>
      <c r="GS600" s="155"/>
      <c r="GT600" s="155"/>
      <c r="GU600" s="155"/>
      <c r="GV600" s="155"/>
      <c r="GW600" s="155"/>
      <c r="GX600" s="155"/>
      <c r="GY600" s="155"/>
      <c r="GZ600" s="155"/>
      <c r="HA600" s="155"/>
      <c r="HB600" s="155"/>
      <c r="HC600" s="155"/>
      <c r="HD600" s="155"/>
      <c r="HE600" s="155"/>
    </row>
    <row r="601" spans="2:213" s="156" customFormat="1" hidden="1">
      <c r="B601" s="155"/>
      <c r="C601" s="155"/>
      <c r="D601" s="155"/>
      <c r="E601" s="155"/>
      <c r="F601" s="155"/>
      <c r="G601" s="155"/>
      <c r="H601" s="155"/>
      <c r="I601" s="155"/>
      <c r="J601" s="155"/>
      <c r="K601" s="155"/>
      <c r="L601" s="155"/>
      <c r="M601" s="155"/>
      <c r="N601" s="155"/>
      <c r="O601" s="155"/>
      <c r="P601" s="155"/>
      <c r="Q601" s="155"/>
      <c r="R601" s="155"/>
      <c r="S601" s="155"/>
      <c r="T601" s="155"/>
      <c r="U601" s="155"/>
      <c r="V601" s="155"/>
      <c r="W601" s="155"/>
      <c r="GL601" s="155"/>
      <c r="GM601" s="155"/>
      <c r="GN601" s="155"/>
      <c r="GO601" s="155"/>
      <c r="GP601" s="155"/>
      <c r="GQ601" s="155"/>
      <c r="GR601" s="155"/>
      <c r="GS601" s="155"/>
      <c r="GT601" s="155"/>
      <c r="GU601" s="155"/>
      <c r="GV601" s="155"/>
      <c r="GW601" s="155"/>
      <c r="GX601" s="155"/>
      <c r="GY601" s="155"/>
      <c r="GZ601" s="155"/>
      <c r="HA601" s="155"/>
      <c r="HB601" s="155"/>
      <c r="HC601" s="155"/>
      <c r="HD601" s="155"/>
      <c r="HE601" s="155"/>
    </row>
    <row r="602" spans="2:213" s="156" customFormat="1" hidden="1">
      <c r="B602" s="155"/>
      <c r="C602" s="155"/>
      <c r="D602" s="155"/>
      <c r="E602" s="155"/>
      <c r="F602" s="155"/>
      <c r="G602" s="155"/>
      <c r="H602" s="155"/>
      <c r="I602" s="155"/>
      <c r="J602" s="155"/>
      <c r="K602" s="155"/>
      <c r="L602" s="155"/>
      <c r="M602" s="155"/>
      <c r="N602" s="155"/>
      <c r="O602" s="155"/>
      <c r="P602" s="155"/>
      <c r="Q602" s="155"/>
      <c r="R602" s="155"/>
      <c r="S602" s="155"/>
      <c r="T602" s="155"/>
      <c r="U602" s="155"/>
      <c r="V602" s="155"/>
      <c r="W602" s="155"/>
      <c r="GL602" s="155"/>
      <c r="GM602" s="155"/>
      <c r="GN602" s="155"/>
      <c r="GO602" s="155"/>
      <c r="GP602" s="155"/>
      <c r="GQ602" s="155"/>
      <c r="GR602" s="155"/>
      <c r="GS602" s="155"/>
      <c r="GT602" s="155"/>
      <c r="GU602" s="155"/>
      <c r="GV602" s="155"/>
      <c r="GW602" s="155"/>
      <c r="GX602" s="155"/>
      <c r="GY602" s="155"/>
      <c r="GZ602" s="155"/>
      <c r="HA602" s="155"/>
      <c r="HB602" s="155"/>
      <c r="HC602" s="155"/>
      <c r="HD602" s="155"/>
      <c r="HE602" s="155"/>
    </row>
    <row r="603" spans="2:213" s="156" customFormat="1" hidden="1">
      <c r="B603" s="155"/>
      <c r="C603" s="155"/>
      <c r="D603" s="155"/>
      <c r="E603" s="155"/>
      <c r="F603" s="155"/>
      <c r="G603" s="155"/>
      <c r="H603" s="155"/>
      <c r="I603" s="155"/>
      <c r="J603" s="155"/>
      <c r="K603" s="155"/>
      <c r="L603" s="155"/>
      <c r="M603" s="155"/>
      <c r="N603" s="155"/>
      <c r="O603" s="155"/>
      <c r="P603" s="155"/>
      <c r="Q603" s="155"/>
      <c r="R603" s="155"/>
      <c r="S603" s="155"/>
      <c r="T603" s="155"/>
      <c r="U603" s="155"/>
      <c r="V603" s="155"/>
      <c r="W603" s="155"/>
      <c r="GL603" s="155"/>
      <c r="GM603" s="155"/>
      <c r="GN603" s="155"/>
      <c r="GO603" s="155"/>
      <c r="GP603" s="155"/>
      <c r="GQ603" s="155"/>
      <c r="GR603" s="155"/>
      <c r="GS603" s="155"/>
      <c r="GT603" s="155"/>
      <c r="GU603" s="155"/>
      <c r="GV603" s="155"/>
      <c r="GW603" s="155"/>
      <c r="GX603" s="155"/>
      <c r="GY603" s="155"/>
      <c r="GZ603" s="155"/>
      <c r="HA603" s="155"/>
      <c r="HB603" s="155"/>
      <c r="HC603" s="155"/>
      <c r="HD603" s="155"/>
      <c r="HE603" s="155"/>
    </row>
    <row r="604" spans="2:213" s="156" customFormat="1" hidden="1">
      <c r="B604" s="155"/>
      <c r="C604" s="155"/>
      <c r="D604" s="155"/>
      <c r="E604" s="155"/>
      <c r="F604" s="155"/>
      <c r="G604" s="155"/>
      <c r="H604" s="155"/>
      <c r="I604" s="155"/>
      <c r="J604" s="155"/>
      <c r="K604" s="155"/>
      <c r="L604" s="155"/>
      <c r="M604" s="155"/>
      <c r="N604" s="155"/>
      <c r="O604" s="155"/>
      <c r="P604" s="155"/>
      <c r="Q604" s="155"/>
      <c r="R604" s="155"/>
      <c r="S604" s="155"/>
      <c r="T604" s="155"/>
      <c r="U604" s="155"/>
      <c r="V604" s="155"/>
      <c r="W604" s="155"/>
      <c r="GL604" s="155"/>
      <c r="GM604" s="155"/>
      <c r="GN604" s="155"/>
      <c r="GO604" s="155"/>
      <c r="GP604" s="155"/>
      <c r="GQ604" s="155"/>
      <c r="GR604" s="155"/>
      <c r="GS604" s="155"/>
      <c r="GT604" s="155"/>
      <c r="GU604" s="155"/>
      <c r="GV604" s="155"/>
      <c r="GW604" s="155"/>
      <c r="GX604" s="155"/>
      <c r="GY604" s="155"/>
      <c r="GZ604" s="155"/>
      <c r="HA604" s="155"/>
      <c r="HB604" s="155"/>
      <c r="HC604" s="155"/>
      <c r="HD604" s="155"/>
      <c r="HE604" s="155"/>
    </row>
    <row r="605" spans="2:213" s="156" customFormat="1" hidden="1">
      <c r="B605" s="155"/>
      <c r="C605" s="155"/>
      <c r="D605" s="155"/>
      <c r="E605" s="155"/>
      <c r="F605" s="155"/>
      <c r="G605" s="155"/>
      <c r="H605" s="155"/>
      <c r="I605" s="155"/>
      <c r="J605" s="155"/>
      <c r="K605" s="155"/>
      <c r="L605" s="155"/>
      <c r="M605" s="155"/>
      <c r="N605" s="155"/>
      <c r="O605" s="155"/>
      <c r="P605" s="155"/>
      <c r="Q605" s="155"/>
      <c r="R605" s="155"/>
      <c r="S605" s="155"/>
      <c r="T605" s="155"/>
      <c r="U605" s="155"/>
      <c r="V605" s="155"/>
      <c r="W605" s="155"/>
      <c r="GL605" s="155"/>
      <c r="GM605" s="155"/>
      <c r="GN605" s="155"/>
      <c r="GO605" s="155"/>
      <c r="GP605" s="155"/>
      <c r="GQ605" s="155"/>
      <c r="GR605" s="155"/>
      <c r="GS605" s="155"/>
      <c r="GT605" s="155"/>
      <c r="GU605" s="155"/>
      <c r="GV605" s="155"/>
      <c r="GW605" s="155"/>
      <c r="GX605" s="155"/>
      <c r="GY605" s="155"/>
      <c r="GZ605" s="155"/>
      <c r="HA605" s="155"/>
      <c r="HB605" s="155"/>
      <c r="HC605" s="155"/>
      <c r="HD605" s="155"/>
      <c r="HE605" s="155"/>
    </row>
    <row r="606" spans="2:213" s="156" customFormat="1" hidden="1">
      <c r="B606" s="155"/>
      <c r="C606" s="155"/>
      <c r="D606" s="155"/>
      <c r="E606" s="155"/>
      <c r="F606" s="155"/>
      <c r="G606" s="155"/>
      <c r="H606" s="155"/>
      <c r="I606" s="155"/>
      <c r="J606" s="155"/>
      <c r="K606" s="155"/>
      <c r="L606" s="155"/>
      <c r="M606" s="155"/>
      <c r="N606" s="155"/>
      <c r="O606" s="155"/>
      <c r="P606" s="155"/>
      <c r="Q606" s="155"/>
      <c r="R606" s="155"/>
      <c r="S606" s="155"/>
      <c r="T606" s="155"/>
      <c r="U606" s="155"/>
      <c r="V606" s="155"/>
      <c r="W606" s="155"/>
      <c r="GL606" s="155"/>
      <c r="GM606" s="155"/>
      <c r="GN606" s="155"/>
      <c r="GO606" s="155"/>
      <c r="GP606" s="155"/>
      <c r="GQ606" s="155"/>
      <c r="GR606" s="155"/>
      <c r="GS606" s="155"/>
      <c r="GT606" s="155"/>
      <c r="GU606" s="155"/>
      <c r="GV606" s="155"/>
      <c r="GW606" s="155"/>
      <c r="GX606" s="155"/>
      <c r="GY606" s="155"/>
      <c r="GZ606" s="155"/>
      <c r="HA606" s="155"/>
      <c r="HB606" s="155"/>
      <c r="HC606" s="155"/>
      <c r="HD606" s="155"/>
      <c r="HE606" s="155"/>
    </row>
    <row r="607" spans="2:213" s="156" customFormat="1" hidden="1">
      <c r="B607" s="155"/>
      <c r="C607" s="155"/>
      <c r="D607" s="155"/>
      <c r="E607" s="155"/>
      <c r="F607" s="155"/>
      <c r="G607" s="155"/>
      <c r="H607" s="155"/>
      <c r="I607" s="155"/>
      <c r="J607" s="155"/>
      <c r="K607" s="155"/>
      <c r="L607" s="155"/>
      <c r="M607" s="155"/>
      <c r="N607" s="155"/>
      <c r="O607" s="155"/>
      <c r="P607" s="155"/>
      <c r="Q607" s="155"/>
      <c r="R607" s="155"/>
      <c r="S607" s="155"/>
      <c r="T607" s="155"/>
      <c r="U607" s="155"/>
      <c r="V607" s="155"/>
      <c r="W607" s="155"/>
      <c r="GL607" s="155"/>
      <c r="GM607" s="155"/>
      <c r="GN607" s="155"/>
      <c r="GO607" s="155"/>
      <c r="GP607" s="155"/>
      <c r="GQ607" s="155"/>
      <c r="GR607" s="155"/>
      <c r="GS607" s="155"/>
      <c r="GT607" s="155"/>
      <c r="GU607" s="155"/>
      <c r="GV607" s="155"/>
      <c r="GW607" s="155"/>
      <c r="GX607" s="155"/>
      <c r="GY607" s="155"/>
      <c r="GZ607" s="155"/>
      <c r="HA607" s="155"/>
      <c r="HB607" s="155"/>
      <c r="HC607" s="155"/>
      <c r="HD607" s="155"/>
      <c r="HE607" s="155"/>
    </row>
    <row r="608" spans="2:213" s="156" customFormat="1" hidden="1">
      <c r="B608" s="155"/>
      <c r="C608" s="155"/>
      <c r="D608" s="155"/>
      <c r="E608" s="155"/>
      <c r="F608" s="155"/>
      <c r="G608" s="155"/>
      <c r="H608" s="155"/>
      <c r="I608" s="155"/>
      <c r="J608" s="155"/>
      <c r="K608" s="155"/>
      <c r="L608" s="155"/>
      <c r="M608" s="155"/>
      <c r="N608" s="155"/>
      <c r="O608" s="155"/>
      <c r="P608" s="155"/>
      <c r="Q608" s="155"/>
      <c r="R608" s="155"/>
      <c r="S608" s="155"/>
      <c r="T608" s="155"/>
      <c r="U608" s="155"/>
      <c r="V608" s="155"/>
      <c r="W608" s="155"/>
      <c r="GL608" s="155"/>
      <c r="GM608" s="155"/>
      <c r="GN608" s="155"/>
      <c r="GO608" s="155"/>
      <c r="GP608" s="155"/>
      <c r="GQ608" s="155"/>
      <c r="GR608" s="155"/>
      <c r="GS608" s="155"/>
      <c r="GT608" s="155"/>
      <c r="GU608" s="155"/>
      <c r="GV608" s="155"/>
      <c r="GW608" s="155"/>
      <c r="GX608" s="155"/>
      <c r="GY608" s="155"/>
      <c r="GZ608" s="155"/>
      <c r="HA608" s="155"/>
      <c r="HB608" s="155"/>
      <c r="HC608" s="155"/>
      <c r="HD608" s="155"/>
      <c r="HE608" s="155"/>
    </row>
    <row r="609" spans="2:213" s="156" customFormat="1" hidden="1">
      <c r="B609" s="155"/>
      <c r="C609" s="155"/>
      <c r="D609" s="155"/>
      <c r="E609" s="155"/>
      <c r="F609" s="155"/>
      <c r="G609" s="155"/>
      <c r="H609" s="155"/>
      <c r="I609" s="155"/>
      <c r="J609" s="155"/>
      <c r="K609" s="155"/>
      <c r="L609" s="155"/>
      <c r="M609" s="155"/>
      <c r="N609" s="155"/>
      <c r="O609" s="155"/>
      <c r="P609" s="155"/>
      <c r="Q609" s="155"/>
      <c r="R609" s="155"/>
      <c r="S609" s="155"/>
      <c r="T609" s="155"/>
      <c r="U609" s="155"/>
      <c r="V609" s="155"/>
      <c r="W609" s="155"/>
      <c r="GL609" s="155"/>
      <c r="GM609" s="155"/>
      <c r="GN609" s="155"/>
      <c r="GO609" s="155"/>
      <c r="GP609" s="155"/>
      <c r="GQ609" s="155"/>
      <c r="GR609" s="155"/>
      <c r="GS609" s="155"/>
      <c r="GT609" s="155"/>
      <c r="GU609" s="155"/>
      <c r="GV609" s="155"/>
      <c r="GW609" s="155"/>
      <c r="GX609" s="155"/>
      <c r="GY609" s="155"/>
      <c r="GZ609" s="155"/>
      <c r="HA609" s="155"/>
      <c r="HB609" s="155"/>
      <c r="HC609" s="155"/>
      <c r="HD609" s="155"/>
      <c r="HE609" s="155"/>
    </row>
    <row r="610" spans="2:213" s="156" customFormat="1" hidden="1">
      <c r="B610" s="155"/>
      <c r="C610" s="155"/>
      <c r="D610" s="155"/>
      <c r="E610" s="155"/>
      <c r="F610" s="155"/>
      <c r="G610" s="155"/>
      <c r="H610" s="155"/>
      <c r="I610" s="155"/>
      <c r="J610" s="155"/>
      <c r="K610" s="155"/>
      <c r="L610" s="155"/>
      <c r="M610" s="155"/>
      <c r="N610" s="155"/>
      <c r="O610" s="155"/>
      <c r="P610" s="155"/>
      <c r="Q610" s="155"/>
      <c r="R610" s="155"/>
      <c r="S610" s="155"/>
      <c r="T610" s="155"/>
      <c r="U610" s="155"/>
      <c r="V610" s="155"/>
      <c r="W610" s="155"/>
      <c r="GL610" s="155"/>
      <c r="GM610" s="155"/>
      <c r="GN610" s="155"/>
      <c r="GO610" s="155"/>
      <c r="GP610" s="155"/>
      <c r="GQ610" s="155"/>
      <c r="GR610" s="155"/>
      <c r="GS610" s="155"/>
      <c r="GT610" s="155"/>
      <c r="GU610" s="155"/>
      <c r="GV610" s="155"/>
      <c r="GW610" s="155"/>
      <c r="GX610" s="155"/>
      <c r="GY610" s="155"/>
      <c r="GZ610" s="155"/>
      <c r="HA610" s="155"/>
      <c r="HB610" s="155"/>
      <c r="HC610" s="155"/>
      <c r="HD610" s="155"/>
      <c r="HE610" s="155"/>
    </row>
    <row r="611" spans="2:213" s="156" customFormat="1" hidden="1">
      <c r="B611" s="155"/>
      <c r="C611" s="155"/>
      <c r="D611" s="155"/>
      <c r="E611" s="155"/>
      <c r="F611" s="155"/>
      <c r="G611" s="155"/>
      <c r="H611" s="155"/>
      <c r="I611" s="155"/>
      <c r="J611" s="155"/>
      <c r="K611" s="155"/>
      <c r="L611" s="155"/>
      <c r="M611" s="155"/>
      <c r="N611" s="155"/>
      <c r="O611" s="155"/>
      <c r="P611" s="155"/>
      <c r="Q611" s="155"/>
      <c r="R611" s="155"/>
      <c r="S611" s="155"/>
      <c r="T611" s="155"/>
      <c r="U611" s="155"/>
      <c r="V611" s="155"/>
      <c r="W611" s="155"/>
      <c r="GL611" s="155"/>
      <c r="GM611" s="155"/>
      <c r="GN611" s="155"/>
      <c r="GO611" s="155"/>
      <c r="GP611" s="155"/>
      <c r="GQ611" s="155"/>
      <c r="GR611" s="155"/>
      <c r="GS611" s="155"/>
      <c r="GT611" s="155"/>
      <c r="GU611" s="155"/>
      <c r="GV611" s="155"/>
      <c r="GW611" s="155"/>
      <c r="GX611" s="155"/>
      <c r="GY611" s="155"/>
      <c r="GZ611" s="155"/>
      <c r="HA611" s="155"/>
      <c r="HB611" s="155"/>
      <c r="HC611" s="155"/>
      <c r="HD611" s="155"/>
      <c r="HE611" s="155"/>
    </row>
    <row r="612" spans="2:213" s="156" customFormat="1" hidden="1">
      <c r="B612" s="155"/>
      <c r="C612" s="155"/>
      <c r="D612" s="155"/>
      <c r="E612" s="155"/>
      <c r="F612" s="155"/>
      <c r="G612" s="155"/>
      <c r="H612" s="155"/>
      <c r="I612" s="155"/>
      <c r="J612" s="155"/>
      <c r="K612" s="155"/>
      <c r="L612" s="155"/>
      <c r="M612" s="155"/>
      <c r="N612" s="155"/>
      <c r="O612" s="155"/>
      <c r="P612" s="155"/>
      <c r="Q612" s="155"/>
      <c r="R612" s="155"/>
      <c r="S612" s="155"/>
      <c r="T612" s="155"/>
      <c r="U612" s="155"/>
      <c r="V612" s="155"/>
      <c r="W612" s="155"/>
      <c r="GL612" s="155"/>
      <c r="GM612" s="155"/>
      <c r="GN612" s="155"/>
      <c r="GO612" s="155"/>
      <c r="GP612" s="155"/>
      <c r="GQ612" s="155"/>
      <c r="GR612" s="155"/>
      <c r="GS612" s="155"/>
      <c r="GT612" s="155"/>
      <c r="GU612" s="155"/>
      <c r="GV612" s="155"/>
      <c r="GW612" s="155"/>
      <c r="GX612" s="155"/>
      <c r="GY612" s="155"/>
      <c r="GZ612" s="155"/>
      <c r="HA612" s="155"/>
      <c r="HB612" s="155"/>
      <c r="HC612" s="155"/>
      <c r="HD612" s="155"/>
      <c r="HE612" s="155"/>
    </row>
    <row r="613" spans="2:213" s="156" customFormat="1" hidden="1">
      <c r="B613" s="155"/>
      <c r="C613" s="155"/>
      <c r="D613" s="155"/>
      <c r="E613" s="155"/>
      <c r="F613" s="155"/>
      <c r="G613" s="155"/>
      <c r="H613" s="155"/>
      <c r="I613" s="155"/>
      <c r="J613" s="155"/>
      <c r="K613" s="155"/>
      <c r="L613" s="155"/>
      <c r="M613" s="155"/>
      <c r="N613" s="155"/>
      <c r="O613" s="155"/>
      <c r="P613" s="155"/>
      <c r="Q613" s="155"/>
      <c r="R613" s="155"/>
      <c r="S613" s="155"/>
      <c r="T613" s="155"/>
      <c r="U613" s="155"/>
      <c r="V613" s="155"/>
      <c r="W613" s="155"/>
      <c r="GL613" s="155"/>
      <c r="GM613" s="155"/>
      <c r="GN613" s="155"/>
      <c r="GO613" s="155"/>
      <c r="GP613" s="155"/>
      <c r="GQ613" s="155"/>
      <c r="GR613" s="155"/>
      <c r="GS613" s="155"/>
      <c r="GT613" s="155"/>
      <c r="GU613" s="155"/>
      <c r="GV613" s="155"/>
      <c r="GW613" s="155"/>
      <c r="GX613" s="155"/>
      <c r="GY613" s="155"/>
      <c r="GZ613" s="155"/>
      <c r="HA613" s="155"/>
      <c r="HB613" s="155"/>
      <c r="HC613" s="155"/>
      <c r="HD613" s="155"/>
      <c r="HE613" s="155"/>
    </row>
    <row r="614" spans="2:213" s="156" customFormat="1" hidden="1">
      <c r="B614" s="155"/>
      <c r="C614" s="155"/>
      <c r="D614" s="155"/>
      <c r="E614" s="155"/>
      <c r="F614" s="155"/>
      <c r="G614" s="155"/>
      <c r="H614" s="155"/>
      <c r="I614" s="155"/>
      <c r="J614" s="155"/>
      <c r="K614" s="155"/>
      <c r="L614" s="155"/>
      <c r="M614" s="155"/>
      <c r="N614" s="155"/>
      <c r="O614" s="155"/>
      <c r="P614" s="155"/>
      <c r="Q614" s="155"/>
      <c r="R614" s="155"/>
      <c r="S614" s="155"/>
      <c r="T614" s="155"/>
      <c r="U614" s="155"/>
      <c r="V614" s="155"/>
      <c r="W614" s="155"/>
      <c r="GL614" s="155"/>
      <c r="GM614" s="155"/>
      <c r="GN614" s="155"/>
      <c r="GO614" s="155"/>
      <c r="GP614" s="155"/>
      <c r="GQ614" s="155"/>
      <c r="GR614" s="155"/>
      <c r="GS614" s="155"/>
      <c r="GT614" s="155"/>
      <c r="GU614" s="155"/>
      <c r="GV614" s="155"/>
      <c r="GW614" s="155"/>
      <c r="GX614" s="155"/>
      <c r="GY614" s="155"/>
      <c r="GZ614" s="155"/>
      <c r="HA614" s="155"/>
      <c r="HB614" s="155"/>
      <c r="HC614" s="155"/>
      <c r="HD614" s="155"/>
      <c r="HE614" s="155"/>
    </row>
    <row r="615" spans="2:213" s="156" customFormat="1" hidden="1">
      <c r="B615" s="155"/>
      <c r="C615" s="155"/>
      <c r="D615" s="155"/>
      <c r="E615" s="155"/>
      <c r="F615" s="155"/>
      <c r="G615" s="155"/>
      <c r="H615" s="155"/>
      <c r="I615" s="155"/>
      <c r="J615" s="155"/>
      <c r="K615" s="155"/>
      <c r="L615" s="155"/>
      <c r="M615" s="155"/>
      <c r="N615" s="155"/>
      <c r="O615" s="155"/>
      <c r="P615" s="155"/>
      <c r="Q615" s="155"/>
      <c r="R615" s="155"/>
      <c r="S615" s="155"/>
      <c r="T615" s="155"/>
      <c r="U615" s="155"/>
      <c r="V615" s="155"/>
      <c r="W615" s="155"/>
      <c r="GL615" s="155"/>
      <c r="GM615" s="155"/>
      <c r="GN615" s="155"/>
      <c r="GO615" s="155"/>
      <c r="GP615" s="155"/>
      <c r="GQ615" s="155"/>
      <c r="GR615" s="155"/>
      <c r="GS615" s="155"/>
      <c r="GT615" s="155"/>
      <c r="GU615" s="155"/>
      <c r="GV615" s="155"/>
      <c r="GW615" s="155"/>
      <c r="GX615" s="155"/>
      <c r="GY615" s="155"/>
      <c r="GZ615" s="155"/>
      <c r="HA615" s="155"/>
      <c r="HB615" s="155"/>
      <c r="HC615" s="155"/>
      <c r="HD615" s="155"/>
      <c r="HE615" s="155"/>
    </row>
    <row r="616" spans="2:213" s="156" customFormat="1" hidden="1">
      <c r="B616" s="155"/>
      <c r="C616" s="155"/>
      <c r="D616" s="155"/>
      <c r="E616" s="155"/>
      <c r="F616" s="155"/>
      <c r="G616" s="155"/>
      <c r="H616" s="155"/>
      <c r="I616" s="155"/>
      <c r="J616" s="155"/>
      <c r="K616" s="155"/>
      <c r="L616" s="155"/>
      <c r="M616" s="155"/>
      <c r="N616" s="155"/>
      <c r="O616" s="155"/>
      <c r="P616" s="155"/>
      <c r="Q616" s="155"/>
      <c r="R616" s="155"/>
      <c r="S616" s="155"/>
      <c r="T616" s="155"/>
      <c r="U616" s="155"/>
      <c r="V616" s="155"/>
      <c r="W616" s="155"/>
      <c r="GL616" s="155"/>
      <c r="GM616" s="155"/>
      <c r="GN616" s="155"/>
      <c r="GO616" s="155"/>
      <c r="GP616" s="155"/>
      <c r="GQ616" s="155"/>
      <c r="GR616" s="155"/>
      <c r="GS616" s="155"/>
      <c r="GT616" s="155"/>
      <c r="GU616" s="155"/>
      <c r="GV616" s="155"/>
      <c r="GW616" s="155"/>
      <c r="GX616" s="155"/>
      <c r="GY616" s="155"/>
      <c r="GZ616" s="155"/>
      <c r="HA616" s="155"/>
      <c r="HB616" s="155"/>
      <c r="HC616" s="155"/>
      <c r="HD616" s="155"/>
      <c r="HE616" s="155"/>
    </row>
    <row r="617" spans="2:213" s="156" customFormat="1" hidden="1">
      <c r="B617" s="155"/>
      <c r="C617" s="155"/>
      <c r="D617" s="155"/>
      <c r="E617" s="155"/>
      <c r="F617" s="155"/>
      <c r="G617" s="155"/>
      <c r="H617" s="155"/>
      <c r="I617" s="155"/>
      <c r="J617" s="155"/>
      <c r="K617" s="155"/>
      <c r="L617" s="155"/>
      <c r="M617" s="155"/>
      <c r="N617" s="155"/>
      <c r="O617" s="155"/>
      <c r="P617" s="155"/>
      <c r="Q617" s="155"/>
      <c r="R617" s="155"/>
      <c r="S617" s="155"/>
      <c r="T617" s="155"/>
      <c r="U617" s="155"/>
      <c r="V617" s="155"/>
      <c r="W617" s="155"/>
      <c r="GL617" s="155"/>
      <c r="GM617" s="155"/>
      <c r="GN617" s="155"/>
      <c r="GO617" s="155"/>
      <c r="GP617" s="155"/>
      <c r="GQ617" s="155"/>
      <c r="GR617" s="155"/>
      <c r="GS617" s="155"/>
      <c r="GT617" s="155"/>
      <c r="GU617" s="155"/>
      <c r="GV617" s="155"/>
      <c r="GW617" s="155"/>
      <c r="GX617" s="155"/>
      <c r="GY617" s="155"/>
      <c r="GZ617" s="155"/>
      <c r="HA617" s="155"/>
      <c r="HB617" s="155"/>
      <c r="HC617" s="155"/>
      <c r="HD617" s="155"/>
      <c r="HE617" s="155"/>
    </row>
    <row r="618" spans="2:213" s="156" customFormat="1" hidden="1">
      <c r="B618" s="155"/>
      <c r="C618" s="155"/>
      <c r="D618" s="155"/>
      <c r="E618" s="155"/>
      <c r="F618" s="155"/>
      <c r="G618" s="155"/>
      <c r="H618" s="155"/>
      <c r="I618" s="155"/>
      <c r="J618" s="155"/>
      <c r="K618" s="155"/>
      <c r="L618" s="155"/>
      <c r="M618" s="155"/>
      <c r="N618" s="155"/>
      <c r="O618" s="155"/>
      <c r="P618" s="155"/>
      <c r="Q618" s="155"/>
      <c r="R618" s="155"/>
      <c r="S618" s="155"/>
      <c r="T618" s="155"/>
      <c r="U618" s="155"/>
      <c r="V618" s="155"/>
      <c r="W618" s="155"/>
      <c r="GL618" s="155"/>
      <c r="GM618" s="155"/>
      <c r="GN618" s="155"/>
      <c r="GO618" s="155"/>
      <c r="GP618" s="155"/>
      <c r="GQ618" s="155"/>
      <c r="GR618" s="155"/>
      <c r="GS618" s="155"/>
      <c r="GT618" s="155"/>
      <c r="GU618" s="155"/>
      <c r="GV618" s="155"/>
      <c r="GW618" s="155"/>
      <c r="GX618" s="155"/>
      <c r="GY618" s="155"/>
      <c r="GZ618" s="155"/>
      <c r="HA618" s="155"/>
      <c r="HB618" s="155"/>
      <c r="HC618" s="155"/>
      <c r="HD618" s="155"/>
      <c r="HE618" s="155"/>
    </row>
    <row r="619" spans="2:213" s="156" customFormat="1" hidden="1">
      <c r="B619" s="155"/>
      <c r="C619" s="155"/>
      <c r="D619" s="155"/>
      <c r="E619" s="155"/>
      <c r="F619" s="155"/>
      <c r="G619" s="155"/>
      <c r="H619" s="155"/>
      <c r="I619" s="155"/>
      <c r="J619" s="155"/>
      <c r="K619" s="155"/>
      <c r="L619" s="155"/>
      <c r="M619" s="155"/>
      <c r="N619" s="155"/>
      <c r="O619" s="155"/>
      <c r="P619" s="155"/>
      <c r="Q619" s="155"/>
      <c r="R619" s="155"/>
      <c r="S619" s="155"/>
      <c r="T619" s="155"/>
      <c r="U619" s="155"/>
      <c r="V619" s="155"/>
      <c r="W619" s="155"/>
      <c r="GL619" s="155"/>
      <c r="GM619" s="155"/>
      <c r="GN619" s="155"/>
      <c r="GO619" s="155"/>
      <c r="GP619" s="155"/>
      <c r="GQ619" s="155"/>
      <c r="GR619" s="155"/>
      <c r="GS619" s="155"/>
      <c r="GT619" s="155"/>
      <c r="GU619" s="155"/>
      <c r="GV619" s="155"/>
      <c r="GW619" s="155"/>
      <c r="GX619" s="155"/>
      <c r="GY619" s="155"/>
      <c r="GZ619" s="155"/>
      <c r="HA619" s="155"/>
      <c r="HB619" s="155"/>
      <c r="HC619" s="155"/>
      <c r="HD619" s="155"/>
      <c r="HE619" s="155"/>
    </row>
    <row r="620" spans="2:213" s="156" customFormat="1" hidden="1">
      <c r="B620" s="155"/>
      <c r="C620" s="155"/>
      <c r="D620" s="155"/>
      <c r="E620" s="155"/>
      <c r="F620" s="155"/>
      <c r="G620" s="155"/>
      <c r="H620" s="155"/>
      <c r="I620" s="155"/>
      <c r="J620" s="155"/>
      <c r="K620" s="155"/>
      <c r="L620" s="155"/>
      <c r="M620" s="155"/>
      <c r="N620" s="155"/>
      <c r="O620" s="155"/>
      <c r="P620" s="155"/>
      <c r="Q620" s="155"/>
      <c r="R620" s="155"/>
      <c r="S620" s="155"/>
      <c r="T620" s="155"/>
      <c r="U620" s="155"/>
      <c r="V620" s="155"/>
      <c r="W620" s="155"/>
      <c r="GL620" s="155"/>
      <c r="GM620" s="155"/>
      <c r="GN620" s="155"/>
      <c r="GO620" s="155"/>
      <c r="GP620" s="155"/>
      <c r="GQ620" s="155"/>
      <c r="GR620" s="155"/>
      <c r="GS620" s="155"/>
      <c r="GT620" s="155"/>
      <c r="GU620" s="155"/>
      <c r="GV620" s="155"/>
      <c r="GW620" s="155"/>
      <c r="GX620" s="155"/>
      <c r="GY620" s="155"/>
      <c r="GZ620" s="155"/>
      <c r="HA620" s="155"/>
      <c r="HB620" s="155"/>
      <c r="HC620" s="155"/>
      <c r="HD620" s="155"/>
      <c r="HE620" s="155"/>
    </row>
    <row r="621" spans="2:213" s="156" customFormat="1" hidden="1">
      <c r="B621" s="155"/>
      <c r="C621" s="155"/>
      <c r="D621" s="155"/>
      <c r="E621" s="155"/>
      <c r="F621" s="155"/>
      <c r="G621" s="155"/>
      <c r="H621" s="155"/>
      <c r="I621" s="155"/>
      <c r="J621" s="155"/>
      <c r="K621" s="155"/>
      <c r="L621" s="155"/>
      <c r="M621" s="155"/>
      <c r="N621" s="155"/>
      <c r="O621" s="155"/>
      <c r="P621" s="155"/>
      <c r="Q621" s="155"/>
      <c r="R621" s="155"/>
      <c r="S621" s="155"/>
      <c r="T621" s="155"/>
      <c r="U621" s="155"/>
      <c r="V621" s="155"/>
      <c r="W621" s="155"/>
      <c r="GL621" s="155"/>
      <c r="GM621" s="155"/>
      <c r="GN621" s="155"/>
      <c r="GO621" s="155"/>
      <c r="GP621" s="155"/>
      <c r="GQ621" s="155"/>
      <c r="GR621" s="155"/>
      <c r="GS621" s="155"/>
      <c r="GT621" s="155"/>
      <c r="GU621" s="155"/>
      <c r="GV621" s="155"/>
      <c r="GW621" s="155"/>
      <c r="GX621" s="155"/>
      <c r="GY621" s="155"/>
      <c r="GZ621" s="155"/>
      <c r="HA621" s="155"/>
      <c r="HB621" s="155"/>
      <c r="HC621" s="155"/>
      <c r="HD621" s="155"/>
      <c r="HE621" s="155"/>
    </row>
    <row r="622" spans="2:213" s="156" customFormat="1" hidden="1">
      <c r="B622" s="155"/>
      <c r="C622" s="155"/>
      <c r="D622" s="155"/>
      <c r="E622" s="155"/>
      <c r="F622" s="155"/>
      <c r="G622" s="155"/>
      <c r="H622" s="155"/>
      <c r="I622" s="155"/>
      <c r="J622" s="155"/>
      <c r="K622" s="155"/>
      <c r="L622" s="155"/>
      <c r="M622" s="155"/>
      <c r="N622" s="155"/>
      <c r="O622" s="155"/>
      <c r="P622" s="155"/>
      <c r="Q622" s="155"/>
      <c r="R622" s="155"/>
      <c r="S622" s="155"/>
      <c r="T622" s="155"/>
      <c r="U622" s="155"/>
      <c r="V622" s="155"/>
      <c r="W622" s="155"/>
      <c r="GL622" s="155"/>
      <c r="GM622" s="155"/>
      <c r="GN622" s="155"/>
      <c r="GO622" s="155"/>
      <c r="GP622" s="155"/>
      <c r="GQ622" s="155"/>
      <c r="GR622" s="155"/>
      <c r="GS622" s="155"/>
      <c r="GT622" s="155"/>
      <c r="GU622" s="155"/>
      <c r="GV622" s="155"/>
      <c r="GW622" s="155"/>
      <c r="GX622" s="155"/>
      <c r="GY622" s="155"/>
      <c r="GZ622" s="155"/>
      <c r="HA622" s="155"/>
      <c r="HB622" s="155"/>
      <c r="HC622" s="155"/>
      <c r="HD622" s="155"/>
      <c r="HE622" s="155"/>
    </row>
    <row r="623" spans="2:213" s="156" customFormat="1" hidden="1">
      <c r="B623" s="155"/>
      <c r="C623" s="155"/>
      <c r="D623" s="155"/>
      <c r="E623" s="155"/>
      <c r="F623" s="155"/>
      <c r="G623" s="155"/>
      <c r="H623" s="155"/>
      <c r="I623" s="155"/>
      <c r="J623" s="155"/>
      <c r="K623" s="155"/>
      <c r="L623" s="155"/>
      <c r="M623" s="155"/>
      <c r="N623" s="155"/>
      <c r="O623" s="155"/>
      <c r="P623" s="155"/>
      <c r="Q623" s="155"/>
      <c r="R623" s="155"/>
      <c r="S623" s="155"/>
      <c r="T623" s="155"/>
      <c r="U623" s="155"/>
      <c r="V623" s="155"/>
      <c r="W623" s="155"/>
      <c r="GL623" s="155"/>
      <c r="GM623" s="155"/>
      <c r="GN623" s="155"/>
      <c r="GO623" s="155"/>
      <c r="GP623" s="155"/>
      <c r="GQ623" s="155"/>
      <c r="GR623" s="155"/>
      <c r="GS623" s="155"/>
      <c r="GT623" s="155"/>
      <c r="GU623" s="155"/>
      <c r="GV623" s="155"/>
      <c r="GW623" s="155"/>
      <c r="GX623" s="155"/>
      <c r="GY623" s="155"/>
      <c r="GZ623" s="155"/>
      <c r="HA623" s="155"/>
      <c r="HB623" s="155"/>
      <c r="HC623" s="155"/>
      <c r="HD623" s="155"/>
      <c r="HE623" s="155"/>
    </row>
    <row r="624" spans="2:213" s="156" customFormat="1" hidden="1">
      <c r="B624" s="155"/>
      <c r="C624" s="155"/>
      <c r="D624" s="155"/>
      <c r="E624" s="155"/>
      <c r="F624" s="155"/>
      <c r="G624" s="155"/>
      <c r="H624" s="155"/>
      <c r="I624" s="155"/>
      <c r="J624" s="155"/>
      <c r="K624" s="155"/>
      <c r="L624" s="155"/>
      <c r="M624" s="155"/>
      <c r="N624" s="155"/>
      <c r="O624" s="155"/>
      <c r="P624" s="155"/>
      <c r="Q624" s="155"/>
      <c r="R624" s="155"/>
      <c r="S624" s="155"/>
      <c r="T624" s="155"/>
      <c r="U624" s="155"/>
      <c r="V624" s="155"/>
      <c r="W624" s="155"/>
      <c r="GL624" s="155"/>
      <c r="GM624" s="155"/>
      <c r="GN624" s="155"/>
      <c r="GO624" s="155"/>
      <c r="GP624" s="155"/>
      <c r="GQ624" s="155"/>
      <c r="GR624" s="155"/>
      <c r="GS624" s="155"/>
      <c r="GT624" s="155"/>
      <c r="GU624" s="155"/>
      <c r="GV624" s="155"/>
      <c r="GW624" s="155"/>
      <c r="GX624" s="155"/>
      <c r="GY624" s="155"/>
      <c r="GZ624" s="155"/>
      <c r="HA624" s="155"/>
      <c r="HB624" s="155"/>
      <c r="HC624" s="155"/>
      <c r="HD624" s="155"/>
      <c r="HE624" s="155"/>
    </row>
    <row r="625" spans="2:213" s="156" customFormat="1" hidden="1">
      <c r="B625" s="155"/>
      <c r="C625" s="155"/>
      <c r="D625" s="155"/>
      <c r="E625" s="155"/>
      <c r="F625" s="155"/>
      <c r="G625" s="155"/>
      <c r="H625" s="155"/>
      <c r="I625" s="155"/>
      <c r="J625" s="155"/>
      <c r="K625" s="155"/>
      <c r="L625" s="155"/>
      <c r="M625" s="155"/>
      <c r="N625" s="155"/>
      <c r="O625" s="155"/>
      <c r="P625" s="155"/>
      <c r="Q625" s="155"/>
      <c r="R625" s="155"/>
      <c r="S625" s="155"/>
      <c r="T625" s="155"/>
      <c r="U625" s="155"/>
      <c r="V625" s="155"/>
      <c r="W625" s="155"/>
      <c r="GL625" s="155"/>
      <c r="GM625" s="155"/>
      <c r="GN625" s="155"/>
      <c r="GO625" s="155"/>
      <c r="GP625" s="155"/>
      <c r="GQ625" s="155"/>
      <c r="GR625" s="155"/>
      <c r="GS625" s="155"/>
      <c r="GT625" s="155"/>
      <c r="GU625" s="155"/>
      <c r="GV625" s="155"/>
      <c r="GW625" s="155"/>
      <c r="GX625" s="155"/>
      <c r="GY625" s="155"/>
      <c r="GZ625" s="155"/>
      <c r="HA625" s="155"/>
      <c r="HB625" s="155"/>
      <c r="HC625" s="155"/>
      <c r="HD625" s="155"/>
      <c r="HE625" s="155"/>
    </row>
    <row r="626" spans="2:213" s="156" customFormat="1" hidden="1">
      <c r="B626" s="155"/>
      <c r="C626" s="155"/>
      <c r="D626" s="155"/>
      <c r="E626" s="155"/>
      <c r="F626" s="155"/>
      <c r="G626" s="155"/>
      <c r="H626" s="155"/>
      <c r="I626" s="155"/>
      <c r="J626" s="155"/>
      <c r="K626" s="155"/>
      <c r="L626" s="155"/>
      <c r="M626" s="155"/>
      <c r="N626" s="155"/>
      <c r="O626" s="155"/>
      <c r="P626" s="155"/>
      <c r="Q626" s="155"/>
      <c r="R626" s="155"/>
      <c r="S626" s="155"/>
      <c r="T626" s="155"/>
      <c r="U626" s="155"/>
      <c r="V626" s="155"/>
      <c r="W626" s="155"/>
      <c r="GL626" s="155"/>
      <c r="GM626" s="155"/>
      <c r="GN626" s="155"/>
      <c r="GO626" s="155"/>
      <c r="GP626" s="155"/>
      <c r="GQ626" s="155"/>
      <c r="GR626" s="155"/>
      <c r="GS626" s="155"/>
      <c r="GT626" s="155"/>
      <c r="GU626" s="155"/>
      <c r="GV626" s="155"/>
      <c r="GW626" s="155"/>
      <c r="GX626" s="155"/>
      <c r="GY626" s="155"/>
      <c r="GZ626" s="155"/>
      <c r="HA626" s="155"/>
      <c r="HB626" s="155"/>
      <c r="HC626" s="155"/>
      <c r="HD626" s="155"/>
      <c r="HE626" s="155"/>
    </row>
    <row r="627" spans="2:213" s="156" customFormat="1" hidden="1">
      <c r="B627" s="155"/>
      <c r="C627" s="155"/>
      <c r="D627" s="155"/>
      <c r="E627" s="155"/>
      <c r="F627" s="155"/>
      <c r="G627" s="155"/>
      <c r="H627" s="155"/>
      <c r="I627" s="155"/>
      <c r="J627" s="155"/>
      <c r="K627" s="155"/>
      <c r="L627" s="155"/>
      <c r="M627" s="155"/>
      <c r="N627" s="155"/>
      <c r="O627" s="155"/>
      <c r="P627" s="155"/>
      <c r="Q627" s="155"/>
      <c r="R627" s="155"/>
      <c r="S627" s="155"/>
      <c r="T627" s="155"/>
      <c r="U627" s="155"/>
      <c r="V627" s="155"/>
      <c r="W627" s="155"/>
      <c r="GL627" s="155"/>
      <c r="GM627" s="155"/>
      <c r="GN627" s="155"/>
      <c r="GO627" s="155"/>
      <c r="GP627" s="155"/>
      <c r="GQ627" s="155"/>
      <c r="GR627" s="155"/>
      <c r="GS627" s="155"/>
      <c r="GT627" s="155"/>
      <c r="GU627" s="155"/>
      <c r="GV627" s="155"/>
      <c r="GW627" s="155"/>
      <c r="GX627" s="155"/>
      <c r="GY627" s="155"/>
      <c r="GZ627" s="155"/>
      <c r="HA627" s="155"/>
      <c r="HB627" s="155"/>
      <c r="HC627" s="155"/>
      <c r="HD627" s="155"/>
      <c r="HE627" s="155"/>
    </row>
    <row r="628" spans="2:213" s="156" customFormat="1" hidden="1">
      <c r="B628" s="155"/>
      <c r="C628" s="155"/>
      <c r="D628" s="155"/>
      <c r="E628" s="155"/>
      <c r="F628" s="155"/>
      <c r="G628" s="155"/>
      <c r="H628" s="155"/>
      <c r="I628" s="155"/>
      <c r="J628" s="155"/>
      <c r="K628" s="155"/>
      <c r="L628" s="155"/>
      <c r="M628" s="155"/>
      <c r="N628" s="155"/>
      <c r="O628" s="155"/>
      <c r="P628" s="155"/>
      <c r="Q628" s="155"/>
      <c r="R628" s="155"/>
      <c r="S628" s="155"/>
      <c r="T628" s="155"/>
      <c r="U628" s="155"/>
      <c r="V628" s="155"/>
      <c r="W628" s="155"/>
      <c r="GL628" s="155"/>
      <c r="GM628" s="155"/>
      <c r="GN628" s="155"/>
      <c r="GO628" s="155"/>
      <c r="GP628" s="155"/>
      <c r="GQ628" s="155"/>
      <c r="GR628" s="155"/>
      <c r="GS628" s="155"/>
      <c r="GT628" s="155"/>
      <c r="GU628" s="155"/>
      <c r="GV628" s="155"/>
      <c r="GW628" s="155"/>
      <c r="GX628" s="155"/>
      <c r="GY628" s="155"/>
      <c r="GZ628" s="155"/>
      <c r="HA628" s="155"/>
      <c r="HB628" s="155"/>
      <c r="HC628" s="155"/>
      <c r="HD628" s="155"/>
      <c r="HE628" s="155"/>
    </row>
    <row r="629" spans="2:213" s="156" customFormat="1" hidden="1">
      <c r="B629" s="155"/>
      <c r="C629" s="155"/>
      <c r="D629" s="155"/>
      <c r="E629" s="155"/>
      <c r="F629" s="155"/>
      <c r="G629" s="155"/>
      <c r="H629" s="155"/>
      <c r="I629" s="155"/>
      <c r="J629" s="155"/>
      <c r="K629" s="155"/>
      <c r="L629" s="155"/>
      <c r="M629" s="155"/>
      <c r="N629" s="155"/>
      <c r="O629" s="155"/>
      <c r="P629" s="155"/>
      <c r="Q629" s="155"/>
      <c r="R629" s="155"/>
      <c r="S629" s="155"/>
      <c r="T629" s="155"/>
      <c r="U629" s="155"/>
      <c r="V629" s="155"/>
      <c r="W629" s="155"/>
      <c r="GL629" s="155"/>
      <c r="GM629" s="155"/>
      <c r="GN629" s="155"/>
      <c r="GO629" s="155"/>
      <c r="GP629" s="155"/>
      <c r="GQ629" s="155"/>
      <c r="GR629" s="155"/>
      <c r="GS629" s="155"/>
      <c r="GT629" s="155"/>
      <c r="GU629" s="155"/>
      <c r="GV629" s="155"/>
      <c r="GW629" s="155"/>
      <c r="GX629" s="155"/>
      <c r="GY629" s="155"/>
      <c r="GZ629" s="155"/>
      <c r="HA629" s="155"/>
      <c r="HB629" s="155"/>
      <c r="HC629" s="155"/>
      <c r="HD629" s="155"/>
      <c r="HE629" s="155"/>
    </row>
    <row r="630" spans="2:213" s="156" customFormat="1" hidden="1">
      <c r="B630" s="155"/>
      <c r="C630" s="155"/>
      <c r="D630" s="155"/>
      <c r="E630" s="155"/>
      <c r="F630" s="155"/>
      <c r="G630" s="155"/>
      <c r="H630" s="155"/>
      <c r="I630" s="155"/>
      <c r="J630" s="155"/>
      <c r="K630" s="155"/>
      <c r="L630" s="155"/>
      <c r="M630" s="155"/>
      <c r="N630" s="155"/>
      <c r="O630" s="155"/>
      <c r="P630" s="155"/>
      <c r="Q630" s="155"/>
      <c r="R630" s="155"/>
      <c r="S630" s="155"/>
      <c r="T630" s="155"/>
      <c r="U630" s="155"/>
      <c r="V630" s="155"/>
      <c r="W630" s="155"/>
      <c r="GL630" s="155"/>
      <c r="GM630" s="155"/>
      <c r="GN630" s="155"/>
      <c r="GO630" s="155"/>
      <c r="GP630" s="155"/>
      <c r="GQ630" s="155"/>
      <c r="GR630" s="155"/>
      <c r="GS630" s="155"/>
      <c r="GT630" s="155"/>
      <c r="GU630" s="155"/>
      <c r="GV630" s="155"/>
      <c r="GW630" s="155"/>
      <c r="GX630" s="155"/>
      <c r="GY630" s="155"/>
      <c r="GZ630" s="155"/>
      <c r="HA630" s="155"/>
      <c r="HB630" s="155"/>
      <c r="HC630" s="155"/>
      <c r="HD630" s="155"/>
      <c r="HE630" s="155"/>
    </row>
    <row r="631" spans="2:213" s="156" customFormat="1" hidden="1">
      <c r="B631" s="155"/>
      <c r="C631" s="155"/>
      <c r="D631" s="155"/>
      <c r="E631" s="155"/>
      <c r="F631" s="155"/>
      <c r="G631" s="155"/>
      <c r="H631" s="155"/>
      <c r="I631" s="155"/>
      <c r="J631" s="155"/>
      <c r="K631" s="155"/>
      <c r="L631" s="155"/>
      <c r="M631" s="155"/>
      <c r="N631" s="155"/>
      <c r="O631" s="155"/>
      <c r="P631" s="155"/>
      <c r="Q631" s="155"/>
      <c r="R631" s="155"/>
      <c r="S631" s="155"/>
      <c r="T631" s="155"/>
      <c r="U631" s="155"/>
      <c r="V631" s="155"/>
      <c r="W631" s="155"/>
      <c r="GL631" s="155"/>
      <c r="GM631" s="155"/>
      <c r="GN631" s="155"/>
      <c r="GO631" s="155"/>
      <c r="GP631" s="155"/>
      <c r="GQ631" s="155"/>
      <c r="GR631" s="155"/>
      <c r="GS631" s="155"/>
      <c r="GT631" s="155"/>
      <c r="GU631" s="155"/>
      <c r="GV631" s="155"/>
      <c r="GW631" s="155"/>
      <c r="GX631" s="155"/>
      <c r="GY631" s="155"/>
      <c r="GZ631" s="155"/>
      <c r="HA631" s="155"/>
      <c r="HB631" s="155"/>
      <c r="HC631" s="155"/>
      <c r="HD631" s="155"/>
      <c r="HE631" s="155"/>
    </row>
    <row r="632" spans="2:213" s="156" customFormat="1" hidden="1">
      <c r="B632" s="155"/>
      <c r="C632" s="155"/>
      <c r="D632" s="155"/>
      <c r="E632" s="155"/>
      <c r="F632" s="155"/>
      <c r="G632" s="155"/>
      <c r="H632" s="155"/>
      <c r="I632" s="155"/>
      <c r="J632" s="155"/>
      <c r="K632" s="155"/>
      <c r="L632" s="155"/>
      <c r="M632" s="155"/>
      <c r="N632" s="155"/>
      <c r="O632" s="155"/>
      <c r="P632" s="155"/>
      <c r="Q632" s="155"/>
      <c r="R632" s="155"/>
      <c r="S632" s="155"/>
      <c r="T632" s="155"/>
      <c r="U632" s="155"/>
      <c r="V632" s="155"/>
      <c r="W632" s="155"/>
      <c r="GL632" s="155"/>
      <c r="GM632" s="155"/>
      <c r="GN632" s="155"/>
      <c r="GO632" s="155"/>
      <c r="GP632" s="155"/>
      <c r="GQ632" s="155"/>
      <c r="GR632" s="155"/>
      <c r="GS632" s="155"/>
      <c r="GT632" s="155"/>
      <c r="GU632" s="155"/>
      <c r="GV632" s="155"/>
      <c r="GW632" s="155"/>
      <c r="GX632" s="155"/>
      <c r="GY632" s="155"/>
      <c r="GZ632" s="155"/>
      <c r="HA632" s="155"/>
      <c r="HB632" s="155"/>
      <c r="HC632" s="155"/>
      <c r="HD632" s="155"/>
      <c r="HE632" s="155"/>
    </row>
    <row r="633" spans="2:213" s="156" customFormat="1" hidden="1">
      <c r="B633" s="155"/>
      <c r="C633" s="155"/>
      <c r="D633" s="155"/>
      <c r="E633" s="155"/>
      <c r="F633" s="155"/>
      <c r="G633" s="155"/>
      <c r="H633" s="155"/>
      <c r="I633" s="155"/>
      <c r="J633" s="155"/>
      <c r="K633" s="155"/>
      <c r="L633" s="155"/>
      <c r="M633" s="155"/>
      <c r="N633" s="155"/>
      <c r="O633" s="155"/>
      <c r="P633" s="155"/>
      <c r="Q633" s="155"/>
      <c r="R633" s="155"/>
      <c r="S633" s="155"/>
      <c r="T633" s="155"/>
      <c r="U633" s="155"/>
      <c r="V633" s="155"/>
      <c r="W633" s="155"/>
      <c r="GL633" s="155"/>
      <c r="GM633" s="155"/>
      <c r="GN633" s="155"/>
      <c r="GO633" s="155"/>
      <c r="GP633" s="155"/>
      <c r="GQ633" s="155"/>
      <c r="GR633" s="155"/>
      <c r="GS633" s="155"/>
      <c r="GT633" s="155"/>
      <c r="GU633" s="155"/>
      <c r="GV633" s="155"/>
      <c r="GW633" s="155"/>
      <c r="GX633" s="155"/>
      <c r="GY633" s="155"/>
      <c r="GZ633" s="155"/>
      <c r="HA633" s="155"/>
      <c r="HB633" s="155"/>
      <c r="HC633" s="155"/>
      <c r="HD633" s="155"/>
      <c r="HE633" s="155"/>
    </row>
    <row r="634" spans="2:213" s="156" customFormat="1" hidden="1">
      <c r="B634" s="155"/>
      <c r="C634" s="155"/>
      <c r="D634" s="155"/>
      <c r="E634" s="155"/>
      <c r="F634" s="155"/>
      <c r="G634" s="155"/>
      <c r="H634" s="155"/>
      <c r="I634" s="155"/>
      <c r="J634" s="155"/>
      <c r="K634" s="155"/>
      <c r="L634" s="155"/>
      <c r="M634" s="155"/>
      <c r="N634" s="155"/>
      <c r="O634" s="155"/>
      <c r="P634" s="155"/>
      <c r="Q634" s="155"/>
      <c r="R634" s="155"/>
      <c r="S634" s="155"/>
      <c r="T634" s="155"/>
      <c r="U634" s="155"/>
      <c r="V634" s="155"/>
      <c r="W634" s="155"/>
      <c r="GL634" s="155"/>
      <c r="GM634" s="155"/>
      <c r="GN634" s="155"/>
      <c r="GO634" s="155"/>
      <c r="GP634" s="155"/>
      <c r="GQ634" s="155"/>
      <c r="GR634" s="155"/>
      <c r="GS634" s="155"/>
      <c r="GT634" s="155"/>
      <c r="GU634" s="155"/>
      <c r="GV634" s="155"/>
      <c r="GW634" s="155"/>
      <c r="GX634" s="155"/>
      <c r="GY634" s="155"/>
      <c r="GZ634" s="155"/>
      <c r="HA634" s="155"/>
      <c r="HB634" s="155"/>
      <c r="HC634" s="155"/>
      <c r="HD634" s="155"/>
      <c r="HE634" s="155"/>
    </row>
    <row r="635" spans="2:213" s="156" customFormat="1" hidden="1">
      <c r="B635" s="155"/>
      <c r="C635" s="155"/>
      <c r="D635" s="155"/>
      <c r="E635" s="155"/>
      <c r="F635" s="155"/>
      <c r="G635" s="155"/>
      <c r="H635" s="155"/>
      <c r="I635" s="155"/>
      <c r="J635" s="155"/>
      <c r="K635" s="155"/>
      <c r="L635" s="155"/>
      <c r="M635" s="155"/>
      <c r="N635" s="155"/>
      <c r="O635" s="155"/>
      <c r="P635" s="155"/>
      <c r="Q635" s="155"/>
      <c r="R635" s="155"/>
      <c r="S635" s="155"/>
      <c r="T635" s="155"/>
      <c r="U635" s="155"/>
      <c r="V635" s="155"/>
      <c r="W635" s="155"/>
      <c r="GL635" s="155"/>
      <c r="GM635" s="155"/>
      <c r="GN635" s="155"/>
      <c r="GO635" s="155"/>
      <c r="GP635" s="155"/>
      <c r="GQ635" s="155"/>
      <c r="GR635" s="155"/>
      <c r="GS635" s="155"/>
      <c r="GT635" s="155"/>
      <c r="GU635" s="155"/>
      <c r="GV635" s="155"/>
      <c r="GW635" s="155"/>
      <c r="GX635" s="155"/>
      <c r="GY635" s="155"/>
      <c r="GZ635" s="155"/>
      <c r="HA635" s="155"/>
      <c r="HB635" s="155"/>
      <c r="HC635" s="155"/>
      <c r="HD635" s="155"/>
      <c r="HE635" s="155"/>
    </row>
    <row r="636" spans="2:213" s="156" customFormat="1" hidden="1">
      <c r="B636" s="155"/>
      <c r="C636" s="155"/>
      <c r="D636" s="155"/>
      <c r="E636" s="155"/>
      <c r="F636" s="155"/>
      <c r="G636" s="155"/>
      <c r="H636" s="155"/>
      <c r="I636" s="155"/>
      <c r="J636" s="155"/>
      <c r="K636" s="155"/>
      <c r="L636" s="155"/>
      <c r="M636" s="155"/>
      <c r="N636" s="155"/>
      <c r="O636" s="155"/>
      <c r="P636" s="155"/>
      <c r="Q636" s="155"/>
      <c r="R636" s="155"/>
      <c r="S636" s="155"/>
      <c r="T636" s="155"/>
      <c r="U636" s="155"/>
      <c r="V636" s="155"/>
      <c r="W636" s="155"/>
      <c r="GL636" s="155"/>
      <c r="GM636" s="155"/>
      <c r="GN636" s="155"/>
      <c r="GO636" s="155"/>
      <c r="GP636" s="155"/>
      <c r="GQ636" s="155"/>
      <c r="GR636" s="155"/>
      <c r="GS636" s="155"/>
      <c r="GT636" s="155"/>
      <c r="GU636" s="155"/>
      <c r="GV636" s="155"/>
      <c r="GW636" s="155"/>
      <c r="GX636" s="155"/>
      <c r="GY636" s="155"/>
      <c r="GZ636" s="155"/>
      <c r="HA636" s="155"/>
      <c r="HB636" s="155"/>
      <c r="HC636" s="155"/>
      <c r="HD636" s="155"/>
      <c r="HE636" s="155"/>
    </row>
    <row r="637" spans="2:213" s="156" customFormat="1" hidden="1">
      <c r="B637" s="155"/>
      <c r="C637" s="155"/>
      <c r="D637" s="155"/>
      <c r="E637" s="155"/>
      <c r="F637" s="155"/>
      <c r="G637" s="155"/>
      <c r="H637" s="155"/>
      <c r="I637" s="155"/>
      <c r="J637" s="155"/>
      <c r="K637" s="155"/>
      <c r="L637" s="155"/>
      <c r="M637" s="155"/>
      <c r="N637" s="155"/>
      <c r="O637" s="155"/>
      <c r="P637" s="155"/>
      <c r="Q637" s="155"/>
      <c r="R637" s="155"/>
      <c r="S637" s="155"/>
      <c r="T637" s="155"/>
      <c r="U637" s="155"/>
      <c r="V637" s="155"/>
      <c r="W637" s="155"/>
      <c r="GL637" s="155"/>
      <c r="GM637" s="155"/>
      <c r="GN637" s="155"/>
      <c r="GO637" s="155"/>
      <c r="GP637" s="155"/>
      <c r="GQ637" s="155"/>
      <c r="GR637" s="155"/>
      <c r="GS637" s="155"/>
      <c r="GT637" s="155"/>
      <c r="GU637" s="155"/>
      <c r="GV637" s="155"/>
      <c r="GW637" s="155"/>
      <c r="GX637" s="155"/>
      <c r="GY637" s="155"/>
      <c r="GZ637" s="155"/>
      <c r="HA637" s="155"/>
      <c r="HB637" s="155"/>
      <c r="HC637" s="155"/>
      <c r="HD637" s="155"/>
      <c r="HE637" s="155"/>
    </row>
    <row r="638" spans="2:213" s="156" customFormat="1" hidden="1">
      <c r="B638" s="155"/>
      <c r="C638" s="155"/>
      <c r="D638" s="155"/>
      <c r="E638" s="155"/>
      <c r="F638" s="155"/>
      <c r="G638" s="155"/>
      <c r="H638" s="155"/>
      <c r="I638" s="155"/>
      <c r="J638" s="155"/>
      <c r="K638" s="155"/>
      <c r="L638" s="155"/>
      <c r="M638" s="155"/>
      <c r="N638" s="155"/>
      <c r="O638" s="155"/>
      <c r="P638" s="155"/>
      <c r="Q638" s="155"/>
      <c r="R638" s="155"/>
      <c r="S638" s="155"/>
      <c r="T638" s="155"/>
      <c r="U638" s="155"/>
      <c r="V638" s="155"/>
      <c r="W638" s="155"/>
      <c r="GL638" s="155"/>
      <c r="GM638" s="155"/>
      <c r="GN638" s="155"/>
      <c r="GO638" s="155"/>
      <c r="GP638" s="155"/>
      <c r="GQ638" s="155"/>
      <c r="GR638" s="155"/>
      <c r="GS638" s="155"/>
      <c r="GT638" s="155"/>
      <c r="GU638" s="155"/>
      <c r="GV638" s="155"/>
      <c r="GW638" s="155"/>
      <c r="GX638" s="155"/>
      <c r="GY638" s="155"/>
      <c r="GZ638" s="155"/>
      <c r="HA638" s="155"/>
      <c r="HB638" s="155"/>
      <c r="HC638" s="155"/>
      <c r="HD638" s="155"/>
      <c r="HE638" s="155"/>
    </row>
    <row r="639" spans="2:213" s="156" customFormat="1" hidden="1">
      <c r="B639" s="155"/>
      <c r="C639" s="155"/>
      <c r="D639" s="155"/>
      <c r="E639" s="155"/>
      <c r="F639" s="155"/>
      <c r="G639" s="155"/>
      <c r="H639" s="155"/>
      <c r="I639" s="155"/>
      <c r="J639" s="155"/>
      <c r="K639" s="155"/>
      <c r="L639" s="155"/>
      <c r="M639" s="155"/>
      <c r="N639" s="155"/>
      <c r="O639" s="155"/>
      <c r="P639" s="155"/>
      <c r="Q639" s="155"/>
      <c r="R639" s="155"/>
      <c r="S639" s="155"/>
      <c r="T639" s="155"/>
      <c r="U639" s="155"/>
      <c r="V639" s="155"/>
      <c r="W639" s="155"/>
      <c r="GL639" s="155"/>
      <c r="GM639" s="155"/>
      <c r="GN639" s="155"/>
      <c r="GO639" s="155"/>
      <c r="GP639" s="155"/>
      <c r="GQ639" s="155"/>
      <c r="GR639" s="155"/>
      <c r="GS639" s="155"/>
      <c r="GT639" s="155"/>
      <c r="GU639" s="155"/>
      <c r="GV639" s="155"/>
      <c r="GW639" s="155"/>
      <c r="GX639" s="155"/>
      <c r="GY639" s="155"/>
      <c r="GZ639" s="155"/>
      <c r="HA639" s="155"/>
      <c r="HB639" s="155"/>
      <c r="HC639" s="155"/>
      <c r="HD639" s="155"/>
      <c r="HE639" s="155"/>
    </row>
    <row r="640" spans="2:213" s="156" customFormat="1" hidden="1">
      <c r="B640" s="155"/>
      <c r="C640" s="155"/>
      <c r="D640" s="155"/>
      <c r="E640" s="155"/>
      <c r="F640" s="155"/>
      <c r="G640" s="155"/>
      <c r="H640" s="155"/>
      <c r="I640" s="155"/>
      <c r="J640" s="155"/>
      <c r="K640" s="155"/>
      <c r="L640" s="155"/>
      <c r="M640" s="155"/>
      <c r="N640" s="155"/>
      <c r="O640" s="155"/>
      <c r="P640" s="155"/>
      <c r="Q640" s="155"/>
      <c r="R640" s="155"/>
      <c r="S640" s="155"/>
      <c r="T640" s="155"/>
      <c r="U640" s="155"/>
      <c r="V640" s="155"/>
      <c r="W640" s="155"/>
      <c r="GL640" s="155"/>
      <c r="GM640" s="155"/>
      <c r="GN640" s="155"/>
      <c r="GO640" s="155"/>
      <c r="GP640" s="155"/>
      <c r="GQ640" s="155"/>
      <c r="GR640" s="155"/>
      <c r="GS640" s="155"/>
      <c r="GT640" s="155"/>
      <c r="GU640" s="155"/>
      <c r="GV640" s="155"/>
      <c r="GW640" s="155"/>
      <c r="GX640" s="155"/>
      <c r="GY640" s="155"/>
      <c r="GZ640" s="155"/>
      <c r="HA640" s="155"/>
      <c r="HB640" s="155"/>
      <c r="HC640" s="155"/>
      <c r="HD640" s="155"/>
      <c r="HE640" s="155"/>
    </row>
    <row r="641" spans="2:213" s="156" customFormat="1" hidden="1">
      <c r="B641" s="155"/>
      <c r="C641" s="155"/>
      <c r="D641" s="155"/>
      <c r="E641" s="155"/>
      <c r="F641" s="155"/>
      <c r="G641" s="155"/>
      <c r="H641" s="155"/>
      <c r="I641" s="155"/>
      <c r="J641" s="155"/>
      <c r="K641" s="155"/>
      <c r="L641" s="155"/>
      <c r="M641" s="155"/>
      <c r="N641" s="155"/>
      <c r="O641" s="155"/>
      <c r="P641" s="155"/>
      <c r="Q641" s="155"/>
      <c r="R641" s="155"/>
      <c r="S641" s="155"/>
      <c r="T641" s="155"/>
      <c r="U641" s="155"/>
      <c r="V641" s="155"/>
      <c r="W641" s="155"/>
      <c r="GL641" s="155"/>
      <c r="GM641" s="155"/>
      <c r="GN641" s="155"/>
      <c r="GO641" s="155"/>
      <c r="GP641" s="155"/>
      <c r="GQ641" s="155"/>
      <c r="GR641" s="155"/>
      <c r="GS641" s="155"/>
      <c r="GT641" s="155"/>
      <c r="GU641" s="155"/>
      <c r="GV641" s="155"/>
      <c r="GW641" s="155"/>
      <c r="GX641" s="155"/>
      <c r="GY641" s="155"/>
      <c r="GZ641" s="155"/>
      <c r="HA641" s="155"/>
      <c r="HB641" s="155"/>
      <c r="HC641" s="155"/>
      <c r="HD641" s="155"/>
      <c r="HE641" s="155"/>
    </row>
    <row r="642" spans="2:213" s="156" customFormat="1" hidden="1">
      <c r="B642" s="155"/>
      <c r="C642" s="155"/>
      <c r="D642" s="155"/>
      <c r="E642" s="155"/>
      <c r="F642" s="155"/>
      <c r="G642" s="155"/>
      <c r="H642" s="155"/>
      <c r="I642" s="155"/>
      <c r="J642" s="155"/>
      <c r="K642" s="155"/>
      <c r="L642" s="155"/>
      <c r="M642" s="155"/>
      <c r="N642" s="155"/>
      <c r="O642" s="155"/>
      <c r="P642" s="155"/>
      <c r="Q642" s="155"/>
      <c r="R642" s="155"/>
      <c r="S642" s="155"/>
      <c r="T642" s="155"/>
      <c r="U642" s="155"/>
      <c r="V642" s="155"/>
      <c r="W642" s="155"/>
      <c r="GL642" s="155"/>
      <c r="GM642" s="155"/>
      <c r="GN642" s="155"/>
      <c r="GO642" s="155"/>
      <c r="GP642" s="155"/>
      <c r="GQ642" s="155"/>
      <c r="GR642" s="155"/>
      <c r="GS642" s="155"/>
      <c r="GT642" s="155"/>
      <c r="GU642" s="155"/>
      <c r="GV642" s="155"/>
      <c r="GW642" s="155"/>
      <c r="GX642" s="155"/>
      <c r="GY642" s="155"/>
      <c r="GZ642" s="155"/>
      <c r="HA642" s="155"/>
      <c r="HB642" s="155"/>
      <c r="HC642" s="155"/>
      <c r="HD642" s="155"/>
      <c r="HE642" s="155"/>
    </row>
    <row r="643" spans="2:213" s="156" customFormat="1" hidden="1">
      <c r="B643" s="155"/>
      <c r="C643" s="155"/>
      <c r="D643" s="155"/>
      <c r="E643" s="155"/>
      <c r="F643" s="155"/>
      <c r="G643" s="155"/>
      <c r="H643" s="155"/>
      <c r="I643" s="155"/>
      <c r="J643" s="155"/>
      <c r="K643" s="155"/>
      <c r="L643" s="155"/>
      <c r="M643" s="155"/>
      <c r="N643" s="155"/>
      <c r="O643" s="155"/>
      <c r="P643" s="155"/>
      <c r="Q643" s="155"/>
      <c r="R643" s="155"/>
      <c r="S643" s="155"/>
      <c r="T643" s="155"/>
      <c r="U643" s="155"/>
      <c r="V643" s="155"/>
      <c r="W643" s="155"/>
      <c r="GL643" s="155"/>
      <c r="GM643" s="155"/>
      <c r="GN643" s="155"/>
      <c r="GO643" s="155"/>
      <c r="GP643" s="155"/>
      <c r="GQ643" s="155"/>
      <c r="GR643" s="155"/>
      <c r="GS643" s="155"/>
      <c r="GT643" s="155"/>
      <c r="GU643" s="155"/>
      <c r="GV643" s="155"/>
      <c r="GW643" s="155"/>
      <c r="GX643" s="155"/>
      <c r="GY643" s="155"/>
      <c r="GZ643" s="155"/>
      <c r="HA643" s="155"/>
      <c r="HB643" s="155"/>
      <c r="HC643" s="155"/>
      <c r="HD643" s="155"/>
      <c r="HE643" s="155"/>
    </row>
    <row r="644" spans="2:213" s="156" customFormat="1" hidden="1">
      <c r="B644" s="155"/>
      <c r="C644" s="155"/>
      <c r="D644" s="155"/>
      <c r="E644" s="155"/>
      <c r="F644" s="155"/>
      <c r="G644" s="155"/>
      <c r="H644" s="155"/>
      <c r="I644" s="155"/>
      <c r="J644" s="155"/>
      <c r="K644" s="155"/>
      <c r="L644" s="155"/>
      <c r="M644" s="155"/>
      <c r="N644" s="155"/>
      <c r="O644" s="155"/>
      <c r="P644" s="155"/>
      <c r="Q644" s="155"/>
      <c r="R644" s="155"/>
      <c r="S644" s="155"/>
      <c r="T644" s="155"/>
      <c r="U644" s="155"/>
      <c r="V644" s="155"/>
      <c r="W644" s="155"/>
      <c r="GL644" s="155"/>
      <c r="GM644" s="155"/>
      <c r="GN644" s="155"/>
      <c r="GO644" s="155"/>
      <c r="GP644" s="155"/>
      <c r="GQ644" s="155"/>
      <c r="GR644" s="155"/>
      <c r="GS644" s="155"/>
      <c r="GT644" s="155"/>
      <c r="GU644" s="155"/>
      <c r="GV644" s="155"/>
      <c r="GW644" s="155"/>
      <c r="GX644" s="155"/>
      <c r="GY644" s="155"/>
      <c r="GZ644" s="155"/>
      <c r="HA644" s="155"/>
      <c r="HB644" s="155"/>
      <c r="HC644" s="155"/>
      <c r="HD644" s="155"/>
      <c r="HE644" s="155"/>
    </row>
    <row r="645" spans="2:213" s="156" customFormat="1" hidden="1">
      <c r="B645" s="155"/>
      <c r="C645" s="155"/>
      <c r="D645" s="155"/>
      <c r="E645" s="155"/>
      <c r="F645" s="155"/>
      <c r="G645" s="155"/>
      <c r="H645" s="155"/>
      <c r="I645" s="155"/>
      <c r="J645" s="155"/>
      <c r="K645" s="155"/>
      <c r="L645" s="155"/>
      <c r="M645" s="155"/>
      <c r="N645" s="155"/>
      <c r="O645" s="155"/>
      <c r="P645" s="155"/>
      <c r="Q645" s="155"/>
      <c r="R645" s="155"/>
      <c r="S645" s="155"/>
      <c r="T645" s="155"/>
      <c r="U645" s="155"/>
      <c r="V645" s="155"/>
      <c r="W645" s="155"/>
      <c r="GL645" s="155"/>
      <c r="GM645" s="155"/>
      <c r="GN645" s="155"/>
      <c r="GO645" s="155"/>
      <c r="GP645" s="155"/>
      <c r="GQ645" s="155"/>
      <c r="GR645" s="155"/>
      <c r="GS645" s="155"/>
      <c r="GT645" s="155"/>
      <c r="GU645" s="155"/>
      <c r="GV645" s="155"/>
      <c r="GW645" s="155"/>
      <c r="GX645" s="155"/>
      <c r="GY645" s="155"/>
      <c r="GZ645" s="155"/>
      <c r="HA645" s="155"/>
      <c r="HB645" s="155"/>
      <c r="HC645" s="155"/>
      <c r="HD645" s="155"/>
      <c r="HE645" s="155"/>
    </row>
    <row r="646" spans="2:213" s="156" customFormat="1" hidden="1">
      <c r="B646" s="155"/>
      <c r="C646" s="155"/>
      <c r="D646" s="155"/>
      <c r="E646" s="155"/>
      <c r="F646" s="155"/>
      <c r="G646" s="155"/>
      <c r="H646" s="155"/>
      <c r="I646" s="155"/>
      <c r="J646" s="155"/>
      <c r="K646" s="155"/>
      <c r="L646" s="155"/>
      <c r="M646" s="155"/>
      <c r="N646" s="155"/>
      <c r="O646" s="155"/>
      <c r="P646" s="155"/>
      <c r="Q646" s="155"/>
      <c r="R646" s="155"/>
      <c r="S646" s="155"/>
      <c r="T646" s="155"/>
      <c r="U646" s="155"/>
      <c r="V646" s="155"/>
      <c r="W646" s="155"/>
      <c r="GL646" s="155"/>
      <c r="GM646" s="155"/>
      <c r="GN646" s="155"/>
      <c r="GO646" s="155"/>
      <c r="GP646" s="155"/>
      <c r="GQ646" s="155"/>
      <c r="GR646" s="155"/>
      <c r="GS646" s="155"/>
      <c r="GT646" s="155"/>
      <c r="GU646" s="155"/>
      <c r="GV646" s="155"/>
      <c r="GW646" s="155"/>
      <c r="GX646" s="155"/>
      <c r="GY646" s="155"/>
      <c r="GZ646" s="155"/>
      <c r="HA646" s="155"/>
      <c r="HB646" s="155"/>
      <c r="HC646" s="155"/>
      <c r="HD646" s="155"/>
      <c r="HE646" s="155"/>
    </row>
    <row r="647" spans="2:213" s="156" customFormat="1" hidden="1">
      <c r="B647" s="155"/>
      <c r="C647" s="155"/>
      <c r="D647" s="155"/>
      <c r="E647" s="155"/>
      <c r="F647" s="155"/>
      <c r="G647" s="155"/>
      <c r="H647" s="155"/>
      <c r="I647" s="155"/>
      <c r="J647" s="155"/>
      <c r="K647" s="155"/>
      <c r="L647" s="155"/>
      <c r="M647" s="155"/>
      <c r="N647" s="155"/>
      <c r="O647" s="155"/>
      <c r="P647" s="155"/>
      <c r="Q647" s="155"/>
      <c r="R647" s="155"/>
      <c r="S647" s="155"/>
      <c r="T647" s="155"/>
      <c r="U647" s="155"/>
      <c r="V647" s="155"/>
      <c r="W647" s="155"/>
      <c r="GL647" s="155"/>
      <c r="GM647" s="155"/>
      <c r="GN647" s="155"/>
      <c r="GO647" s="155"/>
      <c r="GP647" s="155"/>
      <c r="GQ647" s="155"/>
      <c r="GR647" s="155"/>
      <c r="GS647" s="155"/>
      <c r="GT647" s="155"/>
      <c r="GU647" s="155"/>
      <c r="GV647" s="155"/>
      <c r="GW647" s="155"/>
      <c r="GX647" s="155"/>
      <c r="GY647" s="155"/>
      <c r="GZ647" s="155"/>
      <c r="HA647" s="155"/>
      <c r="HB647" s="155"/>
      <c r="HC647" s="155"/>
      <c r="HD647" s="155"/>
      <c r="HE647" s="155"/>
    </row>
    <row r="648" spans="2:213" s="156" customFormat="1" hidden="1">
      <c r="B648" s="155"/>
      <c r="C648" s="155"/>
      <c r="D648" s="155"/>
      <c r="E648" s="155"/>
      <c r="F648" s="155"/>
      <c r="G648" s="155"/>
      <c r="H648" s="155"/>
      <c r="I648" s="155"/>
      <c r="J648" s="155"/>
      <c r="K648" s="155"/>
      <c r="L648" s="155"/>
      <c r="M648" s="155"/>
      <c r="N648" s="155"/>
      <c r="O648" s="155"/>
      <c r="P648" s="155"/>
      <c r="Q648" s="155"/>
      <c r="R648" s="155"/>
      <c r="S648" s="155"/>
      <c r="T648" s="155"/>
      <c r="U648" s="155"/>
      <c r="V648" s="155"/>
      <c r="W648" s="155"/>
      <c r="GL648" s="155"/>
      <c r="GM648" s="155"/>
      <c r="GN648" s="155"/>
      <c r="GO648" s="155"/>
      <c r="GP648" s="155"/>
      <c r="GQ648" s="155"/>
      <c r="GR648" s="155"/>
      <c r="GS648" s="155"/>
      <c r="GT648" s="155"/>
      <c r="GU648" s="155"/>
      <c r="GV648" s="155"/>
      <c r="GW648" s="155"/>
      <c r="GX648" s="155"/>
      <c r="GY648" s="155"/>
      <c r="GZ648" s="155"/>
      <c r="HA648" s="155"/>
      <c r="HB648" s="155"/>
      <c r="HC648" s="155"/>
      <c r="HD648" s="155"/>
      <c r="HE648" s="155"/>
    </row>
    <row r="649" spans="2:213" s="156" customFormat="1" hidden="1">
      <c r="B649" s="155"/>
      <c r="C649" s="155"/>
      <c r="D649" s="155"/>
      <c r="E649" s="155"/>
      <c r="F649" s="155"/>
      <c r="G649" s="155"/>
      <c r="H649" s="155"/>
      <c r="I649" s="155"/>
      <c r="J649" s="155"/>
      <c r="K649" s="155"/>
      <c r="L649" s="155"/>
      <c r="M649" s="155"/>
      <c r="N649" s="155"/>
      <c r="O649" s="155"/>
      <c r="P649" s="155"/>
      <c r="Q649" s="155"/>
      <c r="R649" s="155"/>
      <c r="S649" s="155"/>
      <c r="T649" s="155"/>
      <c r="U649" s="155"/>
      <c r="V649" s="155"/>
      <c r="W649" s="155"/>
      <c r="GL649" s="155"/>
      <c r="GM649" s="155"/>
      <c r="GN649" s="155"/>
      <c r="GO649" s="155"/>
      <c r="GP649" s="155"/>
      <c r="GQ649" s="155"/>
      <c r="GR649" s="155"/>
      <c r="GS649" s="155"/>
      <c r="GT649" s="155"/>
      <c r="GU649" s="155"/>
      <c r="GV649" s="155"/>
      <c r="GW649" s="155"/>
      <c r="GX649" s="155"/>
      <c r="GY649" s="155"/>
      <c r="GZ649" s="155"/>
      <c r="HA649" s="155"/>
      <c r="HB649" s="155"/>
      <c r="HC649" s="155"/>
      <c r="HD649" s="155"/>
      <c r="HE649" s="155"/>
    </row>
    <row r="650" spans="2:213" s="156" customFormat="1" hidden="1">
      <c r="B650" s="155"/>
      <c r="C650" s="155"/>
      <c r="D650" s="155"/>
      <c r="E650" s="155"/>
      <c r="F650" s="155"/>
      <c r="G650" s="155"/>
      <c r="H650" s="155"/>
      <c r="I650" s="155"/>
      <c r="J650" s="155"/>
      <c r="K650" s="155"/>
      <c r="L650" s="155"/>
      <c r="M650" s="155"/>
      <c r="N650" s="155"/>
      <c r="O650" s="155"/>
      <c r="P650" s="155"/>
      <c r="Q650" s="155"/>
      <c r="R650" s="155"/>
      <c r="S650" s="155"/>
      <c r="T650" s="155"/>
      <c r="U650" s="155"/>
      <c r="V650" s="155"/>
      <c r="W650" s="155"/>
      <c r="GL650" s="155"/>
      <c r="GM650" s="155"/>
      <c r="GN650" s="155"/>
      <c r="GO650" s="155"/>
      <c r="GP650" s="155"/>
      <c r="GQ650" s="155"/>
      <c r="GR650" s="155"/>
      <c r="GS650" s="155"/>
      <c r="GT650" s="155"/>
      <c r="GU650" s="155"/>
      <c r="GV650" s="155"/>
      <c r="GW650" s="155"/>
      <c r="GX650" s="155"/>
      <c r="GY650" s="155"/>
      <c r="GZ650" s="155"/>
      <c r="HA650" s="155"/>
      <c r="HB650" s="155"/>
      <c r="HC650" s="155"/>
      <c r="HD650" s="155"/>
      <c r="HE650" s="155"/>
    </row>
    <row r="651" spans="2:213" s="156" customFormat="1" hidden="1">
      <c r="B651" s="155"/>
      <c r="C651" s="155"/>
      <c r="D651" s="155"/>
      <c r="E651" s="155"/>
      <c r="F651" s="155"/>
      <c r="G651" s="155"/>
      <c r="H651" s="155"/>
      <c r="I651" s="155"/>
      <c r="J651" s="155"/>
      <c r="K651" s="155"/>
      <c r="L651" s="155"/>
      <c r="M651" s="155"/>
      <c r="N651" s="155"/>
      <c r="O651" s="155"/>
      <c r="P651" s="155"/>
      <c r="Q651" s="155"/>
      <c r="R651" s="155"/>
      <c r="S651" s="155"/>
      <c r="T651" s="155"/>
      <c r="U651" s="155"/>
      <c r="V651" s="155"/>
      <c r="W651" s="155"/>
      <c r="GL651" s="155"/>
      <c r="GM651" s="155"/>
      <c r="GN651" s="155"/>
      <c r="GO651" s="155"/>
      <c r="GP651" s="155"/>
      <c r="GQ651" s="155"/>
      <c r="GR651" s="155"/>
      <c r="GS651" s="155"/>
      <c r="GT651" s="155"/>
      <c r="GU651" s="155"/>
      <c r="GV651" s="155"/>
      <c r="GW651" s="155"/>
      <c r="GX651" s="155"/>
      <c r="GY651" s="155"/>
      <c r="GZ651" s="155"/>
      <c r="HA651" s="155"/>
      <c r="HB651" s="155"/>
      <c r="HC651" s="155"/>
      <c r="HD651" s="155"/>
      <c r="HE651" s="155"/>
    </row>
    <row r="652" spans="2:213" s="156" customFormat="1" hidden="1">
      <c r="B652" s="155"/>
      <c r="C652" s="155"/>
      <c r="D652" s="155"/>
      <c r="E652" s="155"/>
      <c r="F652" s="155"/>
      <c r="G652" s="155"/>
      <c r="H652" s="155"/>
      <c r="I652" s="155"/>
      <c r="J652" s="155"/>
      <c r="K652" s="155"/>
      <c r="L652" s="155"/>
      <c r="M652" s="155"/>
      <c r="N652" s="155"/>
      <c r="O652" s="155"/>
      <c r="P652" s="155"/>
      <c r="Q652" s="155"/>
      <c r="R652" s="155"/>
      <c r="S652" s="155"/>
      <c r="T652" s="155"/>
      <c r="U652" s="155"/>
      <c r="V652" s="155"/>
      <c r="W652" s="155"/>
      <c r="GL652" s="155"/>
      <c r="GM652" s="155"/>
      <c r="GN652" s="155"/>
      <c r="GO652" s="155"/>
      <c r="GP652" s="155"/>
      <c r="GQ652" s="155"/>
      <c r="GR652" s="155"/>
      <c r="GS652" s="155"/>
      <c r="GT652" s="155"/>
      <c r="GU652" s="155"/>
      <c r="GV652" s="155"/>
      <c r="GW652" s="155"/>
      <c r="GX652" s="155"/>
      <c r="GY652" s="155"/>
      <c r="GZ652" s="155"/>
      <c r="HA652" s="155"/>
      <c r="HB652" s="155"/>
      <c r="HC652" s="155"/>
      <c r="HD652" s="155"/>
      <c r="HE652" s="155"/>
    </row>
    <row r="653" spans="2:213" s="156" customFormat="1" hidden="1">
      <c r="B653" s="155"/>
      <c r="C653" s="155"/>
      <c r="D653" s="155"/>
      <c r="E653" s="155"/>
      <c r="F653" s="155"/>
      <c r="G653" s="155"/>
      <c r="H653" s="155"/>
      <c r="I653" s="155"/>
      <c r="J653" s="155"/>
      <c r="K653" s="155"/>
      <c r="L653" s="155"/>
      <c r="M653" s="155"/>
      <c r="N653" s="155"/>
      <c r="O653" s="155"/>
      <c r="P653" s="155"/>
      <c r="Q653" s="155"/>
      <c r="R653" s="155"/>
      <c r="S653" s="155"/>
      <c r="T653" s="155"/>
      <c r="U653" s="155"/>
      <c r="V653" s="155"/>
      <c r="W653" s="155"/>
      <c r="GL653" s="155"/>
      <c r="GM653" s="155"/>
      <c r="GN653" s="155"/>
      <c r="GO653" s="155"/>
      <c r="GP653" s="155"/>
      <c r="GQ653" s="155"/>
      <c r="GR653" s="155"/>
      <c r="GS653" s="155"/>
      <c r="GT653" s="155"/>
      <c r="GU653" s="155"/>
      <c r="GV653" s="155"/>
      <c r="GW653" s="155"/>
      <c r="GX653" s="155"/>
      <c r="GY653" s="155"/>
      <c r="GZ653" s="155"/>
      <c r="HA653" s="155"/>
      <c r="HB653" s="155"/>
      <c r="HC653" s="155"/>
      <c r="HD653" s="155"/>
      <c r="HE653" s="155"/>
    </row>
    <row r="654" spans="2:213" s="156" customFormat="1" hidden="1">
      <c r="B654" s="155"/>
      <c r="C654" s="155"/>
      <c r="D654" s="155"/>
      <c r="E654" s="155"/>
      <c r="F654" s="155"/>
      <c r="G654" s="155"/>
      <c r="H654" s="155"/>
      <c r="I654" s="155"/>
      <c r="J654" s="155"/>
      <c r="K654" s="155"/>
      <c r="L654" s="155"/>
      <c r="M654" s="155"/>
      <c r="N654" s="155"/>
      <c r="O654" s="155"/>
      <c r="P654" s="155"/>
      <c r="Q654" s="155"/>
      <c r="R654" s="155"/>
      <c r="S654" s="155"/>
      <c r="T654" s="155"/>
      <c r="U654" s="155"/>
      <c r="V654" s="155"/>
      <c r="W654" s="155"/>
      <c r="GL654" s="155"/>
      <c r="GM654" s="155"/>
      <c r="GN654" s="155"/>
      <c r="GO654" s="155"/>
      <c r="GP654" s="155"/>
      <c r="GQ654" s="155"/>
      <c r="GR654" s="155"/>
      <c r="GS654" s="155"/>
      <c r="GT654" s="155"/>
      <c r="GU654" s="155"/>
      <c r="GV654" s="155"/>
      <c r="GW654" s="155"/>
      <c r="GX654" s="155"/>
      <c r="GY654" s="155"/>
      <c r="GZ654" s="155"/>
      <c r="HA654" s="155"/>
      <c r="HB654" s="155"/>
      <c r="HC654" s="155"/>
      <c r="HD654" s="155"/>
      <c r="HE654" s="155"/>
    </row>
    <row r="655" spans="2:213" s="156" customFormat="1" hidden="1">
      <c r="B655" s="155"/>
      <c r="C655" s="155"/>
      <c r="D655" s="155"/>
      <c r="E655" s="155"/>
      <c r="F655" s="155"/>
      <c r="G655" s="155"/>
      <c r="H655" s="155"/>
      <c r="I655" s="155"/>
      <c r="J655" s="155"/>
      <c r="K655" s="155"/>
      <c r="L655" s="155"/>
      <c r="M655" s="155"/>
      <c r="N655" s="155"/>
      <c r="O655" s="155"/>
      <c r="P655" s="155"/>
      <c r="Q655" s="155"/>
      <c r="R655" s="155"/>
      <c r="S655" s="155"/>
      <c r="T655" s="155"/>
      <c r="U655" s="155"/>
      <c r="V655" s="155"/>
      <c r="W655" s="155"/>
      <c r="GL655" s="155"/>
      <c r="GM655" s="155"/>
      <c r="GN655" s="155"/>
      <c r="GO655" s="155"/>
      <c r="GP655" s="155"/>
      <c r="GQ655" s="155"/>
      <c r="GR655" s="155"/>
      <c r="GS655" s="155"/>
      <c r="GT655" s="155"/>
      <c r="GU655" s="155"/>
      <c r="GV655" s="155"/>
      <c r="GW655" s="155"/>
      <c r="GX655" s="155"/>
      <c r="GY655" s="155"/>
      <c r="GZ655" s="155"/>
      <c r="HA655" s="155"/>
      <c r="HB655" s="155"/>
      <c r="HC655" s="155"/>
      <c r="HD655" s="155"/>
      <c r="HE655" s="155"/>
    </row>
    <row r="656" spans="2:213" s="156" customFormat="1" hidden="1">
      <c r="B656" s="155"/>
      <c r="C656" s="155"/>
      <c r="D656" s="155"/>
      <c r="E656" s="155"/>
      <c r="F656" s="155"/>
      <c r="G656" s="155"/>
      <c r="H656" s="155"/>
      <c r="I656" s="155"/>
      <c r="J656" s="155"/>
      <c r="K656" s="155"/>
      <c r="L656" s="155"/>
      <c r="M656" s="155"/>
      <c r="N656" s="155"/>
      <c r="O656" s="155"/>
      <c r="P656" s="155"/>
      <c r="Q656" s="155"/>
      <c r="R656" s="155"/>
      <c r="S656" s="155"/>
      <c r="T656" s="155"/>
      <c r="U656" s="155"/>
      <c r="V656" s="155"/>
      <c r="W656" s="155"/>
      <c r="GL656" s="155"/>
      <c r="GM656" s="155"/>
      <c r="GN656" s="155"/>
      <c r="GO656" s="155"/>
      <c r="GP656" s="155"/>
      <c r="GQ656" s="155"/>
      <c r="GR656" s="155"/>
      <c r="GS656" s="155"/>
      <c r="GT656" s="155"/>
      <c r="GU656" s="155"/>
      <c r="GV656" s="155"/>
      <c r="GW656" s="155"/>
      <c r="GX656" s="155"/>
      <c r="GY656" s="155"/>
      <c r="GZ656" s="155"/>
      <c r="HA656" s="155"/>
      <c r="HB656" s="155"/>
      <c r="HC656" s="155"/>
      <c r="HD656" s="155"/>
      <c r="HE656" s="155"/>
    </row>
    <row r="657" spans="2:213" s="156" customFormat="1" hidden="1">
      <c r="B657" s="155"/>
      <c r="C657" s="155"/>
      <c r="D657" s="155"/>
      <c r="E657" s="155"/>
      <c r="F657" s="155"/>
      <c r="G657" s="155"/>
      <c r="H657" s="155"/>
      <c r="I657" s="155"/>
      <c r="J657" s="155"/>
      <c r="K657" s="155"/>
      <c r="L657" s="155"/>
      <c r="M657" s="155"/>
      <c r="N657" s="155"/>
      <c r="O657" s="155"/>
      <c r="P657" s="155"/>
      <c r="Q657" s="155"/>
      <c r="R657" s="155"/>
      <c r="S657" s="155"/>
      <c r="T657" s="155"/>
      <c r="U657" s="155"/>
      <c r="V657" s="155"/>
      <c r="W657" s="155"/>
      <c r="GL657" s="155"/>
      <c r="GM657" s="155"/>
      <c r="GN657" s="155"/>
      <c r="GO657" s="155"/>
      <c r="GP657" s="155"/>
      <c r="GQ657" s="155"/>
      <c r="GR657" s="155"/>
      <c r="GS657" s="155"/>
      <c r="GT657" s="155"/>
      <c r="GU657" s="155"/>
      <c r="GV657" s="155"/>
      <c r="GW657" s="155"/>
      <c r="GX657" s="155"/>
      <c r="GY657" s="155"/>
      <c r="GZ657" s="155"/>
      <c r="HA657" s="155"/>
      <c r="HB657" s="155"/>
      <c r="HC657" s="155"/>
      <c r="HD657" s="155"/>
      <c r="HE657" s="155"/>
    </row>
    <row r="658" spans="2:213" s="156" customFormat="1" hidden="1">
      <c r="B658" s="155"/>
      <c r="C658" s="155"/>
      <c r="D658" s="155"/>
      <c r="E658" s="155"/>
      <c r="F658" s="155"/>
      <c r="G658" s="155"/>
      <c r="H658" s="155"/>
      <c r="I658" s="155"/>
      <c r="J658" s="155"/>
      <c r="K658" s="155"/>
      <c r="L658" s="155"/>
      <c r="M658" s="155"/>
      <c r="N658" s="155"/>
      <c r="O658" s="155"/>
      <c r="P658" s="155"/>
      <c r="Q658" s="155"/>
      <c r="R658" s="155"/>
      <c r="S658" s="155"/>
      <c r="T658" s="155"/>
      <c r="U658" s="155"/>
      <c r="V658" s="155"/>
      <c r="W658" s="155"/>
      <c r="GL658" s="155"/>
      <c r="GM658" s="155"/>
      <c r="GN658" s="155"/>
      <c r="GO658" s="155"/>
      <c r="GP658" s="155"/>
      <c r="GQ658" s="155"/>
      <c r="GR658" s="155"/>
      <c r="GS658" s="155"/>
      <c r="GT658" s="155"/>
      <c r="GU658" s="155"/>
      <c r="GV658" s="155"/>
      <c r="GW658" s="155"/>
      <c r="GX658" s="155"/>
      <c r="GY658" s="155"/>
      <c r="GZ658" s="155"/>
      <c r="HA658" s="155"/>
      <c r="HB658" s="155"/>
      <c r="HC658" s="155"/>
      <c r="HD658" s="155"/>
      <c r="HE658" s="155"/>
    </row>
    <row r="659" spans="2:213" s="156" customFormat="1" hidden="1">
      <c r="B659" s="155"/>
      <c r="C659" s="155"/>
      <c r="D659" s="155"/>
      <c r="E659" s="155"/>
      <c r="F659" s="155"/>
      <c r="G659" s="155"/>
      <c r="H659" s="155"/>
      <c r="I659" s="155"/>
      <c r="J659" s="155"/>
      <c r="K659" s="155"/>
      <c r="L659" s="155"/>
      <c r="M659" s="155"/>
      <c r="N659" s="155"/>
      <c r="O659" s="155"/>
      <c r="P659" s="155"/>
      <c r="Q659" s="155"/>
      <c r="R659" s="155"/>
      <c r="S659" s="155"/>
      <c r="T659" s="155"/>
      <c r="U659" s="155"/>
      <c r="V659" s="155"/>
      <c r="W659" s="155"/>
      <c r="GL659" s="155"/>
      <c r="GM659" s="155"/>
      <c r="GN659" s="155"/>
      <c r="GO659" s="155"/>
      <c r="GP659" s="155"/>
      <c r="GQ659" s="155"/>
      <c r="GR659" s="155"/>
      <c r="GS659" s="155"/>
      <c r="GT659" s="155"/>
      <c r="GU659" s="155"/>
      <c r="GV659" s="155"/>
      <c r="GW659" s="155"/>
      <c r="GX659" s="155"/>
      <c r="GY659" s="155"/>
      <c r="GZ659" s="155"/>
      <c r="HA659" s="155"/>
      <c r="HB659" s="155"/>
      <c r="HC659" s="155"/>
      <c r="HD659" s="155"/>
      <c r="HE659" s="155"/>
    </row>
    <row r="660" spans="2:213" s="156" customFormat="1" hidden="1">
      <c r="B660" s="155"/>
      <c r="C660" s="155"/>
      <c r="D660" s="155"/>
      <c r="E660" s="155"/>
      <c r="F660" s="155"/>
      <c r="G660" s="155"/>
      <c r="H660" s="155"/>
      <c r="I660" s="155"/>
      <c r="J660" s="155"/>
      <c r="K660" s="155"/>
      <c r="L660" s="155"/>
      <c r="M660" s="155"/>
      <c r="N660" s="155"/>
      <c r="O660" s="155"/>
      <c r="P660" s="155"/>
      <c r="Q660" s="155"/>
      <c r="R660" s="155"/>
      <c r="S660" s="155"/>
      <c r="T660" s="155"/>
      <c r="U660" s="155"/>
      <c r="V660" s="155"/>
      <c r="W660" s="155"/>
      <c r="GL660" s="155"/>
      <c r="GM660" s="155"/>
      <c r="GN660" s="155"/>
      <c r="GO660" s="155"/>
      <c r="GP660" s="155"/>
      <c r="GQ660" s="155"/>
      <c r="GR660" s="155"/>
      <c r="GS660" s="155"/>
      <c r="GT660" s="155"/>
      <c r="GU660" s="155"/>
      <c r="GV660" s="155"/>
      <c r="GW660" s="155"/>
      <c r="GX660" s="155"/>
      <c r="GY660" s="155"/>
      <c r="GZ660" s="155"/>
      <c r="HA660" s="155"/>
      <c r="HB660" s="155"/>
      <c r="HC660" s="155"/>
      <c r="HD660" s="155"/>
      <c r="HE660" s="155"/>
    </row>
    <row r="661" spans="2:213" s="156" customFormat="1" hidden="1">
      <c r="B661" s="155"/>
      <c r="C661" s="155"/>
      <c r="D661" s="155"/>
      <c r="E661" s="155"/>
      <c r="F661" s="155"/>
      <c r="G661" s="155"/>
      <c r="H661" s="155"/>
      <c r="I661" s="155"/>
      <c r="J661" s="155"/>
      <c r="K661" s="155"/>
      <c r="L661" s="155"/>
      <c r="M661" s="155"/>
      <c r="N661" s="155"/>
      <c r="O661" s="155"/>
      <c r="P661" s="155"/>
      <c r="Q661" s="155"/>
      <c r="R661" s="155"/>
      <c r="S661" s="155"/>
      <c r="T661" s="155"/>
      <c r="U661" s="155"/>
      <c r="V661" s="155"/>
      <c r="W661" s="155"/>
      <c r="GL661" s="155"/>
      <c r="GM661" s="155"/>
      <c r="GN661" s="155"/>
      <c r="GO661" s="155"/>
      <c r="GP661" s="155"/>
      <c r="GQ661" s="155"/>
      <c r="GR661" s="155"/>
      <c r="GS661" s="155"/>
      <c r="GT661" s="155"/>
      <c r="GU661" s="155"/>
      <c r="GV661" s="155"/>
      <c r="GW661" s="155"/>
      <c r="GX661" s="155"/>
      <c r="GY661" s="155"/>
      <c r="GZ661" s="155"/>
      <c r="HA661" s="155"/>
      <c r="HB661" s="155"/>
      <c r="HC661" s="155"/>
      <c r="HD661" s="155"/>
      <c r="HE661" s="155"/>
    </row>
    <row r="662" spans="2:213" s="156" customFormat="1" hidden="1">
      <c r="B662" s="155"/>
      <c r="C662" s="155"/>
      <c r="D662" s="155"/>
      <c r="E662" s="155"/>
      <c r="F662" s="155"/>
      <c r="G662" s="155"/>
      <c r="H662" s="155"/>
      <c r="I662" s="155"/>
      <c r="J662" s="155"/>
      <c r="K662" s="155"/>
      <c r="L662" s="155"/>
      <c r="M662" s="155"/>
      <c r="N662" s="155"/>
      <c r="O662" s="155"/>
      <c r="P662" s="155"/>
      <c r="Q662" s="155"/>
      <c r="R662" s="155"/>
      <c r="S662" s="155"/>
      <c r="T662" s="155"/>
      <c r="U662" s="155"/>
      <c r="V662" s="155"/>
      <c r="W662" s="155"/>
      <c r="GL662" s="155"/>
      <c r="GM662" s="155"/>
      <c r="GN662" s="155"/>
      <c r="GO662" s="155"/>
      <c r="GP662" s="155"/>
      <c r="GQ662" s="155"/>
      <c r="GR662" s="155"/>
      <c r="GS662" s="155"/>
      <c r="GT662" s="155"/>
      <c r="GU662" s="155"/>
      <c r="GV662" s="155"/>
      <c r="GW662" s="155"/>
      <c r="GX662" s="155"/>
      <c r="GY662" s="155"/>
      <c r="GZ662" s="155"/>
      <c r="HA662" s="155"/>
      <c r="HB662" s="155"/>
      <c r="HC662" s="155"/>
      <c r="HD662" s="155"/>
      <c r="HE662" s="155"/>
    </row>
    <row r="663" spans="2:213" s="156" customFormat="1" hidden="1">
      <c r="B663" s="155"/>
      <c r="C663" s="155"/>
      <c r="D663" s="155"/>
      <c r="E663" s="155"/>
      <c r="F663" s="155"/>
      <c r="G663" s="155"/>
      <c r="H663" s="155"/>
      <c r="I663" s="155"/>
      <c r="J663" s="155"/>
      <c r="K663" s="155"/>
      <c r="L663" s="155"/>
      <c r="M663" s="155"/>
      <c r="N663" s="155"/>
      <c r="O663" s="155"/>
      <c r="P663" s="155"/>
      <c r="Q663" s="155"/>
      <c r="R663" s="155"/>
      <c r="S663" s="155"/>
      <c r="T663" s="155"/>
      <c r="U663" s="155"/>
      <c r="V663" s="155"/>
      <c r="W663" s="155"/>
      <c r="GL663" s="155"/>
      <c r="GM663" s="155"/>
      <c r="GN663" s="155"/>
      <c r="GO663" s="155"/>
      <c r="GP663" s="155"/>
      <c r="GQ663" s="155"/>
      <c r="GR663" s="155"/>
      <c r="GS663" s="155"/>
      <c r="GT663" s="155"/>
      <c r="GU663" s="155"/>
      <c r="GV663" s="155"/>
      <c r="GW663" s="155"/>
      <c r="GX663" s="155"/>
      <c r="GY663" s="155"/>
      <c r="GZ663" s="155"/>
      <c r="HA663" s="155"/>
      <c r="HB663" s="155"/>
      <c r="HC663" s="155"/>
      <c r="HD663" s="155"/>
      <c r="HE663" s="155"/>
    </row>
    <row r="664" spans="2:213" s="156" customFormat="1" hidden="1">
      <c r="B664" s="155"/>
      <c r="C664" s="155"/>
      <c r="D664" s="155"/>
      <c r="E664" s="155"/>
      <c r="F664" s="155"/>
      <c r="G664" s="155"/>
      <c r="H664" s="155"/>
      <c r="I664" s="155"/>
      <c r="J664" s="155"/>
      <c r="K664" s="155"/>
      <c r="L664" s="155"/>
      <c r="M664" s="155"/>
      <c r="N664" s="155"/>
      <c r="O664" s="155"/>
      <c r="P664" s="155"/>
      <c r="Q664" s="155"/>
      <c r="R664" s="155"/>
      <c r="S664" s="155"/>
      <c r="T664" s="155"/>
      <c r="U664" s="155"/>
      <c r="V664" s="155"/>
      <c r="W664" s="155"/>
      <c r="GL664" s="155"/>
      <c r="GM664" s="155"/>
      <c r="GN664" s="155"/>
      <c r="GO664" s="155"/>
      <c r="GP664" s="155"/>
      <c r="GQ664" s="155"/>
      <c r="GR664" s="155"/>
      <c r="GS664" s="155"/>
      <c r="GT664" s="155"/>
      <c r="GU664" s="155"/>
      <c r="GV664" s="155"/>
      <c r="GW664" s="155"/>
      <c r="GX664" s="155"/>
      <c r="GY664" s="155"/>
      <c r="GZ664" s="155"/>
      <c r="HA664" s="155"/>
      <c r="HB664" s="155"/>
      <c r="HC664" s="155"/>
      <c r="HD664" s="155"/>
      <c r="HE664" s="155"/>
    </row>
    <row r="665" spans="2:213" s="156" customFormat="1" hidden="1">
      <c r="B665" s="155"/>
      <c r="C665" s="155"/>
      <c r="D665" s="155"/>
      <c r="E665" s="155"/>
      <c r="F665" s="155"/>
      <c r="G665" s="155"/>
      <c r="H665" s="155"/>
      <c r="I665" s="155"/>
      <c r="J665" s="155"/>
      <c r="K665" s="155"/>
      <c r="L665" s="155"/>
      <c r="M665" s="155"/>
      <c r="N665" s="155"/>
      <c r="O665" s="155"/>
      <c r="P665" s="155"/>
      <c r="Q665" s="155"/>
      <c r="R665" s="155"/>
      <c r="S665" s="155"/>
      <c r="T665" s="155"/>
      <c r="U665" s="155"/>
      <c r="V665" s="155"/>
      <c r="W665" s="155"/>
      <c r="GL665" s="155"/>
      <c r="GM665" s="155"/>
      <c r="GN665" s="155"/>
      <c r="GO665" s="155"/>
      <c r="GP665" s="155"/>
      <c r="GQ665" s="155"/>
      <c r="GR665" s="155"/>
      <c r="GS665" s="155"/>
      <c r="GT665" s="155"/>
      <c r="GU665" s="155"/>
      <c r="GV665" s="155"/>
      <c r="GW665" s="155"/>
      <c r="GX665" s="155"/>
      <c r="GY665" s="155"/>
      <c r="GZ665" s="155"/>
      <c r="HA665" s="155"/>
      <c r="HB665" s="155"/>
      <c r="HC665" s="155"/>
      <c r="HD665" s="155"/>
      <c r="HE665" s="155"/>
    </row>
    <row r="666" spans="2:213" s="156" customFormat="1" hidden="1">
      <c r="B666" s="155"/>
      <c r="C666" s="155"/>
      <c r="D666" s="155"/>
      <c r="E666" s="155"/>
      <c r="F666" s="155"/>
      <c r="G666" s="155"/>
      <c r="H666" s="155"/>
      <c r="I666" s="155"/>
      <c r="J666" s="155"/>
      <c r="K666" s="155"/>
      <c r="L666" s="155"/>
      <c r="M666" s="155"/>
      <c r="N666" s="155"/>
      <c r="O666" s="155"/>
      <c r="P666" s="155"/>
      <c r="Q666" s="155"/>
      <c r="R666" s="155"/>
      <c r="S666" s="155"/>
      <c r="T666" s="155"/>
      <c r="U666" s="155"/>
      <c r="V666" s="155"/>
      <c r="W666" s="155"/>
      <c r="GL666" s="155"/>
      <c r="GM666" s="155"/>
      <c r="GN666" s="155"/>
      <c r="GO666" s="155"/>
      <c r="GP666" s="155"/>
      <c r="GQ666" s="155"/>
      <c r="GR666" s="155"/>
      <c r="GS666" s="155"/>
      <c r="GT666" s="155"/>
      <c r="GU666" s="155"/>
      <c r="GV666" s="155"/>
      <c r="GW666" s="155"/>
      <c r="GX666" s="155"/>
      <c r="GY666" s="155"/>
      <c r="GZ666" s="155"/>
      <c r="HA666" s="155"/>
      <c r="HB666" s="155"/>
      <c r="HC666" s="155"/>
      <c r="HD666" s="155"/>
      <c r="HE666" s="155"/>
    </row>
    <row r="667" spans="2:213" s="156" customFormat="1" hidden="1">
      <c r="B667" s="155"/>
      <c r="C667" s="155"/>
      <c r="D667" s="155"/>
      <c r="E667" s="155"/>
      <c r="F667" s="155"/>
      <c r="G667" s="155"/>
      <c r="H667" s="155"/>
      <c r="I667" s="155"/>
      <c r="J667" s="155"/>
      <c r="K667" s="155"/>
      <c r="L667" s="155"/>
      <c r="M667" s="155"/>
      <c r="N667" s="155"/>
      <c r="O667" s="155"/>
      <c r="P667" s="155"/>
      <c r="Q667" s="155"/>
      <c r="R667" s="155"/>
      <c r="S667" s="155"/>
      <c r="T667" s="155"/>
      <c r="U667" s="155"/>
      <c r="V667" s="155"/>
      <c r="W667" s="155"/>
      <c r="GL667" s="155"/>
      <c r="GM667" s="155"/>
      <c r="GN667" s="155"/>
      <c r="GO667" s="155"/>
      <c r="GP667" s="155"/>
      <c r="GQ667" s="155"/>
      <c r="GR667" s="155"/>
      <c r="GS667" s="155"/>
      <c r="GT667" s="155"/>
      <c r="GU667" s="155"/>
      <c r="GV667" s="155"/>
      <c r="GW667" s="155"/>
      <c r="GX667" s="155"/>
      <c r="GY667" s="155"/>
      <c r="GZ667" s="155"/>
      <c r="HA667" s="155"/>
      <c r="HB667" s="155"/>
      <c r="HC667" s="155"/>
      <c r="HD667" s="155"/>
      <c r="HE667" s="155"/>
    </row>
    <row r="668" spans="2:213" s="156" customFormat="1" hidden="1">
      <c r="B668" s="155"/>
      <c r="C668" s="155"/>
      <c r="D668" s="155"/>
      <c r="E668" s="155"/>
      <c r="F668" s="155"/>
      <c r="G668" s="155"/>
      <c r="H668" s="155"/>
      <c r="I668" s="155"/>
      <c r="J668" s="155"/>
      <c r="K668" s="155"/>
      <c r="L668" s="155"/>
      <c r="M668" s="155"/>
      <c r="N668" s="155"/>
      <c r="O668" s="155"/>
      <c r="P668" s="155"/>
      <c r="Q668" s="155"/>
      <c r="R668" s="155"/>
      <c r="S668" s="155"/>
      <c r="T668" s="155"/>
      <c r="U668" s="155"/>
      <c r="V668" s="155"/>
      <c r="W668" s="155"/>
      <c r="GL668" s="155"/>
      <c r="GM668" s="155"/>
      <c r="GN668" s="155"/>
      <c r="GO668" s="155"/>
      <c r="GP668" s="155"/>
      <c r="GQ668" s="155"/>
      <c r="GR668" s="155"/>
      <c r="GS668" s="155"/>
      <c r="GT668" s="155"/>
      <c r="GU668" s="155"/>
      <c r="GV668" s="155"/>
      <c r="GW668" s="155"/>
      <c r="GX668" s="155"/>
      <c r="GY668" s="155"/>
      <c r="GZ668" s="155"/>
      <c r="HA668" s="155"/>
      <c r="HB668" s="155"/>
      <c r="HC668" s="155"/>
      <c r="HD668" s="155"/>
      <c r="HE668" s="155"/>
    </row>
    <row r="669" spans="2:213" s="156" customFormat="1" hidden="1">
      <c r="B669" s="155"/>
      <c r="C669" s="155"/>
      <c r="D669" s="155"/>
      <c r="E669" s="155"/>
      <c r="F669" s="155"/>
      <c r="G669" s="155"/>
      <c r="H669" s="155"/>
      <c r="I669" s="155"/>
      <c r="J669" s="155"/>
      <c r="K669" s="155"/>
      <c r="L669" s="155"/>
      <c r="M669" s="155"/>
      <c r="N669" s="155"/>
      <c r="O669" s="155"/>
      <c r="P669" s="155"/>
      <c r="Q669" s="155"/>
      <c r="R669" s="155"/>
      <c r="S669" s="155"/>
      <c r="T669" s="155"/>
      <c r="U669" s="155"/>
      <c r="V669" s="155"/>
      <c r="W669" s="155"/>
      <c r="GL669" s="155"/>
      <c r="GM669" s="155"/>
      <c r="GN669" s="155"/>
      <c r="GO669" s="155"/>
      <c r="GP669" s="155"/>
      <c r="GQ669" s="155"/>
      <c r="GR669" s="155"/>
      <c r="GS669" s="155"/>
      <c r="GT669" s="155"/>
      <c r="GU669" s="155"/>
      <c r="GV669" s="155"/>
      <c r="GW669" s="155"/>
      <c r="GX669" s="155"/>
      <c r="GY669" s="155"/>
      <c r="GZ669" s="155"/>
      <c r="HA669" s="155"/>
      <c r="HB669" s="155"/>
      <c r="HC669" s="155"/>
      <c r="HD669" s="155"/>
      <c r="HE669" s="155"/>
    </row>
    <row r="670" spans="2:213" s="156" customFormat="1" hidden="1">
      <c r="B670" s="155"/>
      <c r="C670" s="155"/>
      <c r="D670" s="155"/>
      <c r="E670" s="155"/>
      <c r="F670" s="155"/>
      <c r="G670" s="155"/>
      <c r="H670" s="155"/>
      <c r="I670" s="155"/>
      <c r="J670" s="155"/>
      <c r="K670" s="155"/>
      <c r="L670" s="155"/>
      <c r="M670" s="155"/>
      <c r="N670" s="155"/>
      <c r="O670" s="155"/>
      <c r="P670" s="155"/>
      <c r="Q670" s="155"/>
      <c r="R670" s="155"/>
      <c r="S670" s="155"/>
      <c r="T670" s="155"/>
      <c r="U670" s="155"/>
      <c r="V670" s="155"/>
      <c r="W670" s="155"/>
      <c r="GL670" s="155"/>
      <c r="GM670" s="155"/>
      <c r="GN670" s="155"/>
      <c r="GO670" s="155"/>
      <c r="GP670" s="155"/>
      <c r="GQ670" s="155"/>
      <c r="GR670" s="155"/>
      <c r="GS670" s="155"/>
      <c r="GT670" s="155"/>
      <c r="GU670" s="155"/>
      <c r="GV670" s="155"/>
      <c r="GW670" s="155"/>
      <c r="GX670" s="155"/>
      <c r="GY670" s="155"/>
      <c r="GZ670" s="155"/>
      <c r="HA670" s="155"/>
      <c r="HB670" s="155"/>
      <c r="HC670" s="155"/>
      <c r="HD670" s="155"/>
      <c r="HE670" s="155"/>
    </row>
    <row r="671" spans="2:213" s="156" customFormat="1" hidden="1">
      <c r="B671" s="155"/>
      <c r="C671" s="155"/>
      <c r="D671" s="155"/>
      <c r="E671" s="155"/>
      <c r="F671" s="155"/>
      <c r="G671" s="155"/>
      <c r="H671" s="155"/>
      <c r="I671" s="155"/>
      <c r="J671" s="155"/>
      <c r="K671" s="155"/>
      <c r="L671" s="155"/>
      <c r="M671" s="155"/>
      <c r="N671" s="155"/>
      <c r="O671" s="155"/>
      <c r="P671" s="155"/>
      <c r="Q671" s="155"/>
      <c r="R671" s="155"/>
      <c r="S671" s="155"/>
      <c r="T671" s="155"/>
      <c r="U671" s="155"/>
      <c r="V671" s="155"/>
      <c r="W671" s="155"/>
      <c r="GL671" s="155"/>
      <c r="GM671" s="155"/>
      <c r="GN671" s="155"/>
      <c r="GO671" s="155"/>
      <c r="GP671" s="155"/>
      <c r="GQ671" s="155"/>
      <c r="GR671" s="155"/>
      <c r="GS671" s="155"/>
      <c r="GT671" s="155"/>
      <c r="GU671" s="155"/>
      <c r="GV671" s="155"/>
      <c r="GW671" s="155"/>
      <c r="GX671" s="155"/>
      <c r="GY671" s="155"/>
      <c r="GZ671" s="155"/>
      <c r="HA671" s="155"/>
      <c r="HB671" s="155"/>
      <c r="HC671" s="155"/>
      <c r="HD671" s="155"/>
      <c r="HE671" s="155"/>
    </row>
    <row r="672" spans="2:213" s="156" customFormat="1" hidden="1">
      <c r="B672" s="155"/>
      <c r="C672" s="155"/>
      <c r="D672" s="155"/>
      <c r="E672" s="155"/>
      <c r="F672" s="155"/>
      <c r="G672" s="155"/>
      <c r="H672" s="155"/>
      <c r="I672" s="155"/>
      <c r="J672" s="155"/>
      <c r="K672" s="155"/>
      <c r="L672" s="155"/>
      <c r="M672" s="155"/>
      <c r="N672" s="155"/>
      <c r="O672" s="155"/>
      <c r="P672" s="155"/>
      <c r="Q672" s="155"/>
      <c r="R672" s="155"/>
      <c r="S672" s="155"/>
      <c r="T672" s="155"/>
      <c r="U672" s="155"/>
      <c r="V672" s="155"/>
      <c r="W672" s="155"/>
      <c r="GL672" s="155"/>
      <c r="GM672" s="155"/>
      <c r="GN672" s="155"/>
      <c r="GO672" s="155"/>
      <c r="GP672" s="155"/>
      <c r="GQ672" s="155"/>
      <c r="GR672" s="155"/>
      <c r="GS672" s="155"/>
      <c r="GT672" s="155"/>
      <c r="GU672" s="155"/>
      <c r="GV672" s="155"/>
      <c r="GW672" s="155"/>
      <c r="GX672" s="155"/>
      <c r="GY672" s="155"/>
      <c r="GZ672" s="155"/>
      <c r="HA672" s="155"/>
      <c r="HB672" s="155"/>
      <c r="HC672" s="155"/>
      <c r="HD672" s="155"/>
      <c r="HE672" s="155"/>
    </row>
    <row r="673" spans="2:213" s="156" customFormat="1" hidden="1">
      <c r="B673" s="155"/>
      <c r="C673" s="155"/>
      <c r="D673" s="155"/>
      <c r="E673" s="155"/>
      <c r="F673" s="155"/>
      <c r="G673" s="155"/>
      <c r="H673" s="155"/>
      <c r="I673" s="155"/>
      <c r="J673" s="155"/>
      <c r="K673" s="155"/>
      <c r="L673" s="155"/>
      <c r="M673" s="155"/>
      <c r="N673" s="155"/>
      <c r="O673" s="155"/>
      <c r="P673" s="155"/>
      <c r="Q673" s="155"/>
      <c r="R673" s="155"/>
      <c r="S673" s="155"/>
      <c r="T673" s="155"/>
      <c r="U673" s="155"/>
      <c r="V673" s="155"/>
      <c r="W673" s="155"/>
      <c r="GL673" s="155"/>
      <c r="GM673" s="155"/>
      <c r="GN673" s="155"/>
      <c r="GO673" s="155"/>
      <c r="GP673" s="155"/>
      <c r="GQ673" s="155"/>
      <c r="GR673" s="155"/>
      <c r="GS673" s="155"/>
      <c r="GT673" s="155"/>
      <c r="GU673" s="155"/>
      <c r="GV673" s="155"/>
      <c r="GW673" s="155"/>
      <c r="GX673" s="155"/>
      <c r="GY673" s="155"/>
      <c r="GZ673" s="155"/>
      <c r="HA673" s="155"/>
      <c r="HB673" s="155"/>
      <c r="HC673" s="155"/>
      <c r="HD673" s="155"/>
      <c r="HE673" s="155"/>
    </row>
    <row r="674" spans="2:213" s="156" customFormat="1" hidden="1">
      <c r="B674" s="155"/>
      <c r="C674" s="155"/>
      <c r="D674" s="155"/>
      <c r="E674" s="155"/>
      <c r="F674" s="155"/>
      <c r="G674" s="155"/>
      <c r="H674" s="155"/>
      <c r="I674" s="155"/>
      <c r="J674" s="155"/>
      <c r="K674" s="155"/>
      <c r="L674" s="155"/>
      <c r="M674" s="155"/>
      <c r="N674" s="155"/>
      <c r="O674" s="155"/>
      <c r="P674" s="155"/>
      <c r="Q674" s="155"/>
      <c r="R674" s="155"/>
      <c r="S674" s="155"/>
      <c r="T674" s="155"/>
      <c r="U674" s="155"/>
      <c r="V674" s="155"/>
      <c r="W674" s="155"/>
      <c r="GL674" s="155"/>
      <c r="GM674" s="155"/>
      <c r="GN674" s="155"/>
      <c r="GO674" s="155"/>
      <c r="GP674" s="155"/>
      <c r="GQ674" s="155"/>
      <c r="GR674" s="155"/>
      <c r="GS674" s="155"/>
      <c r="GT674" s="155"/>
      <c r="GU674" s="155"/>
      <c r="GV674" s="155"/>
      <c r="GW674" s="155"/>
      <c r="GX674" s="155"/>
      <c r="GY674" s="155"/>
      <c r="GZ674" s="155"/>
      <c r="HA674" s="155"/>
      <c r="HB674" s="155"/>
      <c r="HC674" s="155"/>
      <c r="HD674" s="155"/>
      <c r="HE674" s="155"/>
    </row>
    <row r="675" spans="2:213" s="156" customFormat="1" hidden="1">
      <c r="B675" s="155"/>
      <c r="C675" s="155"/>
      <c r="D675" s="155"/>
      <c r="E675" s="155"/>
      <c r="F675" s="155"/>
      <c r="G675" s="155"/>
      <c r="H675" s="155"/>
      <c r="I675" s="155"/>
      <c r="J675" s="155"/>
      <c r="K675" s="155"/>
      <c r="L675" s="155"/>
      <c r="M675" s="155"/>
      <c r="N675" s="155"/>
      <c r="O675" s="155"/>
      <c r="P675" s="155"/>
      <c r="Q675" s="155"/>
      <c r="R675" s="155"/>
      <c r="S675" s="155"/>
      <c r="T675" s="155"/>
      <c r="U675" s="155"/>
      <c r="V675" s="155"/>
      <c r="W675" s="155"/>
      <c r="GL675" s="155"/>
      <c r="GM675" s="155"/>
      <c r="GN675" s="155"/>
      <c r="GO675" s="155"/>
      <c r="GP675" s="155"/>
      <c r="GQ675" s="155"/>
      <c r="GR675" s="155"/>
      <c r="GS675" s="155"/>
      <c r="GT675" s="155"/>
      <c r="GU675" s="155"/>
      <c r="GV675" s="155"/>
      <c r="GW675" s="155"/>
      <c r="GX675" s="155"/>
      <c r="GY675" s="155"/>
      <c r="GZ675" s="155"/>
      <c r="HA675" s="155"/>
      <c r="HB675" s="155"/>
      <c r="HC675" s="155"/>
      <c r="HD675" s="155"/>
      <c r="HE675" s="155"/>
    </row>
    <row r="676" spans="2:213" s="156" customFormat="1" hidden="1">
      <c r="B676" s="155"/>
      <c r="C676" s="155"/>
      <c r="D676" s="155"/>
      <c r="E676" s="155"/>
      <c r="F676" s="155"/>
      <c r="G676" s="155"/>
      <c r="H676" s="155"/>
      <c r="I676" s="155"/>
      <c r="J676" s="155"/>
      <c r="K676" s="155"/>
      <c r="L676" s="155"/>
      <c r="M676" s="155"/>
      <c r="N676" s="155"/>
      <c r="O676" s="155"/>
      <c r="P676" s="155"/>
      <c r="Q676" s="155"/>
      <c r="R676" s="155"/>
      <c r="S676" s="155"/>
      <c r="T676" s="155"/>
      <c r="U676" s="155"/>
      <c r="V676" s="155"/>
      <c r="W676" s="155"/>
      <c r="GL676" s="155"/>
      <c r="GM676" s="155"/>
      <c r="GN676" s="155"/>
      <c r="GO676" s="155"/>
      <c r="GP676" s="155"/>
      <c r="GQ676" s="155"/>
      <c r="GR676" s="155"/>
      <c r="GS676" s="155"/>
      <c r="GT676" s="155"/>
      <c r="GU676" s="155"/>
      <c r="GV676" s="155"/>
      <c r="GW676" s="155"/>
      <c r="GX676" s="155"/>
      <c r="GY676" s="155"/>
      <c r="GZ676" s="155"/>
      <c r="HA676" s="155"/>
      <c r="HB676" s="155"/>
      <c r="HC676" s="155"/>
      <c r="HD676" s="155"/>
      <c r="HE676" s="155"/>
    </row>
    <row r="677" spans="2:213" s="156" customFormat="1" hidden="1">
      <c r="B677" s="155"/>
      <c r="C677" s="155"/>
      <c r="D677" s="155"/>
      <c r="E677" s="155"/>
      <c r="F677" s="155"/>
      <c r="G677" s="155"/>
      <c r="H677" s="155"/>
      <c r="I677" s="155"/>
      <c r="J677" s="155"/>
      <c r="K677" s="155"/>
      <c r="L677" s="155"/>
      <c r="M677" s="155"/>
      <c r="N677" s="155"/>
      <c r="O677" s="155"/>
      <c r="P677" s="155"/>
      <c r="Q677" s="155"/>
      <c r="R677" s="155"/>
      <c r="S677" s="155"/>
      <c r="T677" s="155"/>
      <c r="U677" s="155"/>
      <c r="V677" s="155"/>
      <c r="W677" s="155"/>
      <c r="GL677" s="155"/>
      <c r="GM677" s="155"/>
      <c r="GN677" s="155"/>
      <c r="GO677" s="155"/>
      <c r="GP677" s="155"/>
      <c r="GQ677" s="155"/>
      <c r="GR677" s="155"/>
      <c r="GS677" s="155"/>
      <c r="GT677" s="155"/>
      <c r="GU677" s="155"/>
      <c r="GV677" s="155"/>
      <c r="GW677" s="155"/>
      <c r="GX677" s="155"/>
      <c r="GY677" s="155"/>
      <c r="GZ677" s="155"/>
      <c r="HA677" s="155"/>
      <c r="HB677" s="155"/>
      <c r="HC677" s="155"/>
      <c r="HD677" s="155"/>
      <c r="HE677" s="155"/>
    </row>
    <row r="678" spans="2:213" s="156" customFormat="1" hidden="1">
      <c r="B678" s="155"/>
      <c r="C678" s="155"/>
      <c r="D678" s="155"/>
      <c r="E678" s="155"/>
      <c r="F678" s="155"/>
      <c r="G678" s="155"/>
      <c r="H678" s="155"/>
      <c r="I678" s="155"/>
      <c r="J678" s="155"/>
      <c r="K678" s="155"/>
      <c r="L678" s="155"/>
      <c r="M678" s="155"/>
      <c r="N678" s="155"/>
      <c r="O678" s="155"/>
      <c r="P678" s="155"/>
      <c r="Q678" s="155"/>
      <c r="R678" s="155"/>
      <c r="S678" s="155"/>
      <c r="T678" s="155"/>
      <c r="U678" s="155"/>
      <c r="V678" s="155"/>
      <c r="W678" s="155"/>
      <c r="GL678" s="155"/>
      <c r="GM678" s="155"/>
      <c r="GN678" s="155"/>
      <c r="GO678" s="155"/>
      <c r="GP678" s="155"/>
      <c r="GQ678" s="155"/>
      <c r="GR678" s="155"/>
      <c r="GS678" s="155"/>
      <c r="GT678" s="155"/>
      <c r="GU678" s="155"/>
      <c r="GV678" s="155"/>
      <c r="GW678" s="155"/>
      <c r="GX678" s="155"/>
      <c r="GY678" s="155"/>
      <c r="GZ678" s="155"/>
      <c r="HA678" s="155"/>
      <c r="HB678" s="155"/>
      <c r="HC678" s="155"/>
      <c r="HD678" s="155"/>
      <c r="HE678" s="155"/>
    </row>
    <row r="679" spans="2:213" s="156" customFormat="1" hidden="1">
      <c r="B679" s="155"/>
      <c r="C679" s="155"/>
      <c r="D679" s="155"/>
      <c r="E679" s="155"/>
      <c r="F679" s="155"/>
      <c r="G679" s="155"/>
      <c r="H679" s="155"/>
      <c r="I679" s="155"/>
      <c r="J679" s="155"/>
      <c r="K679" s="155"/>
      <c r="L679" s="155"/>
      <c r="M679" s="155"/>
      <c r="N679" s="155"/>
      <c r="O679" s="155"/>
      <c r="P679" s="155"/>
      <c r="Q679" s="155"/>
      <c r="R679" s="155"/>
      <c r="S679" s="155"/>
      <c r="T679" s="155"/>
      <c r="U679" s="155"/>
      <c r="V679" s="155"/>
      <c r="W679" s="155"/>
      <c r="GL679" s="155"/>
      <c r="GM679" s="155"/>
      <c r="GN679" s="155"/>
      <c r="GO679" s="155"/>
      <c r="GP679" s="155"/>
      <c r="GQ679" s="155"/>
      <c r="GR679" s="155"/>
      <c r="GS679" s="155"/>
      <c r="GT679" s="155"/>
      <c r="GU679" s="155"/>
      <c r="GV679" s="155"/>
      <c r="GW679" s="155"/>
      <c r="GX679" s="155"/>
      <c r="GY679" s="155"/>
      <c r="GZ679" s="155"/>
      <c r="HA679" s="155"/>
      <c r="HB679" s="155"/>
      <c r="HC679" s="155"/>
      <c r="HD679" s="155"/>
      <c r="HE679" s="155"/>
    </row>
    <row r="680" spans="2:213" s="156" customFormat="1" hidden="1">
      <c r="B680" s="155"/>
      <c r="C680" s="155"/>
      <c r="D680" s="155"/>
      <c r="E680" s="155"/>
      <c r="F680" s="155"/>
      <c r="G680" s="155"/>
      <c r="H680" s="155"/>
      <c r="I680" s="155"/>
      <c r="J680" s="155"/>
      <c r="K680" s="155"/>
      <c r="L680" s="155"/>
      <c r="M680" s="155"/>
      <c r="N680" s="155"/>
      <c r="O680" s="155"/>
      <c r="P680" s="155"/>
      <c r="Q680" s="155"/>
      <c r="R680" s="155"/>
      <c r="S680" s="155"/>
      <c r="T680" s="155"/>
      <c r="U680" s="155"/>
      <c r="V680" s="155"/>
      <c r="W680" s="155"/>
      <c r="GL680" s="155"/>
      <c r="GM680" s="155"/>
      <c r="GN680" s="155"/>
      <c r="GO680" s="155"/>
      <c r="GP680" s="155"/>
      <c r="GQ680" s="155"/>
      <c r="GR680" s="155"/>
      <c r="GS680" s="155"/>
      <c r="GT680" s="155"/>
      <c r="GU680" s="155"/>
      <c r="GV680" s="155"/>
      <c r="GW680" s="155"/>
      <c r="GX680" s="155"/>
      <c r="GY680" s="155"/>
      <c r="GZ680" s="155"/>
      <c r="HA680" s="155"/>
      <c r="HB680" s="155"/>
      <c r="HC680" s="155"/>
      <c r="HD680" s="155"/>
      <c r="HE680" s="155"/>
    </row>
    <row r="681" spans="2:213" s="156" customFormat="1" hidden="1">
      <c r="B681" s="155"/>
      <c r="C681" s="155"/>
      <c r="D681" s="155"/>
      <c r="E681" s="155"/>
      <c r="F681" s="155"/>
      <c r="G681" s="155"/>
      <c r="H681" s="155"/>
      <c r="I681" s="155"/>
      <c r="J681" s="155"/>
      <c r="K681" s="155"/>
      <c r="L681" s="155"/>
      <c r="M681" s="155"/>
      <c r="N681" s="155"/>
      <c r="O681" s="155"/>
      <c r="P681" s="155"/>
      <c r="Q681" s="155"/>
      <c r="R681" s="155"/>
      <c r="S681" s="155"/>
      <c r="T681" s="155"/>
      <c r="U681" s="155"/>
      <c r="V681" s="155"/>
      <c r="W681" s="155"/>
      <c r="GL681" s="155"/>
      <c r="GM681" s="155"/>
      <c r="GN681" s="155"/>
      <c r="GO681" s="155"/>
      <c r="GP681" s="155"/>
      <c r="GQ681" s="155"/>
      <c r="GR681" s="155"/>
      <c r="GS681" s="155"/>
      <c r="GT681" s="155"/>
      <c r="GU681" s="155"/>
      <c r="GV681" s="155"/>
      <c r="GW681" s="155"/>
      <c r="GX681" s="155"/>
      <c r="GY681" s="155"/>
      <c r="GZ681" s="155"/>
      <c r="HA681" s="155"/>
      <c r="HB681" s="155"/>
      <c r="HC681" s="155"/>
      <c r="HD681" s="155"/>
      <c r="HE681" s="155"/>
    </row>
    <row r="682" spans="2:213" s="156" customFormat="1" hidden="1">
      <c r="B682" s="155"/>
      <c r="C682" s="155"/>
      <c r="D682" s="155"/>
      <c r="E682" s="155"/>
      <c r="F682" s="155"/>
      <c r="G682" s="155"/>
      <c r="H682" s="155"/>
      <c r="I682" s="155"/>
      <c r="J682" s="155"/>
      <c r="K682" s="155"/>
      <c r="L682" s="155"/>
      <c r="M682" s="155"/>
      <c r="N682" s="155"/>
      <c r="O682" s="155"/>
      <c r="P682" s="155"/>
      <c r="Q682" s="155"/>
      <c r="R682" s="155"/>
      <c r="S682" s="155"/>
      <c r="T682" s="155"/>
      <c r="U682" s="155"/>
      <c r="V682" s="155"/>
      <c r="W682" s="155"/>
      <c r="GL682" s="155"/>
      <c r="GM682" s="155"/>
      <c r="GN682" s="155"/>
      <c r="GO682" s="155"/>
      <c r="GP682" s="155"/>
      <c r="GQ682" s="155"/>
      <c r="GR682" s="155"/>
      <c r="GS682" s="155"/>
      <c r="GT682" s="155"/>
      <c r="GU682" s="155"/>
      <c r="GV682" s="155"/>
      <c r="GW682" s="155"/>
      <c r="GX682" s="155"/>
      <c r="GY682" s="155"/>
      <c r="GZ682" s="155"/>
      <c r="HA682" s="155"/>
      <c r="HB682" s="155"/>
      <c r="HC682" s="155"/>
      <c r="HD682" s="155"/>
      <c r="HE682" s="155"/>
    </row>
    <row r="683" spans="2:213" s="156" customFormat="1" hidden="1">
      <c r="B683" s="155"/>
      <c r="C683" s="155"/>
      <c r="D683" s="155"/>
      <c r="E683" s="155"/>
      <c r="F683" s="155"/>
      <c r="G683" s="155"/>
      <c r="H683" s="155"/>
      <c r="I683" s="155"/>
      <c r="J683" s="155"/>
      <c r="K683" s="155"/>
      <c r="L683" s="155"/>
      <c r="M683" s="155"/>
      <c r="N683" s="155"/>
      <c r="O683" s="155"/>
      <c r="P683" s="155"/>
      <c r="Q683" s="155"/>
      <c r="R683" s="155"/>
      <c r="S683" s="155"/>
      <c r="T683" s="155"/>
      <c r="U683" s="155"/>
      <c r="V683" s="155"/>
      <c r="W683" s="155"/>
      <c r="GL683" s="155"/>
      <c r="GM683" s="155"/>
      <c r="GN683" s="155"/>
      <c r="GO683" s="155"/>
      <c r="GP683" s="155"/>
      <c r="GQ683" s="155"/>
      <c r="GR683" s="155"/>
      <c r="GS683" s="155"/>
      <c r="GT683" s="155"/>
      <c r="GU683" s="155"/>
      <c r="GV683" s="155"/>
      <c r="GW683" s="155"/>
      <c r="GX683" s="155"/>
      <c r="GY683" s="155"/>
      <c r="GZ683" s="155"/>
      <c r="HA683" s="155"/>
      <c r="HB683" s="155"/>
      <c r="HC683" s="155"/>
      <c r="HD683" s="155"/>
      <c r="HE683" s="155"/>
    </row>
    <row r="684" spans="2:213" s="156" customFormat="1" hidden="1">
      <c r="B684" s="155"/>
      <c r="C684" s="155"/>
      <c r="D684" s="155"/>
      <c r="E684" s="155"/>
      <c r="F684" s="155"/>
      <c r="G684" s="155"/>
      <c r="H684" s="155"/>
      <c r="I684" s="155"/>
      <c r="J684" s="155"/>
      <c r="K684" s="155"/>
      <c r="L684" s="155"/>
      <c r="M684" s="155"/>
      <c r="N684" s="155"/>
      <c r="O684" s="155"/>
      <c r="P684" s="155"/>
      <c r="Q684" s="155"/>
      <c r="R684" s="155"/>
      <c r="S684" s="155"/>
      <c r="T684" s="155"/>
      <c r="U684" s="155"/>
      <c r="V684" s="155"/>
      <c r="W684" s="155"/>
      <c r="GL684" s="155"/>
      <c r="GM684" s="155"/>
      <c r="GN684" s="155"/>
      <c r="GO684" s="155"/>
      <c r="GP684" s="155"/>
      <c r="GQ684" s="155"/>
      <c r="GR684" s="155"/>
      <c r="GS684" s="155"/>
      <c r="GT684" s="155"/>
      <c r="GU684" s="155"/>
      <c r="GV684" s="155"/>
      <c r="GW684" s="155"/>
      <c r="GX684" s="155"/>
      <c r="GY684" s="155"/>
      <c r="GZ684" s="155"/>
      <c r="HA684" s="155"/>
      <c r="HB684" s="155"/>
      <c r="HC684" s="155"/>
      <c r="HD684" s="155"/>
      <c r="HE684" s="155"/>
    </row>
    <row r="685" spans="2:213" s="156" customFormat="1" hidden="1">
      <c r="B685" s="155"/>
      <c r="C685" s="155"/>
      <c r="D685" s="155"/>
      <c r="E685" s="155"/>
      <c r="F685" s="155"/>
      <c r="G685" s="155"/>
      <c r="H685" s="155"/>
      <c r="I685" s="155"/>
      <c r="J685" s="155"/>
      <c r="K685" s="155"/>
      <c r="L685" s="155"/>
      <c r="M685" s="155"/>
      <c r="N685" s="155"/>
      <c r="O685" s="155"/>
      <c r="P685" s="155"/>
      <c r="Q685" s="155"/>
      <c r="R685" s="155"/>
      <c r="S685" s="155"/>
      <c r="T685" s="155"/>
      <c r="U685" s="155"/>
      <c r="V685" s="155"/>
      <c r="W685" s="155"/>
      <c r="GL685" s="155"/>
      <c r="GM685" s="155"/>
      <c r="GN685" s="155"/>
      <c r="GO685" s="155"/>
      <c r="GP685" s="155"/>
      <c r="GQ685" s="155"/>
      <c r="GR685" s="155"/>
      <c r="GS685" s="155"/>
      <c r="GT685" s="155"/>
      <c r="GU685" s="155"/>
      <c r="GV685" s="155"/>
      <c r="GW685" s="155"/>
      <c r="GX685" s="155"/>
      <c r="GY685" s="155"/>
      <c r="GZ685" s="155"/>
      <c r="HA685" s="155"/>
      <c r="HB685" s="155"/>
      <c r="HC685" s="155"/>
      <c r="HD685" s="155"/>
      <c r="HE685" s="155"/>
    </row>
    <row r="686" spans="2:213" s="156" customFormat="1" hidden="1">
      <c r="B686" s="155"/>
      <c r="C686" s="155"/>
      <c r="D686" s="155"/>
      <c r="E686" s="155"/>
      <c r="F686" s="155"/>
      <c r="G686" s="155"/>
      <c r="H686" s="155"/>
      <c r="I686" s="155"/>
      <c r="J686" s="155"/>
      <c r="K686" s="155"/>
      <c r="L686" s="155"/>
      <c r="M686" s="155"/>
      <c r="N686" s="155"/>
      <c r="O686" s="155"/>
      <c r="P686" s="155"/>
      <c r="Q686" s="155"/>
      <c r="R686" s="155"/>
      <c r="S686" s="155"/>
      <c r="T686" s="155"/>
      <c r="U686" s="155"/>
      <c r="V686" s="155"/>
      <c r="W686" s="155"/>
      <c r="GL686" s="155"/>
      <c r="GM686" s="155"/>
      <c r="GN686" s="155"/>
      <c r="GO686" s="155"/>
      <c r="GP686" s="155"/>
      <c r="GQ686" s="155"/>
      <c r="GR686" s="155"/>
      <c r="GS686" s="155"/>
      <c r="GT686" s="155"/>
      <c r="GU686" s="155"/>
      <c r="GV686" s="155"/>
      <c r="GW686" s="155"/>
      <c r="GX686" s="155"/>
      <c r="GY686" s="155"/>
      <c r="GZ686" s="155"/>
      <c r="HA686" s="155"/>
      <c r="HB686" s="155"/>
      <c r="HC686" s="155"/>
      <c r="HD686" s="155"/>
      <c r="HE686" s="155"/>
    </row>
    <row r="687" spans="2:213" s="156" customFormat="1" hidden="1">
      <c r="B687" s="155"/>
      <c r="C687" s="155"/>
      <c r="D687" s="155"/>
      <c r="E687" s="155"/>
      <c r="F687" s="155"/>
      <c r="G687" s="155"/>
      <c r="H687" s="155"/>
      <c r="I687" s="155"/>
      <c r="J687" s="155"/>
      <c r="K687" s="155"/>
      <c r="L687" s="155"/>
      <c r="M687" s="155"/>
      <c r="N687" s="155"/>
      <c r="O687" s="155"/>
      <c r="P687" s="155"/>
      <c r="Q687" s="155"/>
      <c r="R687" s="155"/>
      <c r="S687" s="155"/>
      <c r="T687" s="155"/>
      <c r="U687" s="155"/>
      <c r="V687" s="155"/>
      <c r="W687" s="155"/>
      <c r="GL687" s="155"/>
      <c r="GM687" s="155"/>
      <c r="GN687" s="155"/>
      <c r="GO687" s="155"/>
      <c r="GP687" s="155"/>
      <c r="GQ687" s="155"/>
      <c r="GR687" s="155"/>
      <c r="GS687" s="155"/>
      <c r="GT687" s="155"/>
      <c r="GU687" s="155"/>
      <c r="GV687" s="155"/>
      <c r="GW687" s="155"/>
      <c r="GX687" s="155"/>
      <c r="GY687" s="155"/>
      <c r="GZ687" s="155"/>
      <c r="HA687" s="155"/>
      <c r="HB687" s="155"/>
      <c r="HC687" s="155"/>
      <c r="HD687" s="155"/>
      <c r="HE687" s="155"/>
    </row>
    <row r="688" spans="2:213" s="156" customFormat="1" hidden="1">
      <c r="B688" s="155"/>
      <c r="C688" s="155"/>
      <c r="D688" s="155"/>
      <c r="E688" s="155"/>
      <c r="F688" s="155"/>
      <c r="G688" s="155"/>
      <c r="H688" s="155"/>
      <c r="I688" s="155"/>
      <c r="J688" s="155"/>
      <c r="K688" s="155"/>
      <c r="L688" s="155"/>
      <c r="M688" s="155"/>
      <c r="N688" s="155"/>
      <c r="O688" s="155"/>
      <c r="P688" s="155"/>
      <c r="Q688" s="155"/>
      <c r="R688" s="155"/>
      <c r="S688" s="155"/>
      <c r="T688" s="155"/>
      <c r="U688" s="155"/>
      <c r="V688" s="155"/>
      <c r="W688" s="155"/>
      <c r="GL688" s="155"/>
      <c r="GM688" s="155"/>
      <c r="GN688" s="155"/>
      <c r="GO688" s="155"/>
      <c r="GP688" s="155"/>
      <c r="GQ688" s="155"/>
      <c r="GR688" s="155"/>
      <c r="GS688" s="155"/>
      <c r="GT688" s="155"/>
      <c r="GU688" s="155"/>
      <c r="GV688" s="155"/>
      <c r="GW688" s="155"/>
      <c r="GX688" s="155"/>
      <c r="GY688" s="155"/>
      <c r="GZ688" s="155"/>
      <c r="HA688" s="155"/>
      <c r="HB688" s="155"/>
      <c r="HC688" s="155"/>
      <c r="HD688" s="155"/>
      <c r="HE688" s="155"/>
    </row>
    <row r="689" spans="2:213" s="156" customFormat="1" hidden="1">
      <c r="B689" s="155"/>
      <c r="C689" s="155"/>
      <c r="D689" s="155"/>
      <c r="E689" s="155"/>
      <c r="F689" s="155"/>
      <c r="G689" s="155"/>
      <c r="H689" s="155"/>
      <c r="I689" s="155"/>
      <c r="J689" s="155"/>
      <c r="K689" s="155"/>
      <c r="L689" s="155"/>
      <c r="M689" s="155"/>
      <c r="N689" s="155"/>
      <c r="O689" s="155"/>
      <c r="P689" s="155"/>
      <c r="Q689" s="155"/>
      <c r="R689" s="155"/>
      <c r="S689" s="155"/>
      <c r="T689" s="155"/>
      <c r="U689" s="155"/>
      <c r="V689" s="155"/>
      <c r="W689" s="155"/>
      <c r="GL689" s="155"/>
      <c r="GM689" s="155"/>
      <c r="GN689" s="155"/>
      <c r="GO689" s="155"/>
      <c r="GP689" s="155"/>
      <c r="GQ689" s="155"/>
      <c r="GR689" s="155"/>
      <c r="GS689" s="155"/>
      <c r="GT689" s="155"/>
      <c r="GU689" s="155"/>
      <c r="GV689" s="155"/>
      <c r="GW689" s="155"/>
      <c r="GX689" s="155"/>
      <c r="GY689" s="155"/>
      <c r="GZ689" s="155"/>
      <c r="HA689" s="155"/>
      <c r="HB689" s="155"/>
      <c r="HC689" s="155"/>
      <c r="HD689" s="155"/>
      <c r="HE689" s="155"/>
    </row>
    <row r="690" spans="2:213" s="156" customFormat="1" hidden="1">
      <c r="B690" s="155"/>
      <c r="C690" s="155"/>
      <c r="D690" s="155"/>
      <c r="E690" s="155"/>
      <c r="F690" s="155"/>
      <c r="G690" s="155"/>
      <c r="H690" s="155"/>
      <c r="I690" s="155"/>
      <c r="J690" s="155"/>
      <c r="K690" s="155"/>
      <c r="L690" s="155"/>
      <c r="M690" s="155"/>
      <c r="N690" s="155"/>
      <c r="O690" s="155"/>
      <c r="P690" s="155"/>
      <c r="Q690" s="155"/>
      <c r="R690" s="155"/>
      <c r="S690" s="155"/>
      <c r="T690" s="155"/>
      <c r="U690" s="155"/>
      <c r="V690" s="155"/>
      <c r="W690" s="155"/>
      <c r="GL690" s="155"/>
      <c r="GM690" s="155"/>
      <c r="GN690" s="155"/>
      <c r="GO690" s="155"/>
      <c r="GP690" s="155"/>
      <c r="GQ690" s="155"/>
      <c r="GR690" s="155"/>
      <c r="GS690" s="155"/>
      <c r="GT690" s="155"/>
      <c r="GU690" s="155"/>
      <c r="GV690" s="155"/>
      <c r="GW690" s="155"/>
      <c r="GX690" s="155"/>
      <c r="GY690" s="155"/>
      <c r="GZ690" s="155"/>
      <c r="HA690" s="155"/>
      <c r="HB690" s="155"/>
      <c r="HC690" s="155"/>
      <c r="HD690" s="155"/>
      <c r="HE690" s="155"/>
    </row>
    <row r="691" spans="2:213" s="156" customFormat="1" hidden="1">
      <c r="B691" s="155"/>
      <c r="C691" s="155"/>
      <c r="D691" s="155"/>
      <c r="E691" s="155"/>
      <c r="F691" s="155"/>
      <c r="G691" s="155"/>
      <c r="H691" s="155"/>
      <c r="I691" s="155"/>
      <c r="J691" s="155"/>
      <c r="K691" s="155"/>
      <c r="L691" s="155"/>
      <c r="M691" s="155"/>
      <c r="N691" s="155"/>
      <c r="O691" s="155"/>
      <c r="P691" s="155"/>
      <c r="Q691" s="155"/>
      <c r="R691" s="155"/>
      <c r="S691" s="155"/>
      <c r="T691" s="155"/>
      <c r="U691" s="155"/>
      <c r="V691" s="155"/>
      <c r="W691" s="155"/>
      <c r="GL691" s="155"/>
      <c r="GM691" s="155"/>
      <c r="GN691" s="155"/>
      <c r="GO691" s="155"/>
      <c r="GP691" s="155"/>
      <c r="GQ691" s="155"/>
      <c r="GR691" s="155"/>
      <c r="GS691" s="155"/>
      <c r="GT691" s="155"/>
      <c r="GU691" s="155"/>
      <c r="GV691" s="155"/>
      <c r="GW691" s="155"/>
      <c r="GX691" s="155"/>
      <c r="GY691" s="155"/>
      <c r="GZ691" s="155"/>
      <c r="HA691" s="155"/>
      <c r="HB691" s="155"/>
      <c r="HC691" s="155"/>
      <c r="HD691" s="155"/>
      <c r="HE691" s="155"/>
    </row>
    <row r="692" spans="2:213" s="156" customFormat="1" hidden="1">
      <c r="B692" s="155"/>
      <c r="C692" s="155"/>
      <c r="D692" s="155"/>
      <c r="E692" s="155"/>
      <c r="F692" s="155"/>
      <c r="G692" s="155"/>
      <c r="H692" s="155"/>
      <c r="I692" s="155"/>
      <c r="J692" s="155"/>
      <c r="K692" s="155"/>
      <c r="L692" s="155"/>
      <c r="M692" s="155"/>
      <c r="N692" s="155"/>
      <c r="O692" s="155"/>
      <c r="P692" s="155"/>
      <c r="Q692" s="155"/>
      <c r="R692" s="155"/>
      <c r="S692" s="155"/>
      <c r="T692" s="155"/>
      <c r="U692" s="155"/>
      <c r="V692" s="155"/>
      <c r="W692" s="155"/>
      <c r="GL692" s="155"/>
      <c r="GM692" s="155"/>
      <c r="GN692" s="155"/>
      <c r="GO692" s="155"/>
      <c r="GP692" s="155"/>
      <c r="GQ692" s="155"/>
      <c r="GR692" s="155"/>
      <c r="GS692" s="155"/>
      <c r="GT692" s="155"/>
      <c r="GU692" s="155"/>
      <c r="GV692" s="155"/>
      <c r="GW692" s="155"/>
      <c r="GX692" s="155"/>
      <c r="GY692" s="155"/>
      <c r="GZ692" s="155"/>
      <c r="HA692" s="155"/>
      <c r="HB692" s="155"/>
      <c r="HC692" s="155"/>
      <c r="HD692" s="155"/>
      <c r="HE692" s="155"/>
    </row>
    <row r="693" spans="2:213" s="156" customFormat="1" hidden="1">
      <c r="B693" s="155"/>
      <c r="C693" s="155"/>
      <c r="D693" s="155"/>
      <c r="E693" s="155"/>
      <c r="F693" s="155"/>
      <c r="G693" s="155"/>
      <c r="H693" s="155"/>
      <c r="I693" s="155"/>
      <c r="J693" s="155"/>
      <c r="K693" s="155"/>
      <c r="L693" s="155"/>
      <c r="M693" s="155"/>
      <c r="N693" s="155"/>
      <c r="O693" s="155"/>
      <c r="P693" s="155"/>
      <c r="Q693" s="155"/>
      <c r="R693" s="155"/>
      <c r="S693" s="155"/>
      <c r="T693" s="155"/>
      <c r="U693" s="155"/>
      <c r="V693" s="155"/>
      <c r="W693" s="155"/>
      <c r="GL693" s="155"/>
      <c r="GM693" s="155"/>
      <c r="GN693" s="155"/>
      <c r="GO693" s="155"/>
      <c r="GP693" s="155"/>
      <c r="GQ693" s="155"/>
      <c r="GR693" s="155"/>
      <c r="GS693" s="155"/>
      <c r="GT693" s="155"/>
      <c r="GU693" s="155"/>
      <c r="GV693" s="155"/>
      <c r="GW693" s="155"/>
      <c r="GX693" s="155"/>
      <c r="GY693" s="155"/>
      <c r="GZ693" s="155"/>
      <c r="HA693" s="155"/>
      <c r="HB693" s="155"/>
      <c r="HC693" s="155"/>
      <c r="HD693" s="155"/>
      <c r="HE693" s="155"/>
    </row>
    <row r="694" spans="2:213" s="156" customFormat="1" hidden="1">
      <c r="B694" s="155"/>
      <c r="C694" s="155"/>
      <c r="D694" s="155"/>
      <c r="E694" s="155"/>
      <c r="F694" s="155"/>
      <c r="G694" s="155"/>
      <c r="H694" s="155"/>
      <c r="I694" s="155"/>
      <c r="J694" s="155"/>
      <c r="K694" s="155"/>
      <c r="L694" s="155"/>
      <c r="M694" s="155"/>
      <c r="N694" s="155"/>
      <c r="O694" s="155"/>
      <c r="P694" s="155"/>
      <c r="Q694" s="155"/>
      <c r="R694" s="155"/>
      <c r="S694" s="155"/>
      <c r="T694" s="155"/>
      <c r="U694" s="155"/>
      <c r="V694" s="155"/>
      <c r="W694" s="155"/>
      <c r="GL694" s="155"/>
      <c r="GM694" s="155"/>
      <c r="GN694" s="155"/>
      <c r="GO694" s="155"/>
      <c r="GP694" s="155"/>
      <c r="GQ694" s="155"/>
      <c r="GR694" s="155"/>
      <c r="GS694" s="155"/>
      <c r="GT694" s="155"/>
      <c r="GU694" s="155"/>
      <c r="GV694" s="155"/>
      <c r="GW694" s="155"/>
      <c r="GX694" s="155"/>
      <c r="GY694" s="155"/>
      <c r="GZ694" s="155"/>
      <c r="HA694" s="155"/>
      <c r="HB694" s="155"/>
      <c r="HC694" s="155"/>
      <c r="HD694" s="155"/>
      <c r="HE694" s="155"/>
    </row>
    <row r="695" spans="2:213" s="156" customFormat="1" hidden="1">
      <c r="B695" s="155"/>
      <c r="C695" s="155"/>
      <c r="D695" s="155"/>
      <c r="E695" s="155"/>
      <c r="F695" s="155"/>
      <c r="G695" s="155"/>
      <c r="H695" s="155"/>
      <c r="I695" s="155"/>
      <c r="J695" s="155"/>
      <c r="K695" s="155"/>
      <c r="L695" s="155"/>
      <c r="M695" s="155"/>
      <c r="N695" s="155"/>
      <c r="O695" s="155"/>
      <c r="P695" s="155"/>
      <c r="Q695" s="155"/>
      <c r="R695" s="155"/>
      <c r="S695" s="155"/>
      <c r="T695" s="155"/>
      <c r="U695" s="155"/>
      <c r="V695" s="155"/>
      <c r="W695" s="155"/>
      <c r="GL695" s="155"/>
      <c r="GM695" s="155"/>
      <c r="GN695" s="155"/>
      <c r="GO695" s="155"/>
      <c r="GP695" s="155"/>
      <c r="GQ695" s="155"/>
      <c r="GR695" s="155"/>
      <c r="GS695" s="155"/>
      <c r="GT695" s="155"/>
      <c r="GU695" s="155"/>
      <c r="GV695" s="155"/>
      <c r="GW695" s="155"/>
      <c r="GX695" s="155"/>
      <c r="GY695" s="155"/>
      <c r="GZ695" s="155"/>
      <c r="HA695" s="155"/>
      <c r="HB695" s="155"/>
      <c r="HC695" s="155"/>
      <c r="HD695" s="155"/>
      <c r="HE695" s="155"/>
    </row>
    <row r="696" spans="2:213" s="156" customFormat="1" hidden="1">
      <c r="B696" s="155"/>
      <c r="C696" s="155"/>
      <c r="D696" s="155"/>
      <c r="E696" s="155"/>
      <c r="F696" s="155"/>
      <c r="G696" s="155"/>
      <c r="H696" s="155"/>
      <c r="I696" s="155"/>
      <c r="J696" s="155"/>
      <c r="K696" s="155"/>
      <c r="L696" s="155"/>
      <c r="M696" s="155"/>
      <c r="N696" s="155"/>
      <c r="O696" s="155"/>
      <c r="P696" s="155"/>
      <c r="Q696" s="155"/>
      <c r="R696" s="155"/>
      <c r="S696" s="155"/>
      <c r="T696" s="155"/>
      <c r="U696" s="155"/>
      <c r="V696" s="155"/>
      <c r="W696" s="155"/>
      <c r="GL696" s="155"/>
      <c r="GM696" s="155"/>
      <c r="GN696" s="155"/>
      <c r="GO696" s="155"/>
      <c r="GP696" s="155"/>
      <c r="GQ696" s="155"/>
      <c r="GR696" s="155"/>
      <c r="GS696" s="155"/>
      <c r="GT696" s="155"/>
      <c r="GU696" s="155"/>
      <c r="GV696" s="155"/>
      <c r="GW696" s="155"/>
      <c r="GX696" s="155"/>
      <c r="GY696" s="155"/>
      <c r="GZ696" s="155"/>
      <c r="HA696" s="155"/>
      <c r="HB696" s="155"/>
      <c r="HC696" s="155"/>
      <c r="HD696" s="155"/>
      <c r="HE696" s="155"/>
    </row>
    <row r="697" spans="2:213" s="156" customFormat="1" hidden="1">
      <c r="B697" s="155"/>
      <c r="C697" s="155"/>
      <c r="D697" s="155"/>
      <c r="E697" s="155"/>
      <c r="F697" s="155"/>
      <c r="G697" s="155"/>
      <c r="H697" s="155"/>
      <c r="I697" s="155"/>
      <c r="J697" s="155"/>
      <c r="K697" s="155"/>
      <c r="L697" s="155"/>
      <c r="M697" s="155"/>
      <c r="N697" s="155"/>
      <c r="O697" s="155"/>
      <c r="P697" s="155"/>
      <c r="Q697" s="155"/>
      <c r="R697" s="155"/>
      <c r="S697" s="155"/>
      <c r="T697" s="155"/>
      <c r="U697" s="155"/>
      <c r="V697" s="155"/>
      <c r="W697" s="155"/>
      <c r="GL697" s="155"/>
      <c r="GM697" s="155"/>
      <c r="GN697" s="155"/>
      <c r="GO697" s="155"/>
      <c r="GP697" s="155"/>
      <c r="GQ697" s="155"/>
      <c r="GR697" s="155"/>
      <c r="GS697" s="155"/>
      <c r="GT697" s="155"/>
      <c r="GU697" s="155"/>
      <c r="GV697" s="155"/>
      <c r="GW697" s="155"/>
      <c r="GX697" s="155"/>
      <c r="GY697" s="155"/>
      <c r="GZ697" s="155"/>
      <c r="HA697" s="155"/>
      <c r="HB697" s="155"/>
      <c r="HC697" s="155"/>
      <c r="HD697" s="155"/>
      <c r="HE697" s="155"/>
    </row>
    <row r="698" spans="2:213" s="156" customFormat="1" hidden="1">
      <c r="B698" s="155"/>
      <c r="C698" s="155"/>
      <c r="D698" s="155"/>
      <c r="E698" s="155"/>
      <c r="F698" s="155"/>
      <c r="G698" s="155"/>
      <c r="H698" s="155"/>
      <c r="I698" s="155"/>
      <c r="J698" s="155"/>
      <c r="K698" s="155"/>
      <c r="L698" s="155"/>
      <c r="M698" s="155"/>
      <c r="N698" s="155"/>
      <c r="O698" s="155"/>
      <c r="P698" s="155"/>
      <c r="Q698" s="155"/>
      <c r="R698" s="155"/>
      <c r="S698" s="155"/>
      <c r="T698" s="155"/>
      <c r="U698" s="155"/>
      <c r="V698" s="155"/>
      <c r="W698" s="155"/>
      <c r="GL698" s="155"/>
      <c r="GM698" s="155"/>
      <c r="GN698" s="155"/>
      <c r="GO698" s="155"/>
      <c r="GP698" s="155"/>
      <c r="GQ698" s="155"/>
      <c r="GR698" s="155"/>
      <c r="GS698" s="155"/>
      <c r="GT698" s="155"/>
      <c r="GU698" s="155"/>
      <c r="GV698" s="155"/>
      <c r="GW698" s="155"/>
      <c r="GX698" s="155"/>
      <c r="GY698" s="155"/>
      <c r="GZ698" s="155"/>
      <c r="HA698" s="155"/>
      <c r="HB698" s="155"/>
      <c r="HC698" s="155"/>
      <c r="HD698" s="155"/>
      <c r="HE698" s="155"/>
    </row>
    <row r="699" spans="2:213" s="156" customFormat="1" hidden="1">
      <c r="B699" s="155"/>
      <c r="C699" s="155"/>
      <c r="D699" s="155"/>
      <c r="E699" s="155"/>
      <c r="F699" s="155"/>
      <c r="G699" s="155"/>
      <c r="H699" s="155"/>
      <c r="I699" s="155"/>
      <c r="J699" s="155"/>
      <c r="K699" s="155"/>
      <c r="L699" s="155"/>
      <c r="M699" s="155"/>
      <c r="N699" s="155"/>
      <c r="O699" s="155"/>
      <c r="P699" s="155"/>
      <c r="Q699" s="155"/>
      <c r="R699" s="155"/>
      <c r="S699" s="155"/>
      <c r="T699" s="155"/>
      <c r="U699" s="155"/>
      <c r="V699" s="155"/>
      <c r="W699" s="155"/>
      <c r="GL699" s="155"/>
      <c r="GM699" s="155"/>
      <c r="GN699" s="155"/>
      <c r="GO699" s="155"/>
      <c r="GP699" s="155"/>
      <c r="GQ699" s="155"/>
      <c r="GR699" s="155"/>
      <c r="GS699" s="155"/>
      <c r="GT699" s="155"/>
      <c r="GU699" s="155"/>
      <c r="GV699" s="155"/>
      <c r="GW699" s="155"/>
      <c r="GX699" s="155"/>
      <c r="GY699" s="155"/>
      <c r="GZ699" s="155"/>
      <c r="HA699" s="155"/>
      <c r="HB699" s="155"/>
      <c r="HC699" s="155"/>
      <c r="HD699" s="155"/>
      <c r="HE699" s="155"/>
    </row>
    <row r="700" spans="2:213" s="156" customFormat="1" hidden="1">
      <c r="B700" s="155"/>
      <c r="C700" s="155"/>
      <c r="D700" s="155"/>
      <c r="E700" s="155"/>
      <c r="F700" s="155"/>
      <c r="G700" s="155"/>
      <c r="H700" s="155"/>
      <c r="I700" s="155"/>
      <c r="J700" s="155"/>
      <c r="K700" s="155"/>
      <c r="L700" s="155"/>
      <c r="M700" s="155"/>
      <c r="N700" s="155"/>
      <c r="O700" s="155"/>
      <c r="P700" s="155"/>
      <c r="Q700" s="155"/>
      <c r="R700" s="155"/>
      <c r="S700" s="155"/>
      <c r="T700" s="155"/>
      <c r="U700" s="155"/>
      <c r="V700" s="155"/>
      <c r="W700" s="155"/>
      <c r="GL700" s="155"/>
      <c r="GM700" s="155"/>
      <c r="GN700" s="155"/>
      <c r="GO700" s="155"/>
      <c r="GP700" s="155"/>
      <c r="GQ700" s="155"/>
      <c r="GR700" s="155"/>
      <c r="GS700" s="155"/>
      <c r="GT700" s="155"/>
      <c r="GU700" s="155"/>
      <c r="GV700" s="155"/>
      <c r="GW700" s="155"/>
      <c r="GX700" s="155"/>
      <c r="GY700" s="155"/>
      <c r="GZ700" s="155"/>
      <c r="HA700" s="155"/>
      <c r="HB700" s="155"/>
      <c r="HC700" s="155"/>
      <c r="HD700" s="155"/>
      <c r="HE700" s="155"/>
    </row>
    <row r="701" spans="2:213" s="156" customFormat="1" hidden="1">
      <c r="B701" s="155"/>
      <c r="C701" s="155"/>
      <c r="D701" s="155"/>
      <c r="E701" s="155"/>
      <c r="F701" s="155"/>
      <c r="G701" s="155"/>
      <c r="H701" s="155"/>
      <c r="I701" s="155"/>
      <c r="J701" s="155"/>
      <c r="K701" s="155"/>
      <c r="L701" s="155"/>
      <c r="M701" s="155"/>
      <c r="N701" s="155"/>
      <c r="O701" s="155"/>
      <c r="P701" s="155"/>
      <c r="Q701" s="155"/>
      <c r="R701" s="155"/>
      <c r="S701" s="155"/>
      <c r="T701" s="155"/>
      <c r="U701" s="155"/>
      <c r="V701" s="155"/>
      <c r="W701" s="155"/>
      <c r="GL701" s="155"/>
      <c r="GM701" s="155"/>
      <c r="GN701" s="155"/>
      <c r="GO701" s="155"/>
      <c r="GP701" s="155"/>
      <c r="GQ701" s="155"/>
      <c r="GR701" s="155"/>
      <c r="GS701" s="155"/>
      <c r="GT701" s="155"/>
      <c r="GU701" s="155"/>
      <c r="GV701" s="155"/>
      <c r="GW701" s="155"/>
      <c r="GX701" s="155"/>
      <c r="GY701" s="155"/>
      <c r="GZ701" s="155"/>
      <c r="HA701" s="155"/>
      <c r="HB701" s="155"/>
      <c r="HC701" s="155"/>
      <c r="HD701" s="155"/>
      <c r="HE701" s="155"/>
    </row>
    <row r="702" spans="2:213" s="156" customFormat="1" hidden="1">
      <c r="B702" s="155"/>
      <c r="C702" s="155"/>
      <c r="D702" s="155"/>
      <c r="E702" s="155"/>
      <c r="F702" s="155"/>
      <c r="G702" s="155"/>
      <c r="H702" s="155"/>
      <c r="I702" s="155"/>
      <c r="J702" s="155"/>
      <c r="K702" s="155"/>
      <c r="L702" s="155"/>
      <c r="M702" s="155"/>
      <c r="N702" s="155"/>
      <c r="O702" s="155"/>
      <c r="P702" s="155"/>
      <c r="Q702" s="155"/>
      <c r="R702" s="155"/>
      <c r="S702" s="155"/>
      <c r="T702" s="155"/>
      <c r="U702" s="155"/>
      <c r="V702" s="155"/>
      <c r="W702" s="155"/>
      <c r="GL702" s="155"/>
      <c r="GM702" s="155"/>
      <c r="GN702" s="155"/>
      <c r="GO702" s="155"/>
      <c r="GP702" s="155"/>
      <c r="GQ702" s="155"/>
      <c r="GR702" s="155"/>
      <c r="GS702" s="155"/>
      <c r="GT702" s="155"/>
      <c r="GU702" s="155"/>
      <c r="GV702" s="155"/>
      <c r="GW702" s="155"/>
      <c r="GX702" s="155"/>
      <c r="GY702" s="155"/>
      <c r="GZ702" s="155"/>
      <c r="HA702" s="155"/>
      <c r="HB702" s="155"/>
      <c r="HC702" s="155"/>
      <c r="HD702" s="155"/>
      <c r="HE702" s="155"/>
    </row>
    <row r="703" spans="2:213" s="156" customFormat="1" hidden="1">
      <c r="B703" s="155"/>
      <c r="C703" s="155"/>
      <c r="D703" s="155"/>
      <c r="E703" s="155"/>
      <c r="F703" s="155"/>
      <c r="G703" s="155"/>
      <c r="H703" s="155"/>
      <c r="I703" s="155"/>
      <c r="J703" s="155"/>
      <c r="K703" s="155"/>
      <c r="L703" s="155"/>
      <c r="M703" s="155"/>
      <c r="N703" s="155"/>
      <c r="O703" s="155"/>
      <c r="P703" s="155"/>
      <c r="Q703" s="155"/>
      <c r="R703" s="155"/>
      <c r="S703" s="155"/>
      <c r="T703" s="155"/>
      <c r="U703" s="155"/>
      <c r="V703" s="155"/>
      <c r="W703" s="155"/>
      <c r="GL703" s="155"/>
      <c r="GM703" s="155"/>
      <c r="GN703" s="155"/>
      <c r="GO703" s="155"/>
      <c r="GP703" s="155"/>
      <c r="GQ703" s="155"/>
      <c r="GR703" s="155"/>
      <c r="GS703" s="155"/>
      <c r="GT703" s="155"/>
      <c r="GU703" s="155"/>
      <c r="GV703" s="155"/>
      <c r="GW703" s="155"/>
      <c r="GX703" s="155"/>
      <c r="GY703" s="155"/>
      <c r="GZ703" s="155"/>
      <c r="HA703" s="155"/>
      <c r="HB703" s="155"/>
      <c r="HC703" s="155"/>
      <c r="HD703" s="155"/>
      <c r="HE703" s="155"/>
    </row>
    <row r="704" spans="2:213" s="156" customFormat="1" hidden="1">
      <c r="B704" s="155"/>
      <c r="C704" s="155"/>
      <c r="D704" s="155"/>
      <c r="E704" s="155"/>
      <c r="F704" s="155"/>
      <c r="G704" s="155"/>
      <c r="H704" s="155"/>
      <c r="I704" s="155"/>
      <c r="J704" s="155"/>
      <c r="K704" s="155"/>
      <c r="L704" s="155"/>
      <c r="M704" s="155"/>
      <c r="N704" s="155"/>
      <c r="O704" s="155"/>
      <c r="P704" s="155"/>
      <c r="Q704" s="155"/>
      <c r="R704" s="155"/>
      <c r="S704" s="155"/>
      <c r="T704" s="155"/>
      <c r="U704" s="155"/>
      <c r="V704" s="155"/>
      <c r="W704" s="155"/>
      <c r="GL704" s="155"/>
      <c r="GM704" s="155"/>
      <c r="GN704" s="155"/>
      <c r="GO704" s="155"/>
      <c r="GP704" s="155"/>
      <c r="GQ704" s="155"/>
      <c r="GR704" s="155"/>
      <c r="GS704" s="155"/>
      <c r="GT704" s="155"/>
      <c r="GU704" s="155"/>
      <c r="GV704" s="155"/>
      <c r="GW704" s="155"/>
      <c r="GX704" s="155"/>
      <c r="GY704" s="155"/>
      <c r="GZ704" s="155"/>
      <c r="HA704" s="155"/>
      <c r="HB704" s="155"/>
      <c r="HC704" s="155"/>
      <c r="HD704" s="155"/>
      <c r="HE704" s="155"/>
    </row>
    <row r="705" spans="2:213" s="156" customFormat="1" hidden="1">
      <c r="B705" s="155"/>
      <c r="C705" s="155"/>
      <c r="D705" s="155"/>
      <c r="E705" s="155"/>
      <c r="F705" s="155"/>
      <c r="G705" s="155"/>
      <c r="H705" s="155"/>
      <c r="I705" s="155"/>
      <c r="J705" s="155"/>
      <c r="K705" s="155"/>
      <c r="L705" s="155"/>
      <c r="M705" s="155"/>
      <c r="N705" s="155"/>
      <c r="O705" s="155"/>
      <c r="P705" s="155"/>
      <c r="Q705" s="155"/>
      <c r="R705" s="155"/>
      <c r="S705" s="155"/>
      <c r="T705" s="155"/>
      <c r="U705" s="155"/>
      <c r="V705" s="155"/>
      <c r="W705" s="155"/>
      <c r="GL705" s="155"/>
      <c r="GM705" s="155"/>
      <c r="GN705" s="155"/>
      <c r="GO705" s="155"/>
      <c r="GP705" s="155"/>
      <c r="GQ705" s="155"/>
      <c r="GR705" s="155"/>
      <c r="GS705" s="155"/>
      <c r="GT705" s="155"/>
      <c r="GU705" s="155"/>
      <c r="GV705" s="155"/>
      <c r="GW705" s="155"/>
      <c r="GX705" s="155"/>
      <c r="GY705" s="155"/>
      <c r="GZ705" s="155"/>
      <c r="HA705" s="155"/>
      <c r="HB705" s="155"/>
      <c r="HC705" s="155"/>
      <c r="HD705" s="155"/>
      <c r="HE705" s="155"/>
    </row>
    <row r="706" spans="2:213" s="156" customFormat="1" hidden="1">
      <c r="B706" s="155"/>
      <c r="C706" s="155"/>
      <c r="D706" s="155"/>
      <c r="E706" s="155"/>
      <c r="F706" s="155"/>
      <c r="G706" s="155"/>
      <c r="H706" s="155"/>
      <c r="I706" s="155"/>
      <c r="J706" s="155"/>
      <c r="K706" s="155"/>
      <c r="L706" s="155"/>
      <c r="M706" s="155"/>
      <c r="N706" s="155"/>
      <c r="O706" s="155"/>
      <c r="P706" s="155"/>
      <c r="Q706" s="155"/>
      <c r="R706" s="155"/>
      <c r="S706" s="155"/>
      <c r="T706" s="155"/>
      <c r="U706" s="155"/>
      <c r="V706" s="155"/>
      <c r="W706" s="155"/>
      <c r="GL706" s="155"/>
      <c r="GM706" s="155"/>
      <c r="GN706" s="155"/>
      <c r="GO706" s="155"/>
      <c r="GP706" s="155"/>
      <c r="GQ706" s="155"/>
      <c r="GR706" s="155"/>
      <c r="GS706" s="155"/>
      <c r="GT706" s="155"/>
      <c r="GU706" s="155"/>
      <c r="GV706" s="155"/>
      <c r="GW706" s="155"/>
      <c r="GX706" s="155"/>
      <c r="GY706" s="155"/>
      <c r="GZ706" s="155"/>
      <c r="HA706" s="155"/>
      <c r="HB706" s="155"/>
      <c r="HC706" s="155"/>
      <c r="HD706" s="155"/>
      <c r="HE706" s="155"/>
    </row>
    <row r="707" spans="2:213" s="156" customFormat="1" hidden="1">
      <c r="B707" s="155"/>
      <c r="C707" s="155"/>
      <c r="D707" s="155"/>
      <c r="E707" s="155"/>
      <c r="F707" s="155"/>
      <c r="G707" s="155"/>
      <c r="H707" s="155"/>
      <c r="I707" s="155"/>
      <c r="J707" s="155"/>
      <c r="K707" s="155"/>
      <c r="L707" s="155"/>
      <c r="M707" s="155"/>
      <c r="N707" s="155"/>
      <c r="O707" s="155"/>
      <c r="P707" s="155"/>
      <c r="Q707" s="155"/>
      <c r="R707" s="155"/>
      <c r="S707" s="155"/>
      <c r="T707" s="155"/>
      <c r="U707" s="155"/>
      <c r="V707" s="155"/>
      <c r="W707" s="155"/>
      <c r="GL707" s="155"/>
      <c r="GM707" s="155"/>
      <c r="GN707" s="155"/>
      <c r="GO707" s="155"/>
      <c r="GP707" s="155"/>
      <c r="GQ707" s="155"/>
      <c r="GR707" s="155"/>
      <c r="GS707" s="155"/>
      <c r="GT707" s="155"/>
      <c r="GU707" s="155"/>
      <c r="GV707" s="155"/>
      <c r="GW707" s="155"/>
      <c r="GX707" s="155"/>
      <c r="GY707" s="155"/>
      <c r="GZ707" s="155"/>
      <c r="HA707" s="155"/>
      <c r="HB707" s="155"/>
      <c r="HC707" s="155"/>
      <c r="HD707" s="155"/>
      <c r="HE707" s="155"/>
    </row>
    <row r="708" spans="2:213" s="156" customFormat="1" hidden="1">
      <c r="B708" s="155"/>
      <c r="C708" s="155"/>
      <c r="D708" s="155"/>
      <c r="E708" s="155"/>
      <c r="F708" s="155"/>
      <c r="G708" s="155"/>
      <c r="H708" s="155"/>
      <c r="I708" s="155"/>
      <c r="J708" s="155"/>
      <c r="K708" s="155"/>
      <c r="L708" s="155"/>
      <c r="M708" s="155"/>
      <c r="N708" s="155"/>
      <c r="O708" s="155"/>
      <c r="P708" s="155"/>
      <c r="Q708" s="155"/>
      <c r="R708" s="155"/>
      <c r="S708" s="155"/>
      <c r="T708" s="155"/>
      <c r="U708" s="155"/>
      <c r="V708" s="155"/>
      <c r="W708" s="155"/>
      <c r="GL708" s="155"/>
      <c r="GM708" s="155"/>
      <c r="GN708" s="155"/>
      <c r="GO708" s="155"/>
      <c r="GP708" s="155"/>
      <c r="GQ708" s="155"/>
      <c r="GR708" s="155"/>
      <c r="GS708" s="155"/>
      <c r="GT708" s="155"/>
      <c r="GU708" s="155"/>
      <c r="GV708" s="155"/>
      <c r="GW708" s="155"/>
      <c r="GX708" s="155"/>
      <c r="GY708" s="155"/>
      <c r="GZ708" s="155"/>
      <c r="HA708" s="155"/>
      <c r="HB708" s="155"/>
      <c r="HC708" s="155"/>
      <c r="HD708" s="155"/>
      <c r="HE708" s="155"/>
    </row>
    <row r="709" spans="2:213" s="156" customFormat="1" hidden="1">
      <c r="B709" s="155"/>
      <c r="C709" s="155"/>
      <c r="D709" s="155"/>
      <c r="E709" s="155"/>
      <c r="F709" s="155"/>
      <c r="G709" s="155"/>
      <c r="H709" s="155"/>
      <c r="I709" s="155"/>
      <c r="J709" s="155"/>
      <c r="K709" s="155"/>
      <c r="L709" s="155"/>
      <c r="M709" s="155"/>
      <c r="N709" s="155"/>
      <c r="O709" s="155"/>
      <c r="P709" s="155"/>
      <c r="Q709" s="155"/>
      <c r="R709" s="155"/>
      <c r="S709" s="155"/>
      <c r="T709" s="155"/>
      <c r="U709" s="155"/>
      <c r="V709" s="155"/>
      <c r="W709" s="155"/>
      <c r="GL709" s="155"/>
      <c r="GM709" s="155"/>
      <c r="GN709" s="155"/>
      <c r="GO709" s="155"/>
      <c r="GP709" s="155"/>
      <c r="GQ709" s="155"/>
      <c r="GR709" s="155"/>
      <c r="GS709" s="155"/>
      <c r="GT709" s="155"/>
      <c r="GU709" s="155"/>
      <c r="GV709" s="155"/>
      <c r="GW709" s="155"/>
      <c r="GX709" s="155"/>
      <c r="GY709" s="155"/>
      <c r="GZ709" s="155"/>
      <c r="HA709" s="155"/>
      <c r="HB709" s="155"/>
      <c r="HC709" s="155"/>
      <c r="HD709" s="155"/>
      <c r="HE709" s="155"/>
    </row>
    <row r="710" spans="2:213" s="156" customFormat="1" hidden="1">
      <c r="B710" s="155"/>
      <c r="C710" s="155"/>
      <c r="D710" s="155"/>
      <c r="E710" s="155"/>
      <c r="F710" s="155"/>
      <c r="G710" s="155"/>
      <c r="H710" s="155"/>
      <c r="I710" s="155"/>
      <c r="J710" s="155"/>
      <c r="K710" s="155"/>
      <c r="L710" s="155"/>
      <c r="M710" s="155"/>
      <c r="N710" s="155"/>
      <c r="O710" s="155"/>
      <c r="P710" s="155"/>
      <c r="Q710" s="155"/>
      <c r="R710" s="155"/>
      <c r="S710" s="155"/>
      <c r="T710" s="155"/>
      <c r="U710" s="155"/>
      <c r="V710" s="155"/>
      <c r="W710" s="155"/>
      <c r="GL710" s="155"/>
      <c r="GM710" s="155"/>
      <c r="GN710" s="155"/>
      <c r="GO710" s="155"/>
      <c r="GP710" s="155"/>
      <c r="GQ710" s="155"/>
      <c r="GR710" s="155"/>
      <c r="GS710" s="155"/>
      <c r="GT710" s="155"/>
      <c r="GU710" s="155"/>
      <c r="GV710" s="155"/>
      <c r="GW710" s="155"/>
      <c r="GX710" s="155"/>
      <c r="GY710" s="155"/>
      <c r="GZ710" s="155"/>
      <c r="HA710" s="155"/>
      <c r="HB710" s="155"/>
      <c r="HC710" s="155"/>
      <c r="HD710" s="155"/>
      <c r="HE710" s="155"/>
    </row>
    <row r="711" spans="2:213" s="156" customFormat="1" hidden="1">
      <c r="B711" s="155"/>
      <c r="C711" s="155"/>
      <c r="D711" s="155"/>
      <c r="E711" s="155"/>
      <c r="F711" s="155"/>
      <c r="G711" s="155"/>
      <c r="H711" s="155"/>
      <c r="I711" s="155"/>
      <c r="J711" s="155"/>
      <c r="K711" s="155"/>
      <c r="L711" s="155"/>
      <c r="M711" s="155"/>
      <c r="N711" s="155"/>
      <c r="O711" s="155"/>
      <c r="P711" s="155"/>
      <c r="Q711" s="155"/>
      <c r="R711" s="155"/>
      <c r="S711" s="155"/>
      <c r="T711" s="155"/>
      <c r="U711" s="155"/>
      <c r="V711" s="155"/>
      <c r="W711" s="155"/>
      <c r="GL711" s="155"/>
      <c r="GM711" s="155"/>
      <c r="GN711" s="155"/>
      <c r="GO711" s="155"/>
      <c r="GP711" s="155"/>
      <c r="GQ711" s="155"/>
      <c r="GR711" s="155"/>
      <c r="GS711" s="155"/>
      <c r="GT711" s="155"/>
      <c r="GU711" s="155"/>
      <c r="GV711" s="155"/>
      <c r="GW711" s="155"/>
      <c r="GX711" s="155"/>
      <c r="GY711" s="155"/>
      <c r="GZ711" s="155"/>
      <c r="HA711" s="155"/>
      <c r="HB711" s="155"/>
      <c r="HC711" s="155"/>
      <c r="HD711" s="155"/>
      <c r="HE711" s="155"/>
    </row>
    <row r="712" spans="2:213" s="156" customFormat="1" hidden="1">
      <c r="B712" s="155"/>
      <c r="C712" s="155"/>
      <c r="D712" s="155"/>
      <c r="E712" s="155"/>
      <c r="F712" s="155"/>
      <c r="G712" s="155"/>
      <c r="H712" s="155"/>
      <c r="I712" s="155"/>
      <c r="J712" s="155"/>
      <c r="K712" s="155"/>
      <c r="L712" s="155"/>
      <c r="M712" s="155"/>
      <c r="N712" s="155"/>
      <c r="O712" s="155"/>
      <c r="P712" s="155"/>
      <c r="Q712" s="155"/>
      <c r="R712" s="155"/>
      <c r="S712" s="155"/>
      <c r="T712" s="155"/>
      <c r="U712" s="155"/>
      <c r="V712" s="155"/>
      <c r="W712" s="155"/>
      <c r="GL712" s="155"/>
      <c r="GM712" s="155"/>
      <c r="GN712" s="155"/>
      <c r="GO712" s="155"/>
      <c r="GP712" s="155"/>
      <c r="GQ712" s="155"/>
      <c r="GR712" s="155"/>
      <c r="GS712" s="155"/>
      <c r="GT712" s="155"/>
      <c r="GU712" s="155"/>
      <c r="GV712" s="155"/>
      <c r="GW712" s="155"/>
      <c r="GX712" s="155"/>
      <c r="GY712" s="155"/>
      <c r="GZ712" s="155"/>
      <c r="HA712" s="155"/>
      <c r="HB712" s="155"/>
      <c r="HC712" s="155"/>
      <c r="HD712" s="155"/>
      <c r="HE712" s="155"/>
    </row>
    <row r="713" spans="2:213" s="156" customFormat="1" hidden="1">
      <c r="B713" s="155"/>
      <c r="C713" s="155"/>
      <c r="D713" s="155"/>
      <c r="E713" s="155"/>
      <c r="F713" s="155"/>
      <c r="G713" s="155"/>
      <c r="H713" s="155"/>
      <c r="I713" s="155"/>
      <c r="J713" s="155"/>
      <c r="K713" s="155"/>
      <c r="L713" s="155"/>
      <c r="M713" s="155"/>
      <c r="N713" s="155"/>
      <c r="O713" s="155"/>
      <c r="P713" s="155"/>
      <c r="Q713" s="155"/>
      <c r="R713" s="155"/>
      <c r="S713" s="155"/>
      <c r="T713" s="155"/>
      <c r="U713" s="155"/>
      <c r="V713" s="155"/>
      <c r="W713" s="155"/>
      <c r="GL713" s="155"/>
      <c r="GM713" s="155"/>
      <c r="GN713" s="155"/>
      <c r="GO713" s="155"/>
      <c r="GP713" s="155"/>
      <c r="GQ713" s="155"/>
      <c r="GR713" s="155"/>
      <c r="GS713" s="155"/>
      <c r="GT713" s="155"/>
      <c r="GU713" s="155"/>
      <c r="GV713" s="155"/>
      <c r="GW713" s="155"/>
      <c r="GX713" s="155"/>
      <c r="GY713" s="155"/>
      <c r="GZ713" s="155"/>
      <c r="HA713" s="155"/>
      <c r="HB713" s="155"/>
      <c r="HC713" s="155"/>
      <c r="HD713" s="155"/>
      <c r="HE713" s="155"/>
    </row>
    <row r="714" spans="2:213" s="156" customFormat="1" hidden="1">
      <c r="B714" s="155"/>
      <c r="C714" s="155"/>
      <c r="D714" s="155"/>
      <c r="E714" s="155"/>
      <c r="F714" s="155"/>
      <c r="G714" s="155"/>
      <c r="H714" s="155"/>
      <c r="I714" s="155"/>
      <c r="J714" s="155"/>
      <c r="K714" s="155"/>
      <c r="L714" s="155"/>
      <c r="M714" s="155"/>
      <c r="N714" s="155"/>
      <c r="O714" s="155"/>
      <c r="P714" s="155"/>
      <c r="Q714" s="155"/>
      <c r="R714" s="155"/>
      <c r="S714" s="155"/>
      <c r="T714" s="155"/>
      <c r="U714" s="155"/>
      <c r="V714" s="155"/>
      <c r="W714" s="155"/>
      <c r="GL714" s="155"/>
      <c r="GM714" s="155"/>
      <c r="GN714" s="155"/>
      <c r="GO714" s="155"/>
      <c r="GP714" s="155"/>
      <c r="GQ714" s="155"/>
      <c r="GR714" s="155"/>
      <c r="GS714" s="155"/>
      <c r="GT714" s="155"/>
      <c r="GU714" s="155"/>
      <c r="GV714" s="155"/>
      <c r="GW714" s="155"/>
      <c r="GX714" s="155"/>
      <c r="GY714" s="155"/>
      <c r="GZ714" s="155"/>
      <c r="HA714" s="155"/>
      <c r="HB714" s="155"/>
      <c r="HC714" s="155"/>
      <c r="HD714" s="155"/>
      <c r="HE714" s="155"/>
    </row>
    <row r="715" spans="2:213" s="156" customFormat="1" hidden="1">
      <c r="B715" s="155"/>
      <c r="C715" s="155"/>
      <c r="D715" s="155"/>
      <c r="E715" s="155"/>
      <c r="F715" s="155"/>
      <c r="G715" s="155"/>
      <c r="H715" s="155"/>
      <c r="I715" s="155"/>
      <c r="J715" s="155"/>
      <c r="K715" s="155"/>
      <c r="L715" s="155"/>
      <c r="M715" s="155"/>
      <c r="N715" s="155"/>
      <c r="O715" s="155"/>
      <c r="P715" s="155"/>
      <c r="Q715" s="155"/>
      <c r="R715" s="155"/>
      <c r="S715" s="155"/>
      <c r="T715" s="155"/>
      <c r="U715" s="155"/>
      <c r="V715" s="155"/>
      <c r="W715" s="155"/>
      <c r="GL715" s="155"/>
      <c r="GM715" s="155"/>
      <c r="GN715" s="155"/>
      <c r="GO715" s="155"/>
      <c r="GP715" s="155"/>
      <c r="GQ715" s="155"/>
      <c r="GR715" s="155"/>
      <c r="GS715" s="155"/>
      <c r="GT715" s="155"/>
      <c r="GU715" s="155"/>
      <c r="GV715" s="155"/>
      <c r="GW715" s="155"/>
      <c r="GX715" s="155"/>
      <c r="GY715" s="155"/>
      <c r="GZ715" s="155"/>
      <c r="HA715" s="155"/>
      <c r="HB715" s="155"/>
      <c r="HC715" s="155"/>
      <c r="HD715" s="155"/>
      <c r="HE715" s="155"/>
    </row>
    <row r="716" spans="2:213" s="156" customFormat="1" hidden="1">
      <c r="B716" s="155"/>
      <c r="C716" s="155"/>
      <c r="D716" s="155"/>
      <c r="E716" s="155"/>
      <c r="F716" s="155"/>
      <c r="G716" s="155"/>
      <c r="H716" s="155"/>
      <c r="I716" s="155"/>
      <c r="J716" s="155"/>
      <c r="K716" s="155"/>
      <c r="L716" s="155"/>
      <c r="M716" s="155"/>
      <c r="N716" s="155"/>
      <c r="O716" s="155"/>
      <c r="P716" s="155"/>
      <c r="Q716" s="155"/>
      <c r="R716" s="155"/>
      <c r="S716" s="155"/>
      <c r="T716" s="155"/>
      <c r="U716" s="155"/>
      <c r="V716" s="155"/>
      <c r="W716" s="155"/>
      <c r="GL716" s="155"/>
      <c r="GM716" s="155"/>
      <c r="GN716" s="155"/>
      <c r="GO716" s="155"/>
      <c r="GP716" s="155"/>
      <c r="GQ716" s="155"/>
      <c r="GR716" s="155"/>
      <c r="GS716" s="155"/>
      <c r="GT716" s="155"/>
      <c r="GU716" s="155"/>
      <c r="GV716" s="155"/>
      <c r="GW716" s="155"/>
      <c r="GX716" s="155"/>
      <c r="GY716" s="155"/>
      <c r="GZ716" s="155"/>
      <c r="HA716" s="155"/>
      <c r="HB716" s="155"/>
      <c r="HC716" s="155"/>
      <c r="HD716" s="155"/>
      <c r="HE716" s="155"/>
    </row>
    <row r="717" spans="2:213" s="156" customFormat="1" hidden="1">
      <c r="B717" s="155"/>
      <c r="C717" s="155"/>
      <c r="D717" s="155"/>
      <c r="E717" s="155"/>
      <c r="F717" s="155"/>
      <c r="G717" s="155"/>
      <c r="H717" s="155"/>
      <c r="I717" s="155"/>
      <c r="J717" s="155"/>
      <c r="K717" s="155"/>
      <c r="L717" s="155"/>
      <c r="M717" s="155"/>
      <c r="N717" s="155"/>
      <c r="O717" s="155"/>
      <c r="P717" s="155"/>
      <c r="Q717" s="155"/>
      <c r="R717" s="155"/>
      <c r="S717" s="155"/>
      <c r="T717" s="155"/>
      <c r="U717" s="155"/>
      <c r="V717" s="155"/>
      <c r="W717" s="155"/>
      <c r="GL717" s="155"/>
      <c r="GM717" s="155"/>
      <c r="GN717" s="155"/>
      <c r="GO717" s="155"/>
      <c r="GP717" s="155"/>
      <c r="GQ717" s="155"/>
      <c r="GR717" s="155"/>
      <c r="GS717" s="155"/>
      <c r="GT717" s="155"/>
      <c r="GU717" s="155"/>
      <c r="GV717" s="155"/>
      <c r="GW717" s="155"/>
      <c r="GX717" s="155"/>
      <c r="GY717" s="155"/>
      <c r="GZ717" s="155"/>
      <c r="HA717" s="155"/>
      <c r="HB717" s="155"/>
      <c r="HC717" s="155"/>
      <c r="HD717" s="155"/>
      <c r="HE717" s="155"/>
    </row>
    <row r="718" spans="2:213" s="156" customFormat="1" hidden="1">
      <c r="B718" s="155"/>
      <c r="C718" s="155"/>
      <c r="D718" s="155"/>
      <c r="E718" s="155"/>
      <c r="F718" s="155"/>
      <c r="G718" s="155"/>
      <c r="H718" s="155"/>
      <c r="I718" s="155"/>
      <c r="J718" s="155"/>
      <c r="K718" s="155"/>
      <c r="L718" s="155"/>
      <c r="M718" s="155"/>
      <c r="N718" s="155"/>
      <c r="O718" s="155"/>
      <c r="P718" s="155"/>
      <c r="Q718" s="155"/>
      <c r="R718" s="155"/>
      <c r="S718" s="155"/>
      <c r="T718" s="155"/>
      <c r="U718" s="155"/>
      <c r="V718" s="155"/>
      <c r="W718" s="155"/>
      <c r="GL718" s="155"/>
      <c r="GM718" s="155"/>
      <c r="GN718" s="155"/>
      <c r="GO718" s="155"/>
      <c r="GP718" s="155"/>
      <c r="GQ718" s="155"/>
      <c r="GR718" s="155"/>
      <c r="GS718" s="155"/>
      <c r="GT718" s="155"/>
      <c r="GU718" s="155"/>
      <c r="GV718" s="155"/>
      <c r="GW718" s="155"/>
      <c r="GX718" s="155"/>
      <c r="GY718" s="155"/>
      <c r="GZ718" s="155"/>
      <c r="HA718" s="155"/>
      <c r="HB718" s="155"/>
      <c r="HC718" s="155"/>
      <c r="HD718" s="155"/>
      <c r="HE718" s="155"/>
    </row>
    <row r="719" spans="2:213" s="156" customFormat="1" hidden="1">
      <c r="B719" s="155"/>
      <c r="C719" s="155"/>
      <c r="D719" s="155"/>
      <c r="E719" s="155"/>
      <c r="F719" s="155"/>
      <c r="G719" s="155"/>
      <c r="H719" s="155"/>
      <c r="I719" s="155"/>
      <c r="J719" s="155"/>
      <c r="K719" s="155"/>
      <c r="L719" s="155"/>
      <c r="M719" s="155"/>
      <c r="N719" s="155"/>
      <c r="O719" s="155"/>
      <c r="P719" s="155"/>
      <c r="Q719" s="155"/>
      <c r="R719" s="155"/>
      <c r="S719" s="155"/>
      <c r="T719" s="155"/>
      <c r="U719" s="155"/>
      <c r="V719" s="155"/>
      <c r="W719" s="155"/>
      <c r="GL719" s="155"/>
      <c r="GM719" s="155"/>
      <c r="GN719" s="155"/>
      <c r="GO719" s="155"/>
      <c r="GP719" s="155"/>
      <c r="GQ719" s="155"/>
      <c r="GR719" s="155"/>
      <c r="GS719" s="155"/>
      <c r="GT719" s="155"/>
      <c r="GU719" s="155"/>
      <c r="GV719" s="155"/>
      <c r="GW719" s="155"/>
      <c r="GX719" s="155"/>
      <c r="GY719" s="155"/>
      <c r="GZ719" s="155"/>
      <c r="HA719" s="155"/>
      <c r="HB719" s="155"/>
      <c r="HC719" s="155"/>
      <c r="HD719" s="155"/>
      <c r="HE719" s="155"/>
    </row>
    <row r="720" spans="2:213" s="156" customFormat="1" hidden="1">
      <c r="B720" s="155"/>
      <c r="C720" s="155"/>
      <c r="D720" s="155"/>
      <c r="E720" s="155"/>
      <c r="F720" s="155"/>
      <c r="G720" s="155"/>
      <c r="H720" s="155"/>
      <c r="I720" s="155"/>
      <c r="J720" s="155"/>
      <c r="K720" s="155"/>
      <c r="L720" s="155"/>
      <c r="M720" s="155"/>
      <c r="N720" s="155"/>
      <c r="O720" s="155"/>
      <c r="P720" s="155"/>
      <c r="Q720" s="155"/>
      <c r="R720" s="155"/>
      <c r="S720" s="155"/>
      <c r="T720" s="155"/>
      <c r="U720" s="155"/>
      <c r="V720" s="155"/>
      <c r="W720" s="155"/>
      <c r="GL720" s="155"/>
      <c r="GM720" s="155"/>
      <c r="GN720" s="155"/>
      <c r="GO720" s="155"/>
      <c r="GP720" s="155"/>
      <c r="GQ720" s="155"/>
      <c r="GR720" s="155"/>
      <c r="GS720" s="155"/>
      <c r="GT720" s="155"/>
      <c r="GU720" s="155"/>
      <c r="GV720" s="155"/>
      <c r="GW720" s="155"/>
      <c r="GX720" s="155"/>
      <c r="GY720" s="155"/>
      <c r="GZ720" s="155"/>
      <c r="HA720" s="155"/>
      <c r="HB720" s="155"/>
      <c r="HC720" s="155"/>
      <c r="HD720" s="155"/>
      <c r="HE720" s="155"/>
    </row>
    <row r="721" spans="2:213" s="156" customFormat="1" hidden="1">
      <c r="B721" s="155"/>
      <c r="C721" s="155"/>
      <c r="D721" s="155"/>
      <c r="E721" s="155"/>
      <c r="F721" s="155"/>
      <c r="G721" s="155"/>
      <c r="H721" s="155"/>
      <c r="I721" s="155"/>
      <c r="J721" s="155"/>
      <c r="K721" s="155"/>
      <c r="L721" s="155"/>
      <c r="M721" s="155"/>
      <c r="N721" s="155"/>
      <c r="O721" s="155"/>
      <c r="P721" s="155"/>
      <c r="Q721" s="155"/>
      <c r="R721" s="155"/>
      <c r="S721" s="155"/>
      <c r="T721" s="155"/>
      <c r="U721" s="155"/>
      <c r="V721" s="155"/>
      <c r="W721" s="155"/>
      <c r="GL721" s="155"/>
      <c r="GM721" s="155"/>
      <c r="GN721" s="155"/>
      <c r="GO721" s="155"/>
      <c r="GP721" s="155"/>
      <c r="GQ721" s="155"/>
      <c r="GR721" s="155"/>
      <c r="GS721" s="155"/>
      <c r="GT721" s="155"/>
      <c r="GU721" s="155"/>
      <c r="GV721" s="155"/>
      <c r="GW721" s="155"/>
      <c r="GX721" s="155"/>
      <c r="GY721" s="155"/>
      <c r="GZ721" s="155"/>
      <c r="HA721" s="155"/>
      <c r="HB721" s="155"/>
      <c r="HC721" s="155"/>
      <c r="HD721" s="155"/>
      <c r="HE721" s="155"/>
    </row>
    <row r="722" spans="2:213" s="156" customFormat="1" hidden="1">
      <c r="B722" s="155"/>
      <c r="C722" s="155"/>
      <c r="D722" s="155"/>
      <c r="E722" s="155"/>
      <c r="F722" s="155"/>
      <c r="G722" s="155"/>
      <c r="H722" s="155"/>
      <c r="I722" s="155"/>
      <c r="J722" s="155"/>
      <c r="K722" s="155"/>
      <c r="L722" s="155"/>
      <c r="M722" s="155"/>
      <c r="N722" s="155"/>
      <c r="O722" s="155"/>
      <c r="P722" s="155"/>
      <c r="Q722" s="155"/>
      <c r="R722" s="155"/>
      <c r="S722" s="155"/>
      <c r="T722" s="155"/>
      <c r="U722" s="155"/>
      <c r="V722" s="155"/>
      <c r="W722" s="155"/>
      <c r="GL722" s="155"/>
      <c r="GM722" s="155"/>
      <c r="GN722" s="155"/>
      <c r="GO722" s="155"/>
      <c r="GP722" s="155"/>
      <c r="GQ722" s="155"/>
      <c r="GR722" s="155"/>
      <c r="GS722" s="155"/>
      <c r="GT722" s="155"/>
      <c r="GU722" s="155"/>
      <c r="GV722" s="155"/>
      <c r="GW722" s="155"/>
      <c r="GX722" s="155"/>
      <c r="GY722" s="155"/>
      <c r="GZ722" s="155"/>
      <c r="HA722" s="155"/>
      <c r="HB722" s="155"/>
      <c r="HC722" s="155"/>
      <c r="HD722" s="155"/>
      <c r="HE722" s="155"/>
    </row>
    <row r="723" spans="2:213" s="156" customFormat="1" hidden="1">
      <c r="B723" s="155"/>
      <c r="C723" s="155"/>
      <c r="D723" s="155"/>
      <c r="E723" s="155"/>
      <c r="F723" s="155"/>
      <c r="G723" s="155"/>
      <c r="H723" s="155"/>
      <c r="I723" s="155"/>
      <c r="J723" s="155"/>
      <c r="K723" s="155"/>
      <c r="L723" s="155"/>
      <c r="M723" s="155"/>
      <c r="N723" s="155"/>
      <c r="O723" s="155"/>
      <c r="P723" s="155"/>
      <c r="Q723" s="155"/>
      <c r="R723" s="155"/>
      <c r="S723" s="155"/>
      <c r="T723" s="155"/>
      <c r="U723" s="155"/>
      <c r="V723" s="155"/>
      <c r="W723" s="155"/>
      <c r="GL723" s="155"/>
      <c r="GM723" s="155"/>
      <c r="GN723" s="155"/>
      <c r="GO723" s="155"/>
      <c r="GP723" s="155"/>
      <c r="GQ723" s="155"/>
      <c r="GR723" s="155"/>
      <c r="GS723" s="155"/>
      <c r="GT723" s="155"/>
      <c r="GU723" s="155"/>
      <c r="GV723" s="155"/>
      <c r="GW723" s="155"/>
      <c r="GX723" s="155"/>
      <c r="GY723" s="155"/>
      <c r="GZ723" s="155"/>
      <c r="HA723" s="155"/>
      <c r="HB723" s="155"/>
      <c r="HC723" s="155"/>
      <c r="HD723" s="155"/>
      <c r="HE723" s="155"/>
    </row>
    <row r="724" spans="2:213" s="156" customFormat="1" hidden="1">
      <c r="B724" s="155"/>
      <c r="C724" s="155"/>
      <c r="D724" s="155"/>
      <c r="E724" s="155"/>
      <c r="F724" s="155"/>
      <c r="G724" s="155"/>
      <c r="H724" s="155"/>
      <c r="I724" s="155"/>
      <c r="J724" s="155"/>
      <c r="K724" s="155"/>
      <c r="L724" s="155"/>
      <c r="M724" s="155"/>
      <c r="N724" s="155"/>
      <c r="O724" s="155"/>
      <c r="P724" s="155"/>
      <c r="Q724" s="155"/>
      <c r="R724" s="155"/>
      <c r="S724" s="155"/>
      <c r="T724" s="155"/>
      <c r="U724" s="155"/>
      <c r="V724" s="155"/>
      <c r="W724" s="155"/>
      <c r="GL724" s="155"/>
      <c r="GM724" s="155"/>
      <c r="GN724" s="155"/>
      <c r="GO724" s="155"/>
      <c r="GP724" s="155"/>
      <c r="GQ724" s="155"/>
      <c r="GR724" s="155"/>
      <c r="GS724" s="155"/>
      <c r="GT724" s="155"/>
      <c r="GU724" s="155"/>
      <c r="GV724" s="155"/>
      <c r="GW724" s="155"/>
      <c r="GX724" s="155"/>
      <c r="GY724" s="155"/>
      <c r="GZ724" s="155"/>
      <c r="HA724" s="155"/>
      <c r="HB724" s="155"/>
      <c r="HC724" s="155"/>
      <c r="HD724" s="155"/>
      <c r="HE724" s="155"/>
    </row>
    <row r="725" spans="2:213" s="156" customFormat="1" hidden="1">
      <c r="B725" s="155"/>
      <c r="C725" s="155"/>
      <c r="D725" s="155"/>
      <c r="E725" s="155"/>
      <c r="F725" s="155"/>
      <c r="G725" s="155"/>
      <c r="H725" s="155"/>
      <c r="I725" s="155"/>
      <c r="J725" s="155"/>
      <c r="K725" s="155"/>
      <c r="L725" s="155"/>
      <c r="M725" s="155"/>
      <c r="N725" s="155"/>
      <c r="O725" s="155"/>
      <c r="P725" s="155"/>
      <c r="Q725" s="155"/>
      <c r="R725" s="155"/>
      <c r="S725" s="155"/>
      <c r="T725" s="155"/>
      <c r="U725" s="155"/>
      <c r="V725" s="155"/>
      <c r="W725" s="155"/>
      <c r="GL725" s="155"/>
      <c r="GM725" s="155"/>
      <c r="GN725" s="155"/>
      <c r="GO725" s="155"/>
      <c r="GP725" s="155"/>
      <c r="GQ725" s="155"/>
      <c r="GR725" s="155"/>
      <c r="GS725" s="155"/>
      <c r="GT725" s="155"/>
      <c r="GU725" s="155"/>
      <c r="GV725" s="155"/>
      <c r="GW725" s="155"/>
      <c r="GX725" s="155"/>
      <c r="GY725" s="155"/>
      <c r="GZ725" s="155"/>
      <c r="HA725" s="155"/>
      <c r="HB725" s="155"/>
      <c r="HC725" s="155"/>
      <c r="HD725" s="155"/>
      <c r="HE725" s="155"/>
    </row>
    <row r="726" spans="2:213" s="156" customFormat="1" hidden="1">
      <c r="B726" s="155"/>
      <c r="C726" s="155"/>
      <c r="D726" s="155"/>
      <c r="E726" s="155"/>
      <c r="F726" s="155"/>
      <c r="G726" s="155"/>
      <c r="H726" s="155"/>
      <c r="I726" s="155"/>
      <c r="J726" s="155"/>
      <c r="K726" s="155"/>
      <c r="L726" s="155"/>
      <c r="M726" s="155"/>
      <c r="N726" s="155"/>
      <c r="O726" s="155"/>
      <c r="P726" s="155"/>
      <c r="Q726" s="155"/>
      <c r="R726" s="155"/>
      <c r="S726" s="155"/>
      <c r="T726" s="155"/>
      <c r="U726" s="155"/>
      <c r="V726" s="155"/>
      <c r="W726" s="155"/>
      <c r="GL726" s="155"/>
      <c r="GM726" s="155"/>
      <c r="GN726" s="155"/>
      <c r="GO726" s="155"/>
      <c r="GP726" s="155"/>
      <c r="GQ726" s="155"/>
      <c r="GR726" s="155"/>
      <c r="GS726" s="155"/>
      <c r="GT726" s="155"/>
      <c r="GU726" s="155"/>
      <c r="GV726" s="155"/>
      <c r="GW726" s="155"/>
      <c r="GX726" s="155"/>
      <c r="GY726" s="155"/>
      <c r="GZ726" s="155"/>
      <c r="HA726" s="155"/>
      <c r="HB726" s="155"/>
      <c r="HC726" s="155"/>
      <c r="HD726" s="155"/>
      <c r="HE726" s="155"/>
    </row>
    <row r="727" spans="2:213" s="156" customFormat="1" hidden="1">
      <c r="B727" s="155"/>
      <c r="C727" s="155"/>
      <c r="D727" s="155"/>
      <c r="E727" s="155"/>
      <c r="F727" s="155"/>
      <c r="G727" s="155"/>
      <c r="H727" s="155"/>
      <c r="I727" s="155"/>
      <c r="J727" s="155"/>
      <c r="K727" s="155"/>
      <c r="L727" s="155"/>
      <c r="M727" s="155"/>
      <c r="N727" s="155"/>
      <c r="O727" s="155"/>
      <c r="P727" s="155"/>
      <c r="Q727" s="155"/>
      <c r="R727" s="155"/>
      <c r="S727" s="155"/>
      <c r="T727" s="155"/>
      <c r="U727" s="155"/>
      <c r="V727" s="155"/>
      <c r="W727" s="155"/>
      <c r="GL727" s="155"/>
      <c r="GM727" s="155"/>
      <c r="GN727" s="155"/>
      <c r="GO727" s="155"/>
      <c r="GP727" s="155"/>
      <c r="GQ727" s="155"/>
      <c r="GR727" s="155"/>
      <c r="GS727" s="155"/>
      <c r="GT727" s="155"/>
      <c r="GU727" s="155"/>
      <c r="GV727" s="155"/>
      <c r="GW727" s="155"/>
      <c r="GX727" s="155"/>
      <c r="GY727" s="155"/>
      <c r="GZ727" s="155"/>
      <c r="HA727" s="155"/>
      <c r="HB727" s="155"/>
      <c r="HC727" s="155"/>
      <c r="HD727" s="155"/>
      <c r="HE727" s="155"/>
    </row>
    <row r="728" spans="2:213" s="156" customFormat="1" hidden="1">
      <c r="B728" s="155"/>
      <c r="C728" s="155"/>
      <c r="D728" s="155"/>
      <c r="E728" s="155"/>
      <c r="F728" s="155"/>
      <c r="G728" s="155"/>
      <c r="H728" s="155"/>
      <c r="I728" s="155"/>
      <c r="J728" s="155"/>
      <c r="K728" s="155"/>
      <c r="L728" s="155"/>
      <c r="M728" s="155"/>
      <c r="N728" s="155"/>
      <c r="O728" s="155"/>
      <c r="P728" s="155"/>
      <c r="Q728" s="155"/>
      <c r="R728" s="155"/>
      <c r="S728" s="155"/>
      <c r="T728" s="155"/>
      <c r="U728" s="155"/>
      <c r="V728" s="155"/>
      <c r="W728" s="155"/>
      <c r="GL728" s="155"/>
      <c r="GM728" s="155"/>
      <c r="GN728" s="155"/>
      <c r="GO728" s="155"/>
      <c r="GP728" s="155"/>
      <c r="GQ728" s="155"/>
      <c r="GR728" s="155"/>
      <c r="GS728" s="155"/>
      <c r="GT728" s="155"/>
      <c r="GU728" s="155"/>
      <c r="GV728" s="155"/>
      <c r="GW728" s="155"/>
      <c r="GX728" s="155"/>
      <c r="GY728" s="155"/>
      <c r="GZ728" s="155"/>
      <c r="HA728" s="155"/>
      <c r="HB728" s="155"/>
      <c r="HC728" s="155"/>
      <c r="HD728" s="155"/>
      <c r="HE728" s="155"/>
    </row>
    <row r="729" spans="2:213" s="156" customFormat="1" hidden="1">
      <c r="B729" s="155"/>
      <c r="C729" s="155"/>
      <c r="D729" s="155"/>
      <c r="E729" s="155"/>
      <c r="F729" s="155"/>
      <c r="G729" s="155"/>
      <c r="H729" s="155"/>
      <c r="I729" s="155"/>
      <c r="J729" s="155"/>
      <c r="K729" s="155"/>
      <c r="L729" s="155"/>
      <c r="M729" s="155"/>
      <c r="N729" s="155"/>
      <c r="O729" s="155"/>
      <c r="P729" s="155"/>
      <c r="Q729" s="155"/>
      <c r="R729" s="155"/>
      <c r="S729" s="155"/>
      <c r="T729" s="155"/>
      <c r="U729" s="155"/>
      <c r="V729" s="155"/>
      <c r="W729" s="155"/>
      <c r="GL729" s="155"/>
      <c r="GM729" s="155"/>
      <c r="GN729" s="155"/>
      <c r="GO729" s="155"/>
      <c r="GP729" s="155"/>
      <c r="GQ729" s="155"/>
      <c r="GR729" s="155"/>
      <c r="GS729" s="155"/>
      <c r="GT729" s="155"/>
      <c r="GU729" s="155"/>
      <c r="GV729" s="155"/>
      <c r="GW729" s="155"/>
      <c r="GX729" s="155"/>
      <c r="GY729" s="155"/>
      <c r="GZ729" s="155"/>
      <c r="HA729" s="155"/>
      <c r="HB729" s="155"/>
      <c r="HC729" s="155"/>
      <c r="HD729" s="155"/>
      <c r="HE729" s="155"/>
    </row>
    <row r="730" spans="2:213" s="156" customFormat="1" hidden="1">
      <c r="B730" s="155"/>
      <c r="C730" s="155"/>
      <c r="D730" s="155"/>
      <c r="E730" s="155"/>
      <c r="F730" s="155"/>
      <c r="G730" s="155"/>
      <c r="H730" s="155"/>
      <c r="I730" s="155"/>
      <c r="J730" s="155"/>
      <c r="K730" s="155"/>
      <c r="L730" s="155"/>
      <c r="M730" s="155"/>
      <c r="N730" s="155"/>
      <c r="O730" s="155"/>
      <c r="P730" s="155"/>
      <c r="Q730" s="155"/>
      <c r="R730" s="155"/>
      <c r="S730" s="155"/>
      <c r="T730" s="155"/>
      <c r="U730" s="155"/>
      <c r="V730" s="155"/>
      <c r="W730" s="155"/>
      <c r="GL730" s="155"/>
      <c r="GM730" s="155"/>
      <c r="GN730" s="155"/>
      <c r="GO730" s="155"/>
      <c r="GP730" s="155"/>
      <c r="GQ730" s="155"/>
      <c r="GR730" s="155"/>
      <c r="GS730" s="155"/>
      <c r="GT730" s="155"/>
      <c r="GU730" s="155"/>
      <c r="GV730" s="155"/>
      <c r="GW730" s="155"/>
      <c r="GX730" s="155"/>
      <c r="GY730" s="155"/>
      <c r="GZ730" s="155"/>
      <c r="HA730" s="155"/>
      <c r="HB730" s="155"/>
      <c r="HC730" s="155"/>
      <c r="HD730" s="155"/>
      <c r="HE730" s="155"/>
    </row>
    <row r="731" spans="2:213" s="156" customFormat="1" hidden="1">
      <c r="B731" s="155"/>
      <c r="C731" s="155"/>
      <c r="D731" s="155"/>
      <c r="E731" s="155"/>
      <c r="F731" s="155"/>
      <c r="G731" s="155"/>
      <c r="H731" s="155"/>
      <c r="I731" s="155"/>
      <c r="J731" s="155"/>
      <c r="K731" s="155"/>
      <c r="L731" s="155"/>
      <c r="M731" s="155"/>
      <c r="N731" s="155"/>
      <c r="O731" s="155"/>
      <c r="P731" s="155"/>
      <c r="Q731" s="155"/>
      <c r="R731" s="155"/>
      <c r="S731" s="155"/>
      <c r="T731" s="155"/>
      <c r="U731" s="155"/>
      <c r="V731" s="155"/>
      <c r="W731" s="155"/>
      <c r="GL731" s="155"/>
      <c r="GM731" s="155"/>
      <c r="GN731" s="155"/>
      <c r="GO731" s="155"/>
      <c r="GP731" s="155"/>
      <c r="GQ731" s="155"/>
      <c r="GR731" s="155"/>
      <c r="GS731" s="155"/>
      <c r="GT731" s="155"/>
      <c r="GU731" s="155"/>
      <c r="GV731" s="155"/>
      <c r="GW731" s="155"/>
      <c r="GX731" s="155"/>
      <c r="GY731" s="155"/>
      <c r="GZ731" s="155"/>
      <c r="HA731" s="155"/>
      <c r="HB731" s="155"/>
      <c r="HC731" s="155"/>
      <c r="HD731" s="155"/>
      <c r="HE731" s="155"/>
    </row>
    <row r="732" spans="2:213" s="156" customFormat="1" hidden="1">
      <c r="B732" s="155"/>
      <c r="C732" s="155"/>
      <c r="D732" s="155"/>
      <c r="E732" s="155"/>
      <c r="F732" s="155"/>
      <c r="G732" s="155"/>
      <c r="H732" s="155"/>
      <c r="I732" s="155"/>
      <c r="J732" s="155"/>
      <c r="K732" s="155"/>
      <c r="L732" s="155"/>
      <c r="M732" s="155"/>
      <c r="N732" s="155"/>
      <c r="O732" s="155"/>
      <c r="P732" s="155"/>
      <c r="Q732" s="155"/>
      <c r="R732" s="155"/>
      <c r="S732" s="155"/>
      <c r="T732" s="155"/>
      <c r="U732" s="155"/>
      <c r="V732" s="155"/>
      <c r="W732" s="155"/>
      <c r="GL732" s="155"/>
      <c r="GM732" s="155"/>
      <c r="GN732" s="155"/>
      <c r="GO732" s="155"/>
      <c r="GP732" s="155"/>
      <c r="GQ732" s="155"/>
      <c r="GR732" s="155"/>
      <c r="GS732" s="155"/>
      <c r="GT732" s="155"/>
      <c r="GU732" s="155"/>
      <c r="GV732" s="155"/>
      <c r="GW732" s="155"/>
      <c r="GX732" s="155"/>
      <c r="GY732" s="155"/>
      <c r="GZ732" s="155"/>
      <c r="HA732" s="155"/>
      <c r="HB732" s="155"/>
      <c r="HC732" s="155"/>
      <c r="HD732" s="155"/>
      <c r="HE732" s="155"/>
    </row>
    <row r="733" spans="2:213" s="156" customFormat="1" hidden="1">
      <c r="B733" s="155"/>
      <c r="C733" s="155"/>
      <c r="D733" s="155"/>
      <c r="E733" s="155"/>
      <c r="F733" s="155"/>
      <c r="G733" s="155"/>
      <c r="H733" s="155"/>
      <c r="I733" s="155"/>
      <c r="J733" s="155"/>
      <c r="K733" s="155"/>
      <c r="L733" s="155"/>
      <c r="M733" s="155"/>
      <c r="N733" s="155"/>
      <c r="O733" s="155"/>
      <c r="P733" s="155"/>
      <c r="Q733" s="155"/>
      <c r="R733" s="155"/>
      <c r="S733" s="155"/>
      <c r="T733" s="155"/>
      <c r="U733" s="155"/>
      <c r="V733" s="155"/>
      <c r="W733" s="155"/>
      <c r="GL733" s="155"/>
      <c r="GM733" s="155"/>
      <c r="GN733" s="155"/>
      <c r="GO733" s="155"/>
      <c r="GP733" s="155"/>
      <c r="GQ733" s="155"/>
      <c r="GR733" s="155"/>
      <c r="GS733" s="155"/>
      <c r="GT733" s="155"/>
      <c r="GU733" s="155"/>
      <c r="GV733" s="155"/>
      <c r="GW733" s="155"/>
      <c r="GX733" s="155"/>
      <c r="GY733" s="155"/>
      <c r="GZ733" s="155"/>
      <c r="HA733" s="155"/>
      <c r="HB733" s="155"/>
      <c r="HC733" s="155"/>
      <c r="HD733" s="155"/>
      <c r="HE733" s="155"/>
    </row>
    <row r="734" spans="2:213" s="156" customFormat="1" hidden="1">
      <c r="B734" s="155"/>
      <c r="C734" s="155"/>
      <c r="D734" s="155"/>
      <c r="E734" s="155"/>
      <c r="F734" s="155"/>
      <c r="G734" s="155"/>
      <c r="H734" s="155"/>
      <c r="I734" s="155"/>
      <c r="J734" s="155"/>
      <c r="K734" s="155"/>
      <c r="L734" s="155"/>
      <c r="M734" s="155"/>
      <c r="N734" s="155"/>
      <c r="O734" s="155"/>
      <c r="P734" s="155"/>
      <c r="Q734" s="155"/>
      <c r="R734" s="155"/>
      <c r="S734" s="155"/>
      <c r="T734" s="155"/>
      <c r="U734" s="155"/>
      <c r="V734" s="155"/>
      <c r="W734" s="155"/>
      <c r="GL734" s="155"/>
      <c r="GM734" s="155"/>
      <c r="GN734" s="155"/>
      <c r="GO734" s="155"/>
      <c r="GP734" s="155"/>
      <c r="GQ734" s="155"/>
      <c r="GR734" s="155"/>
      <c r="GS734" s="155"/>
      <c r="GT734" s="155"/>
      <c r="GU734" s="155"/>
      <c r="GV734" s="155"/>
      <c r="GW734" s="155"/>
      <c r="GX734" s="155"/>
      <c r="GY734" s="155"/>
      <c r="GZ734" s="155"/>
      <c r="HA734" s="155"/>
      <c r="HB734" s="155"/>
      <c r="HC734" s="155"/>
      <c r="HD734" s="155"/>
      <c r="HE734" s="155"/>
    </row>
    <row r="735" spans="2:213" s="156" customFormat="1" hidden="1">
      <c r="B735" s="155"/>
      <c r="C735" s="155"/>
      <c r="D735" s="155"/>
      <c r="E735" s="155"/>
      <c r="F735" s="155"/>
      <c r="G735" s="155"/>
      <c r="H735" s="155"/>
      <c r="I735" s="155"/>
      <c r="J735" s="155"/>
      <c r="K735" s="155"/>
      <c r="L735" s="155"/>
      <c r="M735" s="155"/>
      <c r="N735" s="155"/>
      <c r="O735" s="155"/>
      <c r="P735" s="155"/>
      <c r="Q735" s="155"/>
      <c r="R735" s="155"/>
      <c r="S735" s="155"/>
      <c r="T735" s="155"/>
      <c r="U735" s="155"/>
      <c r="V735" s="155"/>
      <c r="W735" s="155"/>
      <c r="GL735" s="155"/>
      <c r="GM735" s="155"/>
      <c r="GN735" s="155"/>
      <c r="GO735" s="155"/>
      <c r="GP735" s="155"/>
      <c r="GQ735" s="155"/>
      <c r="GR735" s="155"/>
      <c r="GS735" s="155"/>
      <c r="GT735" s="155"/>
      <c r="GU735" s="155"/>
      <c r="GV735" s="155"/>
      <c r="GW735" s="155"/>
      <c r="GX735" s="155"/>
      <c r="GY735" s="155"/>
      <c r="GZ735" s="155"/>
      <c r="HA735" s="155"/>
      <c r="HB735" s="155"/>
      <c r="HC735" s="155"/>
      <c r="HD735" s="155"/>
      <c r="HE735" s="155"/>
    </row>
    <row r="736" spans="2:213" s="156" customFormat="1" hidden="1">
      <c r="B736" s="155"/>
      <c r="C736" s="155"/>
      <c r="D736" s="155"/>
      <c r="E736" s="155"/>
      <c r="F736" s="155"/>
      <c r="G736" s="155"/>
      <c r="H736" s="155"/>
      <c r="I736" s="155"/>
      <c r="J736" s="155"/>
      <c r="K736" s="155"/>
      <c r="L736" s="155"/>
      <c r="M736" s="155"/>
      <c r="N736" s="155"/>
      <c r="O736" s="155"/>
      <c r="P736" s="155"/>
      <c r="Q736" s="155"/>
      <c r="R736" s="155"/>
      <c r="S736" s="155"/>
      <c r="T736" s="155"/>
      <c r="U736" s="155"/>
      <c r="V736" s="155"/>
      <c r="W736" s="155"/>
      <c r="GL736" s="155"/>
      <c r="GM736" s="155"/>
      <c r="GN736" s="155"/>
      <c r="GO736" s="155"/>
      <c r="GP736" s="155"/>
      <c r="GQ736" s="155"/>
      <c r="GR736" s="155"/>
      <c r="GS736" s="155"/>
      <c r="GT736" s="155"/>
      <c r="GU736" s="155"/>
      <c r="GV736" s="155"/>
      <c r="GW736" s="155"/>
      <c r="GX736" s="155"/>
      <c r="GY736" s="155"/>
      <c r="GZ736" s="155"/>
      <c r="HA736" s="155"/>
      <c r="HB736" s="155"/>
      <c r="HC736" s="155"/>
      <c r="HD736" s="155"/>
      <c r="HE736" s="155"/>
    </row>
    <row r="737" spans="2:213" s="156" customFormat="1" hidden="1">
      <c r="B737" s="155"/>
      <c r="C737" s="155"/>
      <c r="D737" s="155"/>
      <c r="E737" s="155"/>
      <c r="F737" s="155"/>
      <c r="G737" s="155"/>
      <c r="H737" s="155"/>
      <c r="I737" s="155"/>
      <c r="J737" s="155"/>
      <c r="K737" s="155"/>
      <c r="L737" s="155"/>
      <c r="M737" s="155"/>
      <c r="N737" s="155"/>
      <c r="O737" s="155"/>
      <c r="P737" s="155"/>
      <c r="Q737" s="155"/>
      <c r="R737" s="155"/>
      <c r="S737" s="155"/>
      <c r="T737" s="155"/>
      <c r="U737" s="155"/>
      <c r="V737" s="155"/>
      <c r="W737" s="155"/>
      <c r="GL737" s="155"/>
      <c r="GM737" s="155"/>
      <c r="GN737" s="155"/>
      <c r="GO737" s="155"/>
      <c r="GP737" s="155"/>
      <c r="GQ737" s="155"/>
      <c r="GR737" s="155"/>
      <c r="GS737" s="155"/>
      <c r="GT737" s="155"/>
      <c r="GU737" s="155"/>
      <c r="GV737" s="155"/>
      <c r="GW737" s="155"/>
      <c r="GX737" s="155"/>
      <c r="GY737" s="155"/>
      <c r="GZ737" s="155"/>
      <c r="HA737" s="155"/>
      <c r="HB737" s="155"/>
      <c r="HC737" s="155"/>
      <c r="HD737" s="155"/>
      <c r="HE737" s="155"/>
    </row>
    <row r="738" spans="2:213" s="156" customFormat="1" hidden="1">
      <c r="B738" s="155"/>
      <c r="C738" s="155"/>
      <c r="D738" s="155"/>
      <c r="E738" s="155"/>
      <c r="F738" s="155"/>
      <c r="G738" s="155"/>
      <c r="H738" s="155"/>
      <c r="I738" s="155"/>
      <c r="J738" s="155"/>
      <c r="K738" s="155"/>
      <c r="L738" s="155"/>
      <c r="M738" s="155"/>
      <c r="N738" s="155"/>
      <c r="O738" s="155"/>
      <c r="P738" s="155"/>
      <c r="Q738" s="155"/>
      <c r="R738" s="155"/>
      <c r="S738" s="155"/>
      <c r="T738" s="155"/>
      <c r="U738" s="155"/>
      <c r="V738" s="155"/>
      <c r="W738" s="155"/>
      <c r="GL738" s="155"/>
      <c r="GM738" s="155"/>
      <c r="GN738" s="155"/>
      <c r="GO738" s="155"/>
      <c r="GP738" s="155"/>
      <c r="GQ738" s="155"/>
      <c r="GR738" s="155"/>
      <c r="GS738" s="155"/>
      <c r="GT738" s="155"/>
      <c r="GU738" s="155"/>
      <c r="GV738" s="155"/>
      <c r="GW738" s="155"/>
      <c r="GX738" s="155"/>
      <c r="GY738" s="155"/>
      <c r="GZ738" s="155"/>
      <c r="HA738" s="155"/>
      <c r="HB738" s="155"/>
      <c r="HC738" s="155"/>
      <c r="HD738" s="155"/>
      <c r="HE738" s="155"/>
    </row>
    <row r="739" spans="2:213" s="156" customFormat="1" hidden="1">
      <c r="B739" s="155"/>
      <c r="C739" s="155"/>
      <c r="D739" s="155"/>
      <c r="E739" s="155"/>
      <c r="F739" s="155"/>
      <c r="G739" s="155"/>
      <c r="H739" s="155"/>
      <c r="I739" s="155"/>
      <c r="J739" s="155"/>
      <c r="K739" s="155"/>
      <c r="L739" s="155"/>
      <c r="M739" s="155"/>
      <c r="N739" s="155"/>
      <c r="O739" s="155"/>
      <c r="P739" s="155"/>
      <c r="Q739" s="155"/>
      <c r="R739" s="155"/>
      <c r="S739" s="155"/>
      <c r="T739" s="155"/>
      <c r="U739" s="155"/>
      <c r="V739" s="155"/>
      <c r="W739" s="155"/>
      <c r="GL739" s="155"/>
      <c r="GM739" s="155"/>
      <c r="GN739" s="155"/>
      <c r="GO739" s="155"/>
      <c r="GP739" s="155"/>
      <c r="GQ739" s="155"/>
      <c r="GR739" s="155"/>
      <c r="GS739" s="155"/>
      <c r="GT739" s="155"/>
      <c r="GU739" s="155"/>
      <c r="GV739" s="155"/>
      <c r="GW739" s="155"/>
      <c r="GX739" s="155"/>
      <c r="GY739" s="155"/>
      <c r="GZ739" s="155"/>
      <c r="HA739" s="155"/>
      <c r="HB739" s="155"/>
      <c r="HC739" s="155"/>
      <c r="HD739" s="155"/>
      <c r="HE739" s="155"/>
    </row>
    <row r="740" spans="2:213" s="156" customFormat="1" hidden="1">
      <c r="B740" s="155"/>
      <c r="C740" s="155"/>
      <c r="D740" s="155"/>
      <c r="E740" s="155"/>
      <c r="F740" s="155"/>
      <c r="G740" s="155"/>
      <c r="H740" s="155"/>
      <c r="I740" s="155"/>
      <c r="J740" s="155"/>
      <c r="K740" s="155"/>
      <c r="L740" s="155"/>
      <c r="M740" s="155"/>
      <c r="N740" s="155"/>
      <c r="O740" s="155"/>
      <c r="P740" s="155"/>
      <c r="Q740" s="155"/>
      <c r="R740" s="155"/>
      <c r="S740" s="155"/>
      <c r="T740" s="155"/>
      <c r="U740" s="155"/>
      <c r="V740" s="155"/>
      <c r="W740" s="155"/>
      <c r="GL740" s="155"/>
      <c r="GM740" s="155"/>
      <c r="GN740" s="155"/>
      <c r="GO740" s="155"/>
      <c r="GP740" s="155"/>
      <c r="GQ740" s="155"/>
      <c r="GR740" s="155"/>
      <c r="GS740" s="155"/>
      <c r="GT740" s="155"/>
      <c r="GU740" s="155"/>
      <c r="GV740" s="155"/>
      <c r="GW740" s="155"/>
      <c r="GX740" s="155"/>
      <c r="GY740" s="155"/>
      <c r="GZ740" s="155"/>
      <c r="HA740" s="155"/>
      <c r="HB740" s="155"/>
      <c r="HC740" s="155"/>
      <c r="HD740" s="155"/>
      <c r="HE740" s="155"/>
    </row>
    <row r="741" spans="2:213" s="156" customFormat="1" hidden="1">
      <c r="B741" s="155"/>
      <c r="C741" s="155"/>
      <c r="D741" s="155"/>
      <c r="E741" s="155"/>
      <c r="F741" s="155"/>
      <c r="G741" s="155"/>
      <c r="H741" s="155"/>
      <c r="I741" s="155"/>
      <c r="J741" s="155"/>
      <c r="K741" s="155"/>
      <c r="L741" s="155"/>
      <c r="M741" s="155"/>
      <c r="N741" s="155"/>
      <c r="O741" s="155"/>
      <c r="P741" s="155"/>
      <c r="Q741" s="155"/>
      <c r="R741" s="155"/>
      <c r="S741" s="155"/>
      <c r="T741" s="155"/>
      <c r="U741" s="155"/>
      <c r="V741" s="155"/>
      <c r="W741" s="155"/>
      <c r="GL741" s="155"/>
      <c r="GM741" s="155"/>
      <c r="GN741" s="155"/>
      <c r="GO741" s="155"/>
      <c r="GP741" s="155"/>
      <c r="GQ741" s="155"/>
      <c r="GR741" s="155"/>
      <c r="GS741" s="155"/>
      <c r="GT741" s="155"/>
      <c r="GU741" s="155"/>
      <c r="GV741" s="155"/>
      <c r="GW741" s="155"/>
      <c r="GX741" s="155"/>
      <c r="GY741" s="155"/>
      <c r="GZ741" s="155"/>
      <c r="HA741" s="155"/>
      <c r="HB741" s="155"/>
      <c r="HC741" s="155"/>
      <c r="HD741" s="155"/>
      <c r="HE741" s="155"/>
    </row>
    <row r="742" spans="2:213" s="156" customFormat="1" hidden="1">
      <c r="B742" s="155"/>
      <c r="C742" s="155"/>
      <c r="D742" s="155"/>
      <c r="E742" s="155"/>
      <c r="F742" s="155"/>
      <c r="G742" s="155"/>
      <c r="H742" s="155"/>
      <c r="I742" s="155"/>
      <c r="J742" s="155"/>
      <c r="K742" s="155"/>
      <c r="L742" s="155"/>
      <c r="M742" s="155"/>
      <c r="N742" s="155"/>
      <c r="O742" s="155"/>
      <c r="P742" s="155"/>
      <c r="Q742" s="155"/>
      <c r="R742" s="155"/>
      <c r="S742" s="155"/>
      <c r="T742" s="155"/>
      <c r="U742" s="155"/>
      <c r="V742" s="155"/>
      <c r="W742" s="155"/>
      <c r="GL742" s="155"/>
      <c r="GM742" s="155"/>
      <c r="GN742" s="155"/>
      <c r="GO742" s="155"/>
      <c r="GP742" s="155"/>
      <c r="GQ742" s="155"/>
      <c r="GR742" s="155"/>
      <c r="GS742" s="155"/>
      <c r="GT742" s="155"/>
      <c r="GU742" s="155"/>
      <c r="GV742" s="155"/>
      <c r="GW742" s="155"/>
      <c r="GX742" s="155"/>
      <c r="GY742" s="155"/>
      <c r="GZ742" s="155"/>
      <c r="HA742" s="155"/>
      <c r="HB742" s="155"/>
      <c r="HC742" s="155"/>
      <c r="HD742" s="155"/>
      <c r="HE742" s="155"/>
    </row>
    <row r="743" spans="2:213" s="156" customFormat="1" hidden="1">
      <c r="B743" s="155"/>
      <c r="C743" s="155"/>
      <c r="D743" s="155"/>
      <c r="E743" s="155"/>
      <c r="F743" s="155"/>
      <c r="G743" s="155"/>
      <c r="H743" s="155"/>
      <c r="I743" s="155"/>
      <c r="J743" s="155"/>
      <c r="K743" s="155"/>
      <c r="L743" s="155"/>
      <c r="M743" s="155"/>
      <c r="N743" s="155"/>
      <c r="O743" s="155"/>
      <c r="P743" s="155"/>
      <c r="Q743" s="155"/>
      <c r="R743" s="155"/>
      <c r="S743" s="155"/>
      <c r="T743" s="155"/>
      <c r="U743" s="155"/>
      <c r="V743" s="155"/>
      <c r="W743" s="155"/>
      <c r="GL743" s="155"/>
      <c r="GM743" s="155"/>
      <c r="GN743" s="155"/>
      <c r="GO743" s="155"/>
      <c r="GP743" s="155"/>
      <c r="GQ743" s="155"/>
      <c r="GR743" s="155"/>
      <c r="GS743" s="155"/>
      <c r="GT743" s="155"/>
      <c r="GU743" s="155"/>
      <c r="GV743" s="155"/>
      <c r="GW743" s="155"/>
      <c r="GX743" s="155"/>
      <c r="GY743" s="155"/>
      <c r="GZ743" s="155"/>
      <c r="HA743" s="155"/>
      <c r="HB743" s="155"/>
      <c r="HC743" s="155"/>
      <c r="HD743" s="155"/>
      <c r="HE743" s="155"/>
    </row>
    <row r="744" spans="2:213" s="156" customFormat="1" hidden="1">
      <c r="B744" s="155"/>
      <c r="C744" s="155"/>
      <c r="D744" s="155"/>
      <c r="E744" s="155"/>
      <c r="F744" s="155"/>
      <c r="G744" s="155"/>
      <c r="H744" s="155"/>
      <c r="I744" s="155"/>
      <c r="J744" s="155"/>
      <c r="K744" s="155"/>
      <c r="L744" s="155"/>
      <c r="M744" s="155"/>
      <c r="N744" s="155"/>
      <c r="O744" s="155"/>
      <c r="P744" s="155"/>
      <c r="Q744" s="155"/>
      <c r="R744" s="155"/>
      <c r="S744" s="155"/>
      <c r="T744" s="155"/>
      <c r="U744" s="155"/>
      <c r="V744" s="155"/>
      <c r="W744" s="155"/>
      <c r="GL744" s="155"/>
      <c r="GM744" s="155"/>
      <c r="GN744" s="155"/>
      <c r="GO744" s="155"/>
      <c r="GP744" s="155"/>
      <c r="GQ744" s="155"/>
      <c r="GR744" s="155"/>
      <c r="GS744" s="155"/>
      <c r="GT744" s="155"/>
      <c r="GU744" s="155"/>
      <c r="GV744" s="155"/>
      <c r="GW744" s="155"/>
      <c r="GX744" s="155"/>
      <c r="GY744" s="155"/>
      <c r="GZ744" s="155"/>
      <c r="HA744" s="155"/>
      <c r="HB744" s="155"/>
      <c r="HC744" s="155"/>
      <c r="HD744" s="155"/>
      <c r="HE744" s="155"/>
    </row>
    <row r="745" spans="2:213" s="156" customFormat="1" hidden="1">
      <c r="B745" s="155"/>
      <c r="C745" s="155"/>
      <c r="D745" s="155"/>
      <c r="E745" s="155"/>
      <c r="F745" s="155"/>
      <c r="G745" s="155"/>
      <c r="H745" s="155"/>
      <c r="I745" s="155"/>
      <c r="J745" s="155"/>
      <c r="K745" s="155"/>
      <c r="L745" s="155"/>
      <c r="M745" s="155"/>
      <c r="N745" s="155"/>
      <c r="O745" s="155"/>
      <c r="P745" s="155"/>
      <c r="Q745" s="155"/>
      <c r="R745" s="155"/>
      <c r="S745" s="155"/>
      <c r="T745" s="155"/>
      <c r="U745" s="155"/>
      <c r="V745" s="155"/>
      <c r="W745" s="155"/>
      <c r="GL745" s="155"/>
      <c r="GM745" s="155"/>
      <c r="GN745" s="155"/>
      <c r="GO745" s="155"/>
      <c r="GP745" s="155"/>
      <c r="GQ745" s="155"/>
      <c r="GR745" s="155"/>
      <c r="GS745" s="155"/>
      <c r="GT745" s="155"/>
      <c r="GU745" s="155"/>
      <c r="GV745" s="155"/>
      <c r="GW745" s="155"/>
      <c r="GX745" s="155"/>
      <c r="GY745" s="155"/>
      <c r="GZ745" s="155"/>
      <c r="HA745" s="155"/>
      <c r="HB745" s="155"/>
      <c r="HC745" s="155"/>
      <c r="HD745" s="155"/>
      <c r="HE745" s="155"/>
    </row>
    <row r="746" spans="2:213" s="156" customFormat="1" hidden="1">
      <c r="B746" s="155"/>
      <c r="C746" s="155"/>
      <c r="D746" s="155"/>
      <c r="E746" s="155"/>
      <c r="F746" s="155"/>
      <c r="G746" s="155"/>
      <c r="H746" s="155"/>
      <c r="I746" s="155"/>
      <c r="J746" s="155"/>
      <c r="K746" s="155"/>
      <c r="L746" s="155"/>
      <c r="M746" s="155"/>
      <c r="N746" s="155"/>
      <c r="O746" s="155"/>
      <c r="P746" s="155"/>
      <c r="Q746" s="155"/>
      <c r="R746" s="155"/>
      <c r="S746" s="155"/>
      <c r="T746" s="155"/>
      <c r="U746" s="155"/>
      <c r="V746" s="155"/>
      <c r="W746" s="155"/>
      <c r="GL746" s="155"/>
      <c r="GM746" s="155"/>
      <c r="GN746" s="155"/>
      <c r="GO746" s="155"/>
      <c r="GP746" s="155"/>
      <c r="GQ746" s="155"/>
      <c r="GR746" s="155"/>
      <c r="GS746" s="155"/>
      <c r="GT746" s="155"/>
      <c r="GU746" s="155"/>
      <c r="GV746" s="155"/>
      <c r="GW746" s="155"/>
      <c r="GX746" s="155"/>
      <c r="GY746" s="155"/>
      <c r="GZ746" s="155"/>
      <c r="HA746" s="155"/>
      <c r="HB746" s="155"/>
      <c r="HC746" s="155"/>
      <c r="HD746" s="155"/>
      <c r="HE746" s="155"/>
    </row>
    <row r="747" spans="2:213" s="156" customFormat="1" hidden="1">
      <c r="B747" s="155"/>
      <c r="C747" s="155"/>
      <c r="D747" s="155"/>
      <c r="E747" s="155"/>
      <c r="F747" s="155"/>
      <c r="G747" s="155"/>
      <c r="H747" s="155"/>
      <c r="I747" s="155"/>
      <c r="J747" s="155"/>
      <c r="K747" s="155"/>
      <c r="L747" s="155"/>
      <c r="M747" s="155"/>
      <c r="N747" s="155"/>
      <c r="O747" s="155"/>
      <c r="P747" s="155"/>
      <c r="Q747" s="155"/>
      <c r="R747" s="155"/>
      <c r="S747" s="155"/>
      <c r="T747" s="155"/>
      <c r="U747" s="155"/>
      <c r="V747" s="155"/>
      <c r="W747" s="155"/>
      <c r="GL747" s="155"/>
      <c r="GM747" s="155"/>
      <c r="GN747" s="155"/>
      <c r="GO747" s="155"/>
      <c r="GP747" s="155"/>
      <c r="GQ747" s="155"/>
      <c r="GR747" s="155"/>
      <c r="GS747" s="155"/>
      <c r="GT747" s="155"/>
      <c r="GU747" s="155"/>
      <c r="GV747" s="155"/>
      <c r="GW747" s="155"/>
      <c r="GX747" s="155"/>
      <c r="GY747" s="155"/>
      <c r="GZ747" s="155"/>
      <c r="HA747" s="155"/>
      <c r="HB747" s="155"/>
      <c r="HC747" s="155"/>
      <c r="HD747" s="155"/>
      <c r="HE747" s="155"/>
    </row>
    <row r="748" spans="2:213" s="156" customFormat="1" hidden="1">
      <c r="B748" s="155"/>
      <c r="C748" s="155"/>
      <c r="D748" s="155"/>
      <c r="E748" s="155"/>
      <c r="F748" s="155"/>
      <c r="G748" s="155"/>
      <c r="H748" s="155"/>
      <c r="I748" s="155"/>
      <c r="J748" s="155"/>
      <c r="K748" s="155"/>
      <c r="L748" s="155"/>
      <c r="M748" s="155"/>
      <c r="N748" s="155"/>
      <c r="O748" s="155"/>
      <c r="P748" s="155"/>
      <c r="Q748" s="155"/>
      <c r="R748" s="155"/>
      <c r="S748" s="155"/>
      <c r="T748" s="155"/>
      <c r="U748" s="155"/>
      <c r="V748" s="155"/>
      <c r="W748" s="155"/>
      <c r="GL748" s="155"/>
      <c r="GM748" s="155"/>
      <c r="GN748" s="155"/>
      <c r="GO748" s="155"/>
      <c r="GP748" s="155"/>
      <c r="GQ748" s="155"/>
      <c r="GR748" s="155"/>
      <c r="GS748" s="155"/>
      <c r="GT748" s="155"/>
      <c r="GU748" s="155"/>
      <c r="GV748" s="155"/>
      <c r="GW748" s="155"/>
      <c r="GX748" s="155"/>
      <c r="GY748" s="155"/>
      <c r="GZ748" s="155"/>
      <c r="HA748" s="155"/>
      <c r="HB748" s="155"/>
      <c r="HC748" s="155"/>
      <c r="HD748" s="155"/>
      <c r="HE748" s="155"/>
    </row>
    <row r="749" spans="2:213" s="156" customFormat="1" hidden="1">
      <c r="B749" s="155"/>
      <c r="C749" s="155"/>
      <c r="D749" s="155"/>
      <c r="E749" s="155"/>
      <c r="F749" s="155"/>
      <c r="G749" s="155"/>
      <c r="H749" s="155"/>
      <c r="I749" s="155"/>
      <c r="J749" s="155"/>
      <c r="K749" s="155"/>
      <c r="L749" s="155"/>
      <c r="M749" s="155"/>
      <c r="N749" s="155"/>
      <c r="O749" s="155"/>
      <c r="P749" s="155"/>
      <c r="Q749" s="155"/>
      <c r="R749" s="155"/>
      <c r="S749" s="155"/>
      <c r="T749" s="155"/>
      <c r="U749" s="155"/>
      <c r="V749" s="155"/>
      <c r="W749" s="155"/>
      <c r="GL749" s="155"/>
      <c r="GM749" s="155"/>
      <c r="GN749" s="155"/>
      <c r="GO749" s="155"/>
      <c r="GP749" s="155"/>
      <c r="GQ749" s="155"/>
      <c r="GR749" s="155"/>
      <c r="GS749" s="155"/>
      <c r="GT749" s="155"/>
      <c r="GU749" s="155"/>
      <c r="GV749" s="155"/>
      <c r="GW749" s="155"/>
      <c r="GX749" s="155"/>
      <c r="GY749" s="155"/>
      <c r="GZ749" s="155"/>
      <c r="HA749" s="155"/>
      <c r="HB749" s="155"/>
      <c r="HC749" s="155"/>
      <c r="HD749" s="155"/>
      <c r="HE749" s="155"/>
    </row>
    <row r="750" spans="2:213" s="156" customFormat="1" hidden="1">
      <c r="B750" s="155"/>
      <c r="C750" s="155"/>
      <c r="D750" s="155"/>
      <c r="E750" s="155"/>
      <c r="F750" s="155"/>
      <c r="G750" s="155"/>
      <c r="H750" s="155"/>
      <c r="I750" s="155"/>
      <c r="J750" s="155"/>
      <c r="K750" s="155"/>
      <c r="L750" s="155"/>
      <c r="M750" s="155"/>
      <c r="N750" s="155"/>
      <c r="O750" s="155"/>
      <c r="P750" s="155"/>
      <c r="Q750" s="155"/>
      <c r="R750" s="155"/>
      <c r="S750" s="155"/>
      <c r="T750" s="155"/>
      <c r="U750" s="155"/>
      <c r="V750" s="155"/>
      <c r="W750" s="155"/>
      <c r="GL750" s="155"/>
      <c r="GM750" s="155"/>
      <c r="GN750" s="155"/>
      <c r="GO750" s="155"/>
      <c r="GP750" s="155"/>
      <c r="GQ750" s="155"/>
      <c r="GR750" s="155"/>
      <c r="GS750" s="155"/>
      <c r="GT750" s="155"/>
      <c r="GU750" s="155"/>
      <c r="GV750" s="155"/>
      <c r="GW750" s="155"/>
      <c r="GX750" s="155"/>
      <c r="GY750" s="155"/>
      <c r="GZ750" s="155"/>
      <c r="HA750" s="155"/>
      <c r="HB750" s="155"/>
      <c r="HC750" s="155"/>
      <c r="HD750" s="155"/>
      <c r="HE750" s="155"/>
    </row>
    <row r="751" spans="2:213" s="156" customFormat="1" hidden="1">
      <c r="B751" s="155"/>
      <c r="C751" s="155"/>
      <c r="D751" s="155"/>
      <c r="E751" s="155"/>
      <c r="F751" s="155"/>
      <c r="G751" s="155"/>
      <c r="H751" s="155"/>
      <c r="I751" s="155"/>
      <c r="J751" s="155"/>
      <c r="K751" s="155"/>
      <c r="L751" s="155"/>
      <c r="M751" s="155"/>
      <c r="N751" s="155"/>
      <c r="O751" s="155"/>
      <c r="P751" s="155"/>
      <c r="Q751" s="155"/>
      <c r="R751" s="155"/>
      <c r="S751" s="155"/>
      <c r="T751" s="155"/>
      <c r="U751" s="155"/>
      <c r="V751" s="155"/>
      <c r="W751" s="155"/>
      <c r="GL751" s="155"/>
      <c r="GM751" s="155"/>
      <c r="GN751" s="155"/>
      <c r="GO751" s="155"/>
      <c r="GP751" s="155"/>
      <c r="GQ751" s="155"/>
      <c r="GR751" s="155"/>
      <c r="GS751" s="155"/>
      <c r="GT751" s="155"/>
      <c r="GU751" s="155"/>
      <c r="GV751" s="155"/>
      <c r="GW751" s="155"/>
      <c r="GX751" s="155"/>
      <c r="GY751" s="155"/>
      <c r="GZ751" s="155"/>
      <c r="HA751" s="155"/>
      <c r="HB751" s="155"/>
      <c r="HC751" s="155"/>
      <c r="HD751" s="155"/>
      <c r="HE751" s="155"/>
    </row>
    <row r="752" spans="2:213" s="156" customFormat="1" hidden="1">
      <c r="B752" s="155"/>
      <c r="C752" s="155"/>
      <c r="D752" s="155"/>
      <c r="E752" s="155"/>
      <c r="F752" s="155"/>
      <c r="G752" s="155"/>
      <c r="H752" s="155"/>
      <c r="I752" s="155"/>
      <c r="J752" s="155"/>
      <c r="K752" s="155"/>
      <c r="L752" s="155"/>
      <c r="M752" s="155"/>
      <c r="N752" s="155"/>
      <c r="O752" s="155"/>
      <c r="P752" s="155"/>
      <c r="Q752" s="155"/>
      <c r="R752" s="155"/>
      <c r="S752" s="155"/>
      <c r="T752" s="155"/>
      <c r="U752" s="155"/>
      <c r="V752" s="155"/>
      <c r="W752" s="155"/>
      <c r="GL752" s="155"/>
      <c r="GM752" s="155"/>
      <c r="GN752" s="155"/>
      <c r="GO752" s="155"/>
      <c r="GP752" s="155"/>
      <c r="GQ752" s="155"/>
      <c r="GR752" s="155"/>
      <c r="GS752" s="155"/>
      <c r="GT752" s="155"/>
      <c r="GU752" s="155"/>
      <c r="GV752" s="155"/>
      <c r="GW752" s="155"/>
      <c r="GX752" s="155"/>
      <c r="GY752" s="155"/>
      <c r="GZ752" s="155"/>
      <c r="HA752" s="155"/>
      <c r="HB752" s="155"/>
      <c r="HC752" s="155"/>
      <c r="HD752" s="155"/>
      <c r="HE752" s="155"/>
    </row>
    <row r="753" spans="2:213" s="156" customFormat="1" hidden="1">
      <c r="B753" s="155"/>
      <c r="C753" s="155"/>
      <c r="D753" s="155"/>
      <c r="E753" s="155"/>
      <c r="F753" s="155"/>
      <c r="G753" s="155"/>
      <c r="H753" s="155"/>
      <c r="I753" s="155"/>
      <c r="J753" s="155"/>
      <c r="K753" s="155"/>
      <c r="L753" s="155"/>
      <c r="M753" s="155"/>
      <c r="N753" s="155"/>
      <c r="O753" s="155"/>
      <c r="P753" s="155"/>
      <c r="Q753" s="155"/>
      <c r="R753" s="155"/>
      <c r="S753" s="155"/>
      <c r="T753" s="155"/>
      <c r="U753" s="155"/>
      <c r="V753" s="155"/>
      <c r="W753" s="155"/>
      <c r="GL753" s="155"/>
      <c r="GM753" s="155"/>
      <c r="GN753" s="155"/>
      <c r="GO753" s="155"/>
      <c r="GP753" s="155"/>
      <c r="GQ753" s="155"/>
      <c r="GR753" s="155"/>
      <c r="GS753" s="155"/>
      <c r="GT753" s="155"/>
      <c r="GU753" s="155"/>
      <c r="GV753" s="155"/>
      <c r="GW753" s="155"/>
      <c r="GX753" s="155"/>
      <c r="GY753" s="155"/>
      <c r="GZ753" s="155"/>
      <c r="HA753" s="155"/>
      <c r="HB753" s="155"/>
      <c r="HC753" s="155"/>
      <c r="HD753" s="155"/>
      <c r="HE753" s="155"/>
    </row>
    <row r="754" spans="2:213" s="156" customFormat="1" hidden="1">
      <c r="B754" s="155"/>
      <c r="C754" s="155"/>
      <c r="D754" s="155"/>
      <c r="E754" s="155"/>
      <c r="F754" s="155"/>
      <c r="G754" s="155"/>
      <c r="H754" s="155"/>
      <c r="I754" s="155"/>
      <c r="J754" s="155"/>
      <c r="K754" s="155"/>
      <c r="L754" s="155"/>
      <c r="M754" s="155"/>
      <c r="N754" s="155"/>
      <c r="O754" s="155"/>
      <c r="P754" s="155"/>
      <c r="Q754" s="155"/>
      <c r="R754" s="155"/>
      <c r="S754" s="155"/>
      <c r="T754" s="155"/>
      <c r="U754" s="155"/>
      <c r="V754" s="155"/>
      <c r="W754" s="155"/>
      <c r="GL754" s="155"/>
      <c r="GM754" s="155"/>
      <c r="GN754" s="155"/>
      <c r="GO754" s="155"/>
      <c r="GP754" s="155"/>
      <c r="GQ754" s="155"/>
      <c r="GR754" s="155"/>
      <c r="GS754" s="155"/>
      <c r="GT754" s="155"/>
      <c r="GU754" s="155"/>
      <c r="GV754" s="155"/>
      <c r="GW754" s="155"/>
      <c r="GX754" s="155"/>
      <c r="GY754" s="155"/>
      <c r="GZ754" s="155"/>
      <c r="HA754" s="155"/>
      <c r="HB754" s="155"/>
      <c r="HC754" s="155"/>
      <c r="HD754" s="155"/>
      <c r="HE754" s="155"/>
    </row>
    <row r="755" spans="2:213" s="156" customFormat="1" hidden="1">
      <c r="B755" s="155"/>
      <c r="C755" s="155"/>
      <c r="D755" s="155"/>
      <c r="E755" s="155"/>
      <c r="F755" s="155"/>
      <c r="G755" s="155"/>
      <c r="H755" s="155"/>
      <c r="I755" s="155"/>
      <c r="J755" s="155"/>
      <c r="K755" s="155"/>
      <c r="L755" s="155"/>
      <c r="M755" s="155"/>
      <c r="N755" s="155"/>
      <c r="O755" s="155"/>
      <c r="P755" s="155"/>
      <c r="Q755" s="155"/>
      <c r="R755" s="155"/>
      <c r="S755" s="155"/>
      <c r="T755" s="155"/>
      <c r="U755" s="155"/>
      <c r="V755" s="155"/>
      <c r="W755" s="155"/>
      <c r="GL755" s="155"/>
      <c r="GM755" s="155"/>
      <c r="GN755" s="155"/>
      <c r="GO755" s="155"/>
      <c r="GP755" s="155"/>
      <c r="GQ755" s="155"/>
      <c r="GR755" s="155"/>
      <c r="GS755" s="155"/>
      <c r="GT755" s="155"/>
      <c r="GU755" s="155"/>
      <c r="GV755" s="155"/>
      <c r="GW755" s="155"/>
      <c r="GX755" s="155"/>
      <c r="GY755" s="155"/>
      <c r="GZ755" s="155"/>
      <c r="HA755" s="155"/>
      <c r="HB755" s="155"/>
      <c r="HC755" s="155"/>
      <c r="HD755" s="155"/>
      <c r="HE755" s="155"/>
    </row>
    <row r="756" spans="2:213" s="156" customFormat="1" hidden="1">
      <c r="B756" s="155"/>
      <c r="C756" s="155"/>
      <c r="D756" s="155"/>
      <c r="E756" s="155"/>
      <c r="F756" s="155"/>
      <c r="G756" s="155"/>
      <c r="H756" s="155"/>
      <c r="I756" s="155"/>
      <c r="J756" s="155"/>
      <c r="K756" s="155"/>
      <c r="L756" s="155"/>
      <c r="M756" s="155"/>
      <c r="N756" s="155"/>
      <c r="O756" s="155"/>
      <c r="P756" s="155"/>
      <c r="Q756" s="155"/>
      <c r="R756" s="155"/>
      <c r="S756" s="155"/>
      <c r="T756" s="155"/>
      <c r="U756" s="155"/>
      <c r="V756" s="155"/>
      <c r="W756" s="155"/>
      <c r="GL756" s="155"/>
      <c r="GM756" s="155"/>
      <c r="GN756" s="155"/>
      <c r="GO756" s="155"/>
      <c r="GP756" s="155"/>
      <c r="GQ756" s="155"/>
      <c r="GR756" s="155"/>
      <c r="GS756" s="155"/>
      <c r="GT756" s="155"/>
      <c r="GU756" s="155"/>
      <c r="GV756" s="155"/>
      <c r="GW756" s="155"/>
      <c r="GX756" s="155"/>
      <c r="GY756" s="155"/>
      <c r="GZ756" s="155"/>
      <c r="HA756" s="155"/>
      <c r="HB756" s="155"/>
      <c r="HC756" s="155"/>
      <c r="HD756" s="155"/>
      <c r="HE756" s="155"/>
    </row>
    <row r="757" spans="2:213" s="156" customFormat="1" hidden="1">
      <c r="B757" s="155"/>
      <c r="C757" s="155"/>
      <c r="D757" s="155"/>
      <c r="E757" s="155"/>
      <c r="F757" s="155"/>
      <c r="G757" s="155"/>
      <c r="H757" s="155"/>
      <c r="I757" s="155"/>
      <c r="J757" s="155"/>
      <c r="K757" s="155"/>
      <c r="L757" s="155"/>
      <c r="M757" s="155"/>
      <c r="N757" s="155"/>
      <c r="O757" s="155"/>
      <c r="P757" s="155"/>
      <c r="Q757" s="155"/>
      <c r="R757" s="155"/>
      <c r="S757" s="155"/>
      <c r="T757" s="155"/>
      <c r="U757" s="155"/>
      <c r="V757" s="155"/>
      <c r="W757" s="155"/>
      <c r="GL757" s="155"/>
      <c r="GM757" s="155"/>
      <c r="GN757" s="155"/>
      <c r="GO757" s="155"/>
      <c r="GP757" s="155"/>
      <c r="GQ757" s="155"/>
      <c r="GR757" s="155"/>
      <c r="GS757" s="155"/>
      <c r="GT757" s="155"/>
      <c r="GU757" s="155"/>
      <c r="GV757" s="155"/>
      <c r="GW757" s="155"/>
      <c r="GX757" s="155"/>
      <c r="GY757" s="155"/>
      <c r="GZ757" s="155"/>
      <c r="HA757" s="155"/>
      <c r="HB757" s="155"/>
      <c r="HC757" s="155"/>
      <c r="HD757" s="155"/>
      <c r="HE757" s="155"/>
    </row>
    <row r="758" spans="2:213" s="156" customFormat="1" hidden="1">
      <c r="B758" s="155"/>
      <c r="C758" s="155"/>
      <c r="D758" s="155"/>
      <c r="E758" s="155"/>
      <c r="F758" s="155"/>
      <c r="G758" s="155"/>
      <c r="H758" s="155"/>
      <c r="I758" s="155"/>
      <c r="J758" s="155"/>
      <c r="K758" s="155"/>
      <c r="L758" s="155"/>
      <c r="M758" s="155"/>
      <c r="N758" s="155"/>
      <c r="O758" s="155"/>
      <c r="P758" s="155"/>
      <c r="Q758" s="155"/>
      <c r="R758" s="155"/>
      <c r="S758" s="155"/>
      <c r="T758" s="155"/>
      <c r="U758" s="155"/>
      <c r="V758" s="155"/>
      <c r="W758" s="155"/>
      <c r="GL758" s="155"/>
      <c r="GM758" s="155"/>
      <c r="GN758" s="155"/>
      <c r="GO758" s="155"/>
      <c r="GP758" s="155"/>
      <c r="GQ758" s="155"/>
      <c r="GR758" s="155"/>
      <c r="GS758" s="155"/>
      <c r="GT758" s="155"/>
      <c r="GU758" s="155"/>
      <c r="GV758" s="155"/>
      <c r="GW758" s="155"/>
      <c r="GX758" s="155"/>
      <c r="GY758" s="155"/>
      <c r="GZ758" s="155"/>
      <c r="HA758" s="155"/>
      <c r="HB758" s="155"/>
      <c r="HC758" s="155"/>
      <c r="HD758" s="155"/>
      <c r="HE758" s="155"/>
    </row>
    <row r="759" spans="2:213" s="156" customFormat="1" hidden="1">
      <c r="B759" s="155"/>
      <c r="C759" s="155"/>
      <c r="D759" s="155"/>
      <c r="E759" s="155"/>
      <c r="F759" s="155"/>
      <c r="G759" s="155"/>
      <c r="H759" s="155"/>
      <c r="I759" s="155"/>
      <c r="J759" s="155"/>
      <c r="K759" s="155"/>
      <c r="L759" s="155"/>
      <c r="M759" s="155"/>
      <c r="N759" s="155"/>
      <c r="O759" s="155"/>
      <c r="P759" s="155"/>
      <c r="Q759" s="155"/>
      <c r="R759" s="155"/>
      <c r="S759" s="155"/>
      <c r="T759" s="155"/>
      <c r="U759" s="155"/>
      <c r="V759" s="155"/>
      <c r="W759" s="155"/>
      <c r="GL759" s="155"/>
      <c r="GM759" s="155"/>
      <c r="GN759" s="155"/>
      <c r="GO759" s="155"/>
      <c r="GP759" s="155"/>
      <c r="GQ759" s="155"/>
      <c r="GR759" s="155"/>
      <c r="GS759" s="155"/>
      <c r="GT759" s="155"/>
      <c r="GU759" s="155"/>
      <c r="GV759" s="155"/>
      <c r="GW759" s="155"/>
      <c r="GX759" s="155"/>
      <c r="GY759" s="155"/>
      <c r="GZ759" s="155"/>
      <c r="HA759" s="155"/>
      <c r="HB759" s="155"/>
      <c r="HC759" s="155"/>
      <c r="HD759" s="155"/>
      <c r="HE759" s="155"/>
    </row>
    <row r="760" spans="2:213" s="156" customFormat="1" hidden="1">
      <c r="B760" s="155"/>
      <c r="C760" s="155"/>
      <c r="D760" s="155"/>
      <c r="E760" s="155"/>
      <c r="F760" s="155"/>
      <c r="G760" s="155"/>
      <c r="H760" s="155"/>
      <c r="I760" s="155"/>
      <c r="J760" s="155"/>
      <c r="K760" s="155"/>
      <c r="L760" s="155"/>
      <c r="M760" s="155"/>
      <c r="N760" s="155"/>
      <c r="O760" s="155"/>
      <c r="P760" s="155"/>
      <c r="Q760" s="155"/>
      <c r="R760" s="155"/>
      <c r="S760" s="155"/>
      <c r="T760" s="155"/>
      <c r="U760" s="155"/>
      <c r="V760" s="155"/>
      <c r="W760" s="155"/>
      <c r="GL760" s="155"/>
      <c r="GM760" s="155"/>
      <c r="GN760" s="155"/>
      <c r="GO760" s="155"/>
      <c r="GP760" s="155"/>
      <c r="GQ760" s="155"/>
      <c r="GR760" s="155"/>
      <c r="GS760" s="155"/>
      <c r="GT760" s="155"/>
      <c r="GU760" s="155"/>
      <c r="GV760" s="155"/>
      <c r="GW760" s="155"/>
      <c r="GX760" s="155"/>
      <c r="GY760" s="155"/>
      <c r="GZ760" s="155"/>
      <c r="HA760" s="155"/>
      <c r="HB760" s="155"/>
      <c r="HC760" s="155"/>
      <c r="HD760" s="155"/>
      <c r="HE760" s="155"/>
    </row>
    <row r="761" spans="2:213" s="156" customFormat="1" hidden="1">
      <c r="B761" s="155"/>
      <c r="C761" s="155"/>
      <c r="D761" s="155"/>
      <c r="E761" s="155"/>
      <c r="F761" s="155"/>
      <c r="G761" s="155"/>
      <c r="H761" s="155"/>
      <c r="I761" s="155"/>
      <c r="J761" s="155"/>
      <c r="K761" s="155"/>
      <c r="L761" s="155"/>
      <c r="M761" s="155"/>
      <c r="N761" s="155"/>
      <c r="O761" s="155"/>
      <c r="P761" s="155"/>
      <c r="Q761" s="155"/>
      <c r="R761" s="155"/>
      <c r="S761" s="155"/>
      <c r="T761" s="155"/>
      <c r="U761" s="155"/>
      <c r="V761" s="155"/>
      <c r="W761" s="155"/>
      <c r="GL761" s="155"/>
      <c r="GM761" s="155"/>
      <c r="GN761" s="155"/>
      <c r="GO761" s="155"/>
      <c r="GP761" s="155"/>
      <c r="GQ761" s="155"/>
      <c r="GR761" s="155"/>
      <c r="GS761" s="155"/>
      <c r="GT761" s="155"/>
      <c r="GU761" s="155"/>
      <c r="GV761" s="155"/>
      <c r="GW761" s="155"/>
      <c r="GX761" s="155"/>
      <c r="GY761" s="155"/>
      <c r="GZ761" s="155"/>
      <c r="HA761" s="155"/>
      <c r="HB761" s="155"/>
      <c r="HC761" s="155"/>
      <c r="HD761" s="155"/>
      <c r="HE761" s="155"/>
    </row>
    <row r="762" spans="2:213" s="156" customFormat="1" hidden="1">
      <c r="B762" s="155"/>
      <c r="C762" s="155"/>
      <c r="D762" s="155"/>
      <c r="E762" s="155"/>
      <c r="F762" s="155"/>
      <c r="G762" s="155"/>
      <c r="H762" s="155"/>
      <c r="I762" s="155"/>
      <c r="J762" s="155"/>
      <c r="K762" s="155"/>
      <c r="L762" s="155"/>
      <c r="M762" s="155"/>
      <c r="N762" s="155"/>
      <c r="O762" s="155"/>
      <c r="P762" s="155"/>
      <c r="Q762" s="155"/>
      <c r="R762" s="155"/>
      <c r="S762" s="155"/>
      <c r="T762" s="155"/>
      <c r="U762" s="155"/>
      <c r="V762" s="155"/>
      <c r="W762" s="155"/>
      <c r="GL762" s="155"/>
      <c r="GM762" s="155"/>
      <c r="GN762" s="155"/>
      <c r="GO762" s="155"/>
      <c r="GP762" s="155"/>
      <c r="GQ762" s="155"/>
      <c r="GR762" s="155"/>
      <c r="GS762" s="155"/>
      <c r="GT762" s="155"/>
      <c r="GU762" s="155"/>
      <c r="GV762" s="155"/>
      <c r="GW762" s="155"/>
      <c r="GX762" s="155"/>
      <c r="GY762" s="155"/>
      <c r="GZ762" s="155"/>
      <c r="HA762" s="155"/>
      <c r="HB762" s="155"/>
      <c r="HC762" s="155"/>
      <c r="HD762" s="155"/>
      <c r="HE762" s="155"/>
    </row>
    <row r="763" spans="2:213" s="156" customFormat="1" hidden="1">
      <c r="B763" s="155"/>
      <c r="C763" s="155"/>
      <c r="D763" s="155"/>
      <c r="E763" s="155"/>
      <c r="F763" s="155"/>
      <c r="G763" s="155"/>
      <c r="H763" s="155"/>
      <c r="I763" s="155"/>
      <c r="J763" s="155"/>
      <c r="K763" s="155"/>
      <c r="L763" s="155"/>
      <c r="M763" s="155"/>
      <c r="N763" s="155"/>
      <c r="O763" s="155"/>
      <c r="P763" s="155"/>
      <c r="Q763" s="155"/>
      <c r="R763" s="155"/>
      <c r="S763" s="155"/>
      <c r="T763" s="155"/>
      <c r="U763" s="155"/>
      <c r="V763" s="155"/>
      <c r="W763" s="155"/>
      <c r="GL763" s="155"/>
      <c r="GM763" s="155"/>
      <c r="GN763" s="155"/>
      <c r="GO763" s="155"/>
      <c r="GP763" s="155"/>
      <c r="GQ763" s="155"/>
      <c r="GR763" s="155"/>
      <c r="GS763" s="155"/>
      <c r="GT763" s="155"/>
      <c r="GU763" s="155"/>
      <c r="GV763" s="155"/>
      <c r="GW763" s="155"/>
      <c r="GX763" s="155"/>
      <c r="GY763" s="155"/>
      <c r="GZ763" s="155"/>
      <c r="HA763" s="155"/>
      <c r="HB763" s="155"/>
      <c r="HC763" s="155"/>
      <c r="HD763" s="155"/>
      <c r="HE763" s="155"/>
    </row>
    <row r="764" spans="2:213" s="156" customFormat="1" hidden="1">
      <c r="B764" s="155"/>
      <c r="C764" s="155"/>
      <c r="D764" s="155"/>
      <c r="E764" s="155"/>
      <c r="F764" s="155"/>
      <c r="G764" s="155"/>
      <c r="H764" s="155"/>
      <c r="I764" s="155"/>
      <c r="J764" s="155"/>
      <c r="K764" s="155"/>
      <c r="L764" s="155"/>
      <c r="M764" s="155"/>
      <c r="N764" s="155"/>
      <c r="O764" s="155"/>
      <c r="P764" s="155"/>
      <c r="Q764" s="155"/>
      <c r="R764" s="155"/>
      <c r="S764" s="155"/>
      <c r="T764" s="155"/>
      <c r="U764" s="155"/>
      <c r="V764" s="155"/>
      <c r="W764" s="155"/>
      <c r="GL764" s="155"/>
      <c r="GM764" s="155"/>
      <c r="GN764" s="155"/>
      <c r="GO764" s="155"/>
      <c r="GP764" s="155"/>
      <c r="GQ764" s="155"/>
      <c r="GR764" s="155"/>
      <c r="GS764" s="155"/>
      <c r="GT764" s="155"/>
      <c r="GU764" s="155"/>
      <c r="GV764" s="155"/>
      <c r="GW764" s="155"/>
      <c r="GX764" s="155"/>
      <c r="GY764" s="155"/>
      <c r="GZ764" s="155"/>
      <c r="HA764" s="155"/>
      <c r="HB764" s="155"/>
      <c r="HC764" s="155"/>
      <c r="HD764" s="155"/>
      <c r="HE764" s="155"/>
    </row>
    <row r="765" spans="2:213" s="156" customFormat="1" hidden="1">
      <c r="B765" s="155"/>
      <c r="C765" s="155"/>
      <c r="D765" s="155"/>
      <c r="E765" s="155"/>
      <c r="F765" s="155"/>
      <c r="G765" s="155"/>
      <c r="H765" s="155"/>
      <c r="I765" s="155"/>
      <c r="J765" s="155"/>
      <c r="K765" s="155"/>
      <c r="L765" s="155"/>
      <c r="M765" s="155"/>
      <c r="N765" s="155"/>
      <c r="O765" s="155"/>
      <c r="P765" s="155"/>
      <c r="Q765" s="155"/>
      <c r="R765" s="155"/>
      <c r="S765" s="155"/>
      <c r="T765" s="155"/>
      <c r="U765" s="155"/>
      <c r="V765" s="155"/>
      <c r="W765" s="155"/>
      <c r="GL765" s="155"/>
      <c r="GM765" s="155"/>
      <c r="GN765" s="155"/>
      <c r="GO765" s="155"/>
      <c r="GP765" s="155"/>
      <c r="GQ765" s="155"/>
      <c r="GR765" s="155"/>
      <c r="GS765" s="155"/>
      <c r="GT765" s="155"/>
      <c r="GU765" s="155"/>
      <c r="GV765" s="155"/>
      <c r="GW765" s="155"/>
      <c r="GX765" s="155"/>
      <c r="GY765" s="155"/>
      <c r="GZ765" s="155"/>
      <c r="HA765" s="155"/>
      <c r="HB765" s="155"/>
      <c r="HC765" s="155"/>
      <c r="HD765" s="155"/>
      <c r="HE765" s="155"/>
    </row>
    <row r="766" spans="2:213" s="156" customFormat="1" hidden="1">
      <c r="B766" s="155"/>
      <c r="C766" s="155"/>
      <c r="D766" s="155"/>
      <c r="E766" s="155"/>
      <c r="F766" s="155"/>
      <c r="G766" s="155"/>
      <c r="H766" s="155"/>
      <c r="I766" s="155"/>
      <c r="J766" s="155"/>
      <c r="K766" s="155"/>
      <c r="L766" s="155"/>
      <c r="M766" s="155"/>
      <c r="N766" s="155"/>
      <c r="O766" s="155"/>
      <c r="P766" s="155"/>
      <c r="Q766" s="155"/>
      <c r="R766" s="155"/>
      <c r="S766" s="155"/>
      <c r="T766" s="155"/>
      <c r="U766" s="155"/>
      <c r="V766" s="155"/>
      <c r="W766" s="155"/>
      <c r="GL766" s="155"/>
      <c r="GM766" s="155"/>
      <c r="GN766" s="155"/>
      <c r="GO766" s="155"/>
      <c r="GP766" s="155"/>
      <c r="GQ766" s="155"/>
      <c r="GR766" s="155"/>
      <c r="GS766" s="155"/>
      <c r="GT766" s="155"/>
      <c r="GU766" s="155"/>
      <c r="GV766" s="155"/>
      <c r="GW766" s="155"/>
      <c r="GX766" s="155"/>
      <c r="GY766" s="155"/>
      <c r="GZ766" s="155"/>
      <c r="HA766" s="155"/>
      <c r="HB766" s="155"/>
      <c r="HC766" s="155"/>
      <c r="HD766" s="155"/>
      <c r="HE766" s="155"/>
    </row>
    <row r="767" spans="2:213" s="156" customFormat="1" hidden="1">
      <c r="B767" s="155"/>
      <c r="C767" s="155"/>
      <c r="D767" s="155"/>
      <c r="E767" s="155"/>
      <c r="F767" s="155"/>
      <c r="G767" s="155"/>
      <c r="H767" s="155"/>
      <c r="I767" s="155"/>
      <c r="J767" s="155"/>
      <c r="K767" s="155"/>
      <c r="L767" s="155"/>
      <c r="M767" s="155"/>
      <c r="N767" s="155"/>
      <c r="O767" s="155"/>
      <c r="P767" s="155"/>
      <c r="Q767" s="155"/>
      <c r="R767" s="155"/>
      <c r="S767" s="155"/>
      <c r="T767" s="155"/>
      <c r="U767" s="155"/>
      <c r="V767" s="155"/>
      <c r="W767" s="155"/>
      <c r="GL767" s="155"/>
      <c r="GM767" s="155"/>
      <c r="GN767" s="155"/>
      <c r="GO767" s="155"/>
      <c r="GP767" s="155"/>
      <c r="GQ767" s="155"/>
      <c r="GR767" s="155"/>
      <c r="GS767" s="155"/>
      <c r="GT767" s="155"/>
      <c r="GU767" s="155"/>
      <c r="GV767" s="155"/>
      <c r="GW767" s="155"/>
      <c r="GX767" s="155"/>
      <c r="GY767" s="155"/>
      <c r="GZ767" s="155"/>
      <c r="HA767" s="155"/>
      <c r="HB767" s="155"/>
      <c r="HC767" s="155"/>
      <c r="HD767" s="155"/>
      <c r="HE767" s="155"/>
    </row>
    <row r="768" spans="2:213" s="156" customFormat="1" hidden="1">
      <c r="B768" s="155"/>
      <c r="C768" s="155"/>
      <c r="D768" s="155"/>
      <c r="E768" s="155"/>
      <c r="F768" s="155"/>
      <c r="G768" s="155"/>
      <c r="H768" s="155"/>
      <c r="I768" s="155"/>
      <c r="J768" s="155"/>
      <c r="K768" s="155"/>
      <c r="L768" s="155"/>
      <c r="M768" s="155"/>
      <c r="N768" s="155"/>
      <c r="O768" s="155"/>
      <c r="P768" s="155"/>
      <c r="Q768" s="155"/>
      <c r="R768" s="155"/>
      <c r="S768" s="155"/>
      <c r="T768" s="155"/>
      <c r="U768" s="155"/>
      <c r="V768" s="155"/>
      <c r="W768" s="155"/>
      <c r="GL768" s="155"/>
      <c r="GM768" s="155"/>
      <c r="GN768" s="155"/>
      <c r="GO768" s="155"/>
      <c r="GP768" s="155"/>
      <c r="GQ768" s="155"/>
      <c r="GR768" s="155"/>
      <c r="GS768" s="155"/>
      <c r="GT768" s="155"/>
      <c r="GU768" s="155"/>
      <c r="GV768" s="155"/>
      <c r="GW768" s="155"/>
      <c r="GX768" s="155"/>
      <c r="GY768" s="155"/>
      <c r="GZ768" s="155"/>
      <c r="HA768" s="155"/>
      <c r="HB768" s="155"/>
      <c r="HC768" s="155"/>
      <c r="HD768" s="155"/>
      <c r="HE768" s="155"/>
    </row>
    <row r="769" spans="2:213" s="156" customFormat="1" hidden="1">
      <c r="B769" s="155"/>
      <c r="C769" s="155"/>
      <c r="D769" s="155"/>
      <c r="E769" s="155"/>
      <c r="F769" s="155"/>
      <c r="G769" s="155"/>
      <c r="H769" s="155"/>
      <c r="I769" s="155"/>
      <c r="J769" s="155"/>
      <c r="K769" s="155"/>
      <c r="L769" s="155"/>
      <c r="M769" s="155"/>
      <c r="N769" s="155"/>
      <c r="O769" s="155"/>
      <c r="P769" s="155"/>
      <c r="Q769" s="155"/>
      <c r="R769" s="155"/>
      <c r="S769" s="155"/>
      <c r="T769" s="155"/>
      <c r="U769" s="155"/>
      <c r="V769" s="155"/>
      <c r="W769" s="155"/>
      <c r="GL769" s="155"/>
      <c r="GM769" s="155"/>
      <c r="GN769" s="155"/>
      <c r="GO769" s="155"/>
      <c r="GP769" s="155"/>
      <c r="GQ769" s="155"/>
      <c r="GR769" s="155"/>
      <c r="GS769" s="155"/>
      <c r="GT769" s="155"/>
      <c r="GU769" s="155"/>
      <c r="GV769" s="155"/>
      <c r="GW769" s="155"/>
      <c r="GX769" s="155"/>
      <c r="GY769" s="155"/>
      <c r="GZ769" s="155"/>
      <c r="HA769" s="155"/>
      <c r="HB769" s="155"/>
      <c r="HC769" s="155"/>
      <c r="HD769" s="155"/>
      <c r="HE769" s="155"/>
    </row>
    <row r="770" spans="2:213" s="156" customFormat="1" hidden="1">
      <c r="B770" s="155"/>
      <c r="C770" s="155"/>
      <c r="D770" s="155"/>
      <c r="E770" s="155"/>
      <c r="F770" s="155"/>
      <c r="G770" s="155"/>
      <c r="H770" s="155"/>
      <c r="I770" s="155"/>
      <c r="J770" s="155"/>
      <c r="K770" s="155"/>
      <c r="L770" s="155"/>
      <c r="M770" s="155"/>
      <c r="N770" s="155"/>
      <c r="O770" s="155"/>
      <c r="P770" s="155"/>
      <c r="Q770" s="155"/>
      <c r="R770" s="155"/>
      <c r="S770" s="155"/>
      <c r="T770" s="155"/>
      <c r="U770" s="155"/>
      <c r="V770" s="155"/>
      <c r="W770" s="155"/>
      <c r="GL770" s="155"/>
      <c r="GM770" s="155"/>
      <c r="GN770" s="155"/>
      <c r="GO770" s="155"/>
      <c r="GP770" s="155"/>
      <c r="GQ770" s="155"/>
      <c r="GR770" s="155"/>
      <c r="GS770" s="155"/>
      <c r="GT770" s="155"/>
      <c r="GU770" s="155"/>
      <c r="GV770" s="155"/>
      <c r="GW770" s="155"/>
      <c r="GX770" s="155"/>
      <c r="GY770" s="155"/>
      <c r="GZ770" s="155"/>
      <c r="HA770" s="155"/>
      <c r="HB770" s="155"/>
      <c r="HC770" s="155"/>
      <c r="HD770" s="155"/>
      <c r="HE770" s="155"/>
    </row>
    <row r="771" spans="2:213" s="156" customFormat="1" hidden="1">
      <c r="B771" s="155"/>
      <c r="C771" s="155"/>
      <c r="D771" s="155"/>
      <c r="E771" s="155"/>
      <c r="F771" s="155"/>
      <c r="G771" s="155"/>
      <c r="H771" s="155"/>
      <c r="I771" s="155"/>
      <c r="J771" s="155"/>
      <c r="K771" s="155"/>
      <c r="L771" s="155"/>
      <c r="M771" s="155"/>
      <c r="N771" s="155"/>
      <c r="O771" s="155"/>
      <c r="P771" s="155"/>
      <c r="Q771" s="155"/>
      <c r="R771" s="155"/>
      <c r="S771" s="155"/>
      <c r="T771" s="155"/>
      <c r="U771" s="155"/>
      <c r="V771" s="155"/>
      <c r="W771" s="155"/>
      <c r="GL771" s="155"/>
      <c r="GM771" s="155"/>
      <c r="GN771" s="155"/>
      <c r="GO771" s="155"/>
      <c r="GP771" s="155"/>
      <c r="GQ771" s="155"/>
      <c r="GR771" s="155"/>
      <c r="GS771" s="155"/>
      <c r="GT771" s="155"/>
      <c r="GU771" s="155"/>
      <c r="GV771" s="155"/>
      <c r="GW771" s="155"/>
      <c r="GX771" s="155"/>
      <c r="GY771" s="155"/>
      <c r="GZ771" s="155"/>
      <c r="HA771" s="155"/>
      <c r="HB771" s="155"/>
      <c r="HC771" s="155"/>
      <c r="HD771" s="155"/>
      <c r="HE771" s="155"/>
    </row>
    <row r="772" spans="2:213" s="156" customFormat="1" hidden="1">
      <c r="B772" s="155"/>
      <c r="C772" s="155"/>
      <c r="D772" s="155"/>
      <c r="E772" s="155"/>
      <c r="F772" s="155"/>
      <c r="G772" s="155"/>
      <c r="H772" s="155"/>
      <c r="I772" s="155"/>
      <c r="J772" s="155"/>
      <c r="K772" s="155"/>
      <c r="L772" s="155"/>
      <c r="M772" s="155"/>
      <c r="N772" s="155"/>
      <c r="O772" s="155"/>
      <c r="P772" s="155"/>
      <c r="Q772" s="155"/>
      <c r="R772" s="155"/>
      <c r="S772" s="155"/>
      <c r="T772" s="155"/>
      <c r="U772" s="155"/>
      <c r="V772" s="155"/>
      <c r="W772" s="155"/>
      <c r="GL772" s="155"/>
      <c r="GM772" s="155"/>
      <c r="GN772" s="155"/>
      <c r="GO772" s="155"/>
      <c r="GP772" s="155"/>
      <c r="GQ772" s="155"/>
      <c r="GR772" s="155"/>
      <c r="GS772" s="155"/>
      <c r="GT772" s="155"/>
      <c r="GU772" s="155"/>
      <c r="GV772" s="155"/>
      <c r="GW772" s="155"/>
      <c r="GX772" s="155"/>
      <c r="GY772" s="155"/>
      <c r="GZ772" s="155"/>
      <c r="HA772" s="155"/>
      <c r="HB772" s="155"/>
      <c r="HC772" s="155"/>
      <c r="HD772" s="155"/>
      <c r="HE772" s="155"/>
    </row>
    <row r="773" spans="2:213" s="156" customFormat="1" hidden="1">
      <c r="B773" s="155"/>
      <c r="C773" s="155"/>
      <c r="D773" s="155"/>
      <c r="E773" s="155"/>
      <c r="F773" s="155"/>
      <c r="G773" s="155"/>
      <c r="H773" s="155"/>
      <c r="I773" s="155"/>
      <c r="J773" s="155"/>
      <c r="K773" s="155"/>
      <c r="L773" s="155"/>
      <c r="M773" s="155"/>
      <c r="N773" s="155"/>
      <c r="O773" s="155"/>
      <c r="P773" s="155"/>
      <c r="Q773" s="155"/>
      <c r="R773" s="155"/>
      <c r="S773" s="155"/>
      <c r="T773" s="155"/>
      <c r="U773" s="155"/>
      <c r="V773" s="155"/>
      <c r="W773" s="155"/>
      <c r="GL773" s="155"/>
      <c r="GM773" s="155"/>
      <c r="GN773" s="155"/>
      <c r="GO773" s="155"/>
      <c r="GP773" s="155"/>
      <c r="GQ773" s="155"/>
      <c r="GR773" s="155"/>
      <c r="GS773" s="155"/>
      <c r="GT773" s="155"/>
      <c r="GU773" s="155"/>
      <c r="GV773" s="155"/>
      <c r="GW773" s="155"/>
      <c r="GX773" s="155"/>
      <c r="GY773" s="155"/>
      <c r="GZ773" s="155"/>
      <c r="HA773" s="155"/>
      <c r="HB773" s="155"/>
      <c r="HC773" s="155"/>
      <c r="HD773" s="155"/>
      <c r="HE773" s="155"/>
    </row>
    <row r="774" spans="2:213" s="156" customFormat="1" hidden="1">
      <c r="B774" s="155"/>
      <c r="C774" s="155"/>
      <c r="D774" s="155"/>
      <c r="E774" s="155"/>
      <c r="F774" s="155"/>
      <c r="G774" s="155"/>
      <c r="H774" s="155"/>
      <c r="I774" s="155"/>
      <c r="J774" s="155"/>
      <c r="K774" s="155"/>
      <c r="L774" s="155"/>
      <c r="M774" s="155"/>
      <c r="N774" s="155"/>
      <c r="O774" s="155"/>
      <c r="P774" s="155"/>
      <c r="Q774" s="155"/>
      <c r="R774" s="155"/>
      <c r="S774" s="155"/>
      <c r="T774" s="155"/>
      <c r="U774" s="155"/>
      <c r="V774" s="155"/>
      <c r="W774" s="155"/>
      <c r="GL774" s="155"/>
      <c r="GM774" s="155"/>
      <c r="GN774" s="155"/>
      <c r="GO774" s="155"/>
      <c r="GP774" s="155"/>
      <c r="GQ774" s="155"/>
      <c r="GR774" s="155"/>
      <c r="GS774" s="155"/>
      <c r="GT774" s="155"/>
      <c r="GU774" s="155"/>
      <c r="GV774" s="155"/>
      <c r="GW774" s="155"/>
      <c r="GX774" s="155"/>
      <c r="GY774" s="155"/>
      <c r="GZ774" s="155"/>
      <c r="HA774" s="155"/>
      <c r="HB774" s="155"/>
      <c r="HC774" s="155"/>
      <c r="HD774" s="155"/>
      <c r="HE774" s="155"/>
    </row>
    <row r="775" spans="2:213" s="156" customFormat="1" hidden="1">
      <c r="B775" s="155"/>
      <c r="C775" s="155"/>
      <c r="D775" s="155"/>
      <c r="E775" s="155"/>
      <c r="F775" s="155"/>
      <c r="G775" s="155"/>
      <c r="H775" s="155"/>
      <c r="I775" s="155"/>
      <c r="J775" s="155"/>
      <c r="K775" s="155"/>
      <c r="L775" s="155"/>
      <c r="M775" s="155"/>
      <c r="N775" s="155"/>
      <c r="O775" s="155"/>
      <c r="P775" s="155"/>
      <c r="Q775" s="155"/>
      <c r="R775" s="155"/>
      <c r="S775" s="155"/>
      <c r="T775" s="155"/>
      <c r="U775" s="155"/>
      <c r="V775" s="155"/>
      <c r="W775" s="155"/>
      <c r="GL775" s="155"/>
      <c r="GM775" s="155"/>
      <c r="GN775" s="155"/>
      <c r="GO775" s="155"/>
      <c r="GP775" s="155"/>
      <c r="GQ775" s="155"/>
      <c r="GR775" s="155"/>
      <c r="GS775" s="155"/>
      <c r="GT775" s="155"/>
      <c r="GU775" s="155"/>
      <c r="GV775" s="155"/>
      <c r="GW775" s="155"/>
      <c r="GX775" s="155"/>
      <c r="GY775" s="155"/>
      <c r="GZ775" s="155"/>
      <c r="HA775" s="155"/>
      <c r="HB775" s="155"/>
      <c r="HC775" s="155"/>
      <c r="HD775" s="155"/>
      <c r="HE775" s="155"/>
    </row>
    <row r="776" spans="2:213" s="156" customFormat="1" hidden="1">
      <c r="B776" s="155"/>
      <c r="C776" s="155"/>
      <c r="D776" s="155"/>
      <c r="E776" s="155"/>
      <c r="F776" s="155"/>
      <c r="G776" s="155"/>
      <c r="H776" s="155"/>
      <c r="I776" s="155"/>
      <c r="J776" s="155"/>
      <c r="K776" s="155"/>
      <c r="L776" s="155"/>
      <c r="M776" s="155"/>
      <c r="N776" s="155"/>
      <c r="O776" s="155"/>
      <c r="P776" s="155"/>
      <c r="Q776" s="155"/>
      <c r="R776" s="155"/>
      <c r="S776" s="155"/>
      <c r="T776" s="155"/>
      <c r="U776" s="155"/>
      <c r="V776" s="155"/>
      <c r="W776" s="155"/>
      <c r="GL776" s="155"/>
      <c r="GM776" s="155"/>
      <c r="GN776" s="155"/>
      <c r="GO776" s="155"/>
      <c r="GP776" s="155"/>
      <c r="GQ776" s="155"/>
      <c r="GR776" s="155"/>
      <c r="GS776" s="155"/>
      <c r="GT776" s="155"/>
      <c r="GU776" s="155"/>
      <c r="GV776" s="155"/>
      <c r="GW776" s="155"/>
      <c r="GX776" s="155"/>
      <c r="GY776" s="155"/>
      <c r="GZ776" s="155"/>
      <c r="HA776" s="155"/>
      <c r="HB776" s="155"/>
      <c r="HC776" s="155"/>
      <c r="HD776" s="155"/>
      <c r="HE776" s="155"/>
    </row>
    <row r="777" spans="2:213" s="156" customFormat="1" hidden="1">
      <c r="B777" s="155"/>
      <c r="C777" s="155"/>
      <c r="D777" s="155"/>
      <c r="E777" s="155"/>
      <c r="F777" s="155"/>
      <c r="G777" s="155"/>
      <c r="H777" s="155"/>
      <c r="I777" s="155"/>
      <c r="J777" s="155"/>
      <c r="K777" s="155"/>
      <c r="L777" s="155"/>
      <c r="M777" s="155"/>
      <c r="N777" s="155"/>
      <c r="O777" s="155"/>
      <c r="P777" s="155"/>
      <c r="Q777" s="155"/>
      <c r="R777" s="155"/>
      <c r="S777" s="155"/>
      <c r="T777" s="155"/>
      <c r="U777" s="155"/>
      <c r="V777" s="155"/>
      <c r="W777" s="155"/>
      <c r="GL777" s="155"/>
      <c r="GM777" s="155"/>
      <c r="GN777" s="155"/>
      <c r="GO777" s="155"/>
      <c r="GP777" s="155"/>
      <c r="GQ777" s="155"/>
      <c r="GR777" s="155"/>
      <c r="GS777" s="155"/>
      <c r="GT777" s="155"/>
      <c r="GU777" s="155"/>
      <c r="GV777" s="155"/>
      <c r="GW777" s="155"/>
      <c r="GX777" s="155"/>
      <c r="GY777" s="155"/>
      <c r="GZ777" s="155"/>
      <c r="HA777" s="155"/>
      <c r="HB777" s="155"/>
      <c r="HC777" s="155"/>
      <c r="HD777" s="155"/>
      <c r="HE777" s="155"/>
    </row>
    <row r="778" spans="2:213" s="156" customFormat="1" hidden="1">
      <c r="B778" s="155"/>
      <c r="C778" s="155"/>
      <c r="D778" s="155"/>
      <c r="E778" s="155"/>
      <c r="F778" s="155"/>
      <c r="G778" s="155"/>
      <c r="H778" s="155"/>
      <c r="I778" s="155"/>
      <c r="J778" s="155"/>
      <c r="K778" s="155"/>
      <c r="L778" s="155"/>
      <c r="M778" s="155"/>
      <c r="N778" s="155"/>
      <c r="O778" s="155"/>
      <c r="P778" s="155"/>
      <c r="Q778" s="155"/>
      <c r="R778" s="155"/>
      <c r="S778" s="155"/>
      <c r="T778" s="155"/>
      <c r="U778" s="155"/>
      <c r="V778" s="155"/>
      <c r="W778" s="155"/>
      <c r="GL778" s="155"/>
      <c r="GM778" s="155"/>
      <c r="GN778" s="155"/>
      <c r="GO778" s="155"/>
      <c r="GP778" s="155"/>
      <c r="GQ778" s="155"/>
      <c r="GR778" s="155"/>
      <c r="GS778" s="155"/>
      <c r="GT778" s="155"/>
      <c r="GU778" s="155"/>
      <c r="GV778" s="155"/>
      <c r="GW778" s="155"/>
      <c r="GX778" s="155"/>
      <c r="GY778" s="155"/>
      <c r="GZ778" s="155"/>
      <c r="HA778" s="155"/>
      <c r="HB778" s="155"/>
      <c r="HC778" s="155"/>
      <c r="HD778" s="155"/>
      <c r="HE778" s="155"/>
    </row>
    <row r="779" spans="2:213" s="156" customFormat="1" hidden="1">
      <c r="B779" s="155"/>
      <c r="C779" s="155"/>
      <c r="D779" s="155"/>
      <c r="E779" s="155"/>
      <c r="F779" s="155"/>
      <c r="G779" s="155"/>
      <c r="H779" s="155"/>
      <c r="I779" s="155"/>
      <c r="J779" s="155"/>
      <c r="K779" s="155"/>
      <c r="L779" s="155"/>
      <c r="M779" s="155"/>
      <c r="N779" s="155"/>
      <c r="O779" s="155"/>
      <c r="P779" s="155"/>
      <c r="Q779" s="155"/>
      <c r="R779" s="155"/>
      <c r="S779" s="155"/>
      <c r="T779" s="155"/>
      <c r="U779" s="155"/>
      <c r="V779" s="155"/>
      <c r="W779" s="155"/>
      <c r="GL779" s="155"/>
      <c r="GM779" s="155"/>
      <c r="GN779" s="155"/>
      <c r="GO779" s="155"/>
      <c r="GP779" s="155"/>
      <c r="GQ779" s="155"/>
      <c r="GR779" s="155"/>
      <c r="GS779" s="155"/>
      <c r="GT779" s="155"/>
      <c r="GU779" s="155"/>
      <c r="GV779" s="155"/>
      <c r="GW779" s="155"/>
      <c r="GX779" s="155"/>
      <c r="GY779" s="155"/>
      <c r="GZ779" s="155"/>
      <c r="HA779" s="155"/>
      <c r="HB779" s="155"/>
      <c r="HC779" s="155"/>
      <c r="HD779" s="155"/>
      <c r="HE779" s="155"/>
    </row>
    <row r="780" spans="2:213" s="156" customFormat="1" hidden="1">
      <c r="B780" s="155"/>
      <c r="C780" s="155"/>
      <c r="D780" s="155"/>
      <c r="E780" s="155"/>
      <c r="F780" s="155"/>
      <c r="G780" s="155"/>
      <c r="H780" s="155"/>
      <c r="I780" s="155"/>
      <c r="J780" s="155"/>
      <c r="K780" s="155"/>
      <c r="L780" s="155"/>
      <c r="M780" s="155"/>
      <c r="N780" s="155"/>
      <c r="O780" s="155"/>
      <c r="P780" s="155"/>
      <c r="Q780" s="155"/>
      <c r="R780" s="155"/>
      <c r="S780" s="155"/>
      <c r="T780" s="155"/>
      <c r="U780" s="155"/>
      <c r="V780" s="155"/>
      <c r="W780" s="155"/>
      <c r="GL780" s="155"/>
      <c r="GM780" s="155"/>
      <c r="GN780" s="155"/>
      <c r="GO780" s="155"/>
      <c r="GP780" s="155"/>
      <c r="GQ780" s="155"/>
      <c r="GR780" s="155"/>
      <c r="GS780" s="155"/>
      <c r="GT780" s="155"/>
      <c r="GU780" s="155"/>
      <c r="GV780" s="155"/>
      <c r="GW780" s="155"/>
      <c r="GX780" s="155"/>
      <c r="GY780" s="155"/>
      <c r="GZ780" s="155"/>
      <c r="HA780" s="155"/>
      <c r="HB780" s="155"/>
      <c r="HC780" s="155"/>
      <c r="HD780" s="155"/>
      <c r="HE780" s="155"/>
    </row>
    <row r="781" spans="2:213" s="156" customFormat="1" hidden="1">
      <c r="B781" s="155"/>
      <c r="C781" s="155"/>
      <c r="D781" s="155"/>
      <c r="E781" s="155"/>
      <c r="F781" s="155"/>
      <c r="G781" s="155"/>
      <c r="H781" s="155"/>
      <c r="I781" s="155"/>
      <c r="J781" s="155"/>
      <c r="K781" s="155"/>
      <c r="L781" s="155"/>
      <c r="M781" s="155"/>
      <c r="N781" s="155"/>
      <c r="O781" s="155"/>
      <c r="P781" s="155"/>
      <c r="Q781" s="155"/>
      <c r="R781" s="155"/>
      <c r="S781" s="155"/>
      <c r="T781" s="155"/>
      <c r="U781" s="155"/>
      <c r="V781" s="155"/>
      <c r="W781" s="155"/>
      <c r="GL781" s="155"/>
      <c r="GM781" s="155"/>
      <c r="GN781" s="155"/>
      <c r="GO781" s="155"/>
      <c r="GP781" s="155"/>
      <c r="GQ781" s="155"/>
      <c r="GR781" s="155"/>
      <c r="GS781" s="155"/>
      <c r="GT781" s="155"/>
      <c r="GU781" s="155"/>
      <c r="GV781" s="155"/>
      <c r="GW781" s="155"/>
      <c r="GX781" s="155"/>
      <c r="GY781" s="155"/>
      <c r="GZ781" s="155"/>
      <c r="HA781" s="155"/>
      <c r="HB781" s="155"/>
      <c r="HC781" s="155"/>
      <c r="HD781" s="155"/>
      <c r="HE781" s="155"/>
    </row>
    <row r="782" spans="2:213" s="156" customFormat="1" hidden="1">
      <c r="B782" s="155"/>
      <c r="C782" s="155"/>
      <c r="D782" s="155"/>
      <c r="E782" s="155"/>
      <c r="F782" s="155"/>
      <c r="G782" s="155"/>
      <c r="H782" s="155"/>
      <c r="I782" s="155"/>
      <c r="J782" s="155"/>
      <c r="K782" s="155"/>
      <c r="L782" s="155"/>
      <c r="M782" s="155"/>
      <c r="N782" s="155"/>
      <c r="O782" s="155"/>
      <c r="P782" s="155"/>
      <c r="Q782" s="155"/>
      <c r="R782" s="155"/>
      <c r="S782" s="155"/>
      <c r="T782" s="155"/>
      <c r="U782" s="155"/>
      <c r="V782" s="155"/>
      <c r="W782" s="155"/>
      <c r="GL782" s="155"/>
      <c r="GM782" s="155"/>
      <c r="GN782" s="155"/>
      <c r="GO782" s="155"/>
      <c r="GP782" s="155"/>
      <c r="GQ782" s="155"/>
      <c r="GR782" s="155"/>
      <c r="GS782" s="155"/>
      <c r="GT782" s="155"/>
      <c r="GU782" s="155"/>
      <c r="GV782" s="155"/>
      <c r="GW782" s="155"/>
      <c r="GX782" s="155"/>
      <c r="GY782" s="155"/>
      <c r="GZ782" s="155"/>
      <c r="HA782" s="155"/>
      <c r="HB782" s="155"/>
      <c r="HC782" s="155"/>
      <c r="HD782" s="155"/>
      <c r="HE782" s="155"/>
    </row>
    <row r="783" spans="2:213" s="156" customFormat="1" hidden="1">
      <c r="B783" s="155"/>
      <c r="C783" s="155"/>
      <c r="D783" s="155"/>
      <c r="E783" s="155"/>
      <c r="F783" s="155"/>
      <c r="G783" s="155"/>
      <c r="H783" s="155"/>
      <c r="I783" s="155"/>
      <c r="J783" s="155"/>
      <c r="K783" s="155"/>
      <c r="L783" s="155"/>
      <c r="M783" s="155"/>
      <c r="N783" s="155"/>
      <c r="O783" s="155"/>
      <c r="P783" s="155"/>
      <c r="Q783" s="155"/>
      <c r="R783" s="155"/>
      <c r="S783" s="155"/>
      <c r="T783" s="155"/>
      <c r="U783" s="155"/>
      <c r="V783" s="155"/>
      <c r="W783" s="155"/>
      <c r="GL783" s="155"/>
      <c r="GM783" s="155"/>
      <c r="GN783" s="155"/>
      <c r="GO783" s="155"/>
      <c r="GP783" s="155"/>
      <c r="GQ783" s="155"/>
      <c r="GR783" s="155"/>
      <c r="GS783" s="155"/>
      <c r="GT783" s="155"/>
      <c r="GU783" s="155"/>
      <c r="GV783" s="155"/>
      <c r="GW783" s="155"/>
      <c r="GX783" s="155"/>
      <c r="GY783" s="155"/>
      <c r="GZ783" s="155"/>
      <c r="HA783" s="155"/>
      <c r="HB783" s="155"/>
      <c r="HC783" s="155"/>
      <c r="HD783" s="155"/>
      <c r="HE783" s="155"/>
    </row>
    <row r="784" spans="2:213" s="156" customFormat="1" hidden="1">
      <c r="B784" s="155"/>
      <c r="C784" s="155"/>
      <c r="D784" s="155"/>
      <c r="E784" s="155"/>
      <c r="F784" s="155"/>
      <c r="G784" s="155"/>
      <c r="H784" s="155"/>
      <c r="I784" s="155"/>
      <c r="J784" s="155"/>
      <c r="K784" s="155"/>
      <c r="L784" s="155"/>
      <c r="M784" s="155"/>
      <c r="N784" s="155"/>
      <c r="O784" s="155"/>
      <c r="P784" s="155"/>
      <c r="Q784" s="155"/>
      <c r="R784" s="155"/>
      <c r="S784" s="155"/>
      <c r="T784" s="155"/>
      <c r="U784" s="155"/>
      <c r="V784" s="155"/>
      <c r="W784" s="155"/>
      <c r="GL784" s="155"/>
      <c r="GM784" s="155"/>
      <c r="GN784" s="155"/>
      <c r="GO784" s="155"/>
      <c r="GP784" s="155"/>
      <c r="GQ784" s="155"/>
      <c r="GR784" s="155"/>
      <c r="GS784" s="155"/>
      <c r="GT784" s="155"/>
      <c r="GU784" s="155"/>
      <c r="GV784" s="155"/>
      <c r="GW784" s="155"/>
      <c r="GX784" s="155"/>
      <c r="GY784" s="155"/>
      <c r="GZ784" s="155"/>
      <c r="HA784" s="155"/>
      <c r="HB784" s="155"/>
      <c r="HC784" s="155"/>
      <c r="HD784" s="155"/>
      <c r="HE784" s="155"/>
    </row>
    <row r="785" spans="2:213" s="156" customFormat="1" hidden="1">
      <c r="B785" s="155"/>
      <c r="C785" s="155"/>
      <c r="D785" s="155"/>
      <c r="E785" s="155"/>
      <c r="F785" s="155"/>
      <c r="G785" s="155"/>
      <c r="H785" s="155"/>
      <c r="I785" s="155"/>
      <c r="J785" s="155"/>
      <c r="K785" s="155"/>
      <c r="L785" s="155"/>
      <c r="M785" s="155"/>
      <c r="N785" s="155"/>
      <c r="O785" s="155"/>
      <c r="P785" s="155"/>
      <c r="Q785" s="155"/>
      <c r="R785" s="155"/>
      <c r="S785" s="155"/>
      <c r="T785" s="155"/>
      <c r="U785" s="155"/>
      <c r="V785" s="155"/>
      <c r="W785" s="155"/>
      <c r="GL785" s="155"/>
      <c r="GM785" s="155"/>
      <c r="GN785" s="155"/>
      <c r="GO785" s="155"/>
      <c r="GP785" s="155"/>
      <c r="GQ785" s="155"/>
      <c r="GR785" s="155"/>
      <c r="GS785" s="155"/>
      <c r="GT785" s="155"/>
      <c r="GU785" s="155"/>
      <c r="GV785" s="155"/>
      <c r="GW785" s="155"/>
      <c r="GX785" s="155"/>
      <c r="GY785" s="155"/>
      <c r="GZ785" s="155"/>
      <c r="HA785" s="155"/>
      <c r="HB785" s="155"/>
      <c r="HC785" s="155"/>
      <c r="HD785" s="155"/>
      <c r="HE785" s="155"/>
    </row>
    <row r="786" spans="2:213" s="156" customFormat="1" hidden="1">
      <c r="B786" s="155"/>
      <c r="C786" s="155"/>
      <c r="D786" s="155"/>
      <c r="E786" s="155"/>
      <c r="F786" s="155"/>
      <c r="G786" s="155"/>
      <c r="H786" s="155"/>
      <c r="I786" s="155"/>
      <c r="J786" s="155"/>
      <c r="K786" s="155"/>
      <c r="L786" s="155"/>
      <c r="M786" s="155"/>
      <c r="N786" s="155"/>
      <c r="O786" s="155"/>
      <c r="P786" s="155"/>
      <c r="Q786" s="155"/>
      <c r="R786" s="155"/>
      <c r="S786" s="155"/>
      <c r="T786" s="155"/>
      <c r="U786" s="155"/>
      <c r="V786" s="155"/>
      <c r="W786" s="155"/>
      <c r="GL786" s="155"/>
      <c r="GM786" s="155"/>
      <c r="GN786" s="155"/>
      <c r="GO786" s="155"/>
      <c r="GP786" s="155"/>
      <c r="GQ786" s="155"/>
      <c r="GR786" s="155"/>
      <c r="GS786" s="155"/>
      <c r="GT786" s="155"/>
      <c r="GU786" s="155"/>
      <c r="GV786" s="155"/>
      <c r="GW786" s="155"/>
      <c r="GX786" s="155"/>
      <c r="GY786" s="155"/>
      <c r="GZ786" s="155"/>
      <c r="HA786" s="155"/>
      <c r="HB786" s="155"/>
      <c r="HC786" s="155"/>
      <c r="HD786" s="155"/>
      <c r="HE786" s="155"/>
    </row>
    <row r="787" spans="2:213" s="156" customFormat="1" hidden="1">
      <c r="B787" s="155"/>
      <c r="C787" s="155"/>
      <c r="D787" s="155"/>
      <c r="E787" s="155"/>
      <c r="F787" s="155"/>
      <c r="G787" s="155"/>
      <c r="H787" s="155"/>
      <c r="I787" s="155"/>
      <c r="J787" s="155"/>
      <c r="K787" s="155"/>
      <c r="L787" s="155"/>
      <c r="M787" s="155"/>
      <c r="N787" s="155"/>
      <c r="O787" s="155"/>
      <c r="P787" s="155"/>
      <c r="Q787" s="155"/>
      <c r="R787" s="155"/>
      <c r="S787" s="155"/>
      <c r="T787" s="155"/>
      <c r="U787" s="155"/>
      <c r="V787" s="155"/>
      <c r="W787" s="155"/>
      <c r="GL787" s="155"/>
      <c r="GM787" s="155"/>
      <c r="GN787" s="155"/>
      <c r="GO787" s="155"/>
      <c r="GP787" s="155"/>
      <c r="GQ787" s="155"/>
      <c r="GR787" s="155"/>
      <c r="GS787" s="155"/>
      <c r="GT787" s="155"/>
      <c r="GU787" s="155"/>
      <c r="GV787" s="155"/>
      <c r="GW787" s="155"/>
      <c r="GX787" s="155"/>
      <c r="GY787" s="155"/>
      <c r="GZ787" s="155"/>
      <c r="HA787" s="155"/>
      <c r="HB787" s="155"/>
      <c r="HC787" s="155"/>
      <c r="HD787" s="155"/>
      <c r="HE787" s="155"/>
    </row>
    <row r="788" spans="2:213" s="156" customFormat="1" hidden="1">
      <c r="B788" s="155"/>
      <c r="C788" s="155"/>
      <c r="D788" s="155"/>
      <c r="E788" s="155"/>
      <c r="F788" s="155"/>
      <c r="G788" s="155"/>
      <c r="H788" s="155"/>
      <c r="I788" s="155"/>
      <c r="J788" s="155"/>
      <c r="K788" s="155"/>
      <c r="L788" s="155"/>
      <c r="M788" s="155"/>
      <c r="N788" s="155"/>
      <c r="O788" s="155"/>
      <c r="P788" s="155"/>
      <c r="Q788" s="155"/>
      <c r="R788" s="155"/>
      <c r="S788" s="155"/>
      <c r="T788" s="155"/>
      <c r="U788" s="155"/>
      <c r="V788" s="155"/>
      <c r="W788" s="155"/>
      <c r="GL788" s="155"/>
      <c r="GM788" s="155"/>
      <c r="GN788" s="155"/>
      <c r="GO788" s="155"/>
      <c r="GP788" s="155"/>
      <c r="GQ788" s="155"/>
      <c r="GR788" s="155"/>
      <c r="GS788" s="155"/>
      <c r="GT788" s="155"/>
      <c r="GU788" s="155"/>
      <c r="GV788" s="155"/>
      <c r="GW788" s="155"/>
      <c r="GX788" s="155"/>
      <c r="GY788" s="155"/>
      <c r="GZ788" s="155"/>
      <c r="HA788" s="155"/>
      <c r="HB788" s="155"/>
      <c r="HC788" s="155"/>
      <c r="HD788" s="155"/>
      <c r="HE788" s="155"/>
    </row>
    <row r="789" spans="2:213" s="156" customFormat="1" hidden="1">
      <c r="B789" s="155"/>
      <c r="C789" s="155"/>
      <c r="D789" s="155"/>
      <c r="E789" s="155"/>
      <c r="F789" s="155"/>
      <c r="G789" s="155"/>
      <c r="H789" s="155"/>
      <c r="I789" s="155"/>
      <c r="J789" s="155"/>
      <c r="K789" s="155"/>
      <c r="L789" s="155"/>
      <c r="M789" s="155"/>
      <c r="N789" s="155"/>
      <c r="O789" s="155"/>
      <c r="P789" s="155"/>
      <c r="Q789" s="155"/>
      <c r="R789" s="155"/>
      <c r="S789" s="155"/>
      <c r="T789" s="155"/>
      <c r="U789" s="155"/>
      <c r="V789" s="155"/>
      <c r="W789" s="155"/>
      <c r="GL789" s="155"/>
      <c r="GM789" s="155"/>
      <c r="GN789" s="155"/>
      <c r="GO789" s="155"/>
      <c r="GP789" s="155"/>
      <c r="GQ789" s="155"/>
      <c r="GR789" s="155"/>
      <c r="GS789" s="155"/>
      <c r="GT789" s="155"/>
      <c r="GU789" s="155"/>
      <c r="GV789" s="155"/>
      <c r="GW789" s="155"/>
      <c r="GX789" s="155"/>
      <c r="GY789" s="155"/>
      <c r="GZ789" s="155"/>
      <c r="HA789" s="155"/>
      <c r="HB789" s="155"/>
      <c r="HC789" s="155"/>
      <c r="HD789" s="155"/>
      <c r="HE789" s="155"/>
    </row>
    <row r="790" spans="2:213" s="156" customFormat="1" hidden="1">
      <c r="B790" s="155"/>
      <c r="C790" s="155"/>
      <c r="D790" s="155"/>
      <c r="E790" s="155"/>
      <c r="F790" s="155"/>
      <c r="G790" s="155"/>
      <c r="H790" s="155"/>
      <c r="I790" s="155"/>
      <c r="J790" s="155"/>
      <c r="K790" s="155"/>
      <c r="L790" s="155"/>
      <c r="M790" s="155"/>
      <c r="N790" s="155"/>
      <c r="O790" s="155"/>
      <c r="P790" s="155"/>
      <c r="Q790" s="155"/>
      <c r="R790" s="155"/>
      <c r="S790" s="155"/>
      <c r="T790" s="155"/>
      <c r="U790" s="155"/>
      <c r="V790" s="155"/>
      <c r="W790" s="155"/>
      <c r="GL790" s="155"/>
      <c r="GM790" s="155"/>
      <c r="GN790" s="155"/>
      <c r="GO790" s="155"/>
      <c r="GP790" s="155"/>
      <c r="GQ790" s="155"/>
      <c r="GR790" s="155"/>
      <c r="GS790" s="155"/>
      <c r="GT790" s="155"/>
      <c r="GU790" s="155"/>
      <c r="GV790" s="155"/>
      <c r="GW790" s="155"/>
      <c r="GX790" s="155"/>
      <c r="GY790" s="155"/>
      <c r="GZ790" s="155"/>
      <c r="HA790" s="155"/>
      <c r="HB790" s="155"/>
      <c r="HC790" s="155"/>
      <c r="HD790" s="155"/>
      <c r="HE790" s="155"/>
    </row>
    <row r="791" spans="2:213" s="156" customFormat="1" hidden="1">
      <c r="B791" s="155"/>
      <c r="C791" s="155"/>
      <c r="D791" s="155"/>
      <c r="E791" s="155"/>
      <c r="F791" s="155"/>
      <c r="G791" s="155"/>
      <c r="H791" s="155"/>
      <c r="I791" s="155"/>
      <c r="J791" s="155"/>
      <c r="K791" s="155"/>
      <c r="L791" s="155"/>
      <c r="M791" s="155"/>
      <c r="N791" s="155"/>
      <c r="O791" s="155"/>
      <c r="P791" s="155"/>
      <c r="Q791" s="155"/>
      <c r="R791" s="155"/>
      <c r="S791" s="155"/>
      <c r="T791" s="155"/>
      <c r="U791" s="155"/>
      <c r="V791" s="155"/>
      <c r="W791" s="155"/>
      <c r="GL791" s="155"/>
      <c r="GM791" s="155"/>
      <c r="GN791" s="155"/>
      <c r="GO791" s="155"/>
      <c r="GP791" s="155"/>
      <c r="GQ791" s="155"/>
      <c r="GR791" s="155"/>
      <c r="GS791" s="155"/>
      <c r="GT791" s="155"/>
      <c r="GU791" s="155"/>
      <c r="GV791" s="155"/>
      <c r="GW791" s="155"/>
      <c r="GX791" s="155"/>
      <c r="GY791" s="155"/>
      <c r="GZ791" s="155"/>
      <c r="HA791" s="155"/>
      <c r="HB791" s="155"/>
      <c r="HC791" s="155"/>
      <c r="HD791" s="155"/>
      <c r="HE791" s="155"/>
    </row>
    <row r="792" spans="2:213" s="156" customFormat="1" hidden="1">
      <c r="B792" s="155"/>
      <c r="C792" s="155"/>
      <c r="D792" s="155"/>
      <c r="E792" s="155"/>
      <c r="F792" s="155"/>
      <c r="G792" s="155"/>
      <c r="H792" s="155"/>
      <c r="I792" s="155"/>
      <c r="J792" s="155"/>
      <c r="K792" s="155"/>
      <c r="L792" s="155"/>
      <c r="M792" s="155"/>
      <c r="N792" s="155"/>
      <c r="O792" s="155"/>
      <c r="P792" s="155"/>
      <c r="Q792" s="155"/>
      <c r="R792" s="155"/>
      <c r="S792" s="155"/>
      <c r="T792" s="155"/>
      <c r="U792" s="155"/>
      <c r="V792" s="155"/>
      <c r="W792" s="155"/>
      <c r="GL792" s="155"/>
      <c r="GM792" s="155"/>
      <c r="GN792" s="155"/>
      <c r="GO792" s="155"/>
      <c r="GP792" s="155"/>
      <c r="GQ792" s="155"/>
      <c r="GR792" s="155"/>
      <c r="GS792" s="155"/>
      <c r="GT792" s="155"/>
      <c r="GU792" s="155"/>
      <c r="GV792" s="155"/>
      <c r="GW792" s="155"/>
      <c r="GX792" s="155"/>
      <c r="GY792" s="155"/>
      <c r="GZ792" s="155"/>
      <c r="HA792" s="155"/>
      <c r="HB792" s="155"/>
      <c r="HC792" s="155"/>
      <c r="HD792" s="155"/>
      <c r="HE792" s="155"/>
    </row>
    <row r="793" spans="2:213" s="156" customFormat="1" hidden="1">
      <c r="B793" s="155"/>
      <c r="C793" s="155"/>
      <c r="D793" s="155"/>
      <c r="E793" s="155"/>
      <c r="F793" s="155"/>
      <c r="G793" s="155"/>
      <c r="H793" s="155"/>
      <c r="I793" s="155"/>
      <c r="J793" s="155"/>
      <c r="K793" s="155"/>
      <c r="L793" s="155"/>
      <c r="M793" s="155"/>
      <c r="N793" s="155"/>
      <c r="O793" s="155"/>
      <c r="P793" s="155"/>
      <c r="Q793" s="155"/>
      <c r="R793" s="155"/>
      <c r="S793" s="155"/>
      <c r="T793" s="155"/>
      <c r="U793" s="155"/>
      <c r="V793" s="155"/>
      <c r="W793" s="155"/>
      <c r="GL793" s="155"/>
      <c r="GM793" s="155"/>
      <c r="GN793" s="155"/>
      <c r="GO793" s="155"/>
      <c r="GP793" s="155"/>
      <c r="GQ793" s="155"/>
      <c r="GR793" s="155"/>
      <c r="GS793" s="155"/>
      <c r="GT793" s="155"/>
      <c r="GU793" s="155"/>
      <c r="GV793" s="155"/>
      <c r="GW793" s="155"/>
      <c r="GX793" s="155"/>
      <c r="GY793" s="155"/>
      <c r="GZ793" s="155"/>
      <c r="HA793" s="155"/>
      <c r="HB793" s="155"/>
      <c r="HC793" s="155"/>
      <c r="HD793" s="155"/>
      <c r="HE793" s="155"/>
    </row>
    <row r="794" spans="2:213" s="156" customFormat="1" hidden="1">
      <c r="B794" s="155"/>
      <c r="C794" s="155"/>
      <c r="D794" s="155"/>
      <c r="E794" s="155"/>
      <c r="F794" s="155"/>
      <c r="G794" s="155"/>
      <c r="H794" s="155"/>
      <c r="I794" s="155"/>
      <c r="J794" s="155"/>
      <c r="K794" s="155"/>
      <c r="L794" s="155"/>
      <c r="M794" s="155"/>
      <c r="N794" s="155"/>
      <c r="O794" s="155"/>
      <c r="P794" s="155"/>
      <c r="Q794" s="155"/>
      <c r="R794" s="155"/>
      <c r="S794" s="155"/>
      <c r="T794" s="155"/>
      <c r="U794" s="155"/>
      <c r="V794" s="155"/>
      <c r="W794" s="155"/>
      <c r="GL794" s="155"/>
      <c r="GM794" s="155"/>
      <c r="GN794" s="155"/>
      <c r="GO794" s="155"/>
      <c r="GP794" s="155"/>
      <c r="GQ794" s="155"/>
      <c r="GR794" s="155"/>
      <c r="GS794" s="155"/>
      <c r="GT794" s="155"/>
      <c r="GU794" s="155"/>
      <c r="GV794" s="155"/>
      <c r="GW794" s="155"/>
      <c r="GX794" s="155"/>
      <c r="GY794" s="155"/>
      <c r="GZ794" s="155"/>
      <c r="HA794" s="155"/>
      <c r="HB794" s="155"/>
      <c r="HC794" s="155"/>
      <c r="HD794" s="155"/>
      <c r="HE794" s="155"/>
    </row>
    <row r="795" spans="2:213" s="156" customFormat="1" hidden="1">
      <c r="B795" s="155"/>
      <c r="C795" s="155"/>
      <c r="D795" s="155"/>
      <c r="E795" s="155"/>
      <c r="F795" s="155"/>
      <c r="G795" s="155"/>
      <c r="H795" s="155"/>
      <c r="I795" s="155"/>
      <c r="J795" s="155"/>
      <c r="K795" s="155"/>
      <c r="L795" s="155"/>
      <c r="M795" s="155"/>
      <c r="N795" s="155"/>
      <c r="O795" s="155"/>
      <c r="P795" s="155"/>
      <c r="Q795" s="155"/>
      <c r="R795" s="155"/>
      <c r="S795" s="155"/>
      <c r="T795" s="155"/>
      <c r="U795" s="155"/>
      <c r="V795" s="155"/>
      <c r="W795" s="155"/>
      <c r="GL795" s="155"/>
      <c r="GM795" s="155"/>
      <c r="GN795" s="155"/>
      <c r="GO795" s="155"/>
      <c r="GP795" s="155"/>
      <c r="GQ795" s="155"/>
      <c r="GR795" s="155"/>
      <c r="GS795" s="155"/>
      <c r="GT795" s="155"/>
      <c r="GU795" s="155"/>
      <c r="GV795" s="155"/>
      <c r="GW795" s="155"/>
      <c r="GX795" s="155"/>
      <c r="GY795" s="155"/>
      <c r="GZ795" s="155"/>
      <c r="HA795" s="155"/>
      <c r="HB795" s="155"/>
      <c r="HC795" s="155"/>
      <c r="HD795" s="155"/>
      <c r="HE795" s="155"/>
    </row>
    <row r="796" spans="2:213" s="156" customFormat="1" hidden="1">
      <c r="B796" s="155"/>
      <c r="C796" s="155"/>
      <c r="D796" s="155"/>
      <c r="E796" s="155"/>
      <c r="F796" s="155"/>
      <c r="G796" s="155"/>
      <c r="H796" s="155"/>
      <c r="I796" s="155"/>
      <c r="J796" s="155"/>
      <c r="K796" s="155"/>
      <c r="L796" s="155"/>
      <c r="M796" s="155"/>
      <c r="N796" s="155"/>
      <c r="O796" s="155"/>
      <c r="P796" s="155"/>
      <c r="Q796" s="155"/>
      <c r="R796" s="155"/>
      <c r="S796" s="155"/>
      <c r="T796" s="155"/>
      <c r="U796" s="155"/>
      <c r="V796" s="155"/>
      <c r="W796" s="155"/>
      <c r="GL796" s="155"/>
      <c r="GM796" s="155"/>
      <c r="GN796" s="155"/>
      <c r="GO796" s="155"/>
      <c r="GP796" s="155"/>
      <c r="GQ796" s="155"/>
      <c r="GR796" s="155"/>
      <c r="GS796" s="155"/>
      <c r="GT796" s="155"/>
      <c r="GU796" s="155"/>
      <c r="GV796" s="155"/>
      <c r="GW796" s="155"/>
      <c r="GX796" s="155"/>
      <c r="GY796" s="155"/>
      <c r="GZ796" s="155"/>
      <c r="HA796" s="155"/>
      <c r="HB796" s="155"/>
      <c r="HC796" s="155"/>
      <c r="HD796" s="155"/>
      <c r="HE796" s="155"/>
    </row>
    <row r="797" spans="2:213" s="156" customFormat="1" hidden="1">
      <c r="B797" s="155"/>
      <c r="C797" s="155"/>
      <c r="D797" s="155"/>
      <c r="E797" s="155"/>
      <c r="F797" s="155"/>
      <c r="G797" s="155"/>
      <c r="H797" s="155"/>
      <c r="I797" s="155"/>
      <c r="J797" s="155"/>
      <c r="K797" s="155"/>
      <c r="L797" s="155"/>
      <c r="M797" s="155"/>
      <c r="N797" s="155"/>
      <c r="O797" s="155"/>
      <c r="P797" s="155"/>
      <c r="Q797" s="155"/>
      <c r="R797" s="155"/>
      <c r="S797" s="155"/>
      <c r="T797" s="155"/>
      <c r="U797" s="155"/>
      <c r="V797" s="155"/>
      <c r="W797" s="155"/>
      <c r="GL797" s="155"/>
      <c r="GM797" s="155"/>
      <c r="GN797" s="155"/>
      <c r="GO797" s="155"/>
      <c r="GP797" s="155"/>
      <c r="GQ797" s="155"/>
      <c r="GR797" s="155"/>
      <c r="GS797" s="155"/>
      <c r="GT797" s="155"/>
      <c r="GU797" s="155"/>
      <c r="GV797" s="155"/>
      <c r="GW797" s="155"/>
      <c r="GX797" s="155"/>
      <c r="GY797" s="155"/>
      <c r="GZ797" s="155"/>
      <c r="HA797" s="155"/>
      <c r="HB797" s="155"/>
      <c r="HC797" s="155"/>
      <c r="HD797" s="155"/>
      <c r="HE797" s="155"/>
    </row>
    <row r="798" spans="2:213" s="156" customFormat="1" hidden="1">
      <c r="B798" s="155"/>
      <c r="C798" s="155"/>
      <c r="D798" s="155"/>
      <c r="E798" s="155"/>
      <c r="F798" s="155"/>
      <c r="G798" s="155"/>
      <c r="H798" s="155"/>
      <c r="I798" s="155"/>
      <c r="J798" s="155"/>
      <c r="K798" s="155"/>
      <c r="L798" s="155"/>
      <c r="M798" s="155"/>
      <c r="N798" s="155"/>
      <c r="O798" s="155"/>
      <c r="P798" s="155"/>
      <c r="Q798" s="155"/>
      <c r="R798" s="155"/>
      <c r="S798" s="155"/>
      <c r="T798" s="155"/>
      <c r="U798" s="155"/>
      <c r="V798" s="155"/>
      <c r="W798" s="155"/>
      <c r="GL798" s="155"/>
      <c r="GM798" s="155"/>
      <c r="GN798" s="155"/>
      <c r="GO798" s="155"/>
      <c r="GP798" s="155"/>
      <c r="GQ798" s="155"/>
      <c r="GR798" s="155"/>
      <c r="GS798" s="155"/>
      <c r="GT798" s="155"/>
      <c r="GU798" s="155"/>
      <c r="GV798" s="155"/>
      <c r="GW798" s="155"/>
      <c r="GX798" s="155"/>
      <c r="GY798" s="155"/>
      <c r="GZ798" s="155"/>
      <c r="HA798" s="155"/>
      <c r="HB798" s="155"/>
      <c r="HC798" s="155"/>
      <c r="HD798" s="155"/>
      <c r="HE798" s="155"/>
    </row>
    <row r="799" spans="2:213" s="156" customFormat="1" hidden="1">
      <c r="B799" s="155"/>
      <c r="C799" s="155"/>
      <c r="D799" s="155"/>
      <c r="E799" s="155"/>
      <c r="F799" s="155"/>
      <c r="G799" s="155"/>
      <c r="H799" s="155"/>
      <c r="I799" s="155"/>
      <c r="J799" s="155"/>
      <c r="K799" s="155"/>
      <c r="L799" s="155"/>
      <c r="M799" s="155"/>
      <c r="N799" s="155"/>
      <c r="O799" s="155"/>
      <c r="P799" s="155"/>
      <c r="Q799" s="155"/>
      <c r="R799" s="155"/>
      <c r="S799" s="155"/>
      <c r="T799" s="155"/>
      <c r="U799" s="155"/>
      <c r="V799" s="155"/>
      <c r="W799" s="155"/>
      <c r="GL799" s="155"/>
      <c r="GM799" s="155"/>
      <c r="GN799" s="155"/>
      <c r="GO799" s="155"/>
      <c r="GP799" s="155"/>
      <c r="GQ799" s="155"/>
      <c r="GR799" s="155"/>
      <c r="GS799" s="155"/>
      <c r="GT799" s="155"/>
      <c r="GU799" s="155"/>
      <c r="GV799" s="155"/>
      <c r="GW799" s="155"/>
      <c r="GX799" s="155"/>
      <c r="GY799" s="155"/>
      <c r="GZ799" s="155"/>
      <c r="HA799" s="155"/>
      <c r="HB799" s="155"/>
      <c r="HC799" s="155"/>
      <c r="HD799" s="155"/>
      <c r="HE799" s="155"/>
    </row>
    <row r="800" spans="2:213" s="156" customFormat="1" hidden="1">
      <c r="B800" s="155"/>
      <c r="C800" s="155"/>
      <c r="D800" s="155"/>
      <c r="E800" s="155"/>
      <c r="F800" s="155"/>
      <c r="G800" s="155"/>
      <c r="H800" s="155"/>
      <c r="I800" s="155"/>
      <c r="J800" s="155"/>
      <c r="K800" s="155"/>
      <c r="L800" s="155"/>
      <c r="M800" s="155"/>
      <c r="N800" s="155"/>
      <c r="O800" s="155"/>
      <c r="P800" s="155"/>
      <c r="Q800" s="155"/>
      <c r="R800" s="155"/>
      <c r="S800" s="155"/>
      <c r="T800" s="155"/>
      <c r="U800" s="155"/>
      <c r="V800" s="155"/>
      <c r="W800" s="155"/>
      <c r="GL800" s="155"/>
      <c r="GM800" s="155"/>
      <c r="GN800" s="155"/>
      <c r="GO800" s="155"/>
      <c r="GP800" s="155"/>
      <c r="GQ800" s="155"/>
      <c r="GR800" s="155"/>
      <c r="GS800" s="155"/>
      <c r="GT800" s="155"/>
      <c r="GU800" s="155"/>
      <c r="GV800" s="155"/>
      <c r="GW800" s="155"/>
      <c r="GX800" s="155"/>
      <c r="GY800" s="155"/>
      <c r="GZ800" s="155"/>
      <c r="HA800" s="155"/>
      <c r="HB800" s="155"/>
      <c r="HC800" s="155"/>
      <c r="HD800" s="155"/>
      <c r="HE800" s="155"/>
    </row>
    <row r="801" spans="2:213" s="156" customFormat="1" hidden="1">
      <c r="B801" s="155"/>
      <c r="C801" s="155"/>
      <c r="D801" s="155"/>
      <c r="E801" s="155"/>
      <c r="F801" s="155"/>
      <c r="G801" s="155"/>
      <c r="H801" s="155"/>
      <c r="I801" s="155"/>
      <c r="J801" s="155"/>
      <c r="K801" s="155"/>
      <c r="L801" s="155"/>
      <c r="M801" s="155"/>
      <c r="N801" s="155"/>
      <c r="O801" s="155"/>
      <c r="P801" s="155"/>
      <c r="Q801" s="155"/>
      <c r="R801" s="155"/>
      <c r="S801" s="155"/>
      <c r="T801" s="155"/>
      <c r="U801" s="155"/>
      <c r="V801" s="155"/>
      <c r="W801" s="155"/>
      <c r="GL801" s="155"/>
      <c r="GM801" s="155"/>
      <c r="GN801" s="155"/>
      <c r="GO801" s="155"/>
      <c r="GP801" s="155"/>
      <c r="GQ801" s="155"/>
      <c r="GR801" s="155"/>
      <c r="GS801" s="155"/>
      <c r="GT801" s="155"/>
      <c r="GU801" s="155"/>
      <c r="GV801" s="155"/>
      <c r="GW801" s="155"/>
      <c r="GX801" s="155"/>
      <c r="GY801" s="155"/>
      <c r="GZ801" s="155"/>
      <c r="HA801" s="155"/>
      <c r="HB801" s="155"/>
      <c r="HC801" s="155"/>
      <c r="HD801" s="155"/>
      <c r="HE801" s="155"/>
    </row>
    <row r="802" spans="2:213" s="156" customFormat="1" hidden="1">
      <c r="B802" s="155"/>
      <c r="C802" s="155"/>
      <c r="D802" s="155"/>
      <c r="E802" s="155"/>
      <c r="F802" s="155"/>
      <c r="G802" s="155"/>
      <c r="H802" s="155"/>
      <c r="I802" s="155"/>
      <c r="J802" s="155"/>
      <c r="K802" s="155"/>
      <c r="L802" s="155"/>
      <c r="M802" s="155"/>
      <c r="N802" s="155"/>
      <c r="O802" s="155"/>
      <c r="P802" s="155"/>
      <c r="Q802" s="155"/>
      <c r="R802" s="155"/>
      <c r="S802" s="155"/>
      <c r="T802" s="155"/>
      <c r="U802" s="155"/>
      <c r="V802" s="155"/>
      <c r="W802" s="155"/>
      <c r="GL802" s="155"/>
      <c r="GM802" s="155"/>
      <c r="GN802" s="155"/>
      <c r="GO802" s="155"/>
      <c r="GP802" s="155"/>
      <c r="GQ802" s="155"/>
      <c r="GR802" s="155"/>
      <c r="GS802" s="155"/>
      <c r="GT802" s="155"/>
      <c r="GU802" s="155"/>
      <c r="GV802" s="155"/>
      <c r="GW802" s="155"/>
      <c r="GX802" s="155"/>
      <c r="GY802" s="155"/>
      <c r="GZ802" s="155"/>
      <c r="HA802" s="155"/>
      <c r="HB802" s="155"/>
      <c r="HC802" s="155"/>
      <c r="HD802" s="155"/>
      <c r="HE802" s="155"/>
    </row>
    <row r="803" spans="2:213" s="156" customFormat="1" hidden="1">
      <c r="B803" s="155"/>
      <c r="C803" s="155"/>
      <c r="D803" s="155"/>
      <c r="E803" s="155"/>
      <c r="F803" s="155"/>
      <c r="G803" s="155"/>
      <c r="H803" s="155"/>
      <c r="I803" s="155"/>
      <c r="J803" s="155"/>
      <c r="K803" s="155"/>
      <c r="L803" s="155"/>
      <c r="M803" s="155"/>
      <c r="N803" s="155"/>
      <c r="O803" s="155"/>
      <c r="P803" s="155"/>
      <c r="Q803" s="155"/>
      <c r="R803" s="155"/>
      <c r="S803" s="155"/>
      <c r="T803" s="155"/>
      <c r="U803" s="155"/>
      <c r="V803" s="155"/>
      <c r="W803" s="155"/>
      <c r="GL803" s="155"/>
      <c r="GM803" s="155"/>
      <c r="GN803" s="155"/>
      <c r="GO803" s="155"/>
      <c r="GP803" s="155"/>
      <c r="GQ803" s="155"/>
      <c r="GR803" s="155"/>
      <c r="GS803" s="155"/>
      <c r="GT803" s="155"/>
      <c r="GU803" s="155"/>
      <c r="GV803" s="155"/>
      <c r="GW803" s="155"/>
      <c r="GX803" s="155"/>
      <c r="GY803" s="155"/>
      <c r="GZ803" s="155"/>
      <c r="HA803" s="155"/>
      <c r="HB803" s="155"/>
      <c r="HC803" s="155"/>
      <c r="HD803" s="155"/>
      <c r="HE803" s="155"/>
    </row>
    <row r="804" spans="2:213" s="156" customFormat="1" hidden="1">
      <c r="B804" s="155"/>
      <c r="C804" s="155"/>
      <c r="D804" s="155"/>
      <c r="E804" s="155"/>
      <c r="F804" s="155"/>
      <c r="G804" s="155"/>
      <c r="H804" s="155"/>
      <c r="I804" s="155"/>
      <c r="J804" s="155"/>
      <c r="K804" s="155"/>
      <c r="L804" s="155"/>
      <c r="M804" s="155"/>
      <c r="N804" s="155"/>
      <c r="O804" s="155"/>
      <c r="P804" s="155"/>
      <c r="Q804" s="155"/>
      <c r="R804" s="155"/>
      <c r="S804" s="155"/>
      <c r="T804" s="155"/>
      <c r="U804" s="155"/>
      <c r="V804" s="155"/>
      <c r="W804" s="155"/>
      <c r="GL804" s="155"/>
      <c r="GM804" s="155"/>
      <c r="GN804" s="155"/>
      <c r="GO804" s="155"/>
      <c r="GP804" s="155"/>
      <c r="GQ804" s="155"/>
      <c r="GR804" s="155"/>
      <c r="GS804" s="155"/>
      <c r="GT804" s="155"/>
      <c r="GU804" s="155"/>
      <c r="GV804" s="155"/>
      <c r="GW804" s="155"/>
      <c r="GX804" s="155"/>
      <c r="GY804" s="155"/>
      <c r="GZ804" s="155"/>
      <c r="HA804" s="155"/>
      <c r="HB804" s="155"/>
      <c r="HC804" s="155"/>
      <c r="HD804" s="155"/>
      <c r="HE804" s="155"/>
    </row>
    <row r="805" spans="2:213" s="156" customFormat="1" hidden="1">
      <c r="B805" s="155"/>
      <c r="C805" s="155"/>
      <c r="D805" s="155"/>
      <c r="E805" s="155"/>
      <c r="F805" s="155"/>
      <c r="G805" s="155"/>
      <c r="H805" s="155"/>
      <c r="I805" s="155"/>
      <c r="J805" s="155"/>
      <c r="K805" s="155"/>
      <c r="L805" s="155"/>
      <c r="M805" s="155"/>
      <c r="N805" s="155"/>
      <c r="O805" s="155"/>
      <c r="P805" s="155"/>
      <c r="Q805" s="155"/>
      <c r="R805" s="155"/>
      <c r="S805" s="155"/>
      <c r="T805" s="155"/>
      <c r="U805" s="155"/>
      <c r="V805" s="155"/>
      <c r="W805" s="155"/>
      <c r="GL805" s="155"/>
      <c r="GM805" s="155"/>
      <c r="GN805" s="155"/>
      <c r="GO805" s="155"/>
      <c r="GP805" s="155"/>
      <c r="GQ805" s="155"/>
      <c r="GR805" s="155"/>
      <c r="GS805" s="155"/>
      <c r="GT805" s="155"/>
      <c r="GU805" s="155"/>
      <c r="GV805" s="155"/>
      <c r="GW805" s="155"/>
      <c r="GX805" s="155"/>
      <c r="GY805" s="155"/>
      <c r="GZ805" s="155"/>
      <c r="HA805" s="155"/>
      <c r="HB805" s="155"/>
      <c r="HC805" s="155"/>
      <c r="HD805" s="155"/>
      <c r="HE805" s="155"/>
    </row>
    <row r="806" spans="2:213" s="156" customFormat="1" hidden="1">
      <c r="B806" s="155"/>
      <c r="C806" s="155"/>
      <c r="D806" s="155"/>
      <c r="E806" s="155"/>
      <c r="F806" s="155"/>
      <c r="G806" s="155"/>
      <c r="H806" s="155"/>
      <c r="I806" s="155"/>
      <c r="J806" s="155"/>
      <c r="K806" s="155"/>
      <c r="L806" s="155"/>
      <c r="M806" s="155"/>
      <c r="N806" s="155"/>
      <c r="O806" s="155"/>
      <c r="P806" s="155"/>
      <c r="Q806" s="155"/>
      <c r="R806" s="155"/>
      <c r="S806" s="155"/>
      <c r="T806" s="155"/>
      <c r="U806" s="155"/>
      <c r="V806" s="155"/>
      <c r="W806" s="155"/>
      <c r="GL806" s="155"/>
      <c r="GM806" s="155"/>
      <c r="GN806" s="155"/>
      <c r="GO806" s="155"/>
      <c r="GP806" s="155"/>
      <c r="GQ806" s="155"/>
      <c r="GR806" s="155"/>
      <c r="GS806" s="155"/>
      <c r="GT806" s="155"/>
      <c r="GU806" s="155"/>
      <c r="GV806" s="155"/>
      <c r="GW806" s="155"/>
      <c r="GX806" s="155"/>
      <c r="GY806" s="155"/>
      <c r="GZ806" s="155"/>
      <c r="HA806" s="155"/>
      <c r="HB806" s="155"/>
      <c r="HC806" s="155"/>
      <c r="HD806" s="155"/>
      <c r="HE806" s="155"/>
    </row>
    <row r="807" spans="2:213" s="156" customFormat="1" hidden="1">
      <c r="B807" s="155"/>
      <c r="C807" s="155"/>
      <c r="D807" s="155"/>
      <c r="E807" s="155"/>
      <c r="F807" s="155"/>
      <c r="G807" s="155"/>
      <c r="H807" s="155"/>
      <c r="I807" s="155"/>
      <c r="J807" s="155"/>
      <c r="K807" s="155"/>
      <c r="L807" s="155"/>
      <c r="M807" s="155"/>
      <c r="N807" s="155"/>
      <c r="O807" s="155"/>
      <c r="P807" s="155"/>
      <c r="Q807" s="155"/>
      <c r="R807" s="155"/>
      <c r="S807" s="155"/>
      <c r="T807" s="155"/>
      <c r="U807" s="155"/>
      <c r="V807" s="155"/>
      <c r="W807" s="155"/>
      <c r="GL807" s="155"/>
      <c r="GM807" s="155"/>
      <c r="GN807" s="155"/>
      <c r="GO807" s="155"/>
      <c r="GP807" s="155"/>
      <c r="GQ807" s="155"/>
      <c r="GR807" s="155"/>
      <c r="GS807" s="155"/>
      <c r="GT807" s="155"/>
      <c r="GU807" s="155"/>
      <c r="GV807" s="155"/>
      <c r="GW807" s="155"/>
      <c r="GX807" s="155"/>
      <c r="GY807" s="155"/>
      <c r="GZ807" s="155"/>
      <c r="HA807" s="155"/>
      <c r="HB807" s="155"/>
      <c r="HC807" s="155"/>
      <c r="HD807" s="155"/>
      <c r="HE807" s="155"/>
    </row>
    <row r="808" spans="2:213" s="156" customFormat="1" hidden="1">
      <c r="B808" s="155"/>
      <c r="C808" s="155"/>
      <c r="D808" s="155"/>
      <c r="E808" s="155"/>
      <c r="F808" s="155"/>
      <c r="G808" s="155"/>
      <c r="H808" s="155"/>
      <c r="I808" s="155"/>
      <c r="J808" s="155"/>
      <c r="K808" s="155"/>
      <c r="L808" s="155"/>
      <c r="M808" s="155"/>
      <c r="N808" s="155"/>
      <c r="O808" s="155"/>
      <c r="P808" s="155"/>
      <c r="Q808" s="155"/>
      <c r="R808" s="155"/>
      <c r="S808" s="155"/>
      <c r="T808" s="155"/>
      <c r="U808" s="155"/>
      <c r="V808" s="155"/>
      <c r="W808" s="155"/>
      <c r="GL808" s="155"/>
      <c r="GM808" s="155"/>
      <c r="GN808" s="155"/>
      <c r="GO808" s="155"/>
      <c r="GP808" s="155"/>
      <c r="GQ808" s="155"/>
      <c r="GR808" s="155"/>
      <c r="GS808" s="155"/>
      <c r="GT808" s="155"/>
      <c r="GU808" s="155"/>
      <c r="GV808" s="155"/>
      <c r="GW808" s="155"/>
      <c r="GX808" s="155"/>
      <c r="GY808" s="155"/>
      <c r="GZ808" s="155"/>
      <c r="HA808" s="155"/>
      <c r="HB808" s="155"/>
      <c r="HC808" s="155"/>
      <c r="HD808" s="155"/>
      <c r="HE808" s="155"/>
    </row>
    <row r="809" spans="2:213" s="156" customFormat="1" hidden="1">
      <c r="B809" s="155"/>
      <c r="C809" s="155"/>
      <c r="D809" s="155"/>
      <c r="E809" s="155"/>
      <c r="F809" s="155"/>
      <c r="G809" s="155"/>
      <c r="H809" s="155"/>
      <c r="I809" s="155"/>
      <c r="J809" s="155"/>
      <c r="K809" s="155"/>
      <c r="L809" s="155"/>
      <c r="M809" s="155"/>
      <c r="N809" s="155"/>
      <c r="O809" s="155"/>
      <c r="P809" s="155"/>
      <c r="Q809" s="155"/>
      <c r="R809" s="155"/>
      <c r="S809" s="155"/>
      <c r="T809" s="155"/>
      <c r="U809" s="155"/>
      <c r="V809" s="155"/>
      <c r="W809" s="155"/>
      <c r="GL809" s="155"/>
      <c r="GM809" s="155"/>
      <c r="GN809" s="155"/>
      <c r="GO809" s="155"/>
      <c r="GP809" s="155"/>
      <c r="GQ809" s="155"/>
      <c r="GR809" s="155"/>
      <c r="GS809" s="155"/>
      <c r="GT809" s="155"/>
      <c r="GU809" s="155"/>
      <c r="GV809" s="155"/>
      <c r="GW809" s="155"/>
      <c r="GX809" s="155"/>
      <c r="GY809" s="155"/>
      <c r="GZ809" s="155"/>
      <c r="HA809" s="155"/>
      <c r="HB809" s="155"/>
      <c r="HC809" s="155"/>
      <c r="HD809" s="155"/>
      <c r="HE809" s="155"/>
    </row>
    <row r="810" spans="2:213" s="156" customFormat="1" hidden="1">
      <c r="B810" s="155"/>
      <c r="C810" s="155"/>
      <c r="D810" s="155"/>
      <c r="E810" s="155"/>
      <c r="F810" s="155"/>
      <c r="G810" s="155"/>
      <c r="H810" s="155"/>
      <c r="I810" s="155"/>
      <c r="J810" s="155"/>
      <c r="K810" s="155"/>
      <c r="L810" s="155"/>
      <c r="M810" s="155"/>
      <c r="N810" s="155"/>
      <c r="O810" s="155"/>
      <c r="P810" s="155"/>
      <c r="Q810" s="155"/>
      <c r="R810" s="155"/>
      <c r="S810" s="155"/>
      <c r="T810" s="155"/>
      <c r="U810" s="155"/>
      <c r="V810" s="155"/>
      <c r="W810" s="155"/>
      <c r="GL810" s="155"/>
      <c r="GM810" s="155"/>
      <c r="GN810" s="155"/>
      <c r="GO810" s="155"/>
      <c r="GP810" s="155"/>
      <c r="GQ810" s="155"/>
      <c r="GR810" s="155"/>
      <c r="GS810" s="155"/>
      <c r="GT810" s="155"/>
      <c r="GU810" s="155"/>
      <c r="GV810" s="155"/>
      <c r="GW810" s="155"/>
      <c r="GX810" s="155"/>
      <c r="GY810" s="155"/>
      <c r="GZ810" s="155"/>
      <c r="HA810" s="155"/>
      <c r="HB810" s="155"/>
      <c r="HC810" s="155"/>
      <c r="HD810" s="155"/>
      <c r="HE810" s="155"/>
    </row>
    <row r="811" spans="2:213" s="156" customFormat="1" hidden="1">
      <c r="B811" s="155"/>
      <c r="C811" s="155"/>
      <c r="D811" s="155"/>
      <c r="E811" s="155"/>
      <c r="F811" s="155"/>
      <c r="G811" s="155"/>
      <c r="H811" s="155"/>
      <c r="I811" s="155"/>
      <c r="J811" s="155"/>
      <c r="K811" s="155"/>
      <c r="L811" s="155"/>
      <c r="M811" s="155"/>
      <c r="N811" s="155"/>
      <c r="O811" s="155"/>
      <c r="P811" s="155"/>
      <c r="Q811" s="155"/>
      <c r="R811" s="155"/>
      <c r="S811" s="155"/>
      <c r="T811" s="155"/>
      <c r="U811" s="155"/>
      <c r="V811" s="155"/>
      <c r="W811" s="155"/>
      <c r="GL811" s="155"/>
      <c r="GM811" s="155"/>
      <c r="GN811" s="155"/>
      <c r="GO811" s="155"/>
      <c r="GP811" s="155"/>
      <c r="GQ811" s="155"/>
      <c r="GR811" s="155"/>
      <c r="GS811" s="155"/>
      <c r="GT811" s="155"/>
      <c r="GU811" s="155"/>
      <c r="GV811" s="155"/>
      <c r="GW811" s="155"/>
      <c r="GX811" s="155"/>
      <c r="GY811" s="155"/>
      <c r="GZ811" s="155"/>
      <c r="HA811" s="155"/>
      <c r="HB811" s="155"/>
      <c r="HC811" s="155"/>
      <c r="HD811" s="155"/>
      <c r="HE811" s="155"/>
    </row>
    <row r="812" spans="2:213" s="156" customFormat="1" hidden="1">
      <c r="B812" s="155"/>
      <c r="C812" s="155"/>
      <c r="D812" s="155"/>
      <c r="E812" s="155"/>
      <c r="F812" s="155"/>
      <c r="G812" s="155"/>
      <c r="H812" s="155"/>
      <c r="I812" s="155"/>
      <c r="J812" s="155"/>
      <c r="K812" s="155"/>
      <c r="L812" s="155"/>
      <c r="M812" s="155"/>
      <c r="N812" s="155"/>
      <c r="O812" s="155"/>
      <c r="P812" s="155"/>
      <c r="Q812" s="155"/>
      <c r="R812" s="155"/>
      <c r="S812" s="155"/>
      <c r="T812" s="155"/>
      <c r="U812" s="155"/>
      <c r="V812" s="155"/>
      <c r="W812" s="155"/>
      <c r="GL812" s="155"/>
      <c r="GM812" s="155"/>
      <c r="GN812" s="155"/>
      <c r="GO812" s="155"/>
      <c r="GP812" s="155"/>
      <c r="GQ812" s="155"/>
      <c r="GR812" s="155"/>
      <c r="GS812" s="155"/>
      <c r="GT812" s="155"/>
      <c r="GU812" s="155"/>
      <c r="GV812" s="155"/>
      <c r="GW812" s="155"/>
      <c r="GX812" s="155"/>
      <c r="GY812" s="155"/>
      <c r="GZ812" s="155"/>
      <c r="HA812" s="155"/>
      <c r="HB812" s="155"/>
      <c r="HC812" s="155"/>
      <c r="HD812" s="155"/>
      <c r="HE812" s="155"/>
    </row>
    <row r="813" spans="2:213" s="156" customFormat="1" hidden="1">
      <c r="B813" s="155"/>
      <c r="C813" s="155"/>
      <c r="D813" s="155"/>
      <c r="E813" s="155"/>
      <c r="F813" s="155"/>
      <c r="G813" s="155"/>
      <c r="H813" s="155"/>
      <c r="I813" s="155"/>
      <c r="J813" s="155"/>
      <c r="K813" s="155"/>
      <c r="L813" s="155"/>
      <c r="M813" s="155"/>
      <c r="N813" s="155"/>
      <c r="O813" s="155"/>
      <c r="P813" s="155"/>
      <c r="Q813" s="155"/>
      <c r="R813" s="155"/>
      <c r="S813" s="155"/>
      <c r="T813" s="155"/>
      <c r="U813" s="155"/>
      <c r="V813" s="155"/>
      <c r="W813" s="155"/>
      <c r="GL813" s="155"/>
      <c r="GM813" s="155"/>
      <c r="GN813" s="155"/>
      <c r="GO813" s="155"/>
      <c r="GP813" s="155"/>
      <c r="GQ813" s="155"/>
      <c r="GR813" s="155"/>
      <c r="GS813" s="155"/>
      <c r="GT813" s="155"/>
      <c r="GU813" s="155"/>
      <c r="GV813" s="155"/>
      <c r="GW813" s="155"/>
      <c r="GX813" s="155"/>
      <c r="GY813" s="155"/>
      <c r="GZ813" s="155"/>
      <c r="HA813" s="155"/>
      <c r="HB813" s="155"/>
      <c r="HC813" s="155"/>
      <c r="HD813" s="155"/>
      <c r="HE813" s="155"/>
    </row>
    <row r="814" spans="2:213" s="156" customFormat="1" hidden="1">
      <c r="B814" s="155"/>
      <c r="C814" s="155"/>
      <c r="D814" s="155"/>
      <c r="E814" s="155"/>
      <c r="F814" s="155"/>
      <c r="G814" s="155"/>
      <c r="H814" s="155"/>
      <c r="I814" s="155"/>
      <c r="J814" s="155"/>
      <c r="K814" s="155"/>
      <c r="L814" s="155"/>
      <c r="M814" s="155"/>
      <c r="N814" s="155"/>
      <c r="O814" s="155"/>
      <c r="P814" s="155"/>
      <c r="Q814" s="155"/>
      <c r="R814" s="155"/>
      <c r="S814" s="155"/>
      <c r="T814" s="155"/>
      <c r="U814" s="155"/>
      <c r="V814" s="155"/>
      <c r="W814" s="155"/>
      <c r="GL814" s="155"/>
      <c r="GM814" s="155"/>
      <c r="GN814" s="155"/>
      <c r="GO814" s="155"/>
      <c r="GP814" s="155"/>
      <c r="GQ814" s="155"/>
      <c r="GR814" s="155"/>
      <c r="GS814" s="155"/>
      <c r="GT814" s="155"/>
      <c r="GU814" s="155"/>
      <c r="GV814" s="155"/>
      <c r="GW814" s="155"/>
      <c r="GX814" s="155"/>
      <c r="GY814" s="155"/>
      <c r="GZ814" s="155"/>
      <c r="HA814" s="155"/>
      <c r="HB814" s="155"/>
      <c r="HC814" s="155"/>
      <c r="HD814" s="155"/>
      <c r="HE814" s="155"/>
    </row>
    <row r="815" spans="2:213" s="156" customFormat="1" hidden="1">
      <c r="B815" s="155"/>
      <c r="C815" s="155"/>
      <c r="D815" s="155"/>
      <c r="E815" s="155"/>
      <c r="F815" s="155"/>
      <c r="G815" s="155"/>
      <c r="H815" s="155"/>
      <c r="I815" s="155"/>
      <c r="J815" s="155"/>
      <c r="K815" s="155"/>
      <c r="L815" s="155"/>
      <c r="M815" s="155"/>
      <c r="N815" s="155"/>
      <c r="O815" s="155"/>
      <c r="P815" s="155"/>
      <c r="Q815" s="155"/>
      <c r="R815" s="155"/>
      <c r="S815" s="155"/>
      <c r="T815" s="155"/>
      <c r="U815" s="155"/>
      <c r="V815" s="155"/>
      <c r="W815" s="155"/>
      <c r="GL815" s="155"/>
      <c r="GM815" s="155"/>
      <c r="GN815" s="155"/>
      <c r="GO815" s="155"/>
      <c r="GP815" s="155"/>
      <c r="GQ815" s="155"/>
      <c r="GR815" s="155"/>
      <c r="GS815" s="155"/>
      <c r="GT815" s="155"/>
      <c r="GU815" s="155"/>
      <c r="GV815" s="155"/>
      <c r="GW815" s="155"/>
      <c r="GX815" s="155"/>
      <c r="GY815" s="155"/>
      <c r="GZ815" s="155"/>
      <c r="HA815" s="155"/>
      <c r="HB815" s="155"/>
      <c r="HC815" s="155"/>
      <c r="HD815" s="155"/>
      <c r="HE815" s="155"/>
    </row>
    <row r="816" spans="2:213" s="156" customFormat="1" hidden="1">
      <c r="B816" s="155"/>
      <c r="C816" s="155"/>
      <c r="D816" s="155"/>
      <c r="E816" s="155"/>
      <c r="F816" s="155"/>
      <c r="G816" s="155"/>
      <c r="H816" s="155"/>
      <c r="I816" s="155"/>
      <c r="J816" s="155"/>
      <c r="K816" s="155"/>
      <c r="L816" s="155"/>
      <c r="M816" s="155"/>
      <c r="N816" s="155"/>
      <c r="O816" s="155"/>
      <c r="P816" s="155"/>
      <c r="Q816" s="155"/>
      <c r="R816" s="155"/>
      <c r="S816" s="155"/>
      <c r="T816" s="155"/>
      <c r="U816" s="155"/>
      <c r="V816" s="155"/>
      <c r="W816" s="155"/>
      <c r="GL816" s="155"/>
      <c r="GM816" s="155"/>
      <c r="GN816" s="155"/>
      <c r="GO816" s="155"/>
      <c r="GP816" s="155"/>
      <c r="GQ816" s="155"/>
      <c r="GR816" s="155"/>
      <c r="GS816" s="155"/>
      <c r="GT816" s="155"/>
      <c r="GU816" s="155"/>
      <c r="GV816" s="155"/>
      <c r="GW816" s="155"/>
      <c r="GX816" s="155"/>
      <c r="GY816" s="155"/>
      <c r="GZ816" s="155"/>
      <c r="HA816" s="155"/>
      <c r="HB816" s="155"/>
      <c r="HC816" s="155"/>
      <c r="HD816" s="155"/>
      <c r="HE816" s="155"/>
    </row>
    <row r="817" spans="2:213" s="156" customFormat="1" hidden="1">
      <c r="B817" s="155"/>
      <c r="C817" s="155"/>
      <c r="D817" s="155"/>
      <c r="E817" s="155"/>
      <c r="F817" s="155"/>
      <c r="G817" s="155"/>
      <c r="H817" s="155"/>
      <c r="I817" s="155"/>
      <c r="J817" s="155"/>
      <c r="K817" s="155"/>
      <c r="L817" s="155"/>
      <c r="M817" s="155"/>
      <c r="N817" s="155"/>
      <c r="O817" s="155"/>
      <c r="P817" s="155"/>
      <c r="Q817" s="155"/>
      <c r="R817" s="155"/>
      <c r="S817" s="155"/>
      <c r="T817" s="155"/>
      <c r="U817" s="155"/>
      <c r="V817" s="155"/>
      <c r="W817" s="155"/>
      <c r="GL817" s="155"/>
      <c r="GM817" s="155"/>
      <c r="GN817" s="155"/>
      <c r="GO817" s="155"/>
      <c r="GP817" s="155"/>
      <c r="GQ817" s="155"/>
      <c r="GR817" s="155"/>
      <c r="GS817" s="155"/>
      <c r="GT817" s="155"/>
      <c r="GU817" s="155"/>
      <c r="GV817" s="155"/>
      <c r="GW817" s="155"/>
      <c r="GX817" s="155"/>
      <c r="GY817" s="155"/>
      <c r="GZ817" s="155"/>
      <c r="HA817" s="155"/>
      <c r="HB817" s="155"/>
      <c r="HC817" s="155"/>
      <c r="HD817" s="155"/>
      <c r="HE817" s="155"/>
    </row>
    <row r="818" spans="2:213" s="156" customFormat="1" hidden="1">
      <c r="B818" s="155"/>
      <c r="C818" s="155"/>
      <c r="D818" s="155"/>
      <c r="E818" s="155"/>
      <c r="F818" s="155"/>
      <c r="G818" s="155"/>
      <c r="H818" s="155"/>
      <c r="I818" s="155"/>
      <c r="J818" s="155"/>
      <c r="K818" s="155"/>
      <c r="L818" s="155"/>
      <c r="M818" s="155"/>
      <c r="N818" s="155"/>
      <c r="O818" s="155"/>
      <c r="P818" s="155"/>
      <c r="Q818" s="155"/>
      <c r="R818" s="155"/>
      <c r="S818" s="155"/>
      <c r="T818" s="155"/>
      <c r="U818" s="155"/>
      <c r="V818" s="155"/>
      <c r="W818" s="155"/>
      <c r="GL818" s="155"/>
      <c r="GM818" s="155"/>
      <c r="GN818" s="155"/>
      <c r="GO818" s="155"/>
      <c r="GP818" s="155"/>
      <c r="GQ818" s="155"/>
      <c r="GR818" s="155"/>
      <c r="GS818" s="155"/>
      <c r="GT818" s="155"/>
      <c r="GU818" s="155"/>
      <c r="GV818" s="155"/>
      <c r="GW818" s="155"/>
      <c r="GX818" s="155"/>
      <c r="GY818" s="155"/>
      <c r="GZ818" s="155"/>
      <c r="HA818" s="155"/>
      <c r="HB818" s="155"/>
      <c r="HC818" s="155"/>
      <c r="HD818" s="155"/>
      <c r="HE818" s="155"/>
    </row>
    <row r="819" spans="2:213" s="156" customFormat="1" hidden="1">
      <c r="B819" s="155"/>
      <c r="C819" s="155"/>
      <c r="D819" s="155"/>
      <c r="E819" s="155"/>
      <c r="F819" s="155"/>
      <c r="G819" s="155"/>
      <c r="H819" s="155"/>
      <c r="I819" s="155"/>
      <c r="J819" s="155"/>
      <c r="K819" s="155"/>
      <c r="L819" s="155"/>
      <c r="M819" s="155"/>
      <c r="N819" s="155"/>
      <c r="O819" s="155"/>
      <c r="P819" s="155"/>
      <c r="Q819" s="155"/>
      <c r="R819" s="155"/>
      <c r="S819" s="155"/>
      <c r="T819" s="155"/>
      <c r="U819" s="155"/>
      <c r="V819" s="155"/>
      <c r="W819" s="155"/>
      <c r="GL819" s="155"/>
      <c r="GM819" s="155"/>
      <c r="GN819" s="155"/>
      <c r="GO819" s="155"/>
      <c r="GP819" s="155"/>
      <c r="GQ819" s="155"/>
      <c r="GR819" s="155"/>
      <c r="GS819" s="155"/>
      <c r="GT819" s="155"/>
      <c r="GU819" s="155"/>
      <c r="GV819" s="155"/>
      <c r="GW819" s="155"/>
      <c r="GX819" s="155"/>
      <c r="GY819" s="155"/>
      <c r="GZ819" s="155"/>
      <c r="HA819" s="155"/>
      <c r="HB819" s="155"/>
      <c r="HC819" s="155"/>
      <c r="HD819" s="155"/>
      <c r="HE819" s="155"/>
    </row>
    <row r="820" spans="2:213" s="156" customFormat="1" hidden="1">
      <c r="B820" s="155"/>
      <c r="C820" s="155"/>
      <c r="D820" s="155"/>
      <c r="E820" s="155"/>
      <c r="F820" s="155"/>
      <c r="G820" s="155"/>
      <c r="H820" s="155"/>
      <c r="I820" s="155"/>
      <c r="J820" s="155"/>
      <c r="K820" s="155"/>
      <c r="L820" s="155"/>
      <c r="M820" s="155"/>
      <c r="N820" s="155"/>
      <c r="O820" s="155"/>
      <c r="P820" s="155"/>
      <c r="Q820" s="155"/>
      <c r="R820" s="155"/>
      <c r="S820" s="155"/>
      <c r="T820" s="155"/>
      <c r="U820" s="155"/>
      <c r="V820" s="155"/>
      <c r="W820" s="155"/>
      <c r="GL820" s="155"/>
      <c r="GM820" s="155"/>
      <c r="GN820" s="155"/>
      <c r="GO820" s="155"/>
      <c r="GP820" s="155"/>
      <c r="GQ820" s="155"/>
      <c r="GR820" s="155"/>
      <c r="GS820" s="155"/>
      <c r="GT820" s="155"/>
      <c r="GU820" s="155"/>
      <c r="GV820" s="155"/>
      <c r="GW820" s="155"/>
      <c r="GX820" s="155"/>
      <c r="GY820" s="155"/>
      <c r="GZ820" s="155"/>
      <c r="HA820" s="155"/>
      <c r="HB820" s="155"/>
      <c r="HC820" s="155"/>
      <c r="HD820" s="155"/>
      <c r="HE820" s="155"/>
    </row>
    <row r="821" spans="2:213" s="156" customFormat="1" hidden="1">
      <c r="B821" s="155"/>
      <c r="C821" s="155"/>
      <c r="D821" s="155"/>
      <c r="E821" s="155"/>
      <c r="F821" s="155"/>
      <c r="G821" s="155"/>
      <c r="H821" s="155"/>
      <c r="I821" s="155"/>
      <c r="J821" s="155"/>
      <c r="K821" s="155"/>
      <c r="L821" s="155"/>
      <c r="M821" s="155"/>
      <c r="N821" s="155"/>
      <c r="O821" s="155"/>
      <c r="P821" s="155"/>
      <c r="Q821" s="155"/>
      <c r="R821" s="155"/>
      <c r="S821" s="155"/>
      <c r="T821" s="155"/>
      <c r="U821" s="155"/>
      <c r="V821" s="155"/>
      <c r="W821" s="155"/>
      <c r="GL821" s="155"/>
      <c r="GM821" s="155"/>
      <c r="GN821" s="155"/>
      <c r="GO821" s="155"/>
      <c r="GP821" s="155"/>
      <c r="GQ821" s="155"/>
      <c r="GR821" s="155"/>
      <c r="GS821" s="155"/>
      <c r="GT821" s="155"/>
      <c r="GU821" s="155"/>
      <c r="GV821" s="155"/>
      <c r="GW821" s="155"/>
      <c r="GX821" s="155"/>
      <c r="GY821" s="155"/>
      <c r="GZ821" s="155"/>
      <c r="HA821" s="155"/>
      <c r="HB821" s="155"/>
      <c r="HC821" s="155"/>
      <c r="HD821" s="155"/>
      <c r="HE821" s="155"/>
    </row>
    <row r="822" spans="2:213" s="156" customFormat="1" hidden="1">
      <c r="B822" s="155"/>
      <c r="C822" s="155"/>
      <c r="D822" s="155"/>
      <c r="E822" s="155"/>
      <c r="F822" s="155"/>
      <c r="G822" s="155"/>
      <c r="H822" s="155"/>
      <c r="I822" s="155"/>
      <c r="J822" s="155"/>
      <c r="K822" s="155"/>
      <c r="L822" s="155"/>
      <c r="M822" s="155"/>
      <c r="N822" s="155"/>
      <c r="O822" s="155"/>
      <c r="P822" s="155"/>
      <c r="Q822" s="155"/>
      <c r="R822" s="155"/>
      <c r="S822" s="155"/>
      <c r="T822" s="155"/>
      <c r="U822" s="155"/>
      <c r="V822" s="155"/>
      <c r="W822" s="155"/>
      <c r="GL822" s="155"/>
      <c r="GM822" s="155"/>
      <c r="GN822" s="155"/>
      <c r="GO822" s="155"/>
      <c r="GP822" s="155"/>
      <c r="GQ822" s="155"/>
      <c r="GR822" s="155"/>
      <c r="GS822" s="155"/>
      <c r="GT822" s="155"/>
      <c r="GU822" s="155"/>
      <c r="GV822" s="155"/>
      <c r="GW822" s="155"/>
      <c r="GX822" s="155"/>
      <c r="GY822" s="155"/>
      <c r="GZ822" s="155"/>
      <c r="HA822" s="155"/>
      <c r="HB822" s="155"/>
      <c r="HC822" s="155"/>
      <c r="HD822" s="155"/>
      <c r="HE822" s="155"/>
    </row>
    <row r="823" spans="2:213" s="156" customFormat="1" hidden="1">
      <c r="B823" s="155"/>
      <c r="C823" s="155"/>
      <c r="D823" s="155"/>
      <c r="E823" s="155"/>
      <c r="F823" s="155"/>
      <c r="G823" s="155"/>
      <c r="H823" s="155"/>
      <c r="I823" s="155"/>
      <c r="J823" s="155"/>
      <c r="K823" s="155"/>
      <c r="L823" s="155"/>
      <c r="M823" s="155"/>
      <c r="N823" s="155"/>
      <c r="O823" s="155"/>
      <c r="P823" s="155"/>
      <c r="Q823" s="155"/>
      <c r="R823" s="155"/>
      <c r="S823" s="155"/>
      <c r="T823" s="155"/>
      <c r="U823" s="155"/>
      <c r="V823" s="155"/>
      <c r="W823" s="155"/>
      <c r="GL823" s="155"/>
      <c r="GM823" s="155"/>
      <c r="GN823" s="155"/>
      <c r="GO823" s="155"/>
      <c r="GP823" s="155"/>
      <c r="GQ823" s="155"/>
      <c r="GR823" s="155"/>
      <c r="GS823" s="155"/>
      <c r="GT823" s="155"/>
      <c r="GU823" s="155"/>
      <c r="GV823" s="155"/>
      <c r="GW823" s="155"/>
      <c r="GX823" s="155"/>
      <c r="GY823" s="155"/>
      <c r="GZ823" s="155"/>
      <c r="HA823" s="155"/>
      <c r="HB823" s="155"/>
      <c r="HC823" s="155"/>
      <c r="HD823" s="155"/>
      <c r="HE823" s="155"/>
    </row>
    <row r="824" spans="2:213" s="156" customFormat="1" hidden="1">
      <c r="B824" s="155"/>
      <c r="C824" s="155"/>
      <c r="D824" s="155"/>
      <c r="E824" s="155"/>
      <c r="F824" s="155"/>
      <c r="G824" s="155"/>
      <c r="H824" s="155"/>
      <c r="I824" s="155"/>
      <c r="J824" s="155"/>
      <c r="K824" s="155"/>
      <c r="L824" s="155"/>
      <c r="M824" s="155"/>
      <c r="N824" s="155"/>
      <c r="O824" s="155"/>
      <c r="P824" s="155"/>
      <c r="Q824" s="155"/>
      <c r="R824" s="155"/>
      <c r="S824" s="155"/>
      <c r="T824" s="155"/>
      <c r="U824" s="155"/>
      <c r="V824" s="155"/>
      <c r="W824" s="155"/>
      <c r="GL824" s="155"/>
      <c r="GM824" s="155"/>
      <c r="GN824" s="155"/>
      <c r="GO824" s="155"/>
      <c r="GP824" s="155"/>
      <c r="GQ824" s="155"/>
      <c r="GR824" s="155"/>
      <c r="GS824" s="155"/>
      <c r="GT824" s="155"/>
      <c r="GU824" s="155"/>
      <c r="GV824" s="155"/>
      <c r="GW824" s="155"/>
      <c r="GX824" s="155"/>
      <c r="GY824" s="155"/>
      <c r="GZ824" s="155"/>
      <c r="HA824" s="155"/>
      <c r="HB824" s="155"/>
      <c r="HC824" s="155"/>
      <c r="HD824" s="155"/>
      <c r="HE824" s="155"/>
    </row>
    <row r="825" spans="2:213" s="156" customFormat="1" hidden="1">
      <c r="B825" s="155"/>
      <c r="C825" s="155"/>
      <c r="D825" s="155"/>
      <c r="E825" s="155"/>
      <c r="F825" s="155"/>
      <c r="G825" s="155"/>
      <c r="H825" s="155"/>
      <c r="I825" s="155"/>
      <c r="J825" s="155"/>
      <c r="K825" s="155"/>
      <c r="L825" s="155"/>
      <c r="M825" s="155"/>
      <c r="N825" s="155"/>
      <c r="O825" s="155"/>
      <c r="P825" s="155"/>
      <c r="Q825" s="155"/>
      <c r="R825" s="155"/>
      <c r="S825" s="155"/>
      <c r="T825" s="155"/>
      <c r="U825" s="155"/>
      <c r="V825" s="155"/>
      <c r="W825" s="155"/>
      <c r="GL825" s="155"/>
      <c r="GM825" s="155"/>
      <c r="GN825" s="155"/>
      <c r="GO825" s="155"/>
      <c r="GP825" s="155"/>
      <c r="GQ825" s="155"/>
      <c r="GR825" s="155"/>
      <c r="GS825" s="155"/>
      <c r="GT825" s="155"/>
      <c r="GU825" s="155"/>
      <c r="GV825" s="155"/>
      <c r="GW825" s="155"/>
      <c r="GX825" s="155"/>
      <c r="GY825" s="155"/>
      <c r="GZ825" s="155"/>
      <c r="HA825" s="155"/>
      <c r="HB825" s="155"/>
      <c r="HC825" s="155"/>
      <c r="HD825" s="155"/>
      <c r="HE825" s="155"/>
    </row>
    <row r="826" spans="2:213" s="156" customFormat="1" hidden="1">
      <c r="B826" s="155"/>
      <c r="C826" s="155"/>
      <c r="D826" s="155"/>
      <c r="E826" s="155"/>
      <c r="F826" s="155"/>
      <c r="G826" s="155"/>
      <c r="H826" s="155"/>
      <c r="I826" s="155"/>
      <c r="J826" s="155"/>
      <c r="K826" s="155"/>
      <c r="L826" s="155"/>
      <c r="M826" s="155"/>
      <c r="N826" s="155"/>
      <c r="O826" s="155"/>
      <c r="P826" s="155"/>
      <c r="Q826" s="155"/>
      <c r="R826" s="155"/>
      <c r="S826" s="155"/>
      <c r="T826" s="155"/>
      <c r="U826" s="155"/>
      <c r="V826" s="155"/>
      <c r="W826" s="155"/>
      <c r="GL826" s="155"/>
      <c r="GM826" s="155"/>
      <c r="GN826" s="155"/>
      <c r="GO826" s="155"/>
      <c r="GP826" s="155"/>
      <c r="GQ826" s="155"/>
      <c r="GR826" s="155"/>
      <c r="GS826" s="155"/>
      <c r="GT826" s="155"/>
      <c r="GU826" s="155"/>
      <c r="GV826" s="155"/>
      <c r="GW826" s="155"/>
      <c r="GX826" s="155"/>
      <c r="GY826" s="155"/>
      <c r="GZ826" s="155"/>
      <c r="HA826" s="155"/>
      <c r="HB826" s="155"/>
      <c r="HC826" s="155"/>
      <c r="HD826" s="155"/>
      <c r="HE826" s="155"/>
    </row>
    <row r="827" spans="2:213" s="156" customFormat="1" hidden="1">
      <c r="B827" s="155"/>
      <c r="C827" s="155"/>
      <c r="D827" s="155"/>
      <c r="E827" s="155"/>
      <c r="F827" s="155"/>
      <c r="G827" s="155"/>
      <c r="H827" s="155"/>
      <c r="I827" s="155"/>
      <c r="J827" s="155"/>
      <c r="K827" s="155"/>
      <c r="L827" s="155"/>
      <c r="M827" s="155"/>
      <c r="N827" s="155"/>
      <c r="O827" s="155"/>
      <c r="P827" s="155"/>
      <c r="Q827" s="155"/>
      <c r="R827" s="155"/>
      <c r="S827" s="155"/>
      <c r="T827" s="155"/>
      <c r="U827" s="155"/>
      <c r="V827" s="155"/>
      <c r="W827" s="155"/>
      <c r="GL827" s="155"/>
      <c r="GM827" s="155"/>
      <c r="GN827" s="155"/>
      <c r="GO827" s="155"/>
      <c r="GP827" s="155"/>
      <c r="GQ827" s="155"/>
      <c r="GR827" s="155"/>
      <c r="GS827" s="155"/>
      <c r="GT827" s="155"/>
      <c r="GU827" s="155"/>
      <c r="GV827" s="155"/>
      <c r="GW827" s="155"/>
      <c r="GX827" s="155"/>
      <c r="GY827" s="155"/>
      <c r="GZ827" s="155"/>
      <c r="HA827" s="155"/>
      <c r="HB827" s="155"/>
      <c r="HC827" s="155"/>
      <c r="HD827" s="155"/>
      <c r="HE827" s="155"/>
    </row>
    <row r="828" spans="2:213" s="156" customFormat="1" hidden="1">
      <c r="B828" s="155"/>
      <c r="C828" s="155"/>
      <c r="D828" s="155"/>
      <c r="E828" s="155"/>
      <c r="F828" s="155"/>
      <c r="G828" s="155"/>
      <c r="H828" s="155"/>
      <c r="I828" s="155"/>
      <c r="J828" s="155"/>
      <c r="K828" s="155"/>
      <c r="L828" s="155"/>
      <c r="M828" s="155"/>
      <c r="N828" s="155"/>
      <c r="O828" s="155"/>
      <c r="P828" s="155"/>
      <c r="Q828" s="155"/>
      <c r="R828" s="155"/>
      <c r="S828" s="155"/>
      <c r="T828" s="155"/>
      <c r="U828" s="155"/>
      <c r="V828" s="155"/>
      <c r="W828" s="155"/>
      <c r="GL828" s="155"/>
      <c r="GM828" s="155"/>
      <c r="GN828" s="155"/>
      <c r="GO828" s="155"/>
      <c r="GP828" s="155"/>
      <c r="GQ828" s="155"/>
      <c r="GR828" s="155"/>
      <c r="GS828" s="155"/>
      <c r="GT828" s="155"/>
      <c r="GU828" s="155"/>
      <c r="GV828" s="155"/>
      <c r="GW828" s="155"/>
      <c r="GX828" s="155"/>
      <c r="GY828" s="155"/>
      <c r="GZ828" s="155"/>
      <c r="HA828" s="155"/>
      <c r="HB828" s="155"/>
      <c r="HC828" s="155"/>
      <c r="HD828" s="155"/>
      <c r="HE828" s="155"/>
    </row>
    <row r="829" spans="2:213" s="156" customFormat="1" hidden="1">
      <c r="B829" s="155"/>
      <c r="C829" s="155"/>
      <c r="D829" s="155"/>
      <c r="E829" s="155"/>
      <c r="F829" s="155"/>
      <c r="G829" s="155"/>
      <c r="H829" s="155"/>
      <c r="I829" s="155"/>
      <c r="J829" s="155"/>
      <c r="K829" s="155"/>
      <c r="L829" s="155"/>
      <c r="M829" s="155"/>
      <c r="N829" s="155"/>
      <c r="O829" s="155"/>
      <c r="P829" s="155"/>
      <c r="Q829" s="155"/>
      <c r="R829" s="155"/>
      <c r="S829" s="155"/>
      <c r="T829" s="155"/>
      <c r="U829" s="155"/>
      <c r="V829" s="155"/>
      <c r="W829" s="155"/>
      <c r="GL829" s="155"/>
      <c r="GM829" s="155"/>
      <c r="GN829" s="155"/>
      <c r="GO829" s="155"/>
      <c r="GP829" s="155"/>
      <c r="GQ829" s="155"/>
      <c r="GR829" s="155"/>
      <c r="GS829" s="155"/>
      <c r="GT829" s="155"/>
      <c r="GU829" s="155"/>
      <c r="GV829" s="155"/>
      <c r="GW829" s="155"/>
      <c r="GX829" s="155"/>
      <c r="GY829" s="155"/>
      <c r="GZ829" s="155"/>
      <c r="HA829" s="155"/>
      <c r="HB829" s="155"/>
      <c r="HC829" s="155"/>
      <c r="HD829" s="155"/>
      <c r="HE829" s="155"/>
    </row>
    <row r="830" spans="2:213" s="156" customFormat="1" hidden="1">
      <c r="B830" s="155"/>
      <c r="C830" s="155"/>
      <c r="D830" s="155"/>
      <c r="E830" s="155"/>
      <c r="F830" s="155"/>
      <c r="G830" s="155"/>
      <c r="H830" s="155"/>
      <c r="I830" s="155"/>
      <c r="J830" s="155"/>
      <c r="K830" s="155"/>
      <c r="L830" s="155"/>
      <c r="M830" s="155"/>
      <c r="N830" s="155"/>
      <c r="O830" s="155"/>
      <c r="P830" s="155"/>
      <c r="Q830" s="155"/>
      <c r="R830" s="155"/>
      <c r="S830" s="155"/>
      <c r="T830" s="155"/>
      <c r="U830" s="155"/>
      <c r="V830" s="155"/>
      <c r="W830" s="155"/>
      <c r="GL830" s="155"/>
      <c r="GM830" s="155"/>
      <c r="GN830" s="155"/>
      <c r="GO830" s="155"/>
      <c r="GP830" s="155"/>
      <c r="GQ830" s="155"/>
      <c r="GR830" s="155"/>
      <c r="GS830" s="155"/>
      <c r="GT830" s="155"/>
      <c r="GU830" s="155"/>
      <c r="GV830" s="155"/>
      <c r="GW830" s="155"/>
      <c r="GX830" s="155"/>
      <c r="GY830" s="155"/>
      <c r="GZ830" s="155"/>
      <c r="HA830" s="155"/>
      <c r="HB830" s="155"/>
      <c r="HC830" s="155"/>
      <c r="HD830" s="155"/>
      <c r="HE830" s="155"/>
    </row>
    <row r="831" spans="2:213" s="156" customFormat="1" hidden="1">
      <c r="B831" s="155"/>
      <c r="C831" s="155"/>
      <c r="D831" s="155"/>
      <c r="E831" s="155"/>
      <c r="F831" s="155"/>
      <c r="G831" s="155"/>
      <c r="H831" s="155"/>
      <c r="I831" s="155"/>
      <c r="J831" s="155"/>
      <c r="K831" s="155"/>
      <c r="L831" s="155"/>
      <c r="M831" s="155"/>
      <c r="N831" s="155"/>
      <c r="O831" s="155"/>
      <c r="P831" s="155"/>
      <c r="Q831" s="155"/>
      <c r="R831" s="155"/>
      <c r="S831" s="155"/>
      <c r="T831" s="155"/>
      <c r="U831" s="155"/>
      <c r="V831" s="155"/>
      <c r="W831" s="155"/>
      <c r="GL831" s="155"/>
      <c r="GM831" s="155"/>
      <c r="GN831" s="155"/>
      <c r="GO831" s="155"/>
      <c r="GP831" s="155"/>
      <c r="GQ831" s="155"/>
      <c r="GR831" s="155"/>
      <c r="GS831" s="155"/>
      <c r="GT831" s="155"/>
      <c r="GU831" s="155"/>
      <c r="GV831" s="155"/>
      <c r="GW831" s="155"/>
      <c r="GX831" s="155"/>
      <c r="GY831" s="155"/>
      <c r="GZ831" s="155"/>
      <c r="HA831" s="155"/>
      <c r="HB831" s="155"/>
      <c r="HC831" s="155"/>
      <c r="HD831" s="155"/>
      <c r="HE831" s="155"/>
    </row>
    <row r="832" spans="2:213" s="156" customFormat="1" hidden="1">
      <c r="B832" s="155"/>
      <c r="C832" s="155"/>
      <c r="D832" s="155"/>
      <c r="E832" s="155"/>
      <c r="F832" s="155"/>
      <c r="G832" s="155"/>
      <c r="H832" s="155"/>
      <c r="I832" s="155"/>
      <c r="J832" s="155"/>
      <c r="K832" s="155"/>
      <c r="L832" s="155"/>
      <c r="M832" s="155"/>
      <c r="N832" s="155"/>
      <c r="O832" s="155"/>
      <c r="P832" s="155"/>
      <c r="Q832" s="155"/>
      <c r="R832" s="155"/>
      <c r="S832" s="155"/>
      <c r="T832" s="155"/>
      <c r="U832" s="155"/>
      <c r="V832" s="155"/>
      <c r="W832" s="155"/>
      <c r="GL832" s="155"/>
      <c r="GM832" s="155"/>
      <c r="GN832" s="155"/>
      <c r="GO832" s="155"/>
      <c r="GP832" s="155"/>
      <c r="GQ832" s="155"/>
      <c r="GR832" s="155"/>
      <c r="GS832" s="155"/>
      <c r="GT832" s="155"/>
      <c r="GU832" s="155"/>
      <c r="GV832" s="155"/>
      <c r="GW832" s="155"/>
      <c r="GX832" s="155"/>
      <c r="GY832" s="155"/>
      <c r="GZ832" s="155"/>
      <c r="HA832" s="155"/>
      <c r="HB832" s="155"/>
      <c r="HC832" s="155"/>
      <c r="HD832" s="155"/>
      <c r="HE832" s="155"/>
    </row>
    <row r="833" spans="2:213" s="156" customFormat="1" hidden="1">
      <c r="B833" s="155"/>
      <c r="C833" s="155"/>
      <c r="D833" s="155"/>
      <c r="E833" s="155"/>
      <c r="F833" s="155"/>
      <c r="G833" s="155"/>
      <c r="H833" s="155"/>
      <c r="I833" s="155"/>
      <c r="J833" s="155"/>
      <c r="K833" s="155"/>
      <c r="L833" s="155"/>
      <c r="M833" s="155"/>
      <c r="N833" s="155"/>
      <c r="O833" s="155"/>
      <c r="P833" s="155"/>
      <c r="Q833" s="155"/>
      <c r="R833" s="155"/>
      <c r="S833" s="155"/>
      <c r="T833" s="155"/>
      <c r="U833" s="155"/>
      <c r="V833" s="155"/>
      <c r="W833" s="155"/>
      <c r="GL833" s="155"/>
      <c r="GM833" s="155"/>
      <c r="GN833" s="155"/>
      <c r="GO833" s="155"/>
      <c r="GP833" s="155"/>
      <c r="GQ833" s="155"/>
      <c r="GR833" s="155"/>
      <c r="GS833" s="155"/>
      <c r="GT833" s="155"/>
      <c r="GU833" s="155"/>
      <c r="GV833" s="155"/>
      <c r="GW833" s="155"/>
      <c r="GX833" s="155"/>
      <c r="GY833" s="155"/>
      <c r="GZ833" s="155"/>
      <c r="HA833" s="155"/>
      <c r="HB833" s="155"/>
      <c r="HC833" s="155"/>
      <c r="HD833" s="155"/>
      <c r="HE833" s="155"/>
    </row>
    <row r="834" spans="2:213" s="156" customFormat="1" hidden="1">
      <c r="B834" s="155"/>
      <c r="C834" s="155"/>
      <c r="D834" s="155"/>
      <c r="E834" s="155"/>
      <c r="F834" s="155"/>
      <c r="G834" s="155"/>
      <c r="H834" s="155"/>
      <c r="I834" s="155"/>
      <c r="J834" s="155"/>
      <c r="K834" s="155"/>
      <c r="L834" s="155"/>
      <c r="M834" s="155"/>
      <c r="N834" s="155"/>
      <c r="O834" s="155"/>
      <c r="P834" s="155"/>
      <c r="Q834" s="155"/>
      <c r="R834" s="155"/>
      <c r="S834" s="155"/>
      <c r="T834" s="155"/>
      <c r="U834" s="155"/>
      <c r="V834" s="155"/>
      <c r="W834" s="155"/>
      <c r="GL834" s="155"/>
      <c r="GM834" s="155"/>
      <c r="GN834" s="155"/>
      <c r="GO834" s="155"/>
      <c r="GP834" s="155"/>
      <c r="GQ834" s="155"/>
      <c r="GR834" s="155"/>
      <c r="GS834" s="155"/>
      <c r="GT834" s="155"/>
      <c r="GU834" s="155"/>
      <c r="GV834" s="155"/>
      <c r="GW834" s="155"/>
      <c r="GX834" s="155"/>
      <c r="GY834" s="155"/>
      <c r="GZ834" s="155"/>
      <c r="HA834" s="155"/>
      <c r="HB834" s="155"/>
      <c r="HC834" s="155"/>
      <c r="HD834" s="155"/>
      <c r="HE834" s="155"/>
    </row>
    <row r="835" spans="2:213" s="156" customFormat="1" hidden="1">
      <c r="B835" s="155"/>
      <c r="C835" s="155"/>
      <c r="D835" s="155"/>
      <c r="E835" s="155"/>
      <c r="F835" s="155"/>
      <c r="G835" s="155"/>
      <c r="H835" s="155"/>
      <c r="I835" s="155"/>
      <c r="J835" s="155"/>
      <c r="K835" s="155"/>
      <c r="L835" s="155"/>
      <c r="M835" s="155"/>
      <c r="N835" s="155"/>
      <c r="O835" s="155"/>
      <c r="P835" s="155"/>
      <c r="Q835" s="155"/>
      <c r="R835" s="155"/>
      <c r="S835" s="155"/>
      <c r="T835" s="155"/>
      <c r="U835" s="155"/>
      <c r="V835" s="155"/>
      <c r="W835" s="155"/>
      <c r="GL835" s="155"/>
      <c r="GM835" s="155"/>
      <c r="GN835" s="155"/>
      <c r="GO835" s="155"/>
      <c r="GP835" s="155"/>
      <c r="GQ835" s="155"/>
      <c r="GR835" s="155"/>
      <c r="GS835" s="155"/>
      <c r="GT835" s="155"/>
      <c r="GU835" s="155"/>
      <c r="GV835" s="155"/>
      <c r="GW835" s="155"/>
      <c r="GX835" s="155"/>
      <c r="GY835" s="155"/>
      <c r="GZ835" s="155"/>
      <c r="HA835" s="155"/>
      <c r="HB835" s="155"/>
      <c r="HC835" s="155"/>
      <c r="HD835" s="155"/>
      <c r="HE835" s="155"/>
    </row>
    <row r="836" spans="2:213" s="156" customFormat="1" hidden="1">
      <c r="B836" s="155"/>
      <c r="C836" s="155"/>
      <c r="D836" s="155"/>
      <c r="E836" s="155"/>
      <c r="F836" s="155"/>
      <c r="G836" s="155"/>
      <c r="H836" s="155"/>
      <c r="I836" s="155"/>
      <c r="J836" s="155"/>
      <c r="K836" s="155"/>
      <c r="L836" s="155"/>
      <c r="M836" s="155"/>
      <c r="N836" s="155"/>
      <c r="O836" s="155"/>
      <c r="P836" s="155"/>
      <c r="Q836" s="155"/>
      <c r="R836" s="155"/>
      <c r="S836" s="155"/>
      <c r="T836" s="155"/>
      <c r="U836" s="155"/>
      <c r="V836" s="155"/>
      <c r="W836" s="155"/>
      <c r="GL836" s="155"/>
      <c r="GM836" s="155"/>
      <c r="GN836" s="155"/>
      <c r="GO836" s="155"/>
      <c r="GP836" s="155"/>
      <c r="GQ836" s="155"/>
      <c r="GR836" s="155"/>
      <c r="GS836" s="155"/>
      <c r="GT836" s="155"/>
      <c r="GU836" s="155"/>
      <c r="GV836" s="155"/>
      <c r="GW836" s="155"/>
      <c r="GX836" s="155"/>
      <c r="GY836" s="155"/>
      <c r="GZ836" s="155"/>
      <c r="HA836" s="155"/>
      <c r="HB836" s="155"/>
      <c r="HC836" s="155"/>
      <c r="HD836" s="155"/>
      <c r="HE836" s="155"/>
    </row>
    <row r="837" spans="2:213" s="156" customFormat="1" hidden="1">
      <c r="B837" s="155"/>
      <c r="C837" s="155"/>
      <c r="D837" s="155"/>
      <c r="E837" s="155"/>
      <c r="F837" s="155"/>
      <c r="G837" s="155"/>
      <c r="H837" s="155"/>
      <c r="I837" s="155"/>
      <c r="J837" s="155"/>
      <c r="K837" s="155"/>
      <c r="L837" s="155"/>
      <c r="M837" s="155"/>
      <c r="N837" s="155"/>
      <c r="O837" s="155"/>
      <c r="P837" s="155"/>
      <c r="Q837" s="155"/>
      <c r="R837" s="155"/>
      <c r="S837" s="155"/>
      <c r="T837" s="155"/>
      <c r="U837" s="155"/>
      <c r="V837" s="155"/>
      <c r="W837" s="155"/>
      <c r="GL837" s="155"/>
      <c r="GM837" s="155"/>
      <c r="GN837" s="155"/>
      <c r="GO837" s="155"/>
      <c r="GP837" s="155"/>
      <c r="GQ837" s="155"/>
      <c r="GR837" s="155"/>
      <c r="GS837" s="155"/>
      <c r="GT837" s="155"/>
      <c r="GU837" s="155"/>
      <c r="GV837" s="155"/>
      <c r="GW837" s="155"/>
      <c r="GX837" s="155"/>
      <c r="GY837" s="155"/>
      <c r="GZ837" s="155"/>
      <c r="HA837" s="155"/>
      <c r="HB837" s="155"/>
      <c r="HC837" s="155"/>
      <c r="HD837" s="155"/>
      <c r="HE837" s="155"/>
    </row>
    <row r="838" spans="2:213" s="156" customFormat="1" hidden="1">
      <c r="B838" s="155"/>
      <c r="C838" s="155"/>
      <c r="D838" s="155"/>
      <c r="E838" s="155"/>
      <c r="F838" s="155"/>
      <c r="G838" s="155"/>
      <c r="H838" s="155"/>
      <c r="I838" s="155"/>
      <c r="J838" s="155"/>
      <c r="K838" s="155"/>
      <c r="L838" s="155"/>
      <c r="M838" s="155"/>
      <c r="N838" s="155"/>
      <c r="O838" s="155"/>
      <c r="P838" s="155"/>
      <c r="Q838" s="155"/>
      <c r="R838" s="155"/>
      <c r="S838" s="155"/>
      <c r="T838" s="155"/>
      <c r="U838" s="155"/>
      <c r="V838" s="155"/>
      <c r="W838" s="155"/>
      <c r="GL838" s="155"/>
      <c r="GM838" s="155"/>
      <c r="GN838" s="155"/>
      <c r="GO838" s="155"/>
      <c r="GP838" s="155"/>
      <c r="GQ838" s="155"/>
      <c r="GR838" s="155"/>
      <c r="GS838" s="155"/>
      <c r="GT838" s="155"/>
      <c r="GU838" s="155"/>
      <c r="GV838" s="155"/>
      <c r="GW838" s="155"/>
      <c r="GX838" s="155"/>
      <c r="GY838" s="155"/>
      <c r="GZ838" s="155"/>
      <c r="HA838" s="155"/>
      <c r="HB838" s="155"/>
      <c r="HC838" s="155"/>
      <c r="HD838" s="155"/>
      <c r="HE838" s="155"/>
    </row>
    <row r="839" spans="2:213" s="156" customFormat="1" hidden="1">
      <c r="B839" s="155"/>
      <c r="C839" s="155"/>
      <c r="D839" s="155"/>
      <c r="E839" s="155"/>
      <c r="F839" s="155"/>
      <c r="G839" s="155"/>
      <c r="H839" s="155"/>
      <c r="I839" s="155"/>
      <c r="J839" s="155"/>
      <c r="K839" s="155"/>
      <c r="L839" s="155"/>
      <c r="M839" s="155"/>
      <c r="N839" s="155"/>
      <c r="O839" s="155"/>
      <c r="P839" s="155"/>
      <c r="Q839" s="155"/>
      <c r="R839" s="155"/>
      <c r="S839" s="155"/>
      <c r="T839" s="155"/>
      <c r="U839" s="155"/>
      <c r="V839" s="155"/>
      <c r="W839" s="155"/>
      <c r="GL839" s="155"/>
      <c r="GM839" s="155"/>
      <c r="GN839" s="155"/>
      <c r="GO839" s="155"/>
      <c r="GP839" s="155"/>
      <c r="GQ839" s="155"/>
      <c r="GR839" s="155"/>
      <c r="GS839" s="155"/>
      <c r="GT839" s="155"/>
      <c r="GU839" s="155"/>
      <c r="GV839" s="155"/>
      <c r="GW839" s="155"/>
      <c r="GX839" s="155"/>
      <c r="GY839" s="155"/>
      <c r="GZ839" s="155"/>
      <c r="HA839" s="155"/>
      <c r="HB839" s="155"/>
      <c r="HC839" s="155"/>
      <c r="HD839" s="155"/>
      <c r="HE839" s="155"/>
    </row>
    <row r="840" spans="2:213" s="156" customFormat="1" hidden="1">
      <c r="B840" s="155"/>
      <c r="C840" s="155"/>
      <c r="D840" s="155"/>
      <c r="E840" s="155"/>
      <c r="F840" s="155"/>
      <c r="G840" s="155"/>
      <c r="H840" s="155"/>
      <c r="I840" s="155"/>
      <c r="J840" s="155"/>
      <c r="K840" s="155"/>
      <c r="L840" s="155"/>
      <c r="M840" s="155"/>
      <c r="N840" s="155"/>
      <c r="O840" s="155"/>
      <c r="P840" s="155"/>
      <c r="Q840" s="155"/>
      <c r="R840" s="155"/>
      <c r="S840" s="155"/>
      <c r="T840" s="155"/>
      <c r="U840" s="155"/>
      <c r="V840" s="155"/>
      <c r="W840" s="155"/>
      <c r="GL840" s="155"/>
      <c r="GM840" s="155"/>
      <c r="GN840" s="155"/>
      <c r="GO840" s="155"/>
      <c r="GP840" s="155"/>
      <c r="GQ840" s="155"/>
      <c r="GR840" s="155"/>
      <c r="GS840" s="155"/>
      <c r="GT840" s="155"/>
      <c r="GU840" s="155"/>
      <c r="GV840" s="155"/>
      <c r="GW840" s="155"/>
      <c r="GX840" s="155"/>
      <c r="GY840" s="155"/>
      <c r="GZ840" s="155"/>
      <c r="HA840" s="155"/>
      <c r="HB840" s="155"/>
      <c r="HC840" s="155"/>
      <c r="HD840" s="155"/>
      <c r="HE840" s="155"/>
    </row>
    <row r="841" spans="2:213" s="156" customFormat="1" hidden="1">
      <c r="B841" s="155"/>
      <c r="C841" s="155"/>
      <c r="D841" s="155"/>
      <c r="E841" s="155"/>
      <c r="F841" s="155"/>
      <c r="G841" s="155"/>
      <c r="H841" s="155"/>
      <c r="I841" s="155"/>
      <c r="J841" s="155"/>
      <c r="K841" s="155"/>
      <c r="L841" s="155"/>
      <c r="M841" s="155"/>
      <c r="N841" s="155"/>
      <c r="O841" s="155"/>
      <c r="P841" s="155"/>
      <c r="Q841" s="155"/>
      <c r="R841" s="155"/>
      <c r="S841" s="155"/>
      <c r="T841" s="155"/>
      <c r="U841" s="155"/>
      <c r="V841" s="155"/>
      <c r="W841" s="155"/>
      <c r="GL841" s="155"/>
      <c r="GM841" s="155"/>
      <c r="GN841" s="155"/>
      <c r="GO841" s="155"/>
      <c r="GP841" s="155"/>
      <c r="GQ841" s="155"/>
      <c r="GR841" s="155"/>
      <c r="GS841" s="155"/>
      <c r="GT841" s="155"/>
      <c r="GU841" s="155"/>
      <c r="GV841" s="155"/>
      <c r="GW841" s="155"/>
      <c r="GX841" s="155"/>
      <c r="GY841" s="155"/>
      <c r="GZ841" s="155"/>
      <c r="HA841" s="155"/>
      <c r="HB841" s="155"/>
      <c r="HC841" s="155"/>
      <c r="HD841" s="155"/>
      <c r="HE841" s="155"/>
    </row>
    <row r="842" spans="2:213" s="156" customFormat="1" hidden="1">
      <c r="B842" s="155"/>
      <c r="C842" s="155"/>
      <c r="D842" s="155"/>
      <c r="E842" s="155"/>
      <c r="F842" s="155"/>
      <c r="G842" s="155"/>
      <c r="H842" s="155"/>
      <c r="I842" s="155"/>
      <c r="J842" s="155"/>
      <c r="K842" s="155"/>
      <c r="L842" s="155"/>
      <c r="M842" s="155"/>
      <c r="N842" s="155"/>
      <c r="O842" s="155"/>
      <c r="P842" s="155"/>
      <c r="Q842" s="155"/>
      <c r="R842" s="155"/>
      <c r="S842" s="155"/>
      <c r="T842" s="155"/>
      <c r="U842" s="155"/>
      <c r="V842" s="155"/>
      <c r="W842" s="155"/>
      <c r="GL842" s="155"/>
      <c r="GM842" s="155"/>
      <c r="GN842" s="155"/>
      <c r="GO842" s="155"/>
      <c r="GP842" s="155"/>
      <c r="GQ842" s="155"/>
      <c r="GR842" s="155"/>
      <c r="GS842" s="155"/>
      <c r="GT842" s="155"/>
      <c r="GU842" s="155"/>
      <c r="GV842" s="155"/>
      <c r="GW842" s="155"/>
      <c r="GX842" s="155"/>
      <c r="GY842" s="155"/>
      <c r="GZ842" s="155"/>
      <c r="HA842" s="155"/>
      <c r="HB842" s="155"/>
      <c r="HC842" s="155"/>
      <c r="HD842" s="155"/>
      <c r="HE842" s="155"/>
    </row>
    <row r="843" spans="2:213" s="156" customFormat="1" hidden="1">
      <c r="B843" s="155"/>
      <c r="C843" s="155"/>
      <c r="D843" s="155"/>
      <c r="E843" s="155"/>
      <c r="F843" s="155"/>
      <c r="G843" s="155"/>
      <c r="H843" s="155"/>
      <c r="I843" s="155"/>
      <c r="J843" s="155"/>
      <c r="K843" s="155"/>
      <c r="L843" s="155"/>
      <c r="M843" s="155"/>
      <c r="N843" s="155"/>
      <c r="O843" s="155"/>
      <c r="P843" s="155"/>
      <c r="Q843" s="155"/>
      <c r="R843" s="155"/>
      <c r="S843" s="155"/>
      <c r="T843" s="155"/>
      <c r="U843" s="155"/>
      <c r="V843" s="155"/>
      <c r="W843" s="155"/>
      <c r="GL843" s="155"/>
      <c r="GM843" s="155"/>
      <c r="GN843" s="155"/>
      <c r="GO843" s="155"/>
      <c r="GP843" s="155"/>
      <c r="GQ843" s="155"/>
      <c r="GR843" s="155"/>
      <c r="GS843" s="155"/>
      <c r="GT843" s="155"/>
      <c r="GU843" s="155"/>
      <c r="GV843" s="155"/>
      <c r="GW843" s="155"/>
      <c r="GX843" s="155"/>
      <c r="GY843" s="155"/>
      <c r="GZ843" s="155"/>
      <c r="HA843" s="155"/>
      <c r="HB843" s="155"/>
      <c r="HC843" s="155"/>
      <c r="HD843" s="155"/>
      <c r="HE843" s="155"/>
    </row>
    <row r="844" spans="2:213" s="156" customFormat="1" hidden="1">
      <c r="B844" s="155"/>
      <c r="C844" s="155"/>
      <c r="D844" s="155"/>
      <c r="E844" s="155"/>
      <c r="F844" s="155"/>
      <c r="G844" s="155"/>
      <c r="H844" s="155"/>
      <c r="I844" s="155"/>
      <c r="J844" s="155"/>
      <c r="K844" s="155"/>
      <c r="L844" s="155"/>
      <c r="M844" s="155"/>
      <c r="N844" s="155"/>
      <c r="O844" s="155"/>
      <c r="P844" s="155"/>
      <c r="Q844" s="155"/>
      <c r="R844" s="155"/>
      <c r="S844" s="155"/>
      <c r="T844" s="155"/>
      <c r="U844" s="155"/>
      <c r="V844" s="155"/>
      <c r="W844" s="155"/>
      <c r="GL844" s="155"/>
      <c r="GM844" s="155"/>
      <c r="GN844" s="155"/>
      <c r="GO844" s="155"/>
      <c r="GP844" s="155"/>
      <c r="GQ844" s="155"/>
      <c r="GR844" s="155"/>
      <c r="GS844" s="155"/>
      <c r="GT844" s="155"/>
      <c r="GU844" s="155"/>
      <c r="GV844" s="155"/>
      <c r="GW844" s="155"/>
      <c r="GX844" s="155"/>
      <c r="GY844" s="155"/>
      <c r="GZ844" s="155"/>
      <c r="HA844" s="155"/>
      <c r="HB844" s="155"/>
      <c r="HC844" s="155"/>
      <c r="HD844" s="155"/>
      <c r="HE844" s="155"/>
    </row>
    <row r="845" spans="2:213" s="156" customFormat="1" hidden="1">
      <c r="B845" s="155"/>
      <c r="C845" s="155"/>
      <c r="D845" s="155"/>
      <c r="E845" s="155"/>
      <c r="F845" s="155"/>
      <c r="G845" s="155"/>
      <c r="H845" s="155"/>
      <c r="I845" s="155"/>
      <c r="J845" s="155"/>
      <c r="K845" s="155"/>
      <c r="L845" s="155"/>
      <c r="M845" s="155"/>
      <c r="N845" s="155"/>
      <c r="O845" s="155"/>
      <c r="P845" s="155"/>
      <c r="Q845" s="155"/>
      <c r="R845" s="155"/>
      <c r="S845" s="155"/>
      <c r="T845" s="155"/>
      <c r="U845" s="155"/>
      <c r="V845" s="155"/>
      <c r="W845" s="155"/>
      <c r="GL845" s="155"/>
      <c r="GM845" s="155"/>
      <c r="GN845" s="155"/>
      <c r="GO845" s="155"/>
      <c r="GP845" s="155"/>
      <c r="GQ845" s="155"/>
      <c r="GR845" s="155"/>
      <c r="GS845" s="155"/>
      <c r="GT845" s="155"/>
      <c r="GU845" s="155"/>
      <c r="GV845" s="155"/>
      <c r="GW845" s="155"/>
      <c r="GX845" s="155"/>
      <c r="GY845" s="155"/>
      <c r="GZ845" s="155"/>
      <c r="HA845" s="155"/>
      <c r="HB845" s="155"/>
      <c r="HC845" s="155"/>
      <c r="HD845" s="155"/>
      <c r="HE845" s="155"/>
    </row>
    <row r="846" spans="2:213" s="156" customFormat="1" hidden="1">
      <c r="B846" s="155"/>
      <c r="C846" s="155"/>
      <c r="D846" s="155"/>
      <c r="E846" s="155"/>
      <c r="F846" s="155"/>
      <c r="G846" s="155"/>
      <c r="H846" s="155"/>
      <c r="I846" s="155"/>
      <c r="J846" s="155"/>
      <c r="K846" s="155"/>
      <c r="L846" s="155"/>
      <c r="M846" s="155"/>
      <c r="N846" s="155"/>
      <c r="O846" s="155"/>
      <c r="P846" s="155"/>
      <c r="Q846" s="155"/>
      <c r="R846" s="155"/>
      <c r="S846" s="155"/>
      <c r="T846" s="155"/>
      <c r="U846" s="155"/>
      <c r="V846" s="155"/>
      <c r="W846" s="155"/>
      <c r="GL846" s="155"/>
      <c r="GM846" s="155"/>
      <c r="GN846" s="155"/>
      <c r="GO846" s="155"/>
      <c r="GP846" s="155"/>
      <c r="GQ846" s="155"/>
      <c r="GR846" s="155"/>
      <c r="GS846" s="155"/>
      <c r="GT846" s="155"/>
      <c r="GU846" s="155"/>
      <c r="GV846" s="155"/>
      <c r="GW846" s="155"/>
      <c r="GX846" s="155"/>
      <c r="GY846" s="155"/>
      <c r="GZ846" s="155"/>
      <c r="HA846" s="155"/>
      <c r="HB846" s="155"/>
      <c r="HC846" s="155"/>
      <c r="HD846" s="155"/>
      <c r="HE846" s="155"/>
    </row>
    <row r="847" spans="2:213" s="156" customFormat="1" hidden="1">
      <c r="B847" s="155"/>
      <c r="C847" s="155"/>
      <c r="D847" s="155"/>
      <c r="E847" s="155"/>
      <c r="F847" s="155"/>
      <c r="G847" s="155"/>
      <c r="H847" s="155"/>
      <c r="I847" s="155"/>
      <c r="J847" s="155"/>
      <c r="K847" s="155"/>
      <c r="L847" s="155"/>
      <c r="M847" s="155"/>
      <c r="N847" s="155"/>
      <c r="O847" s="155"/>
      <c r="P847" s="155"/>
      <c r="Q847" s="155"/>
      <c r="R847" s="155"/>
      <c r="S847" s="155"/>
      <c r="T847" s="155"/>
      <c r="U847" s="155"/>
      <c r="V847" s="155"/>
      <c r="W847" s="155"/>
      <c r="GL847" s="155"/>
      <c r="GM847" s="155"/>
      <c r="GN847" s="155"/>
      <c r="GO847" s="155"/>
      <c r="GP847" s="155"/>
      <c r="GQ847" s="155"/>
      <c r="GR847" s="155"/>
      <c r="GS847" s="155"/>
      <c r="GT847" s="155"/>
      <c r="GU847" s="155"/>
      <c r="GV847" s="155"/>
      <c r="GW847" s="155"/>
      <c r="GX847" s="155"/>
      <c r="GY847" s="155"/>
      <c r="GZ847" s="155"/>
      <c r="HA847" s="155"/>
      <c r="HB847" s="155"/>
      <c r="HC847" s="155"/>
      <c r="HD847" s="155"/>
      <c r="HE847" s="155"/>
    </row>
    <row r="848" spans="2:213" s="156" customFormat="1" hidden="1">
      <c r="B848" s="155"/>
      <c r="C848" s="155"/>
      <c r="D848" s="155"/>
      <c r="E848" s="155"/>
      <c r="F848" s="155"/>
      <c r="G848" s="155"/>
      <c r="H848" s="155"/>
      <c r="I848" s="155"/>
      <c r="J848" s="155"/>
      <c r="K848" s="155"/>
      <c r="L848" s="155"/>
      <c r="M848" s="155"/>
      <c r="N848" s="155"/>
      <c r="O848" s="155"/>
      <c r="P848" s="155"/>
      <c r="Q848" s="155"/>
      <c r="R848" s="155"/>
      <c r="S848" s="155"/>
      <c r="T848" s="155"/>
      <c r="U848" s="155"/>
      <c r="V848" s="155"/>
      <c r="W848" s="155"/>
      <c r="GL848" s="155"/>
      <c r="GM848" s="155"/>
      <c r="GN848" s="155"/>
      <c r="GO848" s="155"/>
      <c r="GP848" s="155"/>
      <c r="GQ848" s="155"/>
      <c r="GR848" s="155"/>
      <c r="GS848" s="155"/>
      <c r="GT848" s="155"/>
      <c r="GU848" s="155"/>
      <c r="GV848" s="155"/>
      <c r="GW848" s="155"/>
      <c r="GX848" s="155"/>
      <c r="GY848" s="155"/>
      <c r="GZ848" s="155"/>
      <c r="HA848" s="155"/>
      <c r="HB848" s="155"/>
      <c r="HC848" s="155"/>
      <c r="HD848" s="155"/>
      <c r="HE848" s="155"/>
    </row>
    <row r="849" spans="2:213" s="156" customFormat="1" hidden="1">
      <c r="B849" s="155"/>
      <c r="C849" s="155"/>
      <c r="D849" s="155"/>
      <c r="E849" s="155"/>
      <c r="F849" s="155"/>
      <c r="G849" s="155"/>
      <c r="H849" s="155"/>
      <c r="I849" s="155"/>
      <c r="J849" s="155"/>
      <c r="K849" s="155"/>
      <c r="L849" s="155"/>
      <c r="M849" s="155"/>
      <c r="N849" s="155"/>
      <c r="O849" s="155"/>
      <c r="P849" s="155"/>
      <c r="Q849" s="155"/>
      <c r="R849" s="155"/>
      <c r="S849" s="155"/>
      <c r="T849" s="155"/>
      <c r="U849" s="155"/>
      <c r="V849" s="155"/>
      <c r="W849" s="155"/>
      <c r="GL849" s="155"/>
      <c r="GM849" s="155"/>
      <c r="GN849" s="155"/>
      <c r="GO849" s="155"/>
      <c r="GP849" s="155"/>
      <c r="GQ849" s="155"/>
      <c r="GR849" s="155"/>
      <c r="GS849" s="155"/>
      <c r="GT849" s="155"/>
      <c r="GU849" s="155"/>
      <c r="GV849" s="155"/>
      <c r="GW849" s="155"/>
      <c r="GX849" s="155"/>
      <c r="GY849" s="155"/>
      <c r="GZ849" s="155"/>
      <c r="HA849" s="155"/>
      <c r="HB849" s="155"/>
      <c r="HC849" s="155"/>
      <c r="HD849" s="155"/>
      <c r="HE849" s="155"/>
    </row>
    <row r="850" spans="2:213" s="156" customFormat="1" hidden="1">
      <c r="B850" s="155"/>
      <c r="C850" s="155"/>
      <c r="D850" s="155"/>
      <c r="E850" s="155"/>
      <c r="F850" s="155"/>
      <c r="G850" s="155"/>
      <c r="H850" s="155"/>
      <c r="I850" s="155"/>
      <c r="J850" s="155"/>
      <c r="K850" s="155"/>
      <c r="L850" s="155"/>
      <c r="M850" s="155"/>
      <c r="N850" s="155"/>
      <c r="O850" s="155"/>
      <c r="P850" s="155"/>
      <c r="Q850" s="155"/>
      <c r="R850" s="155"/>
      <c r="S850" s="155"/>
      <c r="T850" s="155"/>
      <c r="U850" s="155"/>
      <c r="V850" s="155"/>
      <c r="W850" s="155"/>
      <c r="GL850" s="155"/>
      <c r="GM850" s="155"/>
      <c r="GN850" s="155"/>
      <c r="GO850" s="155"/>
      <c r="GP850" s="155"/>
      <c r="GQ850" s="155"/>
      <c r="GR850" s="155"/>
      <c r="GS850" s="155"/>
      <c r="GT850" s="155"/>
      <c r="GU850" s="155"/>
      <c r="GV850" s="155"/>
      <c r="GW850" s="155"/>
      <c r="GX850" s="155"/>
      <c r="GY850" s="155"/>
      <c r="GZ850" s="155"/>
      <c r="HA850" s="155"/>
      <c r="HB850" s="155"/>
      <c r="HC850" s="155"/>
      <c r="HD850" s="155"/>
      <c r="HE850" s="155"/>
    </row>
    <row r="851" spans="2:213" s="156" customFormat="1" hidden="1">
      <c r="B851" s="155"/>
      <c r="C851" s="155"/>
      <c r="D851" s="155"/>
      <c r="E851" s="155"/>
      <c r="F851" s="155"/>
      <c r="G851" s="155"/>
      <c r="H851" s="155"/>
      <c r="I851" s="155"/>
      <c r="J851" s="155"/>
      <c r="K851" s="155"/>
      <c r="L851" s="155"/>
      <c r="M851" s="155"/>
      <c r="N851" s="155"/>
      <c r="O851" s="155"/>
      <c r="P851" s="155"/>
      <c r="Q851" s="155"/>
      <c r="R851" s="155"/>
      <c r="S851" s="155"/>
      <c r="T851" s="155"/>
      <c r="U851" s="155"/>
      <c r="V851" s="155"/>
      <c r="W851" s="155"/>
      <c r="GL851" s="155"/>
      <c r="GM851" s="155"/>
      <c r="GN851" s="155"/>
      <c r="GO851" s="155"/>
      <c r="GP851" s="155"/>
      <c r="GQ851" s="155"/>
      <c r="GR851" s="155"/>
      <c r="GS851" s="155"/>
      <c r="GT851" s="155"/>
      <c r="GU851" s="155"/>
      <c r="GV851" s="155"/>
      <c r="GW851" s="155"/>
      <c r="GX851" s="155"/>
      <c r="GY851" s="155"/>
      <c r="GZ851" s="155"/>
      <c r="HA851" s="155"/>
      <c r="HB851" s="155"/>
      <c r="HC851" s="155"/>
      <c r="HD851" s="155"/>
      <c r="HE851" s="155"/>
    </row>
    <row r="852" spans="2:213" s="156" customFormat="1" hidden="1">
      <c r="B852" s="155"/>
      <c r="C852" s="155"/>
      <c r="D852" s="155"/>
      <c r="E852" s="155"/>
      <c r="F852" s="155"/>
      <c r="G852" s="155"/>
      <c r="H852" s="155"/>
      <c r="I852" s="155"/>
      <c r="J852" s="155"/>
      <c r="K852" s="155"/>
      <c r="L852" s="155"/>
      <c r="M852" s="155"/>
      <c r="N852" s="155"/>
      <c r="O852" s="155"/>
      <c r="P852" s="155"/>
      <c r="Q852" s="155"/>
      <c r="R852" s="155"/>
      <c r="S852" s="155"/>
      <c r="T852" s="155"/>
      <c r="U852" s="155"/>
      <c r="V852" s="155"/>
      <c r="W852" s="155"/>
      <c r="GL852" s="155"/>
      <c r="GM852" s="155"/>
      <c r="GN852" s="155"/>
      <c r="GO852" s="155"/>
      <c r="GP852" s="155"/>
      <c r="GQ852" s="155"/>
      <c r="GR852" s="155"/>
      <c r="GS852" s="155"/>
      <c r="GT852" s="155"/>
      <c r="GU852" s="155"/>
      <c r="GV852" s="155"/>
      <c r="GW852" s="155"/>
      <c r="GX852" s="155"/>
      <c r="GY852" s="155"/>
      <c r="GZ852" s="155"/>
      <c r="HA852" s="155"/>
      <c r="HB852" s="155"/>
      <c r="HC852" s="155"/>
      <c r="HD852" s="155"/>
      <c r="HE852" s="155"/>
    </row>
    <row r="853" spans="2:213" s="156" customFormat="1" hidden="1">
      <c r="B853" s="155"/>
      <c r="C853" s="155"/>
      <c r="D853" s="155"/>
      <c r="E853" s="155"/>
      <c r="F853" s="155"/>
      <c r="G853" s="155"/>
      <c r="H853" s="155"/>
      <c r="I853" s="155"/>
      <c r="J853" s="155"/>
      <c r="K853" s="155"/>
      <c r="L853" s="155"/>
      <c r="M853" s="155"/>
      <c r="N853" s="155"/>
      <c r="O853" s="155"/>
      <c r="P853" s="155"/>
      <c r="Q853" s="155"/>
      <c r="R853" s="155"/>
      <c r="S853" s="155"/>
      <c r="T853" s="155"/>
      <c r="U853" s="155"/>
      <c r="V853" s="155"/>
      <c r="W853" s="155"/>
      <c r="GL853" s="155"/>
      <c r="GM853" s="155"/>
      <c r="GN853" s="155"/>
      <c r="GO853" s="155"/>
      <c r="GP853" s="155"/>
      <c r="GQ853" s="155"/>
      <c r="GR853" s="155"/>
      <c r="GS853" s="155"/>
      <c r="GT853" s="155"/>
      <c r="GU853" s="155"/>
      <c r="GV853" s="155"/>
      <c r="GW853" s="155"/>
      <c r="GX853" s="155"/>
      <c r="GY853" s="155"/>
      <c r="GZ853" s="155"/>
      <c r="HA853" s="155"/>
      <c r="HB853" s="155"/>
      <c r="HC853" s="155"/>
      <c r="HD853" s="155"/>
      <c r="HE853" s="155"/>
    </row>
    <row r="854" spans="2:213" s="156" customFormat="1" hidden="1">
      <c r="B854" s="155"/>
      <c r="C854" s="155"/>
      <c r="D854" s="155"/>
      <c r="E854" s="155"/>
      <c r="F854" s="155"/>
      <c r="G854" s="155"/>
      <c r="H854" s="155"/>
      <c r="I854" s="155"/>
      <c r="J854" s="155"/>
      <c r="K854" s="155"/>
      <c r="L854" s="155"/>
      <c r="M854" s="155"/>
      <c r="N854" s="155"/>
      <c r="O854" s="155"/>
      <c r="P854" s="155"/>
      <c r="Q854" s="155"/>
      <c r="R854" s="155"/>
      <c r="S854" s="155"/>
      <c r="T854" s="155"/>
      <c r="U854" s="155"/>
      <c r="V854" s="155"/>
      <c r="W854" s="155"/>
      <c r="GL854" s="155"/>
      <c r="GM854" s="155"/>
      <c r="GN854" s="155"/>
      <c r="GO854" s="155"/>
      <c r="GP854" s="155"/>
      <c r="GQ854" s="155"/>
      <c r="GR854" s="155"/>
      <c r="GS854" s="155"/>
      <c r="GT854" s="155"/>
      <c r="GU854" s="155"/>
      <c r="GV854" s="155"/>
      <c r="GW854" s="155"/>
      <c r="GX854" s="155"/>
      <c r="GY854" s="155"/>
      <c r="GZ854" s="155"/>
      <c r="HA854" s="155"/>
      <c r="HB854" s="155"/>
      <c r="HC854" s="155"/>
      <c r="HD854" s="155"/>
      <c r="HE854" s="155"/>
    </row>
    <row r="855" spans="2:213" s="156" customFormat="1" hidden="1">
      <c r="B855" s="155"/>
      <c r="C855" s="155"/>
      <c r="D855" s="155"/>
      <c r="E855" s="155"/>
      <c r="F855" s="155"/>
      <c r="G855" s="155"/>
      <c r="H855" s="155"/>
      <c r="I855" s="155"/>
      <c r="J855" s="155"/>
      <c r="K855" s="155"/>
      <c r="L855" s="155"/>
      <c r="M855" s="155"/>
      <c r="N855" s="155"/>
      <c r="O855" s="155"/>
      <c r="P855" s="155"/>
      <c r="Q855" s="155"/>
      <c r="R855" s="155"/>
      <c r="S855" s="155"/>
      <c r="T855" s="155"/>
      <c r="U855" s="155"/>
      <c r="V855" s="155"/>
      <c r="W855" s="155"/>
      <c r="GL855" s="155"/>
      <c r="GM855" s="155"/>
      <c r="GN855" s="155"/>
      <c r="GO855" s="155"/>
      <c r="GP855" s="155"/>
      <c r="GQ855" s="155"/>
      <c r="GR855" s="155"/>
      <c r="GS855" s="155"/>
      <c r="GT855" s="155"/>
      <c r="GU855" s="155"/>
      <c r="GV855" s="155"/>
      <c r="GW855" s="155"/>
      <c r="GX855" s="155"/>
      <c r="GY855" s="155"/>
      <c r="GZ855" s="155"/>
      <c r="HA855" s="155"/>
      <c r="HB855" s="155"/>
      <c r="HC855" s="155"/>
      <c r="HD855" s="155"/>
      <c r="HE855" s="155"/>
    </row>
    <row r="856" spans="2:213" s="156" customFormat="1" hidden="1">
      <c r="B856" s="155"/>
      <c r="C856" s="155"/>
      <c r="D856" s="155"/>
      <c r="E856" s="155"/>
      <c r="F856" s="155"/>
      <c r="G856" s="155"/>
      <c r="H856" s="155"/>
      <c r="I856" s="155"/>
      <c r="J856" s="155"/>
      <c r="K856" s="155"/>
      <c r="L856" s="155"/>
      <c r="M856" s="155"/>
      <c r="N856" s="155"/>
      <c r="O856" s="155"/>
      <c r="P856" s="155"/>
      <c r="Q856" s="155"/>
      <c r="R856" s="155"/>
      <c r="S856" s="155"/>
      <c r="T856" s="155"/>
      <c r="U856" s="155"/>
      <c r="V856" s="155"/>
      <c r="W856" s="155"/>
      <c r="GL856" s="155"/>
      <c r="GM856" s="155"/>
      <c r="GN856" s="155"/>
      <c r="GO856" s="155"/>
      <c r="GP856" s="155"/>
      <c r="GQ856" s="155"/>
      <c r="GR856" s="155"/>
      <c r="GS856" s="155"/>
      <c r="GT856" s="155"/>
      <c r="GU856" s="155"/>
      <c r="GV856" s="155"/>
      <c r="GW856" s="155"/>
      <c r="GX856" s="155"/>
      <c r="GY856" s="155"/>
      <c r="GZ856" s="155"/>
      <c r="HA856" s="155"/>
      <c r="HB856" s="155"/>
      <c r="HC856" s="155"/>
      <c r="HD856" s="155"/>
      <c r="HE856" s="155"/>
    </row>
    <row r="857" spans="2:213" s="156" customFormat="1" hidden="1">
      <c r="B857" s="155"/>
      <c r="C857" s="155"/>
      <c r="D857" s="155"/>
      <c r="E857" s="155"/>
      <c r="F857" s="155"/>
      <c r="G857" s="155"/>
      <c r="H857" s="155"/>
      <c r="I857" s="155"/>
      <c r="J857" s="155"/>
      <c r="K857" s="155"/>
      <c r="L857" s="155"/>
      <c r="M857" s="155"/>
      <c r="N857" s="155"/>
      <c r="O857" s="155"/>
      <c r="P857" s="155"/>
      <c r="Q857" s="155"/>
      <c r="R857" s="155"/>
      <c r="S857" s="155"/>
      <c r="T857" s="155"/>
      <c r="U857" s="155"/>
      <c r="V857" s="155"/>
      <c r="W857" s="155"/>
      <c r="GL857" s="155"/>
      <c r="GM857" s="155"/>
      <c r="GN857" s="155"/>
      <c r="GO857" s="155"/>
      <c r="GP857" s="155"/>
      <c r="GQ857" s="155"/>
      <c r="GR857" s="155"/>
      <c r="GS857" s="155"/>
      <c r="GT857" s="155"/>
      <c r="GU857" s="155"/>
      <c r="GV857" s="155"/>
      <c r="GW857" s="155"/>
      <c r="GX857" s="155"/>
      <c r="GY857" s="155"/>
      <c r="GZ857" s="155"/>
      <c r="HA857" s="155"/>
      <c r="HB857" s="155"/>
      <c r="HC857" s="155"/>
      <c r="HD857" s="155"/>
      <c r="HE857" s="155"/>
    </row>
    <row r="858" spans="2:213" s="156" customFormat="1" hidden="1">
      <c r="B858" s="155"/>
      <c r="C858" s="155"/>
      <c r="D858" s="155"/>
      <c r="E858" s="155"/>
      <c r="F858" s="155"/>
      <c r="G858" s="155"/>
      <c r="H858" s="155"/>
      <c r="I858" s="155"/>
      <c r="J858" s="155"/>
      <c r="K858" s="155"/>
      <c r="L858" s="155"/>
      <c r="M858" s="155"/>
      <c r="N858" s="155"/>
      <c r="O858" s="155"/>
      <c r="P858" s="155"/>
      <c r="Q858" s="155"/>
      <c r="R858" s="155"/>
      <c r="S858" s="155"/>
      <c r="T858" s="155"/>
      <c r="U858" s="155"/>
      <c r="V858" s="155"/>
      <c r="W858" s="155"/>
      <c r="GL858" s="155"/>
      <c r="GM858" s="155"/>
      <c r="GN858" s="155"/>
      <c r="GO858" s="155"/>
      <c r="GP858" s="155"/>
      <c r="GQ858" s="155"/>
      <c r="GR858" s="155"/>
      <c r="GS858" s="155"/>
      <c r="GT858" s="155"/>
      <c r="GU858" s="155"/>
      <c r="GV858" s="155"/>
      <c r="GW858" s="155"/>
      <c r="GX858" s="155"/>
      <c r="GY858" s="155"/>
      <c r="GZ858" s="155"/>
      <c r="HA858" s="155"/>
      <c r="HB858" s="155"/>
      <c r="HC858" s="155"/>
      <c r="HD858" s="155"/>
      <c r="HE858" s="155"/>
    </row>
    <row r="859" spans="2:213" s="156" customFormat="1" hidden="1">
      <c r="B859" s="155"/>
      <c r="C859" s="155"/>
      <c r="D859" s="155"/>
      <c r="E859" s="155"/>
      <c r="F859" s="155"/>
      <c r="G859" s="155"/>
      <c r="H859" s="155"/>
      <c r="I859" s="155"/>
      <c r="J859" s="155"/>
      <c r="K859" s="155"/>
      <c r="L859" s="155"/>
      <c r="M859" s="155"/>
      <c r="N859" s="155"/>
      <c r="O859" s="155"/>
      <c r="P859" s="155"/>
      <c r="Q859" s="155"/>
      <c r="R859" s="155"/>
      <c r="S859" s="155"/>
      <c r="T859" s="155"/>
      <c r="U859" s="155"/>
      <c r="V859" s="155"/>
      <c r="W859" s="155"/>
      <c r="GL859" s="155"/>
      <c r="GM859" s="155"/>
      <c r="GN859" s="155"/>
      <c r="GO859" s="155"/>
      <c r="GP859" s="155"/>
      <c r="GQ859" s="155"/>
      <c r="GR859" s="155"/>
      <c r="GS859" s="155"/>
      <c r="GT859" s="155"/>
      <c r="GU859" s="155"/>
      <c r="GV859" s="155"/>
      <c r="GW859" s="155"/>
      <c r="GX859" s="155"/>
      <c r="GY859" s="155"/>
      <c r="GZ859" s="155"/>
      <c r="HA859" s="155"/>
      <c r="HB859" s="155"/>
      <c r="HC859" s="155"/>
      <c r="HD859" s="155"/>
      <c r="HE859" s="155"/>
    </row>
    <row r="860" spans="2:213" s="156" customFormat="1" hidden="1">
      <c r="B860" s="155"/>
      <c r="C860" s="155"/>
      <c r="D860" s="155"/>
      <c r="E860" s="155"/>
      <c r="F860" s="155"/>
      <c r="G860" s="155"/>
      <c r="H860" s="155"/>
      <c r="I860" s="155"/>
      <c r="J860" s="155"/>
      <c r="K860" s="155"/>
      <c r="L860" s="155"/>
      <c r="M860" s="155"/>
      <c r="N860" s="155"/>
      <c r="O860" s="155"/>
      <c r="P860" s="155"/>
      <c r="Q860" s="155"/>
      <c r="R860" s="155"/>
      <c r="S860" s="155"/>
      <c r="T860" s="155"/>
      <c r="U860" s="155"/>
      <c r="V860" s="155"/>
      <c r="W860" s="155"/>
      <c r="GL860" s="155"/>
      <c r="GM860" s="155"/>
      <c r="GN860" s="155"/>
      <c r="GO860" s="155"/>
      <c r="GP860" s="155"/>
      <c r="GQ860" s="155"/>
      <c r="GR860" s="155"/>
      <c r="GS860" s="155"/>
      <c r="GT860" s="155"/>
      <c r="GU860" s="155"/>
      <c r="GV860" s="155"/>
      <c r="GW860" s="155"/>
      <c r="GX860" s="155"/>
      <c r="GY860" s="155"/>
      <c r="GZ860" s="155"/>
      <c r="HA860" s="155"/>
      <c r="HB860" s="155"/>
      <c r="HC860" s="155"/>
      <c r="HD860" s="155"/>
      <c r="HE860" s="155"/>
    </row>
    <row r="861" spans="2:213" s="156" customFormat="1" hidden="1">
      <c r="B861" s="155"/>
      <c r="C861" s="155"/>
      <c r="D861" s="155"/>
      <c r="E861" s="155"/>
      <c r="F861" s="155"/>
      <c r="G861" s="155"/>
      <c r="H861" s="155"/>
      <c r="I861" s="155"/>
      <c r="J861" s="155"/>
      <c r="K861" s="155"/>
      <c r="L861" s="155"/>
      <c r="M861" s="155"/>
      <c r="N861" s="155"/>
      <c r="O861" s="155"/>
      <c r="P861" s="155"/>
      <c r="Q861" s="155"/>
      <c r="R861" s="155"/>
      <c r="S861" s="155"/>
      <c r="T861" s="155"/>
      <c r="U861" s="155"/>
      <c r="V861" s="155"/>
      <c r="W861" s="155"/>
      <c r="GL861" s="155"/>
      <c r="GM861" s="155"/>
      <c r="GN861" s="155"/>
      <c r="GO861" s="155"/>
      <c r="GP861" s="155"/>
      <c r="GQ861" s="155"/>
      <c r="GR861" s="155"/>
      <c r="GS861" s="155"/>
      <c r="GT861" s="155"/>
      <c r="GU861" s="155"/>
      <c r="GV861" s="155"/>
      <c r="GW861" s="155"/>
      <c r="GX861" s="155"/>
      <c r="GY861" s="155"/>
      <c r="GZ861" s="155"/>
      <c r="HA861" s="155"/>
      <c r="HB861" s="155"/>
      <c r="HC861" s="155"/>
      <c r="HD861" s="155"/>
      <c r="HE861" s="155"/>
    </row>
    <row r="862" spans="2:213" s="156" customFormat="1" hidden="1">
      <c r="B862" s="155"/>
      <c r="C862" s="155"/>
      <c r="D862" s="155"/>
      <c r="E862" s="155"/>
      <c r="F862" s="155"/>
      <c r="G862" s="155"/>
      <c r="H862" s="155"/>
      <c r="I862" s="155"/>
      <c r="J862" s="155"/>
      <c r="K862" s="155"/>
      <c r="L862" s="155"/>
      <c r="M862" s="155"/>
      <c r="N862" s="155"/>
      <c r="O862" s="155"/>
      <c r="P862" s="155"/>
      <c r="Q862" s="155"/>
      <c r="R862" s="155"/>
      <c r="S862" s="155"/>
      <c r="T862" s="155"/>
      <c r="U862" s="155"/>
      <c r="V862" s="155"/>
      <c r="W862" s="155"/>
      <c r="GL862" s="155"/>
      <c r="GM862" s="155"/>
      <c r="GN862" s="155"/>
      <c r="GO862" s="155"/>
      <c r="GP862" s="155"/>
      <c r="GQ862" s="155"/>
      <c r="GR862" s="155"/>
      <c r="GS862" s="155"/>
      <c r="GT862" s="155"/>
      <c r="GU862" s="155"/>
      <c r="GV862" s="155"/>
      <c r="GW862" s="155"/>
      <c r="GX862" s="155"/>
      <c r="GY862" s="155"/>
      <c r="GZ862" s="155"/>
      <c r="HA862" s="155"/>
      <c r="HB862" s="155"/>
      <c r="HC862" s="155"/>
      <c r="HD862" s="155"/>
      <c r="HE862" s="155"/>
    </row>
    <row r="863" spans="2:213" s="156" customFormat="1" hidden="1">
      <c r="B863" s="155"/>
      <c r="C863" s="155"/>
      <c r="D863" s="155"/>
      <c r="E863" s="155"/>
      <c r="F863" s="155"/>
      <c r="G863" s="155"/>
      <c r="H863" s="155"/>
      <c r="I863" s="155"/>
      <c r="J863" s="155"/>
      <c r="K863" s="155"/>
      <c r="L863" s="155"/>
      <c r="M863" s="155"/>
      <c r="N863" s="155"/>
      <c r="O863" s="155"/>
      <c r="P863" s="155"/>
      <c r="Q863" s="155"/>
      <c r="R863" s="155"/>
      <c r="S863" s="155"/>
      <c r="T863" s="155"/>
      <c r="U863" s="155"/>
      <c r="V863" s="155"/>
      <c r="W863" s="155"/>
      <c r="GL863" s="155"/>
      <c r="GM863" s="155"/>
      <c r="GN863" s="155"/>
      <c r="GO863" s="155"/>
      <c r="GP863" s="155"/>
      <c r="GQ863" s="155"/>
      <c r="GR863" s="155"/>
      <c r="GS863" s="155"/>
      <c r="GT863" s="155"/>
      <c r="GU863" s="155"/>
      <c r="GV863" s="155"/>
      <c r="GW863" s="155"/>
      <c r="GX863" s="155"/>
      <c r="GY863" s="155"/>
      <c r="GZ863" s="155"/>
      <c r="HA863" s="155"/>
      <c r="HB863" s="155"/>
      <c r="HC863" s="155"/>
      <c r="HD863" s="155"/>
      <c r="HE863" s="155"/>
    </row>
    <row r="864" spans="2:213" s="156" customFormat="1" hidden="1">
      <c r="B864" s="155"/>
      <c r="C864" s="155"/>
      <c r="D864" s="155"/>
      <c r="E864" s="155"/>
      <c r="F864" s="155"/>
      <c r="G864" s="155"/>
      <c r="H864" s="155"/>
      <c r="I864" s="155"/>
      <c r="J864" s="155"/>
      <c r="K864" s="155"/>
      <c r="L864" s="155"/>
      <c r="M864" s="155"/>
      <c r="N864" s="155"/>
      <c r="O864" s="155"/>
      <c r="P864" s="155"/>
      <c r="Q864" s="155"/>
      <c r="R864" s="155"/>
      <c r="S864" s="155"/>
      <c r="T864" s="155"/>
      <c r="U864" s="155"/>
      <c r="V864" s="155"/>
      <c r="W864" s="155"/>
      <c r="GL864" s="155"/>
      <c r="GM864" s="155"/>
      <c r="GN864" s="155"/>
      <c r="GO864" s="155"/>
      <c r="GP864" s="155"/>
      <c r="GQ864" s="155"/>
      <c r="GR864" s="155"/>
      <c r="GS864" s="155"/>
      <c r="GT864" s="155"/>
      <c r="GU864" s="155"/>
      <c r="GV864" s="155"/>
      <c r="GW864" s="155"/>
      <c r="GX864" s="155"/>
      <c r="GY864" s="155"/>
      <c r="GZ864" s="155"/>
      <c r="HA864" s="155"/>
      <c r="HB864" s="155"/>
      <c r="HC864" s="155"/>
      <c r="HD864" s="155"/>
      <c r="HE864" s="155"/>
    </row>
    <row r="865" spans="2:213" s="156" customFormat="1" hidden="1">
      <c r="B865" s="155"/>
      <c r="C865" s="155"/>
      <c r="D865" s="155"/>
      <c r="E865" s="155"/>
      <c r="F865" s="155"/>
      <c r="G865" s="155"/>
      <c r="H865" s="155"/>
      <c r="I865" s="155"/>
      <c r="J865" s="155"/>
      <c r="K865" s="155"/>
      <c r="L865" s="155"/>
      <c r="M865" s="155"/>
      <c r="N865" s="155"/>
      <c r="O865" s="155"/>
      <c r="P865" s="155"/>
      <c r="Q865" s="155"/>
      <c r="R865" s="155"/>
      <c r="S865" s="155"/>
      <c r="T865" s="155"/>
      <c r="U865" s="155"/>
      <c r="V865" s="155"/>
      <c r="W865" s="155"/>
      <c r="GL865" s="155"/>
      <c r="GM865" s="155"/>
      <c r="GN865" s="155"/>
      <c r="GO865" s="155"/>
      <c r="GP865" s="155"/>
      <c r="GQ865" s="155"/>
      <c r="GR865" s="155"/>
      <c r="GS865" s="155"/>
      <c r="GT865" s="155"/>
      <c r="GU865" s="155"/>
      <c r="GV865" s="155"/>
      <c r="GW865" s="155"/>
      <c r="GX865" s="155"/>
      <c r="GY865" s="155"/>
      <c r="GZ865" s="155"/>
      <c r="HA865" s="155"/>
      <c r="HB865" s="155"/>
      <c r="HC865" s="155"/>
      <c r="HD865" s="155"/>
      <c r="HE865" s="155"/>
    </row>
    <row r="866" spans="2:213" s="156" customFormat="1" hidden="1">
      <c r="B866" s="155"/>
      <c r="C866" s="155"/>
      <c r="D866" s="155"/>
      <c r="E866" s="155"/>
      <c r="F866" s="155"/>
      <c r="G866" s="155"/>
      <c r="H866" s="155"/>
      <c r="I866" s="155"/>
      <c r="J866" s="155"/>
      <c r="K866" s="155"/>
      <c r="L866" s="155"/>
      <c r="M866" s="155"/>
      <c r="N866" s="155"/>
      <c r="O866" s="155"/>
      <c r="P866" s="155"/>
      <c r="Q866" s="155"/>
      <c r="R866" s="155"/>
      <c r="S866" s="155"/>
      <c r="T866" s="155"/>
      <c r="U866" s="155"/>
      <c r="V866" s="155"/>
      <c r="W866" s="155"/>
      <c r="GL866" s="155"/>
      <c r="GM866" s="155"/>
      <c r="GN866" s="155"/>
      <c r="GO866" s="155"/>
      <c r="GP866" s="155"/>
      <c r="GQ866" s="155"/>
      <c r="GR866" s="155"/>
      <c r="GS866" s="155"/>
      <c r="GT866" s="155"/>
      <c r="GU866" s="155"/>
      <c r="GV866" s="155"/>
      <c r="GW866" s="155"/>
      <c r="GX866" s="155"/>
      <c r="GY866" s="155"/>
      <c r="GZ866" s="155"/>
      <c r="HA866" s="155"/>
      <c r="HB866" s="155"/>
      <c r="HC866" s="155"/>
      <c r="HD866" s="155"/>
      <c r="HE866" s="155"/>
    </row>
    <row r="867" spans="2:213" s="156" customFormat="1" hidden="1">
      <c r="B867" s="155"/>
      <c r="C867" s="155"/>
      <c r="D867" s="155"/>
      <c r="E867" s="155"/>
      <c r="F867" s="155"/>
      <c r="G867" s="155"/>
      <c r="H867" s="155"/>
      <c r="I867" s="155"/>
      <c r="J867" s="155"/>
      <c r="K867" s="155"/>
      <c r="L867" s="155"/>
      <c r="M867" s="155"/>
      <c r="N867" s="155"/>
      <c r="O867" s="155"/>
      <c r="P867" s="155"/>
      <c r="Q867" s="155"/>
      <c r="R867" s="155"/>
      <c r="S867" s="155"/>
      <c r="T867" s="155"/>
      <c r="U867" s="155"/>
      <c r="V867" s="155"/>
      <c r="W867" s="155"/>
      <c r="GL867" s="155"/>
      <c r="GM867" s="155"/>
      <c r="GN867" s="155"/>
      <c r="GO867" s="155"/>
      <c r="GP867" s="155"/>
      <c r="GQ867" s="155"/>
      <c r="GR867" s="155"/>
      <c r="GS867" s="155"/>
      <c r="GT867" s="155"/>
      <c r="GU867" s="155"/>
      <c r="GV867" s="155"/>
      <c r="GW867" s="155"/>
      <c r="GX867" s="155"/>
      <c r="GY867" s="155"/>
      <c r="GZ867" s="155"/>
      <c r="HA867" s="155"/>
      <c r="HB867" s="155"/>
      <c r="HC867" s="155"/>
      <c r="HD867" s="155"/>
      <c r="HE867" s="155"/>
    </row>
    <row r="868" spans="2:213" s="156" customFormat="1" hidden="1">
      <c r="B868" s="155"/>
      <c r="C868" s="155"/>
      <c r="D868" s="155"/>
      <c r="E868" s="155"/>
      <c r="F868" s="155"/>
      <c r="G868" s="155"/>
      <c r="H868" s="155"/>
      <c r="I868" s="155"/>
      <c r="J868" s="155"/>
      <c r="K868" s="155"/>
      <c r="L868" s="155"/>
      <c r="M868" s="155"/>
      <c r="N868" s="155"/>
      <c r="O868" s="155"/>
      <c r="P868" s="155"/>
      <c r="Q868" s="155"/>
      <c r="R868" s="155"/>
      <c r="S868" s="155"/>
      <c r="T868" s="155"/>
      <c r="U868" s="155"/>
      <c r="V868" s="155"/>
      <c r="W868" s="155"/>
      <c r="GL868" s="155"/>
      <c r="GM868" s="155"/>
      <c r="GN868" s="155"/>
      <c r="GO868" s="155"/>
      <c r="GP868" s="155"/>
      <c r="GQ868" s="155"/>
      <c r="GR868" s="155"/>
      <c r="GS868" s="155"/>
      <c r="GT868" s="155"/>
      <c r="GU868" s="155"/>
      <c r="GV868" s="155"/>
      <c r="GW868" s="155"/>
      <c r="GX868" s="155"/>
      <c r="GY868" s="155"/>
      <c r="GZ868" s="155"/>
      <c r="HA868" s="155"/>
      <c r="HB868" s="155"/>
      <c r="HC868" s="155"/>
      <c r="HD868" s="155"/>
      <c r="HE868" s="155"/>
    </row>
    <row r="869" spans="2:213" s="156" customFormat="1" hidden="1">
      <c r="B869" s="155"/>
      <c r="C869" s="155"/>
      <c r="D869" s="155"/>
      <c r="E869" s="155"/>
      <c r="F869" s="155"/>
      <c r="G869" s="155"/>
      <c r="H869" s="155"/>
      <c r="I869" s="155"/>
      <c r="J869" s="155"/>
      <c r="K869" s="155"/>
      <c r="L869" s="155"/>
      <c r="M869" s="155"/>
      <c r="N869" s="155"/>
      <c r="O869" s="155"/>
      <c r="P869" s="155"/>
      <c r="Q869" s="155"/>
      <c r="R869" s="155"/>
      <c r="S869" s="155"/>
      <c r="T869" s="155"/>
      <c r="U869" s="155"/>
      <c r="V869" s="155"/>
      <c r="W869" s="155"/>
      <c r="GL869" s="155"/>
      <c r="GM869" s="155"/>
      <c r="GN869" s="155"/>
      <c r="GO869" s="155"/>
      <c r="GP869" s="155"/>
      <c r="GQ869" s="155"/>
      <c r="GR869" s="155"/>
      <c r="GS869" s="155"/>
      <c r="GT869" s="155"/>
      <c r="GU869" s="155"/>
      <c r="GV869" s="155"/>
      <c r="GW869" s="155"/>
      <c r="GX869" s="155"/>
      <c r="GY869" s="155"/>
      <c r="GZ869" s="155"/>
      <c r="HA869" s="155"/>
      <c r="HB869" s="155"/>
      <c r="HC869" s="155"/>
      <c r="HD869" s="155"/>
      <c r="HE869" s="155"/>
    </row>
    <row r="870" spans="2:213" s="156" customFormat="1" hidden="1">
      <c r="B870" s="155"/>
      <c r="C870" s="155"/>
      <c r="D870" s="155"/>
      <c r="E870" s="155"/>
      <c r="F870" s="155"/>
      <c r="G870" s="155"/>
      <c r="H870" s="155"/>
      <c r="I870" s="155"/>
      <c r="J870" s="155"/>
      <c r="K870" s="155"/>
      <c r="L870" s="155"/>
      <c r="M870" s="155"/>
      <c r="N870" s="155"/>
      <c r="O870" s="155"/>
      <c r="P870" s="155"/>
      <c r="Q870" s="155"/>
      <c r="R870" s="155"/>
      <c r="S870" s="155"/>
      <c r="T870" s="155"/>
      <c r="U870" s="155"/>
      <c r="V870" s="155"/>
      <c r="W870" s="155"/>
      <c r="GL870" s="155"/>
      <c r="GM870" s="155"/>
      <c r="GN870" s="155"/>
      <c r="GO870" s="155"/>
      <c r="GP870" s="155"/>
      <c r="GQ870" s="155"/>
      <c r="GR870" s="155"/>
      <c r="GS870" s="155"/>
      <c r="GT870" s="155"/>
      <c r="GU870" s="155"/>
      <c r="GV870" s="155"/>
      <c r="GW870" s="155"/>
      <c r="GX870" s="155"/>
      <c r="GY870" s="155"/>
      <c r="GZ870" s="155"/>
      <c r="HA870" s="155"/>
      <c r="HB870" s="155"/>
      <c r="HC870" s="155"/>
      <c r="HD870" s="155"/>
      <c r="HE870" s="155"/>
    </row>
    <row r="871" spans="2:213" s="156" customFormat="1" hidden="1">
      <c r="B871" s="155"/>
      <c r="C871" s="155"/>
      <c r="D871" s="155"/>
      <c r="E871" s="155"/>
      <c r="F871" s="155"/>
      <c r="G871" s="155"/>
      <c r="H871" s="155"/>
      <c r="I871" s="155"/>
      <c r="J871" s="155"/>
      <c r="K871" s="155"/>
      <c r="L871" s="155"/>
      <c r="M871" s="155"/>
      <c r="N871" s="155"/>
      <c r="O871" s="155"/>
      <c r="P871" s="155"/>
      <c r="Q871" s="155"/>
      <c r="R871" s="155"/>
      <c r="S871" s="155"/>
      <c r="T871" s="155"/>
      <c r="U871" s="155"/>
      <c r="V871" s="155"/>
      <c r="W871" s="155"/>
      <c r="GL871" s="155"/>
      <c r="GM871" s="155"/>
      <c r="GN871" s="155"/>
      <c r="GO871" s="155"/>
      <c r="GP871" s="155"/>
      <c r="GQ871" s="155"/>
      <c r="GR871" s="155"/>
      <c r="GS871" s="155"/>
      <c r="GT871" s="155"/>
      <c r="GU871" s="155"/>
      <c r="GV871" s="155"/>
      <c r="GW871" s="155"/>
      <c r="GX871" s="155"/>
      <c r="GY871" s="155"/>
      <c r="GZ871" s="155"/>
      <c r="HA871" s="155"/>
      <c r="HB871" s="155"/>
      <c r="HC871" s="155"/>
      <c r="HD871" s="155"/>
      <c r="HE871" s="155"/>
    </row>
    <row r="872" spans="2:213" s="156" customFormat="1" hidden="1">
      <c r="B872" s="155"/>
      <c r="C872" s="155"/>
      <c r="D872" s="155"/>
      <c r="E872" s="155"/>
      <c r="F872" s="155"/>
      <c r="G872" s="155"/>
      <c r="H872" s="155"/>
      <c r="I872" s="155"/>
      <c r="J872" s="155"/>
      <c r="K872" s="155"/>
      <c r="L872" s="155"/>
      <c r="M872" s="155"/>
      <c r="N872" s="155"/>
      <c r="O872" s="155"/>
      <c r="P872" s="155"/>
      <c r="Q872" s="155"/>
      <c r="R872" s="155"/>
      <c r="S872" s="155"/>
      <c r="T872" s="155"/>
      <c r="U872" s="155"/>
      <c r="V872" s="155"/>
      <c r="W872" s="155"/>
      <c r="GL872" s="155"/>
      <c r="GM872" s="155"/>
      <c r="GN872" s="155"/>
      <c r="GO872" s="155"/>
      <c r="GP872" s="155"/>
      <c r="GQ872" s="155"/>
      <c r="GR872" s="155"/>
      <c r="GS872" s="155"/>
      <c r="GT872" s="155"/>
      <c r="GU872" s="155"/>
      <c r="GV872" s="155"/>
      <c r="GW872" s="155"/>
      <c r="GX872" s="155"/>
      <c r="GY872" s="155"/>
      <c r="GZ872" s="155"/>
      <c r="HA872" s="155"/>
      <c r="HB872" s="155"/>
      <c r="HC872" s="155"/>
      <c r="HD872" s="155"/>
      <c r="HE872" s="155"/>
    </row>
    <row r="873" spans="2:213" s="156" customFormat="1" hidden="1">
      <c r="B873" s="155"/>
      <c r="C873" s="155"/>
      <c r="D873" s="155"/>
      <c r="E873" s="155"/>
      <c r="F873" s="155"/>
      <c r="G873" s="155"/>
      <c r="H873" s="155"/>
      <c r="I873" s="155"/>
      <c r="J873" s="155"/>
      <c r="K873" s="155"/>
      <c r="L873" s="155"/>
      <c r="M873" s="155"/>
      <c r="N873" s="155"/>
      <c r="O873" s="155"/>
      <c r="P873" s="155"/>
      <c r="Q873" s="155"/>
      <c r="R873" s="155"/>
      <c r="S873" s="155"/>
      <c r="T873" s="155"/>
      <c r="U873" s="155"/>
      <c r="V873" s="155"/>
      <c r="W873" s="155"/>
      <c r="GL873" s="155"/>
      <c r="GM873" s="155"/>
      <c r="GN873" s="155"/>
      <c r="GO873" s="155"/>
      <c r="GP873" s="155"/>
      <c r="GQ873" s="155"/>
      <c r="GR873" s="155"/>
      <c r="GS873" s="155"/>
      <c r="GT873" s="155"/>
      <c r="GU873" s="155"/>
      <c r="GV873" s="155"/>
      <c r="GW873" s="155"/>
      <c r="GX873" s="155"/>
      <c r="GY873" s="155"/>
      <c r="GZ873" s="155"/>
      <c r="HA873" s="155"/>
      <c r="HB873" s="155"/>
      <c r="HC873" s="155"/>
      <c r="HD873" s="155"/>
      <c r="HE873" s="155"/>
    </row>
    <row r="874" spans="2:213" s="156" customFormat="1" hidden="1">
      <c r="B874" s="155"/>
      <c r="C874" s="155"/>
      <c r="D874" s="155"/>
      <c r="E874" s="155"/>
      <c r="F874" s="155"/>
      <c r="G874" s="155"/>
      <c r="H874" s="155"/>
      <c r="I874" s="155"/>
      <c r="J874" s="155"/>
      <c r="K874" s="155"/>
      <c r="L874" s="155"/>
      <c r="M874" s="155"/>
      <c r="N874" s="155"/>
      <c r="O874" s="155"/>
      <c r="P874" s="155"/>
      <c r="Q874" s="155"/>
      <c r="R874" s="155"/>
      <c r="S874" s="155"/>
      <c r="T874" s="155"/>
      <c r="U874" s="155"/>
      <c r="V874" s="155"/>
      <c r="W874" s="155"/>
      <c r="GL874" s="155"/>
      <c r="GM874" s="155"/>
      <c r="GN874" s="155"/>
      <c r="GO874" s="155"/>
      <c r="GP874" s="155"/>
      <c r="GQ874" s="155"/>
      <c r="GR874" s="155"/>
      <c r="GS874" s="155"/>
      <c r="GT874" s="155"/>
      <c r="GU874" s="155"/>
      <c r="GV874" s="155"/>
      <c r="GW874" s="155"/>
      <c r="GX874" s="155"/>
      <c r="GY874" s="155"/>
      <c r="GZ874" s="155"/>
      <c r="HA874" s="155"/>
      <c r="HB874" s="155"/>
      <c r="HC874" s="155"/>
      <c r="HD874" s="155"/>
      <c r="HE874" s="155"/>
    </row>
    <row r="875" spans="2:213" s="156" customFormat="1" hidden="1">
      <c r="B875" s="155"/>
      <c r="C875" s="155"/>
      <c r="D875" s="155"/>
      <c r="E875" s="155"/>
      <c r="F875" s="155"/>
      <c r="G875" s="155"/>
      <c r="H875" s="155"/>
      <c r="I875" s="155"/>
      <c r="J875" s="155"/>
      <c r="K875" s="155"/>
      <c r="L875" s="155"/>
      <c r="M875" s="155"/>
      <c r="N875" s="155"/>
      <c r="O875" s="155"/>
      <c r="P875" s="155"/>
      <c r="Q875" s="155"/>
      <c r="R875" s="155"/>
      <c r="S875" s="155"/>
      <c r="T875" s="155"/>
      <c r="U875" s="155"/>
      <c r="V875" s="155"/>
      <c r="W875" s="155"/>
      <c r="GL875" s="155"/>
      <c r="GM875" s="155"/>
      <c r="GN875" s="155"/>
      <c r="GO875" s="155"/>
      <c r="GP875" s="155"/>
      <c r="GQ875" s="155"/>
      <c r="GR875" s="155"/>
      <c r="GS875" s="155"/>
      <c r="GT875" s="155"/>
      <c r="GU875" s="155"/>
      <c r="GV875" s="155"/>
      <c r="GW875" s="155"/>
      <c r="GX875" s="155"/>
      <c r="GY875" s="155"/>
      <c r="GZ875" s="155"/>
      <c r="HA875" s="155"/>
      <c r="HB875" s="155"/>
      <c r="HC875" s="155"/>
      <c r="HD875" s="155"/>
      <c r="HE875" s="155"/>
    </row>
    <row r="876" spans="2:213" s="156" customFormat="1" hidden="1">
      <c r="B876" s="155"/>
      <c r="C876" s="155"/>
      <c r="D876" s="155"/>
      <c r="E876" s="155"/>
      <c r="F876" s="155"/>
      <c r="G876" s="155"/>
      <c r="H876" s="155"/>
      <c r="I876" s="155"/>
      <c r="J876" s="155"/>
      <c r="K876" s="155"/>
      <c r="L876" s="155"/>
      <c r="M876" s="155"/>
      <c r="N876" s="155"/>
      <c r="O876" s="155"/>
      <c r="P876" s="155"/>
      <c r="Q876" s="155"/>
      <c r="R876" s="155"/>
      <c r="S876" s="155"/>
      <c r="T876" s="155"/>
      <c r="U876" s="155"/>
      <c r="V876" s="155"/>
      <c r="W876" s="155"/>
      <c r="GL876" s="155"/>
      <c r="GM876" s="155"/>
      <c r="GN876" s="155"/>
      <c r="GO876" s="155"/>
      <c r="GP876" s="155"/>
      <c r="GQ876" s="155"/>
      <c r="GR876" s="155"/>
      <c r="GS876" s="155"/>
      <c r="GT876" s="155"/>
      <c r="GU876" s="155"/>
      <c r="GV876" s="155"/>
      <c r="GW876" s="155"/>
      <c r="GX876" s="155"/>
      <c r="GY876" s="155"/>
      <c r="GZ876" s="155"/>
      <c r="HA876" s="155"/>
      <c r="HB876" s="155"/>
      <c r="HC876" s="155"/>
      <c r="HD876" s="155"/>
      <c r="HE876" s="155"/>
    </row>
    <row r="877" spans="2:213" s="156" customFormat="1" hidden="1">
      <c r="B877" s="155"/>
      <c r="C877" s="155"/>
      <c r="D877" s="155"/>
      <c r="E877" s="155"/>
      <c r="F877" s="155"/>
      <c r="G877" s="155"/>
      <c r="H877" s="155"/>
      <c r="I877" s="155"/>
      <c r="J877" s="155"/>
      <c r="K877" s="155"/>
      <c r="L877" s="155"/>
      <c r="M877" s="155"/>
      <c r="N877" s="155"/>
      <c r="O877" s="155"/>
      <c r="P877" s="155"/>
      <c r="Q877" s="155"/>
      <c r="R877" s="155"/>
      <c r="S877" s="155"/>
      <c r="T877" s="155"/>
      <c r="U877" s="155"/>
      <c r="V877" s="155"/>
      <c r="W877" s="155"/>
      <c r="GL877" s="155"/>
      <c r="GM877" s="155"/>
      <c r="GN877" s="155"/>
      <c r="GO877" s="155"/>
      <c r="GP877" s="155"/>
      <c r="GQ877" s="155"/>
      <c r="GR877" s="155"/>
      <c r="GS877" s="155"/>
      <c r="GT877" s="155"/>
      <c r="GU877" s="155"/>
      <c r="GV877" s="155"/>
      <c r="GW877" s="155"/>
      <c r="GX877" s="155"/>
      <c r="GY877" s="155"/>
      <c r="GZ877" s="155"/>
      <c r="HA877" s="155"/>
      <c r="HB877" s="155"/>
      <c r="HC877" s="155"/>
      <c r="HD877" s="155"/>
      <c r="HE877" s="155"/>
    </row>
    <row r="878" spans="2:213" s="156" customFormat="1" hidden="1">
      <c r="B878" s="155"/>
      <c r="C878" s="155"/>
      <c r="D878" s="155"/>
      <c r="E878" s="155"/>
      <c r="F878" s="155"/>
      <c r="G878" s="155"/>
      <c r="H878" s="155"/>
      <c r="I878" s="155"/>
      <c r="J878" s="155"/>
      <c r="K878" s="155"/>
      <c r="L878" s="155"/>
      <c r="M878" s="155"/>
      <c r="N878" s="155"/>
      <c r="O878" s="155"/>
      <c r="P878" s="155"/>
      <c r="Q878" s="155"/>
      <c r="R878" s="155"/>
      <c r="S878" s="155"/>
      <c r="T878" s="155"/>
      <c r="U878" s="155"/>
      <c r="V878" s="155"/>
      <c r="W878" s="155"/>
      <c r="GL878" s="155"/>
      <c r="GM878" s="155"/>
      <c r="GN878" s="155"/>
      <c r="GO878" s="155"/>
      <c r="GP878" s="155"/>
      <c r="GQ878" s="155"/>
      <c r="GR878" s="155"/>
      <c r="GS878" s="155"/>
      <c r="GT878" s="155"/>
      <c r="GU878" s="155"/>
      <c r="GV878" s="155"/>
      <c r="GW878" s="155"/>
      <c r="GX878" s="155"/>
      <c r="GY878" s="155"/>
      <c r="GZ878" s="155"/>
      <c r="HA878" s="155"/>
      <c r="HB878" s="155"/>
      <c r="HC878" s="155"/>
      <c r="HD878" s="155"/>
      <c r="HE878" s="155"/>
    </row>
    <row r="879" spans="2:213" s="156" customFormat="1" hidden="1">
      <c r="B879" s="155"/>
      <c r="C879" s="155"/>
      <c r="D879" s="155"/>
      <c r="E879" s="155"/>
      <c r="F879" s="155"/>
      <c r="G879" s="155"/>
      <c r="H879" s="155"/>
      <c r="I879" s="155"/>
      <c r="J879" s="155"/>
      <c r="K879" s="155"/>
      <c r="L879" s="155"/>
      <c r="M879" s="155"/>
      <c r="N879" s="155"/>
      <c r="O879" s="155"/>
      <c r="P879" s="155"/>
      <c r="Q879" s="155"/>
      <c r="R879" s="155"/>
      <c r="S879" s="155"/>
      <c r="T879" s="155"/>
      <c r="U879" s="155"/>
      <c r="V879" s="155"/>
      <c r="W879" s="155"/>
      <c r="GL879" s="155"/>
      <c r="GM879" s="155"/>
      <c r="GN879" s="155"/>
      <c r="GO879" s="155"/>
      <c r="GP879" s="155"/>
      <c r="GQ879" s="155"/>
      <c r="GR879" s="155"/>
      <c r="GS879" s="155"/>
      <c r="GT879" s="155"/>
      <c r="GU879" s="155"/>
      <c r="GV879" s="155"/>
      <c r="GW879" s="155"/>
      <c r="GX879" s="155"/>
      <c r="GY879" s="155"/>
      <c r="GZ879" s="155"/>
      <c r="HA879" s="155"/>
      <c r="HB879" s="155"/>
      <c r="HC879" s="155"/>
      <c r="HD879" s="155"/>
      <c r="HE879" s="155"/>
    </row>
    <row r="880" spans="2:213" s="156" customFormat="1" hidden="1">
      <c r="B880" s="155"/>
      <c r="C880" s="155"/>
      <c r="D880" s="155"/>
      <c r="E880" s="155"/>
      <c r="F880" s="155"/>
      <c r="G880" s="155"/>
      <c r="H880" s="155"/>
      <c r="I880" s="155"/>
      <c r="J880" s="155"/>
      <c r="K880" s="155"/>
      <c r="L880" s="155"/>
      <c r="M880" s="155"/>
      <c r="N880" s="155"/>
      <c r="O880" s="155"/>
      <c r="P880" s="155"/>
      <c r="Q880" s="155"/>
      <c r="R880" s="155"/>
      <c r="S880" s="155"/>
      <c r="T880" s="155"/>
      <c r="U880" s="155"/>
      <c r="V880" s="155"/>
      <c r="W880" s="155"/>
      <c r="GL880" s="155"/>
      <c r="GM880" s="155"/>
      <c r="GN880" s="155"/>
      <c r="GO880" s="155"/>
      <c r="GP880" s="155"/>
      <c r="GQ880" s="155"/>
      <c r="GR880" s="155"/>
      <c r="GS880" s="155"/>
      <c r="GT880" s="155"/>
      <c r="GU880" s="155"/>
      <c r="GV880" s="155"/>
      <c r="GW880" s="155"/>
      <c r="GX880" s="155"/>
      <c r="GY880" s="155"/>
      <c r="GZ880" s="155"/>
      <c r="HA880" s="155"/>
      <c r="HB880" s="155"/>
      <c r="HC880" s="155"/>
      <c r="HD880" s="155"/>
      <c r="HE880" s="155"/>
    </row>
    <row r="881" spans="2:213" s="156" customFormat="1" hidden="1">
      <c r="B881" s="155"/>
      <c r="C881" s="155"/>
      <c r="D881" s="155"/>
      <c r="E881" s="155"/>
      <c r="F881" s="155"/>
      <c r="G881" s="155"/>
      <c r="H881" s="155"/>
      <c r="I881" s="155"/>
      <c r="J881" s="155"/>
      <c r="K881" s="155"/>
      <c r="L881" s="155"/>
      <c r="M881" s="155"/>
      <c r="N881" s="155"/>
      <c r="O881" s="155"/>
      <c r="P881" s="155"/>
      <c r="Q881" s="155"/>
      <c r="R881" s="155"/>
      <c r="S881" s="155"/>
      <c r="T881" s="155"/>
      <c r="U881" s="155"/>
      <c r="V881" s="155"/>
      <c r="W881" s="155"/>
      <c r="GL881" s="155"/>
      <c r="GM881" s="155"/>
      <c r="GN881" s="155"/>
      <c r="GO881" s="155"/>
      <c r="GP881" s="155"/>
      <c r="GQ881" s="155"/>
      <c r="GR881" s="155"/>
      <c r="GS881" s="155"/>
      <c r="GT881" s="155"/>
      <c r="GU881" s="155"/>
      <c r="GV881" s="155"/>
      <c r="GW881" s="155"/>
      <c r="GX881" s="155"/>
      <c r="GY881" s="155"/>
      <c r="GZ881" s="155"/>
      <c r="HA881" s="155"/>
      <c r="HB881" s="155"/>
      <c r="HC881" s="155"/>
      <c r="HD881" s="155"/>
      <c r="HE881" s="155"/>
    </row>
    <row r="882" spans="2:213" s="156" customFormat="1" hidden="1">
      <c r="B882" s="155"/>
      <c r="C882" s="155"/>
      <c r="D882" s="155"/>
      <c r="E882" s="155"/>
      <c r="F882" s="155"/>
      <c r="G882" s="155"/>
      <c r="H882" s="155"/>
      <c r="I882" s="155"/>
      <c r="J882" s="155"/>
      <c r="K882" s="155"/>
      <c r="L882" s="155"/>
      <c r="M882" s="155"/>
      <c r="N882" s="155"/>
      <c r="O882" s="155"/>
      <c r="P882" s="155"/>
      <c r="Q882" s="155"/>
      <c r="R882" s="155"/>
      <c r="S882" s="155"/>
      <c r="T882" s="155"/>
      <c r="U882" s="155"/>
      <c r="V882" s="155"/>
      <c r="W882" s="155"/>
      <c r="GL882" s="155"/>
      <c r="GM882" s="155"/>
      <c r="GN882" s="155"/>
      <c r="GO882" s="155"/>
      <c r="GP882" s="155"/>
      <c r="GQ882" s="155"/>
      <c r="GR882" s="155"/>
      <c r="GS882" s="155"/>
      <c r="GT882" s="155"/>
      <c r="GU882" s="155"/>
      <c r="GV882" s="155"/>
      <c r="GW882" s="155"/>
      <c r="GX882" s="155"/>
      <c r="GY882" s="155"/>
      <c r="GZ882" s="155"/>
      <c r="HA882" s="155"/>
      <c r="HB882" s="155"/>
      <c r="HC882" s="155"/>
      <c r="HD882" s="155"/>
      <c r="HE882" s="155"/>
    </row>
    <row r="883" spans="2:213" s="156" customFormat="1" hidden="1">
      <c r="B883" s="155"/>
      <c r="C883" s="155"/>
      <c r="D883" s="155"/>
      <c r="E883" s="155"/>
      <c r="F883" s="155"/>
      <c r="G883" s="155"/>
      <c r="H883" s="155"/>
      <c r="I883" s="155"/>
      <c r="J883" s="155"/>
      <c r="K883" s="155"/>
      <c r="L883" s="155"/>
      <c r="M883" s="155"/>
      <c r="N883" s="155"/>
      <c r="O883" s="155"/>
      <c r="P883" s="155"/>
      <c r="Q883" s="155"/>
      <c r="R883" s="155"/>
      <c r="S883" s="155"/>
      <c r="T883" s="155"/>
      <c r="U883" s="155"/>
      <c r="V883" s="155"/>
      <c r="W883" s="155"/>
      <c r="GL883" s="155"/>
      <c r="GM883" s="155"/>
      <c r="GN883" s="155"/>
      <c r="GO883" s="155"/>
      <c r="GP883" s="155"/>
      <c r="GQ883" s="155"/>
      <c r="GR883" s="155"/>
      <c r="GS883" s="155"/>
      <c r="GT883" s="155"/>
      <c r="GU883" s="155"/>
      <c r="GV883" s="155"/>
      <c r="GW883" s="155"/>
      <c r="GX883" s="155"/>
      <c r="GY883" s="155"/>
      <c r="GZ883" s="155"/>
      <c r="HA883" s="155"/>
      <c r="HB883" s="155"/>
      <c r="HC883" s="155"/>
      <c r="HD883" s="155"/>
      <c r="HE883" s="155"/>
    </row>
    <row r="884" spans="2:213" s="156" customFormat="1" hidden="1">
      <c r="B884" s="155"/>
      <c r="C884" s="155"/>
      <c r="D884" s="155"/>
      <c r="E884" s="155"/>
      <c r="F884" s="155"/>
      <c r="G884" s="155"/>
      <c r="H884" s="155"/>
      <c r="I884" s="155"/>
      <c r="J884" s="155"/>
      <c r="K884" s="155"/>
      <c r="L884" s="155"/>
      <c r="M884" s="155"/>
      <c r="N884" s="155"/>
      <c r="O884" s="155"/>
      <c r="P884" s="155"/>
      <c r="Q884" s="155"/>
      <c r="R884" s="155"/>
      <c r="S884" s="155"/>
      <c r="T884" s="155"/>
      <c r="U884" s="155"/>
      <c r="V884" s="155"/>
      <c r="W884" s="155"/>
      <c r="GL884" s="155"/>
      <c r="GM884" s="155"/>
      <c r="GN884" s="155"/>
      <c r="GO884" s="155"/>
      <c r="GP884" s="155"/>
      <c r="GQ884" s="155"/>
      <c r="GR884" s="155"/>
      <c r="GS884" s="155"/>
      <c r="GT884" s="155"/>
      <c r="GU884" s="155"/>
      <c r="GV884" s="155"/>
      <c r="GW884" s="155"/>
      <c r="GX884" s="155"/>
      <c r="GY884" s="155"/>
      <c r="GZ884" s="155"/>
      <c r="HA884" s="155"/>
      <c r="HB884" s="155"/>
      <c r="HC884" s="155"/>
      <c r="HD884" s="155"/>
      <c r="HE884" s="155"/>
    </row>
    <row r="885" spans="2:213" s="156" customFormat="1" hidden="1">
      <c r="B885" s="155"/>
      <c r="C885" s="155"/>
      <c r="D885" s="155"/>
      <c r="E885" s="155"/>
      <c r="F885" s="155"/>
      <c r="G885" s="155"/>
      <c r="H885" s="155"/>
      <c r="I885" s="155"/>
      <c r="J885" s="155"/>
      <c r="K885" s="155"/>
      <c r="L885" s="155"/>
      <c r="M885" s="155"/>
      <c r="N885" s="155"/>
      <c r="O885" s="155"/>
      <c r="P885" s="155"/>
      <c r="Q885" s="155"/>
      <c r="R885" s="155"/>
      <c r="S885" s="155"/>
      <c r="T885" s="155"/>
      <c r="U885" s="155"/>
      <c r="V885" s="155"/>
      <c r="W885" s="155"/>
      <c r="GL885" s="155"/>
      <c r="GM885" s="155"/>
      <c r="GN885" s="155"/>
      <c r="GO885" s="155"/>
      <c r="GP885" s="155"/>
      <c r="GQ885" s="155"/>
      <c r="GR885" s="155"/>
      <c r="GS885" s="155"/>
      <c r="GT885" s="155"/>
      <c r="GU885" s="155"/>
      <c r="GV885" s="155"/>
      <c r="GW885" s="155"/>
      <c r="GX885" s="155"/>
      <c r="GY885" s="155"/>
      <c r="GZ885" s="155"/>
      <c r="HA885" s="155"/>
      <c r="HB885" s="155"/>
      <c r="HC885" s="155"/>
      <c r="HD885" s="155"/>
      <c r="HE885" s="155"/>
    </row>
    <row r="886" spans="2:213" s="156" customFormat="1" hidden="1">
      <c r="B886" s="155"/>
      <c r="C886" s="155"/>
      <c r="D886" s="155"/>
      <c r="E886" s="155"/>
      <c r="F886" s="155"/>
      <c r="G886" s="155"/>
      <c r="H886" s="155"/>
      <c r="I886" s="155"/>
      <c r="J886" s="155"/>
      <c r="K886" s="155"/>
      <c r="L886" s="155"/>
      <c r="M886" s="155"/>
      <c r="N886" s="155"/>
      <c r="O886" s="155"/>
      <c r="P886" s="155"/>
      <c r="Q886" s="155"/>
      <c r="R886" s="155"/>
      <c r="S886" s="155"/>
      <c r="T886" s="155"/>
      <c r="U886" s="155"/>
      <c r="V886" s="155"/>
      <c r="W886" s="155"/>
      <c r="GL886" s="155"/>
      <c r="GM886" s="155"/>
      <c r="GN886" s="155"/>
      <c r="GO886" s="155"/>
      <c r="GP886" s="155"/>
      <c r="GQ886" s="155"/>
      <c r="GR886" s="155"/>
      <c r="GS886" s="155"/>
      <c r="GT886" s="155"/>
      <c r="GU886" s="155"/>
      <c r="GV886" s="155"/>
      <c r="GW886" s="155"/>
      <c r="GX886" s="155"/>
      <c r="GY886" s="155"/>
      <c r="GZ886" s="155"/>
      <c r="HA886" s="155"/>
      <c r="HB886" s="155"/>
      <c r="HC886" s="155"/>
      <c r="HD886" s="155"/>
      <c r="HE886" s="155"/>
    </row>
    <row r="887" spans="2:213" s="156" customFormat="1" hidden="1">
      <c r="B887" s="155"/>
      <c r="C887" s="155"/>
      <c r="D887" s="155"/>
      <c r="E887" s="155"/>
      <c r="F887" s="155"/>
      <c r="G887" s="155"/>
      <c r="H887" s="155"/>
      <c r="I887" s="155"/>
      <c r="J887" s="155"/>
      <c r="K887" s="155"/>
      <c r="L887" s="155"/>
      <c r="M887" s="155"/>
      <c r="N887" s="155"/>
      <c r="O887" s="155"/>
      <c r="P887" s="155"/>
      <c r="Q887" s="155"/>
      <c r="R887" s="155"/>
      <c r="S887" s="155"/>
      <c r="T887" s="155"/>
      <c r="U887" s="155"/>
      <c r="V887" s="155"/>
      <c r="W887" s="155"/>
      <c r="GL887" s="155"/>
      <c r="GM887" s="155"/>
      <c r="GN887" s="155"/>
      <c r="GO887" s="155"/>
      <c r="GP887" s="155"/>
      <c r="GQ887" s="155"/>
      <c r="GR887" s="155"/>
      <c r="GS887" s="155"/>
      <c r="GT887" s="155"/>
      <c r="GU887" s="155"/>
      <c r="GV887" s="155"/>
      <c r="GW887" s="155"/>
      <c r="GX887" s="155"/>
      <c r="GY887" s="155"/>
      <c r="GZ887" s="155"/>
      <c r="HA887" s="155"/>
      <c r="HB887" s="155"/>
      <c r="HC887" s="155"/>
      <c r="HD887" s="155"/>
      <c r="HE887" s="155"/>
    </row>
    <row r="888" spans="2:213" s="156" customFormat="1" hidden="1">
      <c r="B888" s="155"/>
      <c r="C888" s="155"/>
      <c r="D888" s="155"/>
      <c r="E888" s="155"/>
      <c r="F888" s="155"/>
      <c r="G888" s="155"/>
      <c r="H888" s="155"/>
      <c r="I888" s="155"/>
      <c r="J888" s="155"/>
      <c r="K888" s="155"/>
      <c r="L888" s="155"/>
      <c r="M888" s="155"/>
      <c r="N888" s="155"/>
      <c r="O888" s="155"/>
      <c r="P888" s="155"/>
      <c r="Q888" s="155"/>
      <c r="R888" s="155"/>
      <c r="S888" s="155"/>
      <c r="T888" s="155"/>
      <c r="U888" s="155"/>
      <c r="V888" s="155"/>
      <c r="W888" s="155"/>
      <c r="GL888" s="155"/>
      <c r="GM888" s="155"/>
      <c r="GN888" s="155"/>
      <c r="GO888" s="155"/>
      <c r="GP888" s="155"/>
      <c r="GQ888" s="155"/>
      <c r="GR888" s="155"/>
      <c r="GS888" s="155"/>
      <c r="GT888" s="155"/>
      <c r="GU888" s="155"/>
      <c r="GV888" s="155"/>
      <c r="GW888" s="155"/>
      <c r="GX888" s="155"/>
      <c r="GY888" s="155"/>
      <c r="GZ888" s="155"/>
      <c r="HA888" s="155"/>
      <c r="HB888" s="155"/>
      <c r="HC888" s="155"/>
      <c r="HD888" s="155"/>
      <c r="HE888" s="155"/>
    </row>
    <row r="889" spans="2:213" s="156" customFormat="1" hidden="1">
      <c r="B889" s="155"/>
      <c r="C889" s="155"/>
      <c r="D889" s="155"/>
      <c r="E889" s="155"/>
      <c r="F889" s="155"/>
      <c r="G889" s="155"/>
      <c r="H889" s="155"/>
      <c r="I889" s="155"/>
      <c r="J889" s="155"/>
      <c r="K889" s="155"/>
      <c r="L889" s="155"/>
      <c r="M889" s="155"/>
      <c r="N889" s="155"/>
      <c r="O889" s="155"/>
      <c r="P889" s="155"/>
      <c r="Q889" s="155"/>
      <c r="R889" s="155"/>
      <c r="S889" s="155"/>
      <c r="T889" s="155"/>
      <c r="U889" s="155"/>
      <c r="V889" s="155"/>
      <c r="W889" s="155"/>
      <c r="GL889" s="155"/>
      <c r="GM889" s="155"/>
      <c r="GN889" s="155"/>
      <c r="GO889" s="155"/>
      <c r="GP889" s="155"/>
      <c r="GQ889" s="155"/>
      <c r="GR889" s="155"/>
      <c r="GS889" s="155"/>
      <c r="GT889" s="155"/>
      <c r="GU889" s="155"/>
      <c r="GV889" s="155"/>
      <c r="GW889" s="155"/>
      <c r="GX889" s="155"/>
      <c r="GY889" s="155"/>
      <c r="GZ889" s="155"/>
      <c r="HA889" s="155"/>
      <c r="HB889" s="155"/>
      <c r="HC889" s="155"/>
      <c r="HD889" s="155"/>
      <c r="HE889" s="155"/>
    </row>
    <row r="890" spans="2:213" s="156" customFormat="1" hidden="1">
      <c r="B890" s="155"/>
      <c r="C890" s="155"/>
      <c r="D890" s="155"/>
      <c r="E890" s="155"/>
      <c r="F890" s="155"/>
      <c r="G890" s="155"/>
      <c r="H890" s="155"/>
      <c r="I890" s="155"/>
      <c r="J890" s="155"/>
      <c r="K890" s="155"/>
      <c r="L890" s="155"/>
      <c r="M890" s="155"/>
      <c r="N890" s="155"/>
      <c r="O890" s="155"/>
      <c r="P890" s="155"/>
      <c r="Q890" s="155"/>
      <c r="R890" s="155"/>
      <c r="S890" s="155"/>
      <c r="T890" s="155"/>
      <c r="U890" s="155"/>
      <c r="V890" s="155"/>
      <c r="W890" s="155"/>
      <c r="GL890" s="155"/>
      <c r="GM890" s="155"/>
      <c r="GN890" s="155"/>
      <c r="GO890" s="155"/>
      <c r="GP890" s="155"/>
      <c r="GQ890" s="155"/>
      <c r="GR890" s="155"/>
      <c r="GS890" s="155"/>
      <c r="GT890" s="155"/>
      <c r="GU890" s="155"/>
      <c r="GV890" s="155"/>
      <c r="GW890" s="155"/>
      <c r="GX890" s="155"/>
      <c r="GY890" s="155"/>
      <c r="GZ890" s="155"/>
      <c r="HA890" s="155"/>
      <c r="HB890" s="155"/>
      <c r="HC890" s="155"/>
      <c r="HD890" s="155"/>
      <c r="HE890" s="155"/>
    </row>
    <row r="891" spans="2:213" s="156" customFormat="1" hidden="1">
      <c r="B891" s="155"/>
      <c r="C891" s="155"/>
      <c r="D891" s="155"/>
      <c r="E891" s="155"/>
      <c r="F891" s="155"/>
      <c r="G891" s="155"/>
      <c r="H891" s="155"/>
      <c r="I891" s="155"/>
      <c r="J891" s="155"/>
      <c r="K891" s="155"/>
      <c r="L891" s="155"/>
      <c r="M891" s="155"/>
      <c r="N891" s="155"/>
      <c r="O891" s="155"/>
      <c r="P891" s="155"/>
      <c r="Q891" s="155"/>
      <c r="R891" s="155"/>
      <c r="S891" s="155"/>
      <c r="T891" s="155"/>
      <c r="U891" s="155"/>
      <c r="V891" s="155"/>
      <c r="W891" s="155"/>
      <c r="GL891" s="155"/>
      <c r="GM891" s="155"/>
      <c r="GN891" s="155"/>
      <c r="GO891" s="155"/>
      <c r="GP891" s="155"/>
      <c r="GQ891" s="155"/>
      <c r="GR891" s="155"/>
      <c r="GS891" s="155"/>
      <c r="GT891" s="155"/>
      <c r="GU891" s="155"/>
      <c r="GV891" s="155"/>
      <c r="GW891" s="155"/>
      <c r="GX891" s="155"/>
      <c r="GY891" s="155"/>
      <c r="GZ891" s="155"/>
      <c r="HA891" s="155"/>
      <c r="HB891" s="155"/>
      <c r="HC891" s="155"/>
      <c r="HD891" s="155"/>
      <c r="HE891" s="155"/>
    </row>
    <row r="892" spans="2:213" s="156" customFormat="1" hidden="1">
      <c r="B892" s="155"/>
      <c r="C892" s="155"/>
      <c r="D892" s="155"/>
      <c r="E892" s="155"/>
      <c r="F892" s="155"/>
      <c r="G892" s="155"/>
      <c r="H892" s="155"/>
      <c r="I892" s="155"/>
      <c r="J892" s="155"/>
      <c r="K892" s="155"/>
      <c r="L892" s="155"/>
      <c r="M892" s="155"/>
      <c r="N892" s="155"/>
      <c r="O892" s="155"/>
      <c r="P892" s="155"/>
      <c r="Q892" s="155"/>
      <c r="R892" s="155"/>
      <c r="S892" s="155"/>
      <c r="T892" s="155"/>
      <c r="U892" s="155"/>
      <c r="V892" s="155"/>
      <c r="W892" s="155"/>
      <c r="GL892" s="155"/>
      <c r="GM892" s="155"/>
      <c r="GN892" s="155"/>
      <c r="GO892" s="155"/>
      <c r="GP892" s="155"/>
      <c r="GQ892" s="155"/>
      <c r="GR892" s="155"/>
      <c r="GS892" s="155"/>
      <c r="GT892" s="155"/>
      <c r="GU892" s="155"/>
      <c r="GV892" s="155"/>
      <c r="GW892" s="155"/>
      <c r="GX892" s="155"/>
      <c r="GY892" s="155"/>
      <c r="GZ892" s="155"/>
      <c r="HA892" s="155"/>
      <c r="HB892" s="155"/>
      <c r="HC892" s="155"/>
      <c r="HD892" s="155"/>
      <c r="HE892" s="155"/>
    </row>
    <row r="893" spans="2:213" s="156" customFormat="1" hidden="1">
      <c r="B893" s="155"/>
      <c r="C893" s="155"/>
      <c r="D893" s="155"/>
      <c r="E893" s="155"/>
      <c r="F893" s="155"/>
      <c r="G893" s="155"/>
      <c r="H893" s="155"/>
      <c r="I893" s="155"/>
      <c r="J893" s="155"/>
      <c r="K893" s="155"/>
      <c r="L893" s="155"/>
      <c r="M893" s="155"/>
      <c r="N893" s="155"/>
      <c r="O893" s="155"/>
      <c r="P893" s="155"/>
      <c r="Q893" s="155"/>
      <c r="R893" s="155"/>
      <c r="S893" s="155"/>
      <c r="T893" s="155"/>
      <c r="U893" s="155"/>
      <c r="V893" s="155"/>
      <c r="W893" s="155"/>
      <c r="GL893" s="155"/>
      <c r="GM893" s="155"/>
      <c r="GN893" s="155"/>
      <c r="GO893" s="155"/>
      <c r="GP893" s="155"/>
      <c r="GQ893" s="155"/>
      <c r="GR893" s="155"/>
      <c r="GS893" s="155"/>
      <c r="GT893" s="155"/>
      <c r="GU893" s="155"/>
      <c r="GV893" s="155"/>
      <c r="GW893" s="155"/>
      <c r="GX893" s="155"/>
      <c r="GY893" s="155"/>
      <c r="GZ893" s="155"/>
      <c r="HA893" s="155"/>
      <c r="HB893" s="155"/>
      <c r="HC893" s="155"/>
      <c r="HD893" s="155"/>
      <c r="HE893" s="155"/>
    </row>
    <row r="894" spans="2:213" s="156" customFormat="1" hidden="1">
      <c r="B894" s="155"/>
      <c r="C894" s="155"/>
      <c r="D894" s="155"/>
      <c r="E894" s="155"/>
      <c r="F894" s="155"/>
      <c r="G894" s="155"/>
      <c r="H894" s="155"/>
      <c r="I894" s="155"/>
      <c r="J894" s="155"/>
      <c r="K894" s="155"/>
      <c r="L894" s="155"/>
      <c r="M894" s="155"/>
      <c r="N894" s="155"/>
      <c r="O894" s="155"/>
      <c r="P894" s="155"/>
      <c r="Q894" s="155"/>
      <c r="R894" s="155"/>
      <c r="S894" s="155"/>
      <c r="T894" s="155"/>
      <c r="U894" s="155"/>
      <c r="V894" s="155"/>
      <c r="W894" s="155"/>
      <c r="GL894" s="155"/>
      <c r="GM894" s="155"/>
      <c r="GN894" s="155"/>
      <c r="GO894" s="155"/>
      <c r="GP894" s="155"/>
      <c r="GQ894" s="155"/>
      <c r="GR894" s="155"/>
      <c r="GS894" s="155"/>
      <c r="GT894" s="155"/>
      <c r="GU894" s="155"/>
      <c r="GV894" s="155"/>
      <c r="GW894" s="155"/>
      <c r="GX894" s="155"/>
      <c r="GY894" s="155"/>
      <c r="GZ894" s="155"/>
      <c r="HA894" s="155"/>
      <c r="HB894" s="155"/>
      <c r="HC894" s="155"/>
      <c r="HD894" s="155"/>
      <c r="HE894" s="155"/>
    </row>
    <row r="895" spans="2:213" s="156" customFormat="1" hidden="1">
      <c r="B895" s="155"/>
      <c r="C895" s="155"/>
      <c r="D895" s="155"/>
      <c r="E895" s="155"/>
      <c r="F895" s="155"/>
      <c r="G895" s="155"/>
      <c r="H895" s="155"/>
      <c r="I895" s="155"/>
      <c r="J895" s="155"/>
      <c r="K895" s="155"/>
      <c r="L895" s="155"/>
      <c r="M895" s="155"/>
      <c r="N895" s="155"/>
      <c r="O895" s="155"/>
      <c r="P895" s="155"/>
      <c r="Q895" s="155"/>
      <c r="R895" s="155"/>
      <c r="S895" s="155"/>
      <c r="T895" s="155"/>
      <c r="U895" s="155"/>
      <c r="V895" s="155"/>
      <c r="W895" s="155"/>
      <c r="GL895" s="155"/>
      <c r="GM895" s="155"/>
      <c r="GN895" s="155"/>
      <c r="GO895" s="155"/>
      <c r="GP895" s="155"/>
      <c r="GQ895" s="155"/>
      <c r="GR895" s="155"/>
      <c r="GS895" s="155"/>
      <c r="GT895" s="155"/>
      <c r="GU895" s="155"/>
      <c r="GV895" s="155"/>
      <c r="GW895" s="155"/>
      <c r="GX895" s="155"/>
      <c r="GY895" s="155"/>
      <c r="GZ895" s="155"/>
      <c r="HA895" s="155"/>
      <c r="HB895" s="155"/>
      <c r="HC895" s="155"/>
      <c r="HD895" s="155"/>
      <c r="HE895" s="155"/>
    </row>
    <row r="896" spans="2:213" s="156" customFormat="1" hidden="1">
      <c r="B896" s="155"/>
      <c r="C896" s="155"/>
      <c r="D896" s="155"/>
      <c r="E896" s="155"/>
      <c r="F896" s="155"/>
      <c r="G896" s="155"/>
      <c r="H896" s="155"/>
      <c r="I896" s="155"/>
      <c r="J896" s="155"/>
      <c r="K896" s="155"/>
      <c r="L896" s="155"/>
      <c r="M896" s="155"/>
      <c r="N896" s="155"/>
      <c r="O896" s="155"/>
      <c r="P896" s="155"/>
      <c r="Q896" s="155"/>
      <c r="R896" s="155"/>
      <c r="S896" s="155"/>
      <c r="T896" s="155"/>
      <c r="U896" s="155"/>
      <c r="V896" s="155"/>
      <c r="W896" s="155"/>
      <c r="GL896" s="155"/>
      <c r="GM896" s="155"/>
      <c r="GN896" s="155"/>
      <c r="GO896" s="155"/>
      <c r="GP896" s="155"/>
      <c r="GQ896" s="155"/>
      <c r="GR896" s="155"/>
      <c r="GS896" s="155"/>
      <c r="GT896" s="155"/>
      <c r="GU896" s="155"/>
      <c r="GV896" s="155"/>
      <c r="GW896" s="155"/>
      <c r="GX896" s="155"/>
      <c r="GY896" s="155"/>
      <c r="GZ896" s="155"/>
      <c r="HA896" s="155"/>
      <c r="HB896" s="155"/>
      <c r="HC896" s="155"/>
      <c r="HD896" s="155"/>
      <c r="HE896" s="155"/>
    </row>
    <row r="897" spans="2:213" s="156" customFormat="1" hidden="1">
      <c r="B897" s="155"/>
      <c r="C897" s="155"/>
      <c r="D897" s="155"/>
      <c r="E897" s="155"/>
      <c r="F897" s="155"/>
      <c r="G897" s="155"/>
      <c r="H897" s="155"/>
      <c r="I897" s="155"/>
      <c r="J897" s="155"/>
      <c r="K897" s="155"/>
      <c r="L897" s="155"/>
      <c r="M897" s="155"/>
      <c r="N897" s="155"/>
      <c r="O897" s="155"/>
      <c r="P897" s="155"/>
      <c r="Q897" s="155"/>
      <c r="R897" s="155"/>
      <c r="S897" s="155"/>
      <c r="T897" s="155"/>
      <c r="U897" s="155"/>
      <c r="V897" s="155"/>
      <c r="W897" s="155"/>
      <c r="GL897" s="155"/>
      <c r="GM897" s="155"/>
      <c r="GN897" s="155"/>
      <c r="GO897" s="155"/>
      <c r="GP897" s="155"/>
      <c r="GQ897" s="155"/>
      <c r="GR897" s="155"/>
      <c r="GS897" s="155"/>
      <c r="GT897" s="155"/>
      <c r="GU897" s="155"/>
      <c r="GV897" s="155"/>
      <c r="GW897" s="155"/>
      <c r="GX897" s="155"/>
      <c r="GY897" s="155"/>
      <c r="GZ897" s="155"/>
      <c r="HA897" s="155"/>
      <c r="HB897" s="155"/>
      <c r="HC897" s="155"/>
      <c r="HD897" s="155"/>
      <c r="HE897" s="155"/>
    </row>
    <row r="898" spans="2:213" s="156" customFormat="1" hidden="1">
      <c r="B898" s="155"/>
      <c r="C898" s="155"/>
      <c r="D898" s="155"/>
      <c r="E898" s="155"/>
      <c r="F898" s="155"/>
      <c r="G898" s="155"/>
      <c r="H898" s="155"/>
      <c r="I898" s="155"/>
      <c r="J898" s="155"/>
      <c r="K898" s="155"/>
      <c r="L898" s="155"/>
      <c r="M898" s="155"/>
      <c r="N898" s="155"/>
      <c r="O898" s="155"/>
      <c r="P898" s="155"/>
      <c r="Q898" s="155"/>
      <c r="R898" s="155"/>
      <c r="S898" s="155"/>
      <c r="T898" s="155"/>
      <c r="U898" s="155"/>
      <c r="V898" s="155"/>
      <c r="W898" s="155"/>
      <c r="GL898" s="155"/>
      <c r="GM898" s="155"/>
      <c r="GN898" s="155"/>
      <c r="GO898" s="155"/>
      <c r="GP898" s="155"/>
      <c r="GQ898" s="155"/>
      <c r="GR898" s="155"/>
      <c r="GS898" s="155"/>
      <c r="GT898" s="155"/>
      <c r="GU898" s="155"/>
      <c r="GV898" s="155"/>
      <c r="GW898" s="155"/>
      <c r="GX898" s="155"/>
      <c r="GY898" s="155"/>
      <c r="GZ898" s="155"/>
      <c r="HA898" s="155"/>
      <c r="HB898" s="155"/>
      <c r="HC898" s="155"/>
      <c r="HD898" s="155"/>
      <c r="HE898" s="155"/>
    </row>
    <row r="899" spans="2:213" s="156" customFormat="1" hidden="1">
      <c r="B899" s="155"/>
      <c r="C899" s="155"/>
      <c r="D899" s="155"/>
      <c r="E899" s="155"/>
      <c r="F899" s="155"/>
      <c r="G899" s="155"/>
      <c r="H899" s="155"/>
      <c r="I899" s="155"/>
      <c r="J899" s="155"/>
      <c r="K899" s="155"/>
      <c r="L899" s="155"/>
      <c r="M899" s="155"/>
      <c r="N899" s="155"/>
      <c r="O899" s="155"/>
      <c r="P899" s="155"/>
      <c r="Q899" s="155"/>
      <c r="R899" s="155"/>
      <c r="S899" s="155"/>
      <c r="T899" s="155"/>
      <c r="U899" s="155"/>
      <c r="V899" s="155"/>
      <c r="W899" s="155"/>
      <c r="GL899" s="155"/>
      <c r="GM899" s="155"/>
      <c r="GN899" s="155"/>
      <c r="GO899" s="155"/>
      <c r="GP899" s="155"/>
      <c r="GQ899" s="155"/>
      <c r="GR899" s="155"/>
      <c r="GS899" s="155"/>
      <c r="GT899" s="155"/>
      <c r="GU899" s="155"/>
      <c r="GV899" s="155"/>
      <c r="GW899" s="155"/>
      <c r="GX899" s="155"/>
      <c r="GY899" s="155"/>
      <c r="GZ899" s="155"/>
      <c r="HA899" s="155"/>
      <c r="HB899" s="155"/>
      <c r="HC899" s="155"/>
      <c r="HD899" s="155"/>
      <c r="HE899" s="155"/>
    </row>
    <row r="900" spans="2:213" s="156" customFormat="1" hidden="1">
      <c r="B900" s="155"/>
      <c r="C900" s="155"/>
      <c r="D900" s="155"/>
      <c r="E900" s="155"/>
      <c r="F900" s="155"/>
      <c r="G900" s="155"/>
      <c r="H900" s="155"/>
      <c r="I900" s="155"/>
      <c r="J900" s="155"/>
      <c r="K900" s="155"/>
      <c r="L900" s="155"/>
      <c r="M900" s="155"/>
      <c r="N900" s="155"/>
      <c r="O900" s="155"/>
      <c r="P900" s="155"/>
      <c r="Q900" s="155"/>
      <c r="R900" s="155"/>
      <c r="S900" s="155"/>
      <c r="T900" s="155"/>
      <c r="U900" s="155"/>
      <c r="V900" s="155"/>
      <c r="W900" s="155"/>
      <c r="GL900" s="155"/>
      <c r="GM900" s="155"/>
      <c r="GN900" s="155"/>
      <c r="GO900" s="155"/>
      <c r="GP900" s="155"/>
      <c r="GQ900" s="155"/>
      <c r="GR900" s="155"/>
      <c r="GS900" s="155"/>
      <c r="GT900" s="155"/>
      <c r="GU900" s="155"/>
      <c r="GV900" s="155"/>
      <c r="GW900" s="155"/>
      <c r="GX900" s="155"/>
      <c r="GY900" s="155"/>
      <c r="GZ900" s="155"/>
      <c r="HA900" s="155"/>
      <c r="HB900" s="155"/>
      <c r="HC900" s="155"/>
      <c r="HD900" s="155"/>
      <c r="HE900" s="155"/>
    </row>
    <row r="901" spans="2:213" s="156" customFormat="1" hidden="1">
      <c r="B901" s="155"/>
      <c r="C901" s="155"/>
      <c r="D901" s="155"/>
      <c r="E901" s="155"/>
      <c r="F901" s="155"/>
      <c r="G901" s="155"/>
      <c r="H901" s="155"/>
      <c r="I901" s="155"/>
      <c r="J901" s="155"/>
      <c r="K901" s="155"/>
      <c r="L901" s="155"/>
      <c r="M901" s="155"/>
      <c r="N901" s="155"/>
      <c r="O901" s="155"/>
      <c r="P901" s="155"/>
      <c r="Q901" s="155"/>
      <c r="R901" s="155"/>
      <c r="S901" s="155"/>
      <c r="T901" s="155"/>
      <c r="U901" s="155"/>
      <c r="V901" s="155"/>
      <c r="W901" s="155"/>
      <c r="GL901" s="155"/>
      <c r="GM901" s="155"/>
      <c r="GN901" s="155"/>
      <c r="GO901" s="155"/>
      <c r="GP901" s="155"/>
      <c r="GQ901" s="155"/>
      <c r="GR901" s="155"/>
      <c r="GS901" s="155"/>
      <c r="GT901" s="155"/>
      <c r="GU901" s="155"/>
      <c r="GV901" s="155"/>
      <c r="GW901" s="155"/>
      <c r="GX901" s="155"/>
      <c r="GY901" s="155"/>
      <c r="GZ901" s="155"/>
      <c r="HA901" s="155"/>
      <c r="HB901" s="155"/>
      <c r="HC901" s="155"/>
      <c r="HD901" s="155"/>
      <c r="HE901" s="155"/>
    </row>
    <row r="902" spans="2:213" s="156" customFormat="1" hidden="1">
      <c r="B902" s="155"/>
      <c r="C902" s="155"/>
      <c r="D902" s="155"/>
      <c r="E902" s="155"/>
      <c r="F902" s="155"/>
      <c r="G902" s="155"/>
      <c r="H902" s="155"/>
      <c r="I902" s="155"/>
      <c r="J902" s="155"/>
      <c r="K902" s="155"/>
      <c r="L902" s="155"/>
      <c r="M902" s="155"/>
      <c r="N902" s="155"/>
      <c r="O902" s="155"/>
      <c r="P902" s="155"/>
      <c r="Q902" s="155"/>
      <c r="R902" s="155"/>
      <c r="S902" s="155"/>
      <c r="T902" s="155"/>
      <c r="U902" s="155"/>
      <c r="V902" s="155"/>
      <c r="W902" s="155"/>
      <c r="GL902" s="155"/>
      <c r="GM902" s="155"/>
      <c r="GN902" s="155"/>
      <c r="GO902" s="155"/>
      <c r="GP902" s="155"/>
      <c r="GQ902" s="155"/>
      <c r="GR902" s="155"/>
      <c r="GS902" s="155"/>
      <c r="GT902" s="155"/>
      <c r="GU902" s="155"/>
      <c r="GV902" s="155"/>
      <c r="GW902" s="155"/>
      <c r="GX902" s="155"/>
      <c r="GY902" s="155"/>
      <c r="GZ902" s="155"/>
      <c r="HA902" s="155"/>
      <c r="HB902" s="155"/>
      <c r="HC902" s="155"/>
      <c r="HD902" s="155"/>
      <c r="HE902" s="155"/>
    </row>
    <row r="903" spans="2:213" s="156" customFormat="1" hidden="1">
      <c r="B903" s="155"/>
      <c r="C903" s="155"/>
      <c r="D903" s="155"/>
      <c r="E903" s="155"/>
      <c r="F903" s="155"/>
      <c r="G903" s="155"/>
      <c r="H903" s="155"/>
      <c r="I903" s="155"/>
      <c r="J903" s="155"/>
      <c r="K903" s="155"/>
      <c r="L903" s="155"/>
      <c r="M903" s="155"/>
      <c r="N903" s="155"/>
      <c r="O903" s="155"/>
      <c r="P903" s="155"/>
      <c r="Q903" s="155"/>
      <c r="R903" s="155"/>
      <c r="S903" s="155"/>
      <c r="T903" s="155"/>
      <c r="U903" s="155"/>
      <c r="V903" s="155"/>
      <c r="W903" s="155"/>
      <c r="GL903" s="155"/>
      <c r="GM903" s="155"/>
      <c r="GN903" s="155"/>
      <c r="GO903" s="155"/>
      <c r="GP903" s="155"/>
      <c r="GQ903" s="155"/>
      <c r="GR903" s="155"/>
      <c r="GS903" s="155"/>
      <c r="GT903" s="155"/>
      <c r="GU903" s="155"/>
      <c r="GV903" s="155"/>
      <c r="GW903" s="155"/>
      <c r="GX903" s="155"/>
      <c r="GY903" s="155"/>
      <c r="GZ903" s="155"/>
      <c r="HA903" s="155"/>
      <c r="HB903" s="155"/>
      <c r="HC903" s="155"/>
      <c r="HD903" s="155"/>
      <c r="HE903" s="155"/>
    </row>
    <row r="904" spans="2:213" s="156" customFormat="1" hidden="1">
      <c r="B904" s="155"/>
      <c r="C904" s="155"/>
      <c r="D904" s="155"/>
      <c r="E904" s="155"/>
      <c r="F904" s="155"/>
      <c r="G904" s="155"/>
      <c r="H904" s="155"/>
      <c r="I904" s="155"/>
      <c r="J904" s="155"/>
      <c r="K904" s="155"/>
      <c r="L904" s="155"/>
      <c r="M904" s="155"/>
      <c r="N904" s="155"/>
      <c r="O904" s="155"/>
      <c r="P904" s="155"/>
      <c r="Q904" s="155"/>
      <c r="R904" s="155"/>
      <c r="S904" s="155"/>
      <c r="T904" s="155"/>
      <c r="U904" s="155"/>
      <c r="V904" s="155"/>
      <c r="W904" s="155"/>
      <c r="GL904" s="155"/>
      <c r="GM904" s="155"/>
      <c r="GN904" s="155"/>
      <c r="GO904" s="155"/>
      <c r="GP904" s="155"/>
      <c r="GQ904" s="155"/>
      <c r="GR904" s="155"/>
      <c r="GS904" s="155"/>
      <c r="GT904" s="155"/>
      <c r="GU904" s="155"/>
      <c r="GV904" s="155"/>
      <c r="GW904" s="155"/>
      <c r="GX904" s="155"/>
      <c r="GY904" s="155"/>
      <c r="GZ904" s="155"/>
      <c r="HA904" s="155"/>
      <c r="HB904" s="155"/>
      <c r="HC904" s="155"/>
      <c r="HD904" s="155"/>
      <c r="HE904" s="155"/>
    </row>
    <row r="905" spans="2:213" s="156" customFormat="1" hidden="1">
      <c r="B905" s="155"/>
      <c r="C905" s="155"/>
      <c r="D905" s="155"/>
      <c r="E905" s="155"/>
      <c r="F905" s="155"/>
      <c r="G905" s="155"/>
      <c r="H905" s="155"/>
      <c r="I905" s="155"/>
      <c r="J905" s="155"/>
      <c r="K905" s="155"/>
      <c r="L905" s="155"/>
      <c r="M905" s="155"/>
      <c r="N905" s="155"/>
      <c r="O905" s="155"/>
      <c r="P905" s="155"/>
      <c r="Q905" s="155"/>
      <c r="R905" s="155"/>
      <c r="S905" s="155"/>
      <c r="T905" s="155"/>
      <c r="U905" s="155"/>
      <c r="V905" s="155"/>
      <c r="W905" s="155"/>
      <c r="GL905" s="155"/>
      <c r="GM905" s="155"/>
      <c r="GN905" s="155"/>
      <c r="GO905" s="155"/>
      <c r="GP905" s="155"/>
      <c r="GQ905" s="155"/>
      <c r="GR905" s="155"/>
      <c r="GS905" s="155"/>
      <c r="GT905" s="155"/>
      <c r="GU905" s="155"/>
      <c r="GV905" s="155"/>
      <c r="GW905" s="155"/>
      <c r="GX905" s="155"/>
      <c r="GY905" s="155"/>
      <c r="GZ905" s="155"/>
      <c r="HA905" s="155"/>
      <c r="HB905" s="155"/>
      <c r="HC905" s="155"/>
      <c r="HD905" s="155"/>
      <c r="HE905" s="155"/>
    </row>
    <row r="906" spans="2:213" s="156" customFormat="1" hidden="1">
      <c r="B906" s="155"/>
      <c r="C906" s="155"/>
      <c r="D906" s="155"/>
      <c r="E906" s="155"/>
      <c r="F906" s="155"/>
      <c r="G906" s="155"/>
      <c r="H906" s="155"/>
      <c r="I906" s="155"/>
      <c r="J906" s="155"/>
      <c r="K906" s="155"/>
      <c r="L906" s="155"/>
      <c r="M906" s="155"/>
      <c r="N906" s="155"/>
      <c r="O906" s="155"/>
      <c r="P906" s="155"/>
      <c r="Q906" s="155"/>
      <c r="R906" s="155"/>
      <c r="S906" s="155"/>
      <c r="T906" s="155"/>
      <c r="U906" s="155"/>
      <c r="V906" s="155"/>
      <c r="W906" s="155"/>
      <c r="GL906" s="155"/>
      <c r="GM906" s="155"/>
      <c r="GN906" s="155"/>
      <c r="GO906" s="155"/>
      <c r="GP906" s="155"/>
      <c r="GQ906" s="155"/>
      <c r="GR906" s="155"/>
      <c r="GS906" s="155"/>
      <c r="GT906" s="155"/>
      <c r="GU906" s="155"/>
      <c r="GV906" s="155"/>
      <c r="GW906" s="155"/>
      <c r="GX906" s="155"/>
      <c r="GY906" s="155"/>
      <c r="GZ906" s="155"/>
      <c r="HA906" s="155"/>
      <c r="HB906" s="155"/>
      <c r="HC906" s="155"/>
      <c r="HD906" s="155"/>
      <c r="HE906" s="155"/>
    </row>
    <row r="907" spans="2:213" s="156" customFormat="1" hidden="1">
      <c r="B907" s="155"/>
      <c r="C907" s="155"/>
      <c r="D907" s="155"/>
      <c r="E907" s="155"/>
      <c r="F907" s="155"/>
      <c r="G907" s="155"/>
      <c r="H907" s="155"/>
      <c r="I907" s="155"/>
      <c r="J907" s="155"/>
      <c r="K907" s="155"/>
      <c r="L907" s="155"/>
      <c r="M907" s="155"/>
      <c r="N907" s="155"/>
      <c r="O907" s="155"/>
      <c r="P907" s="155"/>
      <c r="Q907" s="155"/>
      <c r="R907" s="155"/>
      <c r="S907" s="155"/>
      <c r="T907" s="155"/>
      <c r="U907" s="155"/>
      <c r="V907" s="155"/>
      <c r="W907" s="155"/>
      <c r="GL907" s="155"/>
      <c r="GM907" s="155"/>
      <c r="GN907" s="155"/>
      <c r="GO907" s="155"/>
      <c r="GP907" s="155"/>
      <c r="GQ907" s="155"/>
      <c r="GR907" s="155"/>
      <c r="GS907" s="155"/>
      <c r="GT907" s="155"/>
      <c r="GU907" s="155"/>
      <c r="GV907" s="155"/>
      <c r="GW907" s="155"/>
      <c r="GX907" s="155"/>
      <c r="GY907" s="155"/>
      <c r="GZ907" s="155"/>
      <c r="HA907" s="155"/>
      <c r="HB907" s="155"/>
      <c r="HC907" s="155"/>
      <c r="HD907" s="155"/>
      <c r="HE907" s="155"/>
    </row>
    <row r="908" spans="2:213" s="156" customFormat="1" hidden="1">
      <c r="B908" s="155"/>
      <c r="C908" s="155"/>
      <c r="D908" s="155"/>
      <c r="E908" s="155"/>
      <c r="F908" s="155"/>
      <c r="G908" s="155"/>
      <c r="H908" s="155"/>
      <c r="I908" s="155"/>
      <c r="J908" s="155"/>
      <c r="K908" s="155"/>
      <c r="L908" s="155"/>
      <c r="M908" s="155"/>
      <c r="N908" s="155"/>
      <c r="O908" s="155"/>
      <c r="P908" s="155"/>
      <c r="Q908" s="155"/>
      <c r="R908" s="155"/>
      <c r="S908" s="155"/>
      <c r="T908" s="155"/>
      <c r="U908" s="155"/>
      <c r="V908" s="155"/>
      <c r="W908" s="155"/>
      <c r="GL908" s="155"/>
      <c r="GM908" s="155"/>
      <c r="GN908" s="155"/>
      <c r="GO908" s="155"/>
      <c r="GP908" s="155"/>
      <c r="GQ908" s="155"/>
      <c r="GR908" s="155"/>
      <c r="GS908" s="155"/>
      <c r="GT908" s="155"/>
      <c r="GU908" s="155"/>
      <c r="GV908" s="155"/>
      <c r="GW908" s="155"/>
      <c r="GX908" s="155"/>
      <c r="GY908" s="155"/>
      <c r="GZ908" s="155"/>
      <c r="HA908" s="155"/>
      <c r="HB908" s="155"/>
      <c r="HC908" s="155"/>
      <c r="HD908" s="155"/>
      <c r="HE908" s="155"/>
    </row>
    <row r="909" spans="2:213" s="156" customFormat="1" hidden="1">
      <c r="B909" s="155"/>
      <c r="C909" s="155"/>
      <c r="D909" s="155"/>
      <c r="E909" s="155"/>
      <c r="F909" s="155"/>
      <c r="G909" s="155"/>
      <c r="H909" s="155"/>
      <c r="I909" s="155"/>
      <c r="J909" s="155"/>
      <c r="K909" s="155"/>
      <c r="L909" s="155"/>
      <c r="M909" s="155"/>
      <c r="N909" s="155"/>
      <c r="O909" s="155"/>
      <c r="P909" s="155"/>
      <c r="Q909" s="155"/>
      <c r="R909" s="155"/>
      <c r="S909" s="155"/>
      <c r="T909" s="155"/>
      <c r="U909" s="155"/>
      <c r="V909" s="155"/>
      <c r="W909" s="155"/>
      <c r="GL909" s="155"/>
      <c r="GM909" s="155"/>
      <c r="GN909" s="155"/>
      <c r="GO909" s="155"/>
      <c r="GP909" s="155"/>
      <c r="GQ909" s="155"/>
      <c r="GR909" s="155"/>
      <c r="GS909" s="155"/>
      <c r="GT909" s="155"/>
      <c r="GU909" s="155"/>
      <c r="GV909" s="155"/>
      <c r="GW909" s="155"/>
      <c r="GX909" s="155"/>
      <c r="GY909" s="155"/>
      <c r="GZ909" s="155"/>
      <c r="HA909" s="155"/>
      <c r="HB909" s="155"/>
      <c r="HC909" s="155"/>
      <c r="HD909" s="155"/>
      <c r="HE909" s="155"/>
    </row>
    <row r="910" spans="2:213" s="156" customFormat="1" hidden="1">
      <c r="B910" s="155"/>
      <c r="C910" s="155"/>
      <c r="D910" s="155"/>
      <c r="E910" s="155"/>
      <c r="F910" s="155"/>
      <c r="G910" s="155"/>
      <c r="H910" s="155"/>
      <c r="I910" s="155"/>
      <c r="J910" s="155"/>
      <c r="K910" s="155"/>
      <c r="L910" s="155"/>
      <c r="M910" s="155"/>
      <c r="N910" s="155"/>
      <c r="O910" s="155"/>
      <c r="P910" s="155"/>
      <c r="Q910" s="155"/>
      <c r="R910" s="155"/>
      <c r="S910" s="155"/>
      <c r="T910" s="155"/>
      <c r="U910" s="155"/>
      <c r="V910" s="155"/>
      <c r="W910" s="155"/>
      <c r="GL910" s="155"/>
      <c r="GM910" s="155"/>
      <c r="GN910" s="155"/>
      <c r="GO910" s="155"/>
      <c r="GP910" s="155"/>
      <c r="GQ910" s="155"/>
      <c r="GR910" s="155"/>
      <c r="GS910" s="155"/>
      <c r="GT910" s="155"/>
      <c r="GU910" s="155"/>
      <c r="GV910" s="155"/>
      <c r="GW910" s="155"/>
      <c r="GX910" s="155"/>
      <c r="GY910" s="155"/>
      <c r="GZ910" s="155"/>
      <c r="HA910" s="155"/>
      <c r="HB910" s="155"/>
      <c r="HC910" s="155"/>
      <c r="HD910" s="155"/>
      <c r="HE910" s="155"/>
    </row>
    <row r="911" spans="2:213" s="156" customFormat="1" hidden="1">
      <c r="B911" s="155"/>
      <c r="C911" s="155"/>
      <c r="D911" s="155"/>
      <c r="E911" s="155"/>
      <c r="F911" s="155"/>
      <c r="G911" s="155"/>
      <c r="H911" s="155"/>
      <c r="I911" s="155"/>
      <c r="J911" s="155"/>
      <c r="K911" s="155"/>
      <c r="L911" s="155"/>
      <c r="M911" s="155"/>
      <c r="N911" s="155"/>
      <c r="O911" s="155"/>
      <c r="P911" s="155"/>
      <c r="Q911" s="155"/>
      <c r="R911" s="155"/>
      <c r="S911" s="155"/>
      <c r="T911" s="155"/>
      <c r="U911" s="155"/>
      <c r="V911" s="155"/>
      <c r="W911" s="155"/>
      <c r="GL911" s="155"/>
      <c r="GM911" s="155"/>
      <c r="GN911" s="155"/>
      <c r="GO911" s="155"/>
      <c r="GP911" s="155"/>
      <c r="GQ911" s="155"/>
      <c r="GR911" s="155"/>
      <c r="GS911" s="155"/>
      <c r="GT911" s="155"/>
      <c r="GU911" s="155"/>
      <c r="GV911" s="155"/>
      <c r="GW911" s="155"/>
      <c r="GX911" s="155"/>
      <c r="GY911" s="155"/>
      <c r="GZ911" s="155"/>
      <c r="HA911" s="155"/>
      <c r="HB911" s="155"/>
      <c r="HC911" s="155"/>
      <c r="HD911" s="155"/>
      <c r="HE911" s="155"/>
    </row>
    <row r="912" spans="2:213" s="156" customFormat="1" hidden="1">
      <c r="B912" s="155"/>
      <c r="C912" s="155"/>
      <c r="D912" s="155"/>
      <c r="E912" s="155"/>
      <c r="F912" s="155"/>
      <c r="G912" s="155"/>
      <c r="H912" s="155"/>
      <c r="I912" s="155"/>
      <c r="J912" s="155"/>
      <c r="K912" s="155"/>
      <c r="L912" s="155"/>
      <c r="M912" s="155"/>
      <c r="N912" s="155"/>
      <c r="O912" s="155"/>
      <c r="P912" s="155"/>
      <c r="Q912" s="155"/>
      <c r="R912" s="155"/>
      <c r="S912" s="155"/>
      <c r="T912" s="155"/>
      <c r="U912" s="155"/>
      <c r="V912" s="155"/>
      <c r="W912" s="155"/>
      <c r="GL912" s="155"/>
      <c r="GM912" s="155"/>
      <c r="GN912" s="155"/>
      <c r="GO912" s="155"/>
      <c r="GP912" s="155"/>
      <c r="GQ912" s="155"/>
      <c r="GR912" s="155"/>
      <c r="GS912" s="155"/>
      <c r="GT912" s="155"/>
      <c r="GU912" s="155"/>
      <c r="GV912" s="155"/>
      <c r="GW912" s="155"/>
      <c r="GX912" s="155"/>
      <c r="GY912" s="155"/>
      <c r="GZ912" s="155"/>
      <c r="HA912" s="155"/>
      <c r="HB912" s="155"/>
      <c r="HC912" s="155"/>
      <c r="HD912" s="155"/>
      <c r="HE912" s="155"/>
    </row>
    <row r="913" spans="2:213" s="156" customFormat="1" hidden="1">
      <c r="B913" s="155"/>
      <c r="C913" s="155"/>
      <c r="D913" s="155"/>
      <c r="E913" s="155"/>
      <c r="F913" s="155"/>
      <c r="G913" s="155"/>
      <c r="H913" s="155"/>
      <c r="I913" s="155"/>
      <c r="J913" s="155"/>
      <c r="K913" s="155"/>
      <c r="L913" s="155"/>
      <c r="M913" s="155"/>
      <c r="N913" s="155"/>
      <c r="O913" s="155"/>
      <c r="P913" s="155"/>
      <c r="Q913" s="155"/>
      <c r="R913" s="155"/>
      <c r="S913" s="155"/>
      <c r="T913" s="155"/>
      <c r="U913" s="155"/>
      <c r="V913" s="155"/>
      <c r="W913" s="155"/>
      <c r="GL913" s="155"/>
      <c r="GM913" s="155"/>
      <c r="GN913" s="155"/>
      <c r="GO913" s="155"/>
      <c r="GP913" s="155"/>
      <c r="GQ913" s="155"/>
      <c r="GR913" s="155"/>
      <c r="GS913" s="155"/>
      <c r="GT913" s="155"/>
      <c r="GU913" s="155"/>
      <c r="GV913" s="155"/>
      <c r="GW913" s="155"/>
      <c r="GX913" s="155"/>
      <c r="GY913" s="155"/>
      <c r="GZ913" s="155"/>
      <c r="HA913" s="155"/>
      <c r="HB913" s="155"/>
      <c r="HC913" s="155"/>
      <c r="HD913" s="155"/>
      <c r="HE913" s="155"/>
    </row>
    <row r="914" spans="2:213" s="156" customFormat="1" hidden="1">
      <c r="B914" s="155"/>
      <c r="C914" s="155"/>
      <c r="D914" s="155"/>
      <c r="E914" s="155"/>
      <c r="F914" s="155"/>
      <c r="G914" s="155"/>
      <c r="H914" s="155"/>
      <c r="I914" s="155"/>
      <c r="J914" s="155"/>
      <c r="K914" s="155"/>
      <c r="L914" s="155"/>
      <c r="M914" s="155"/>
      <c r="N914" s="155"/>
      <c r="O914" s="155"/>
      <c r="P914" s="155"/>
      <c r="Q914" s="155"/>
      <c r="R914" s="155"/>
      <c r="S914" s="155"/>
      <c r="T914" s="155"/>
      <c r="U914" s="155"/>
      <c r="V914" s="155"/>
      <c r="W914" s="155"/>
      <c r="GL914" s="155"/>
      <c r="GM914" s="155"/>
      <c r="GN914" s="155"/>
      <c r="GO914" s="155"/>
      <c r="GP914" s="155"/>
      <c r="GQ914" s="155"/>
      <c r="GR914" s="155"/>
      <c r="GS914" s="155"/>
      <c r="GT914" s="155"/>
      <c r="GU914" s="155"/>
      <c r="GV914" s="155"/>
      <c r="GW914" s="155"/>
      <c r="GX914" s="155"/>
      <c r="GY914" s="155"/>
      <c r="GZ914" s="155"/>
      <c r="HA914" s="155"/>
      <c r="HB914" s="155"/>
      <c r="HC914" s="155"/>
      <c r="HD914" s="155"/>
      <c r="HE914" s="155"/>
    </row>
    <row r="915" spans="2:213" s="156" customFormat="1" hidden="1">
      <c r="B915" s="155"/>
      <c r="C915" s="155"/>
      <c r="D915" s="155"/>
      <c r="E915" s="155"/>
      <c r="F915" s="155"/>
      <c r="G915" s="155"/>
      <c r="H915" s="155"/>
      <c r="I915" s="155"/>
      <c r="J915" s="155"/>
      <c r="K915" s="155"/>
      <c r="L915" s="155"/>
      <c r="M915" s="155"/>
      <c r="N915" s="155"/>
      <c r="O915" s="155"/>
      <c r="P915" s="155"/>
      <c r="Q915" s="155"/>
      <c r="R915" s="155"/>
      <c r="S915" s="155"/>
      <c r="T915" s="155"/>
      <c r="U915" s="155"/>
      <c r="V915" s="155"/>
      <c r="W915" s="155"/>
      <c r="GL915" s="155"/>
      <c r="GM915" s="155"/>
      <c r="GN915" s="155"/>
      <c r="GO915" s="155"/>
      <c r="GP915" s="155"/>
      <c r="GQ915" s="155"/>
      <c r="GR915" s="155"/>
      <c r="GS915" s="155"/>
      <c r="GT915" s="155"/>
      <c r="GU915" s="155"/>
      <c r="GV915" s="155"/>
      <c r="GW915" s="155"/>
      <c r="GX915" s="155"/>
      <c r="GY915" s="155"/>
      <c r="GZ915" s="155"/>
      <c r="HA915" s="155"/>
      <c r="HB915" s="155"/>
      <c r="HC915" s="155"/>
      <c r="HD915" s="155"/>
      <c r="HE915" s="155"/>
    </row>
    <row r="916" spans="2:213" s="156" customFormat="1" hidden="1">
      <c r="B916" s="155"/>
      <c r="C916" s="155"/>
      <c r="D916" s="155"/>
      <c r="E916" s="155"/>
      <c r="F916" s="155"/>
      <c r="G916" s="155"/>
      <c r="H916" s="155"/>
      <c r="I916" s="155"/>
      <c r="J916" s="155"/>
      <c r="K916" s="155"/>
      <c r="L916" s="155"/>
      <c r="M916" s="155"/>
      <c r="N916" s="155"/>
      <c r="O916" s="155"/>
      <c r="P916" s="155"/>
      <c r="Q916" s="155"/>
      <c r="R916" s="155"/>
      <c r="S916" s="155"/>
      <c r="T916" s="155"/>
      <c r="U916" s="155"/>
      <c r="V916" s="155"/>
      <c r="W916" s="155"/>
      <c r="GL916" s="155"/>
      <c r="GM916" s="155"/>
      <c r="GN916" s="155"/>
      <c r="GO916" s="155"/>
      <c r="GP916" s="155"/>
      <c r="GQ916" s="155"/>
      <c r="GR916" s="155"/>
      <c r="GS916" s="155"/>
      <c r="GT916" s="155"/>
      <c r="GU916" s="155"/>
      <c r="GV916" s="155"/>
      <c r="GW916" s="155"/>
      <c r="GX916" s="155"/>
      <c r="GY916" s="155"/>
      <c r="GZ916" s="155"/>
      <c r="HA916" s="155"/>
      <c r="HB916" s="155"/>
      <c r="HC916" s="155"/>
      <c r="HD916" s="155"/>
      <c r="HE916" s="155"/>
    </row>
    <row r="917" spans="2:213" s="156" customFormat="1" hidden="1">
      <c r="B917" s="155"/>
      <c r="C917" s="155"/>
      <c r="D917" s="155"/>
      <c r="E917" s="155"/>
      <c r="F917" s="155"/>
      <c r="G917" s="155"/>
      <c r="H917" s="155"/>
      <c r="I917" s="155"/>
      <c r="J917" s="155"/>
      <c r="K917" s="155"/>
      <c r="L917" s="155"/>
      <c r="M917" s="155"/>
      <c r="N917" s="155"/>
      <c r="O917" s="155"/>
      <c r="P917" s="155"/>
      <c r="Q917" s="155"/>
      <c r="R917" s="155"/>
      <c r="S917" s="155"/>
      <c r="T917" s="155"/>
      <c r="U917" s="155"/>
      <c r="V917" s="155"/>
      <c r="W917" s="155"/>
      <c r="GL917" s="155"/>
      <c r="GM917" s="155"/>
      <c r="GN917" s="155"/>
      <c r="GO917" s="155"/>
      <c r="GP917" s="155"/>
      <c r="GQ917" s="155"/>
      <c r="GR917" s="155"/>
      <c r="GS917" s="155"/>
      <c r="GT917" s="155"/>
      <c r="GU917" s="155"/>
      <c r="GV917" s="155"/>
      <c r="GW917" s="155"/>
      <c r="GX917" s="155"/>
      <c r="GY917" s="155"/>
      <c r="GZ917" s="155"/>
      <c r="HA917" s="155"/>
      <c r="HB917" s="155"/>
      <c r="HC917" s="155"/>
      <c r="HD917" s="155"/>
      <c r="HE917" s="155"/>
    </row>
    <row r="918" spans="2:213" s="156" customFormat="1" hidden="1">
      <c r="B918" s="155"/>
      <c r="C918" s="155"/>
      <c r="D918" s="155"/>
      <c r="E918" s="155"/>
      <c r="F918" s="155"/>
      <c r="G918" s="155"/>
      <c r="H918" s="155"/>
      <c r="I918" s="155"/>
      <c r="J918" s="155"/>
      <c r="K918" s="155"/>
      <c r="L918" s="155"/>
      <c r="M918" s="155"/>
      <c r="N918" s="155"/>
      <c r="O918" s="155"/>
      <c r="P918" s="155"/>
      <c r="Q918" s="155"/>
      <c r="R918" s="155"/>
      <c r="S918" s="155"/>
      <c r="T918" s="155"/>
      <c r="U918" s="155"/>
      <c r="V918" s="155"/>
      <c r="W918" s="155"/>
      <c r="GL918" s="155"/>
      <c r="GM918" s="155"/>
      <c r="GN918" s="155"/>
      <c r="GO918" s="155"/>
      <c r="GP918" s="155"/>
      <c r="GQ918" s="155"/>
      <c r="GR918" s="155"/>
      <c r="GS918" s="155"/>
      <c r="GT918" s="155"/>
      <c r="GU918" s="155"/>
      <c r="GV918" s="155"/>
      <c r="GW918" s="155"/>
      <c r="GX918" s="155"/>
      <c r="GY918" s="155"/>
      <c r="GZ918" s="155"/>
      <c r="HA918" s="155"/>
      <c r="HB918" s="155"/>
      <c r="HC918" s="155"/>
      <c r="HD918" s="155"/>
      <c r="HE918" s="155"/>
    </row>
    <row r="919" spans="2:213" s="156" customFormat="1" hidden="1">
      <c r="B919" s="155"/>
      <c r="C919" s="155"/>
      <c r="D919" s="155"/>
      <c r="E919" s="155"/>
      <c r="F919" s="155"/>
      <c r="G919" s="155"/>
      <c r="H919" s="155"/>
      <c r="I919" s="155"/>
      <c r="J919" s="155"/>
      <c r="K919" s="155"/>
      <c r="L919" s="155"/>
      <c r="M919" s="155"/>
      <c r="N919" s="155"/>
      <c r="O919" s="155"/>
      <c r="P919" s="155"/>
      <c r="Q919" s="155"/>
      <c r="R919" s="155"/>
      <c r="S919" s="155"/>
      <c r="T919" s="155"/>
      <c r="U919" s="155"/>
      <c r="V919" s="155"/>
      <c r="W919" s="155"/>
      <c r="GL919" s="155"/>
      <c r="GM919" s="155"/>
      <c r="GN919" s="155"/>
      <c r="GO919" s="155"/>
      <c r="GP919" s="155"/>
      <c r="GQ919" s="155"/>
      <c r="GR919" s="155"/>
      <c r="GS919" s="155"/>
      <c r="GT919" s="155"/>
      <c r="GU919" s="155"/>
      <c r="GV919" s="155"/>
      <c r="GW919" s="155"/>
      <c r="GX919" s="155"/>
      <c r="GY919" s="155"/>
      <c r="GZ919" s="155"/>
      <c r="HA919" s="155"/>
      <c r="HB919" s="155"/>
      <c r="HC919" s="155"/>
      <c r="HD919" s="155"/>
      <c r="HE919" s="155"/>
    </row>
    <row r="920" spans="2:213" s="156" customFormat="1" hidden="1">
      <c r="B920" s="155"/>
      <c r="C920" s="155"/>
      <c r="D920" s="155"/>
      <c r="E920" s="155"/>
      <c r="F920" s="155"/>
      <c r="G920" s="155"/>
      <c r="H920" s="155"/>
      <c r="I920" s="155"/>
      <c r="J920" s="155"/>
      <c r="K920" s="155"/>
      <c r="L920" s="155"/>
      <c r="M920" s="155"/>
      <c r="N920" s="155"/>
      <c r="O920" s="155"/>
      <c r="P920" s="155"/>
      <c r="Q920" s="155"/>
      <c r="R920" s="155"/>
      <c r="S920" s="155"/>
      <c r="T920" s="155"/>
      <c r="U920" s="155"/>
      <c r="V920" s="155"/>
      <c r="W920" s="155"/>
      <c r="GL920" s="155"/>
      <c r="GM920" s="155"/>
      <c r="GN920" s="155"/>
      <c r="GO920" s="155"/>
      <c r="GP920" s="155"/>
      <c r="GQ920" s="155"/>
      <c r="GR920" s="155"/>
      <c r="GS920" s="155"/>
      <c r="GT920" s="155"/>
      <c r="GU920" s="155"/>
      <c r="GV920" s="155"/>
      <c r="GW920" s="155"/>
      <c r="GX920" s="155"/>
      <c r="GY920" s="155"/>
      <c r="GZ920" s="155"/>
      <c r="HA920" s="155"/>
      <c r="HB920" s="155"/>
      <c r="HC920" s="155"/>
      <c r="HD920" s="155"/>
      <c r="HE920" s="155"/>
    </row>
    <row r="921" spans="2:213" s="156" customFormat="1" hidden="1">
      <c r="B921" s="155"/>
      <c r="C921" s="155"/>
      <c r="D921" s="155"/>
      <c r="E921" s="155"/>
      <c r="F921" s="155"/>
      <c r="G921" s="155"/>
      <c r="H921" s="155"/>
      <c r="I921" s="155"/>
      <c r="J921" s="155"/>
      <c r="K921" s="155"/>
      <c r="L921" s="155"/>
      <c r="M921" s="155"/>
      <c r="N921" s="155"/>
      <c r="O921" s="155"/>
      <c r="P921" s="155"/>
      <c r="Q921" s="155"/>
      <c r="R921" s="155"/>
      <c r="S921" s="155"/>
      <c r="T921" s="155"/>
      <c r="U921" s="155"/>
      <c r="V921" s="155"/>
      <c r="W921" s="155"/>
      <c r="GL921" s="155"/>
      <c r="GM921" s="155"/>
      <c r="GN921" s="155"/>
      <c r="GO921" s="155"/>
      <c r="GP921" s="155"/>
      <c r="GQ921" s="155"/>
      <c r="GR921" s="155"/>
      <c r="GS921" s="155"/>
      <c r="GT921" s="155"/>
      <c r="GU921" s="155"/>
      <c r="GV921" s="155"/>
      <c r="GW921" s="155"/>
      <c r="GX921" s="155"/>
      <c r="GY921" s="155"/>
      <c r="GZ921" s="155"/>
      <c r="HA921" s="155"/>
      <c r="HB921" s="155"/>
      <c r="HC921" s="155"/>
      <c r="HD921" s="155"/>
      <c r="HE921" s="155"/>
    </row>
    <row r="922" spans="2:213" s="156" customFormat="1" hidden="1">
      <c r="B922" s="155"/>
      <c r="C922" s="155"/>
      <c r="D922" s="155"/>
      <c r="E922" s="155"/>
      <c r="F922" s="155"/>
      <c r="G922" s="155"/>
      <c r="H922" s="155"/>
      <c r="I922" s="155"/>
      <c r="J922" s="155"/>
      <c r="K922" s="155"/>
      <c r="L922" s="155"/>
      <c r="M922" s="155"/>
      <c r="N922" s="155"/>
      <c r="O922" s="155"/>
      <c r="P922" s="155"/>
      <c r="Q922" s="155"/>
      <c r="R922" s="155"/>
      <c r="S922" s="155"/>
      <c r="T922" s="155"/>
      <c r="U922" s="155"/>
      <c r="V922" s="155"/>
      <c r="W922" s="155"/>
      <c r="GL922" s="155"/>
      <c r="GM922" s="155"/>
      <c r="GN922" s="155"/>
      <c r="GO922" s="155"/>
      <c r="GP922" s="155"/>
      <c r="GQ922" s="155"/>
      <c r="GR922" s="155"/>
      <c r="GS922" s="155"/>
      <c r="GT922" s="155"/>
      <c r="GU922" s="155"/>
      <c r="GV922" s="155"/>
      <c r="GW922" s="155"/>
      <c r="GX922" s="155"/>
      <c r="GY922" s="155"/>
      <c r="GZ922" s="155"/>
      <c r="HA922" s="155"/>
      <c r="HB922" s="155"/>
      <c r="HC922" s="155"/>
      <c r="HD922" s="155"/>
      <c r="HE922" s="155"/>
    </row>
    <row r="923" spans="2:213" s="156" customFormat="1" hidden="1">
      <c r="B923" s="155"/>
      <c r="C923" s="155"/>
      <c r="D923" s="155"/>
      <c r="E923" s="155"/>
      <c r="F923" s="155"/>
      <c r="G923" s="155"/>
      <c r="H923" s="155"/>
      <c r="I923" s="155"/>
      <c r="J923" s="155"/>
      <c r="K923" s="155"/>
      <c r="L923" s="155"/>
      <c r="M923" s="155"/>
      <c r="N923" s="155"/>
      <c r="O923" s="155"/>
      <c r="P923" s="155"/>
      <c r="Q923" s="155"/>
      <c r="R923" s="155"/>
      <c r="S923" s="155"/>
      <c r="T923" s="155"/>
      <c r="U923" s="155"/>
      <c r="V923" s="155"/>
      <c r="W923" s="155"/>
      <c r="GL923" s="155"/>
      <c r="GM923" s="155"/>
      <c r="GN923" s="155"/>
      <c r="GO923" s="155"/>
      <c r="GP923" s="155"/>
      <c r="GQ923" s="155"/>
      <c r="GR923" s="155"/>
      <c r="GS923" s="155"/>
      <c r="GT923" s="155"/>
      <c r="GU923" s="155"/>
      <c r="GV923" s="155"/>
      <c r="GW923" s="155"/>
      <c r="GX923" s="155"/>
      <c r="GY923" s="155"/>
      <c r="GZ923" s="155"/>
      <c r="HA923" s="155"/>
      <c r="HB923" s="155"/>
      <c r="HC923" s="155"/>
      <c r="HD923" s="155"/>
      <c r="HE923" s="155"/>
    </row>
    <row r="924" spans="2:213" s="156" customFormat="1" hidden="1">
      <c r="B924" s="155"/>
      <c r="C924" s="155"/>
      <c r="D924" s="155"/>
      <c r="E924" s="155"/>
      <c r="F924" s="155"/>
      <c r="G924" s="155"/>
      <c r="H924" s="155"/>
      <c r="I924" s="155"/>
      <c r="J924" s="155"/>
      <c r="K924" s="155"/>
      <c r="L924" s="155"/>
      <c r="M924" s="155"/>
      <c r="N924" s="155"/>
      <c r="O924" s="155"/>
      <c r="P924" s="155"/>
      <c r="Q924" s="155"/>
      <c r="R924" s="155"/>
      <c r="S924" s="155"/>
      <c r="T924" s="155"/>
      <c r="U924" s="155"/>
      <c r="V924" s="155"/>
      <c r="W924" s="155"/>
      <c r="GL924" s="155"/>
      <c r="GM924" s="155"/>
      <c r="GN924" s="155"/>
      <c r="GO924" s="155"/>
      <c r="GP924" s="155"/>
      <c r="GQ924" s="155"/>
      <c r="GR924" s="155"/>
      <c r="GS924" s="155"/>
      <c r="GT924" s="155"/>
      <c r="GU924" s="155"/>
      <c r="GV924" s="155"/>
      <c r="GW924" s="155"/>
      <c r="GX924" s="155"/>
      <c r="GY924" s="155"/>
      <c r="GZ924" s="155"/>
      <c r="HA924" s="155"/>
      <c r="HB924" s="155"/>
      <c r="HC924" s="155"/>
      <c r="HD924" s="155"/>
      <c r="HE924" s="155"/>
    </row>
    <row r="925" spans="2:213" s="156" customFormat="1" hidden="1">
      <c r="B925" s="155"/>
      <c r="C925" s="155"/>
      <c r="D925" s="155"/>
      <c r="E925" s="155"/>
      <c r="F925" s="155"/>
      <c r="G925" s="155"/>
      <c r="H925" s="155"/>
      <c r="I925" s="155"/>
      <c r="J925" s="155"/>
      <c r="K925" s="155"/>
      <c r="L925" s="155"/>
      <c r="M925" s="155"/>
      <c r="N925" s="155"/>
      <c r="O925" s="155"/>
      <c r="P925" s="155"/>
      <c r="Q925" s="155"/>
      <c r="R925" s="155"/>
      <c r="S925" s="155"/>
      <c r="T925" s="155"/>
      <c r="U925" s="155"/>
      <c r="V925" s="155"/>
      <c r="W925" s="155"/>
      <c r="GL925" s="155"/>
      <c r="GM925" s="155"/>
      <c r="GN925" s="155"/>
      <c r="GO925" s="155"/>
      <c r="GP925" s="155"/>
      <c r="GQ925" s="155"/>
      <c r="GR925" s="155"/>
      <c r="GS925" s="155"/>
      <c r="GT925" s="155"/>
      <c r="GU925" s="155"/>
      <c r="GV925" s="155"/>
      <c r="GW925" s="155"/>
      <c r="GX925" s="155"/>
      <c r="GY925" s="155"/>
      <c r="GZ925" s="155"/>
      <c r="HA925" s="155"/>
      <c r="HB925" s="155"/>
      <c r="HC925" s="155"/>
      <c r="HD925" s="155"/>
      <c r="HE925" s="155"/>
    </row>
    <row r="926" spans="2:213" s="156" customFormat="1" hidden="1">
      <c r="B926" s="155"/>
      <c r="C926" s="155"/>
      <c r="D926" s="155"/>
      <c r="E926" s="155"/>
      <c r="F926" s="155"/>
      <c r="G926" s="155"/>
      <c r="H926" s="155"/>
      <c r="I926" s="155"/>
      <c r="J926" s="155"/>
      <c r="K926" s="155"/>
      <c r="L926" s="155"/>
      <c r="M926" s="155"/>
      <c r="N926" s="155"/>
      <c r="O926" s="155"/>
      <c r="P926" s="155"/>
      <c r="Q926" s="155"/>
      <c r="R926" s="155"/>
      <c r="S926" s="155"/>
      <c r="T926" s="155"/>
      <c r="U926" s="155"/>
      <c r="V926" s="155"/>
      <c r="W926" s="155"/>
      <c r="GL926" s="155"/>
      <c r="GM926" s="155"/>
      <c r="GN926" s="155"/>
      <c r="GO926" s="155"/>
      <c r="GP926" s="155"/>
      <c r="GQ926" s="155"/>
      <c r="GR926" s="155"/>
      <c r="GS926" s="155"/>
      <c r="GT926" s="155"/>
      <c r="GU926" s="155"/>
      <c r="GV926" s="155"/>
      <c r="GW926" s="155"/>
      <c r="GX926" s="155"/>
      <c r="GY926" s="155"/>
      <c r="GZ926" s="155"/>
      <c r="HA926" s="155"/>
      <c r="HB926" s="155"/>
      <c r="HC926" s="155"/>
      <c r="HD926" s="155"/>
      <c r="HE926" s="155"/>
    </row>
    <row r="927" spans="2:213" s="156" customFormat="1" hidden="1">
      <c r="B927" s="155"/>
      <c r="C927" s="155"/>
      <c r="D927" s="155"/>
      <c r="E927" s="155"/>
      <c r="F927" s="155"/>
      <c r="G927" s="155"/>
      <c r="H927" s="155"/>
      <c r="I927" s="155"/>
      <c r="J927" s="155"/>
      <c r="K927" s="155"/>
      <c r="L927" s="155"/>
      <c r="M927" s="155"/>
      <c r="N927" s="155"/>
      <c r="O927" s="155"/>
      <c r="P927" s="155"/>
      <c r="Q927" s="155"/>
      <c r="R927" s="155"/>
      <c r="S927" s="155"/>
      <c r="T927" s="155"/>
      <c r="U927" s="155"/>
      <c r="V927" s="155"/>
      <c r="W927" s="155"/>
      <c r="GL927" s="155"/>
      <c r="GM927" s="155"/>
      <c r="GN927" s="155"/>
      <c r="GO927" s="155"/>
      <c r="GP927" s="155"/>
      <c r="GQ927" s="155"/>
      <c r="GR927" s="155"/>
      <c r="GS927" s="155"/>
      <c r="GT927" s="155"/>
      <c r="GU927" s="155"/>
      <c r="GV927" s="155"/>
      <c r="GW927" s="155"/>
      <c r="GX927" s="155"/>
      <c r="GY927" s="155"/>
      <c r="GZ927" s="155"/>
      <c r="HA927" s="155"/>
      <c r="HB927" s="155"/>
      <c r="HC927" s="155"/>
      <c r="HD927" s="155"/>
      <c r="HE927" s="155"/>
    </row>
    <row r="928" spans="2:213" s="156" customFormat="1" hidden="1">
      <c r="B928" s="155"/>
      <c r="C928" s="155"/>
      <c r="D928" s="155"/>
      <c r="E928" s="155"/>
      <c r="F928" s="155"/>
      <c r="G928" s="155"/>
      <c r="H928" s="155"/>
      <c r="I928" s="155"/>
      <c r="J928" s="155"/>
      <c r="K928" s="155"/>
      <c r="L928" s="155"/>
      <c r="M928" s="155"/>
      <c r="N928" s="155"/>
      <c r="O928" s="155"/>
      <c r="P928" s="155"/>
      <c r="Q928" s="155"/>
      <c r="R928" s="155"/>
      <c r="S928" s="155"/>
      <c r="T928" s="155"/>
      <c r="U928" s="155"/>
      <c r="V928" s="155"/>
      <c r="W928" s="155"/>
      <c r="GL928" s="155"/>
      <c r="GM928" s="155"/>
      <c r="GN928" s="155"/>
      <c r="GO928" s="155"/>
      <c r="GP928" s="155"/>
      <c r="GQ928" s="155"/>
      <c r="GR928" s="155"/>
      <c r="GS928" s="155"/>
      <c r="GT928" s="155"/>
      <c r="GU928" s="155"/>
      <c r="GV928" s="155"/>
      <c r="GW928" s="155"/>
      <c r="GX928" s="155"/>
      <c r="GY928" s="155"/>
      <c r="GZ928" s="155"/>
      <c r="HA928" s="155"/>
      <c r="HB928" s="155"/>
      <c r="HC928" s="155"/>
      <c r="HD928" s="155"/>
      <c r="HE928" s="155"/>
    </row>
    <row r="929" spans="2:213" s="156" customFormat="1" hidden="1">
      <c r="B929" s="155"/>
      <c r="C929" s="155"/>
      <c r="D929" s="155"/>
      <c r="E929" s="155"/>
      <c r="F929" s="155"/>
      <c r="G929" s="155"/>
      <c r="H929" s="155"/>
      <c r="I929" s="155"/>
      <c r="J929" s="155"/>
      <c r="K929" s="155"/>
      <c r="L929" s="155"/>
      <c r="M929" s="155"/>
      <c r="N929" s="155"/>
      <c r="O929" s="155"/>
      <c r="P929" s="155"/>
      <c r="Q929" s="155"/>
      <c r="R929" s="155"/>
      <c r="S929" s="155"/>
      <c r="T929" s="155"/>
      <c r="U929" s="155"/>
      <c r="V929" s="155"/>
      <c r="W929" s="155"/>
      <c r="GL929" s="155"/>
      <c r="GM929" s="155"/>
      <c r="GN929" s="155"/>
      <c r="GO929" s="155"/>
      <c r="GP929" s="155"/>
      <c r="GQ929" s="155"/>
      <c r="GR929" s="155"/>
      <c r="GS929" s="155"/>
      <c r="GT929" s="155"/>
      <c r="GU929" s="155"/>
      <c r="GV929" s="155"/>
      <c r="GW929" s="155"/>
      <c r="GX929" s="155"/>
      <c r="GY929" s="155"/>
      <c r="GZ929" s="155"/>
      <c r="HA929" s="155"/>
      <c r="HB929" s="155"/>
      <c r="HC929" s="155"/>
      <c r="HD929" s="155"/>
      <c r="HE929" s="155"/>
    </row>
    <row r="930" spans="2:213" s="156" customFormat="1" hidden="1">
      <c r="B930" s="155"/>
      <c r="C930" s="155"/>
      <c r="D930" s="155"/>
      <c r="E930" s="155"/>
      <c r="F930" s="155"/>
      <c r="G930" s="155"/>
      <c r="H930" s="155"/>
      <c r="I930" s="155"/>
      <c r="J930" s="155"/>
      <c r="K930" s="155"/>
      <c r="L930" s="155"/>
      <c r="M930" s="155"/>
      <c r="N930" s="155"/>
      <c r="O930" s="155"/>
      <c r="P930" s="155"/>
      <c r="Q930" s="155"/>
      <c r="R930" s="155"/>
      <c r="S930" s="155"/>
      <c r="T930" s="155"/>
      <c r="U930" s="155"/>
      <c r="V930" s="155"/>
      <c r="W930" s="155"/>
      <c r="GL930" s="155"/>
      <c r="GM930" s="155"/>
      <c r="GN930" s="155"/>
      <c r="GO930" s="155"/>
      <c r="GP930" s="155"/>
      <c r="GQ930" s="155"/>
      <c r="GR930" s="155"/>
      <c r="GS930" s="155"/>
      <c r="GT930" s="155"/>
      <c r="GU930" s="155"/>
      <c r="GV930" s="155"/>
      <c r="GW930" s="155"/>
      <c r="GX930" s="155"/>
      <c r="GY930" s="155"/>
      <c r="GZ930" s="155"/>
      <c r="HA930" s="155"/>
      <c r="HB930" s="155"/>
      <c r="HC930" s="155"/>
      <c r="HD930" s="155"/>
      <c r="HE930" s="155"/>
    </row>
    <row r="931" spans="2:213" s="156" customFormat="1" hidden="1">
      <c r="B931" s="155"/>
      <c r="C931" s="155"/>
      <c r="D931" s="155"/>
      <c r="E931" s="155"/>
      <c r="F931" s="155"/>
      <c r="G931" s="155"/>
      <c r="H931" s="155"/>
      <c r="I931" s="155"/>
      <c r="J931" s="155"/>
      <c r="K931" s="155"/>
      <c r="L931" s="155"/>
      <c r="M931" s="155"/>
      <c r="N931" s="155"/>
      <c r="O931" s="155"/>
      <c r="P931" s="155"/>
      <c r="Q931" s="155"/>
      <c r="R931" s="155"/>
      <c r="S931" s="155"/>
      <c r="T931" s="155"/>
      <c r="U931" s="155"/>
      <c r="V931" s="155"/>
      <c r="W931" s="155"/>
      <c r="GL931" s="155"/>
      <c r="GM931" s="155"/>
      <c r="GN931" s="155"/>
      <c r="GO931" s="155"/>
      <c r="GP931" s="155"/>
      <c r="GQ931" s="155"/>
      <c r="GR931" s="155"/>
      <c r="GS931" s="155"/>
      <c r="GT931" s="155"/>
      <c r="GU931" s="155"/>
      <c r="GV931" s="155"/>
      <c r="GW931" s="155"/>
      <c r="GX931" s="155"/>
      <c r="GY931" s="155"/>
      <c r="GZ931" s="155"/>
      <c r="HA931" s="155"/>
      <c r="HB931" s="155"/>
      <c r="HC931" s="155"/>
      <c r="HD931" s="155"/>
      <c r="HE931" s="155"/>
    </row>
    <row r="932" spans="2:213" s="156" customFormat="1" hidden="1">
      <c r="B932" s="155"/>
      <c r="C932" s="155"/>
      <c r="D932" s="155"/>
      <c r="E932" s="155"/>
      <c r="F932" s="155"/>
      <c r="G932" s="155"/>
      <c r="H932" s="155"/>
      <c r="I932" s="155"/>
      <c r="J932" s="155"/>
      <c r="K932" s="155"/>
      <c r="L932" s="155"/>
      <c r="M932" s="155"/>
      <c r="N932" s="155"/>
      <c r="O932" s="155"/>
      <c r="P932" s="155"/>
      <c r="Q932" s="155"/>
      <c r="R932" s="155"/>
      <c r="S932" s="155"/>
      <c r="T932" s="155"/>
      <c r="U932" s="155"/>
      <c r="V932" s="155"/>
      <c r="W932" s="155"/>
      <c r="GL932" s="155"/>
      <c r="GM932" s="155"/>
      <c r="GN932" s="155"/>
      <c r="GO932" s="155"/>
      <c r="GP932" s="155"/>
      <c r="GQ932" s="155"/>
      <c r="GR932" s="155"/>
      <c r="GS932" s="155"/>
      <c r="GT932" s="155"/>
      <c r="GU932" s="155"/>
      <c r="GV932" s="155"/>
      <c r="GW932" s="155"/>
      <c r="GX932" s="155"/>
      <c r="GY932" s="155"/>
      <c r="GZ932" s="155"/>
      <c r="HA932" s="155"/>
      <c r="HB932" s="155"/>
      <c r="HC932" s="155"/>
      <c r="HD932" s="155"/>
      <c r="HE932" s="155"/>
    </row>
    <row r="933" spans="2:213" s="156" customFormat="1" hidden="1">
      <c r="B933" s="155"/>
      <c r="C933" s="155"/>
      <c r="D933" s="155"/>
      <c r="E933" s="155"/>
      <c r="F933" s="155"/>
      <c r="G933" s="155"/>
      <c r="H933" s="155"/>
      <c r="I933" s="155"/>
      <c r="J933" s="155"/>
      <c r="K933" s="155"/>
      <c r="L933" s="155"/>
      <c r="M933" s="155"/>
      <c r="N933" s="155"/>
      <c r="O933" s="155"/>
      <c r="P933" s="155"/>
      <c r="Q933" s="155"/>
      <c r="R933" s="155"/>
      <c r="S933" s="155"/>
      <c r="T933" s="155"/>
      <c r="U933" s="155"/>
      <c r="V933" s="155"/>
      <c r="W933" s="155"/>
      <c r="GL933" s="155"/>
      <c r="GM933" s="155"/>
      <c r="GN933" s="155"/>
      <c r="GO933" s="155"/>
      <c r="GP933" s="155"/>
      <c r="GQ933" s="155"/>
      <c r="GR933" s="155"/>
      <c r="GS933" s="155"/>
      <c r="GT933" s="155"/>
      <c r="GU933" s="155"/>
      <c r="GV933" s="155"/>
      <c r="GW933" s="155"/>
      <c r="GX933" s="155"/>
      <c r="GY933" s="155"/>
      <c r="GZ933" s="155"/>
      <c r="HA933" s="155"/>
      <c r="HB933" s="155"/>
      <c r="HC933" s="155"/>
      <c r="HD933" s="155"/>
      <c r="HE933" s="155"/>
    </row>
    <row r="934" spans="2:213" s="156" customFormat="1" hidden="1">
      <c r="B934" s="155"/>
      <c r="C934" s="155"/>
      <c r="D934" s="155"/>
      <c r="E934" s="155"/>
      <c r="F934" s="155"/>
      <c r="G934" s="155"/>
      <c r="H934" s="155"/>
      <c r="I934" s="155"/>
      <c r="J934" s="155"/>
      <c r="K934" s="155"/>
      <c r="L934" s="155"/>
      <c r="M934" s="155"/>
      <c r="N934" s="155"/>
      <c r="O934" s="155"/>
      <c r="P934" s="155"/>
      <c r="Q934" s="155"/>
      <c r="R934" s="155"/>
      <c r="S934" s="155"/>
      <c r="T934" s="155"/>
      <c r="U934" s="155"/>
      <c r="V934" s="155"/>
      <c r="W934" s="155"/>
      <c r="GL934" s="155"/>
      <c r="GM934" s="155"/>
      <c r="GN934" s="155"/>
      <c r="GO934" s="155"/>
      <c r="GP934" s="155"/>
      <c r="GQ934" s="155"/>
      <c r="GR934" s="155"/>
      <c r="GS934" s="155"/>
      <c r="GT934" s="155"/>
      <c r="GU934" s="155"/>
      <c r="GV934" s="155"/>
      <c r="GW934" s="155"/>
      <c r="GX934" s="155"/>
      <c r="GY934" s="155"/>
      <c r="GZ934" s="155"/>
      <c r="HA934" s="155"/>
      <c r="HB934" s="155"/>
      <c r="HC934" s="155"/>
      <c r="HD934" s="155"/>
      <c r="HE934" s="155"/>
    </row>
    <row r="935" spans="2:213" s="156" customFormat="1" hidden="1">
      <c r="B935" s="155"/>
      <c r="C935" s="155"/>
      <c r="D935" s="155"/>
      <c r="E935" s="155"/>
      <c r="F935" s="155"/>
      <c r="G935" s="155"/>
      <c r="H935" s="155"/>
      <c r="I935" s="155"/>
      <c r="J935" s="155"/>
      <c r="K935" s="155"/>
      <c r="L935" s="155"/>
      <c r="M935" s="155"/>
      <c r="N935" s="155"/>
      <c r="O935" s="155"/>
      <c r="P935" s="155"/>
      <c r="Q935" s="155"/>
      <c r="R935" s="155"/>
      <c r="S935" s="155"/>
      <c r="T935" s="155"/>
      <c r="U935" s="155"/>
      <c r="V935" s="155"/>
      <c r="W935" s="155"/>
      <c r="GL935" s="155"/>
      <c r="GM935" s="155"/>
      <c r="GN935" s="155"/>
      <c r="GO935" s="155"/>
      <c r="GP935" s="155"/>
      <c r="GQ935" s="155"/>
      <c r="GR935" s="155"/>
      <c r="GS935" s="155"/>
      <c r="GT935" s="155"/>
      <c r="GU935" s="155"/>
      <c r="GV935" s="155"/>
      <c r="GW935" s="155"/>
      <c r="GX935" s="155"/>
      <c r="GY935" s="155"/>
      <c r="GZ935" s="155"/>
      <c r="HA935" s="155"/>
      <c r="HB935" s="155"/>
      <c r="HC935" s="155"/>
      <c r="HD935" s="155"/>
      <c r="HE935" s="155"/>
    </row>
    <row r="936" spans="2:213" s="156" customFormat="1" hidden="1">
      <c r="B936" s="155"/>
      <c r="C936" s="155"/>
      <c r="D936" s="155"/>
      <c r="E936" s="155"/>
      <c r="F936" s="155"/>
      <c r="G936" s="155"/>
      <c r="H936" s="155"/>
      <c r="I936" s="155"/>
      <c r="J936" s="155"/>
      <c r="K936" s="155"/>
      <c r="L936" s="155"/>
      <c r="M936" s="155"/>
      <c r="N936" s="155"/>
      <c r="O936" s="155"/>
      <c r="P936" s="155"/>
      <c r="Q936" s="155"/>
      <c r="R936" s="155"/>
      <c r="S936" s="155"/>
      <c r="T936" s="155"/>
      <c r="U936" s="155"/>
      <c r="V936" s="155"/>
      <c r="W936" s="155"/>
      <c r="GL936" s="155"/>
      <c r="GM936" s="155"/>
      <c r="GN936" s="155"/>
      <c r="GO936" s="155"/>
      <c r="GP936" s="155"/>
      <c r="GQ936" s="155"/>
      <c r="GR936" s="155"/>
      <c r="GS936" s="155"/>
      <c r="GT936" s="155"/>
      <c r="GU936" s="155"/>
      <c r="GV936" s="155"/>
      <c r="GW936" s="155"/>
      <c r="GX936" s="155"/>
      <c r="GY936" s="155"/>
      <c r="GZ936" s="155"/>
      <c r="HA936" s="155"/>
      <c r="HB936" s="155"/>
      <c r="HC936" s="155"/>
      <c r="HD936" s="155"/>
      <c r="HE936" s="155"/>
    </row>
    <row r="937" spans="2:213" s="156" customFormat="1" hidden="1">
      <c r="B937" s="155"/>
      <c r="C937" s="155"/>
      <c r="D937" s="155"/>
      <c r="E937" s="155"/>
      <c r="F937" s="155"/>
      <c r="G937" s="155"/>
      <c r="H937" s="155"/>
      <c r="I937" s="155"/>
      <c r="J937" s="155"/>
      <c r="K937" s="155"/>
      <c r="L937" s="155"/>
      <c r="M937" s="155"/>
      <c r="N937" s="155"/>
      <c r="O937" s="155"/>
      <c r="P937" s="155"/>
      <c r="Q937" s="155"/>
      <c r="R937" s="155"/>
      <c r="S937" s="155"/>
      <c r="T937" s="155"/>
      <c r="U937" s="155"/>
      <c r="V937" s="155"/>
      <c r="W937" s="155"/>
      <c r="GL937" s="155"/>
      <c r="GM937" s="155"/>
      <c r="GN937" s="155"/>
      <c r="GO937" s="155"/>
      <c r="GP937" s="155"/>
      <c r="GQ937" s="155"/>
      <c r="GR937" s="155"/>
      <c r="GS937" s="155"/>
      <c r="GT937" s="155"/>
      <c r="GU937" s="155"/>
      <c r="GV937" s="155"/>
      <c r="GW937" s="155"/>
      <c r="GX937" s="155"/>
      <c r="GY937" s="155"/>
      <c r="GZ937" s="155"/>
      <c r="HA937" s="155"/>
      <c r="HB937" s="155"/>
      <c r="HC937" s="155"/>
      <c r="HD937" s="155"/>
      <c r="HE937" s="155"/>
    </row>
    <row r="938" spans="2:213" s="156" customFormat="1" hidden="1">
      <c r="B938" s="155"/>
      <c r="C938" s="155"/>
      <c r="D938" s="155"/>
      <c r="E938" s="155"/>
      <c r="F938" s="155"/>
      <c r="G938" s="155"/>
      <c r="H938" s="155"/>
      <c r="I938" s="155"/>
      <c r="J938" s="155"/>
      <c r="K938" s="155"/>
      <c r="L938" s="155"/>
      <c r="M938" s="155"/>
      <c r="N938" s="155"/>
      <c r="O938" s="155"/>
      <c r="P938" s="155"/>
      <c r="Q938" s="155"/>
      <c r="R938" s="155"/>
      <c r="S938" s="155"/>
      <c r="T938" s="155"/>
      <c r="U938" s="155"/>
      <c r="V938" s="155"/>
      <c r="W938" s="155"/>
      <c r="GL938" s="155"/>
      <c r="GM938" s="155"/>
      <c r="GN938" s="155"/>
      <c r="GO938" s="155"/>
      <c r="GP938" s="155"/>
      <c r="GQ938" s="155"/>
      <c r="GR938" s="155"/>
      <c r="GS938" s="155"/>
      <c r="GT938" s="155"/>
      <c r="GU938" s="155"/>
      <c r="GV938" s="155"/>
      <c r="GW938" s="155"/>
      <c r="GX938" s="155"/>
      <c r="GY938" s="155"/>
      <c r="GZ938" s="155"/>
      <c r="HA938" s="155"/>
      <c r="HB938" s="155"/>
      <c r="HC938" s="155"/>
      <c r="HD938" s="155"/>
      <c r="HE938" s="155"/>
    </row>
    <row r="939" spans="2:213" s="156" customFormat="1" hidden="1">
      <c r="B939" s="155"/>
      <c r="C939" s="155"/>
      <c r="D939" s="155"/>
      <c r="E939" s="155"/>
      <c r="F939" s="155"/>
      <c r="G939" s="155"/>
      <c r="H939" s="155"/>
      <c r="I939" s="155"/>
      <c r="J939" s="155"/>
      <c r="K939" s="155"/>
      <c r="L939" s="155"/>
      <c r="M939" s="155"/>
      <c r="N939" s="155"/>
      <c r="O939" s="155"/>
      <c r="P939" s="155"/>
      <c r="Q939" s="155"/>
      <c r="R939" s="155"/>
      <c r="S939" s="155"/>
      <c r="T939" s="155"/>
      <c r="U939" s="155"/>
      <c r="V939" s="155"/>
      <c r="W939" s="155"/>
      <c r="GL939" s="155"/>
      <c r="GM939" s="155"/>
      <c r="GN939" s="155"/>
      <c r="GO939" s="155"/>
      <c r="GP939" s="155"/>
      <c r="GQ939" s="155"/>
      <c r="GR939" s="155"/>
      <c r="GS939" s="155"/>
      <c r="GT939" s="155"/>
      <c r="GU939" s="155"/>
      <c r="GV939" s="155"/>
      <c r="GW939" s="155"/>
      <c r="GX939" s="155"/>
      <c r="GY939" s="155"/>
      <c r="GZ939" s="155"/>
      <c r="HA939" s="155"/>
      <c r="HB939" s="155"/>
      <c r="HC939" s="155"/>
      <c r="HD939" s="155"/>
      <c r="HE939" s="155"/>
    </row>
    <row r="940" spans="2:213" s="156" customFormat="1" hidden="1">
      <c r="B940" s="155"/>
      <c r="C940" s="155"/>
      <c r="D940" s="155"/>
      <c r="E940" s="155"/>
      <c r="F940" s="155"/>
      <c r="G940" s="155"/>
      <c r="H940" s="155"/>
      <c r="I940" s="155"/>
      <c r="J940" s="155"/>
      <c r="K940" s="155"/>
      <c r="L940" s="155"/>
      <c r="M940" s="155"/>
      <c r="N940" s="155"/>
      <c r="O940" s="155"/>
      <c r="P940" s="155"/>
      <c r="Q940" s="155"/>
      <c r="R940" s="155"/>
      <c r="S940" s="155"/>
      <c r="T940" s="155"/>
      <c r="U940" s="155"/>
      <c r="V940" s="155"/>
      <c r="W940" s="155"/>
      <c r="GL940" s="155"/>
      <c r="GM940" s="155"/>
      <c r="GN940" s="155"/>
      <c r="GO940" s="155"/>
      <c r="GP940" s="155"/>
      <c r="GQ940" s="155"/>
      <c r="GR940" s="155"/>
      <c r="GS940" s="155"/>
      <c r="GT940" s="155"/>
      <c r="GU940" s="155"/>
      <c r="GV940" s="155"/>
      <c r="GW940" s="155"/>
      <c r="GX940" s="155"/>
      <c r="GY940" s="155"/>
      <c r="GZ940" s="155"/>
      <c r="HA940" s="155"/>
      <c r="HB940" s="155"/>
      <c r="HC940" s="155"/>
      <c r="HD940" s="155"/>
      <c r="HE940" s="155"/>
    </row>
    <row r="941" spans="2:213" s="156" customFormat="1" hidden="1">
      <c r="B941" s="155"/>
      <c r="C941" s="155"/>
      <c r="D941" s="155"/>
      <c r="E941" s="155"/>
      <c r="F941" s="155"/>
      <c r="G941" s="155"/>
      <c r="H941" s="155"/>
      <c r="I941" s="155"/>
      <c r="J941" s="155"/>
      <c r="K941" s="155"/>
      <c r="L941" s="155"/>
      <c r="M941" s="155"/>
      <c r="N941" s="155"/>
      <c r="O941" s="155"/>
      <c r="P941" s="155"/>
      <c r="Q941" s="155"/>
      <c r="R941" s="155"/>
      <c r="S941" s="155"/>
      <c r="T941" s="155"/>
      <c r="U941" s="155"/>
      <c r="V941" s="155"/>
      <c r="W941" s="155"/>
      <c r="GL941" s="155"/>
      <c r="GM941" s="155"/>
      <c r="GN941" s="155"/>
      <c r="GO941" s="155"/>
      <c r="GP941" s="155"/>
      <c r="GQ941" s="155"/>
      <c r="GR941" s="155"/>
      <c r="GS941" s="155"/>
      <c r="GT941" s="155"/>
      <c r="GU941" s="155"/>
      <c r="GV941" s="155"/>
      <c r="GW941" s="155"/>
      <c r="GX941" s="155"/>
      <c r="GY941" s="155"/>
      <c r="GZ941" s="155"/>
      <c r="HA941" s="155"/>
      <c r="HB941" s="155"/>
      <c r="HC941" s="155"/>
      <c r="HD941" s="155"/>
      <c r="HE941" s="155"/>
    </row>
    <row r="942" spans="2:213" s="156" customFormat="1" hidden="1">
      <c r="B942" s="155"/>
      <c r="C942" s="155"/>
      <c r="D942" s="155"/>
      <c r="E942" s="155"/>
      <c r="F942" s="155"/>
      <c r="G942" s="155"/>
      <c r="H942" s="155"/>
      <c r="I942" s="155"/>
      <c r="J942" s="155"/>
      <c r="K942" s="155"/>
      <c r="L942" s="155"/>
      <c r="M942" s="155"/>
      <c r="N942" s="155"/>
      <c r="O942" s="155"/>
      <c r="P942" s="155"/>
      <c r="Q942" s="155"/>
      <c r="R942" s="155"/>
      <c r="S942" s="155"/>
      <c r="T942" s="155"/>
      <c r="U942" s="155"/>
      <c r="V942" s="155"/>
      <c r="W942" s="155"/>
      <c r="GL942" s="155"/>
      <c r="GM942" s="155"/>
      <c r="GN942" s="155"/>
      <c r="GO942" s="155"/>
      <c r="GP942" s="155"/>
      <c r="GQ942" s="155"/>
      <c r="GR942" s="155"/>
      <c r="GS942" s="155"/>
      <c r="GT942" s="155"/>
      <c r="GU942" s="155"/>
      <c r="GV942" s="155"/>
      <c r="GW942" s="155"/>
      <c r="GX942" s="155"/>
      <c r="GY942" s="155"/>
      <c r="GZ942" s="155"/>
      <c r="HA942" s="155"/>
      <c r="HB942" s="155"/>
      <c r="HC942" s="155"/>
      <c r="HD942" s="155"/>
      <c r="HE942" s="155"/>
    </row>
    <row r="943" spans="2:213" s="156" customFormat="1" hidden="1">
      <c r="B943" s="155"/>
      <c r="C943" s="155"/>
      <c r="D943" s="155"/>
      <c r="E943" s="155"/>
      <c r="F943" s="155"/>
      <c r="G943" s="155"/>
      <c r="H943" s="155"/>
      <c r="I943" s="155"/>
      <c r="J943" s="155"/>
      <c r="K943" s="155"/>
      <c r="L943" s="155"/>
      <c r="M943" s="155"/>
      <c r="N943" s="155"/>
      <c r="O943" s="155"/>
      <c r="P943" s="155"/>
      <c r="Q943" s="155"/>
      <c r="R943" s="155"/>
      <c r="S943" s="155"/>
      <c r="T943" s="155"/>
      <c r="U943" s="155"/>
      <c r="V943" s="155"/>
      <c r="W943" s="155"/>
      <c r="GL943" s="155"/>
      <c r="GM943" s="155"/>
      <c r="GN943" s="155"/>
      <c r="GO943" s="155"/>
      <c r="GP943" s="155"/>
      <c r="GQ943" s="155"/>
      <c r="GR943" s="155"/>
      <c r="GS943" s="155"/>
      <c r="GT943" s="155"/>
      <c r="GU943" s="155"/>
      <c r="GV943" s="155"/>
      <c r="GW943" s="155"/>
      <c r="GX943" s="155"/>
      <c r="GY943" s="155"/>
      <c r="GZ943" s="155"/>
      <c r="HA943" s="155"/>
      <c r="HB943" s="155"/>
      <c r="HC943" s="155"/>
      <c r="HD943" s="155"/>
      <c r="HE943" s="155"/>
    </row>
    <row r="944" spans="2:213" s="156" customFormat="1" hidden="1">
      <c r="B944" s="155"/>
      <c r="C944" s="155"/>
      <c r="D944" s="155"/>
      <c r="E944" s="155"/>
      <c r="F944" s="155"/>
      <c r="G944" s="155"/>
      <c r="H944" s="155"/>
      <c r="I944" s="155"/>
      <c r="J944" s="155"/>
      <c r="K944" s="155"/>
      <c r="L944" s="155"/>
      <c r="M944" s="155"/>
      <c r="N944" s="155"/>
      <c r="O944" s="155"/>
      <c r="P944" s="155"/>
      <c r="Q944" s="155"/>
      <c r="R944" s="155"/>
      <c r="S944" s="155"/>
      <c r="T944" s="155"/>
      <c r="U944" s="155"/>
      <c r="V944" s="155"/>
      <c r="W944" s="155"/>
      <c r="GL944" s="155"/>
      <c r="GM944" s="155"/>
      <c r="GN944" s="155"/>
      <c r="GO944" s="155"/>
      <c r="GP944" s="155"/>
      <c r="GQ944" s="155"/>
      <c r="GR944" s="155"/>
      <c r="GS944" s="155"/>
      <c r="GT944" s="155"/>
      <c r="GU944" s="155"/>
      <c r="GV944" s="155"/>
      <c r="GW944" s="155"/>
      <c r="GX944" s="155"/>
      <c r="GY944" s="155"/>
      <c r="GZ944" s="155"/>
      <c r="HA944" s="155"/>
      <c r="HB944" s="155"/>
      <c r="HC944" s="155"/>
      <c r="HD944" s="155"/>
      <c r="HE944" s="155"/>
    </row>
    <row r="945" spans="2:213" s="156" customFormat="1" hidden="1">
      <c r="B945" s="155"/>
      <c r="C945" s="155"/>
      <c r="D945" s="155"/>
      <c r="E945" s="155"/>
      <c r="F945" s="155"/>
      <c r="G945" s="155"/>
      <c r="H945" s="155"/>
      <c r="I945" s="155"/>
      <c r="J945" s="155"/>
      <c r="K945" s="155"/>
      <c r="L945" s="155"/>
      <c r="M945" s="155"/>
      <c r="N945" s="155"/>
      <c r="O945" s="155"/>
      <c r="P945" s="155"/>
      <c r="Q945" s="155"/>
      <c r="R945" s="155"/>
      <c r="S945" s="155"/>
      <c r="T945" s="155"/>
      <c r="U945" s="155"/>
      <c r="V945" s="155"/>
      <c r="W945" s="155"/>
      <c r="GL945" s="155"/>
      <c r="GM945" s="155"/>
      <c r="GN945" s="155"/>
      <c r="GO945" s="155"/>
      <c r="GP945" s="155"/>
      <c r="GQ945" s="155"/>
      <c r="GR945" s="155"/>
      <c r="GS945" s="155"/>
      <c r="GT945" s="155"/>
      <c r="GU945" s="155"/>
      <c r="GV945" s="155"/>
      <c r="GW945" s="155"/>
      <c r="GX945" s="155"/>
      <c r="GY945" s="155"/>
      <c r="GZ945" s="155"/>
      <c r="HA945" s="155"/>
      <c r="HB945" s="155"/>
      <c r="HC945" s="155"/>
      <c r="HD945" s="155"/>
      <c r="HE945" s="155"/>
    </row>
    <row r="946" spans="2:213" s="156" customFormat="1" hidden="1">
      <c r="B946" s="155"/>
      <c r="C946" s="155"/>
      <c r="D946" s="155"/>
      <c r="E946" s="155"/>
      <c r="F946" s="155"/>
      <c r="G946" s="155"/>
      <c r="H946" s="155"/>
      <c r="I946" s="155"/>
      <c r="J946" s="155"/>
      <c r="K946" s="155"/>
      <c r="L946" s="155"/>
      <c r="M946" s="155"/>
      <c r="N946" s="155"/>
      <c r="O946" s="155"/>
      <c r="P946" s="155"/>
      <c r="Q946" s="155"/>
      <c r="R946" s="155"/>
      <c r="S946" s="155"/>
      <c r="T946" s="155"/>
      <c r="U946" s="155"/>
      <c r="V946" s="155"/>
      <c r="W946" s="155"/>
      <c r="GL946" s="155"/>
      <c r="GM946" s="155"/>
      <c r="GN946" s="155"/>
      <c r="GO946" s="155"/>
      <c r="GP946" s="155"/>
      <c r="GQ946" s="155"/>
      <c r="GR946" s="155"/>
      <c r="GS946" s="155"/>
      <c r="GT946" s="155"/>
      <c r="GU946" s="155"/>
      <c r="GV946" s="155"/>
      <c r="GW946" s="155"/>
      <c r="GX946" s="155"/>
      <c r="GY946" s="155"/>
      <c r="GZ946" s="155"/>
      <c r="HA946" s="155"/>
      <c r="HB946" s="155"/>
      <c r="HC946" s="155"/>
      <c r="HD946" s="155"/>
      <c r="HE946" s="155"/>
    </row>
    <row r="947" spans="2:213" s="156" customFormat="1" hidden="1">
      <c r="B947" s="155"/>
      <c r="C947" s="155"/>
      <c r="D947" s="155"/>
      <c r="E947" s="155"/>
      <c r="F947" s="155"/>
      <c r="G947" s="155"/>
      <c r="H947" s="155"/>
      <c r="I947" s="155"/>
      <c r="J947" s="155"/>
      <c r="K947" s="155"/>
      <c r="L947" s="155"/>
      <c r="M947" s="155"/>
      <c r="N947" s="155"/>
      <c r="O947" s="155"/>
      <c r="P947" s="155"/>
      <c r="Q947" s="155"/>
      <c r="R947" s="155"/>
      <c r="S947" s="155"/>
      <c r="T947" s="155"/>
      <c r="U947" s="155"/>
      <c r="V947" s="155"/>
      <c r="W947" s="155"/>
      <c r="GL947" s="155"/>
      <c r="GM947" s="155"/>
      <c r="GN947" s="155"/>
      <c r="GO947" s="155"/>
      <c r="GP947" s="155"/>
      <c r="GQ947" s="155"/>
      <c r="GR947" s="155"/>
      <c r="GS947" s="155"/>
      <c r="GT947" s="155"/>
      <c r="GU947" s="155"/>
      <c r="GV947" s="155"/>
      <c r="GW947" s="155"/>
      <c r="GX947" s="155"/>
      <c r="GY947" s="155"/>
      <c r="GZ947" s="155"/>
      <c r="HA947" s="155"/>
      <c r="HB947" s="155"/>
      <c r="HC947" s="155"/>
      <c r="HD947" s="155"/>
      <c r="HE947" s="155"/>
    </row>
    <row r="948" spans="2:213" s="156" customFormat="1" hidden="1">
      <c r="B948" s="155"/>
      <c r="C948" s="155"/>
      <c r="D948" s="155"/>
      <c r="E948" s="155"/>
      <c r="F948" s="155"/>
      <c r="G948" s="155"/>
      <c r="H948" s="155"/>
      <c r="I948" s="155"/>
      <c r="J948" s="155"/>
      <c r="K948" s="155"/>
      <c r="L948" s="155"/>
      <c r="M948" s="155"/>
      <c r="N948" s="155"/>
      <c r="O948" s="155"/>
      <c r="P948" s="155"/>
      <c r="Q948" s="155"/>
      <c r="R948" s="155"/>
      <c r="S948" s="155"/>
      <c r="T948" s="155"/>
      <c r="U948" s="155"/>
      <c r="V948" s="155"/>
      <c r="W948" s="155"/>
      <c r="GL948" s="155"/>
      <c r="GM948" s="155"/>
      <c r="GN948" s="155"/>
      <c r="GO948" s="155"/>
      <c r="GP948" s="155"/>
      <c r="GQ948" s="155"/>
      <c r="GR948" s="155"/>
      <c r="GS948" s="155"/>
      <c r="GT948" s="155"/>
      <c r="GU948" s="155"/>
      <c r="GV948" s="155"/>
      <c r="GW948" s="155"/>
      <c r="GX948" s="155"/>
      <c r="GY948" s="155"/>
      <c r="GZ948" s="155"/>
      <c r="HA948" s="155"/>
      <c r="HB948" s="155"/>
      <c r="HC948" s="155"/>
      <c r="HD948" s="155"/>
      <c r="HE948" s="155"/>
    </row>
    <row r="949" spans="2:213" s="156" customFormat="1" hidden="1">
      <c r="B949" s="155"/>
      <c r="C949" s="155"/>
      <c r="D949" s="155"/>
      <c r="E949" s="155"/>
      <c r="F949" s="155"/>
      <c r="G949" s="155"/>
      <c r="H949" s="155"/>
      <c r="I949" s="155"/>
      <c r="J949" s="155"/>
      <c r="K949" s="155"/>
      <c r="L949" s="155"/>
      <c r="M949" s="155"/>
      <c r="N949" s="155"/>
      <c r="O949" s="155"/>
      <c r="P949" s="155"/>
      <c r="Q949" s="155"/>
      <c r="R949" s="155"/>
      <c r="S949" s="155"/>
      <c r="T949" s="155"/>
      <c r="U949" s="155"/>
      <c r="V949" s="155"/>
      <c r="W949" s="155"/>
      <c r="GL949" s="155"/>
      <c r="GM949" s="155"/>
      <c r="GN949" s="155"/>
      <c r="GO949" s="155"/>
      <c r="GP949" s="155"/>
      <c r="GQ949" s="155"/>
      <c r="GR949" s="155"/>
      <c r="GS949" s="155"/>
      <c r="GT949" s="155"/>
      <c r="GU949" s="155"/>
      <c r="GV949" s="155"/>
      <c r="GW949" s="155"/>
      <c r="GX949" s="155"/>
      <c r="GY949" s="155"/>
      <c r="GZ949" s="155"/>
      <c r="HA949" s="155"/>
      <c r="HB949" s="155"/>
      <c r="HC949" s="155"/>
      <c r="HD949" s="155"/>
      <c r="HE949" s="155"/>
    </row>
    <row r="950" spans="2:213" s="156" customFormat="1" hidden="1">
      <c r="B950" s="155"/>
      <c r="C950" s="155"/>
      <c r="D950" s="155"/>
      <c r="E950" s="155"/>
      <c r="F950" s="155"/>
      <c r="G950" s="155"/>
      <c r="H950" s="155"/>
      <c r="I950" s="155"/>
      <c r="J950" s="155"/>
      <c r="K950" s="155"/>
      <c r="L950" s="155"/>
      <c r="M950" s="155"/>
      <c r="N950" s="155"/>
      <c r="O950" s="155"/>
      <c r="P950" s="155"/>
      <c r="Q950" s="155"/>
      <c r="R950" s="155"/>
      <c r="S950" s="155"/>
      <c r="T950" s="155"/>
      <c r="U950" s="155"/>
      <c r="V950" s="155"/>
      <c r="W950" s="155"/>
      <c r="GL950" s="155"/>
      <c r="GM950" s="155"/>
      <c r="GN950" s="155"/>
      <c r="GO950" s="155"/>
      <c r="GP950" s="155"/>
      <c r="GQ950" s="155"/>
      <c r="GR950" s="155"/>
      <c r="GS950" s="155"/>
      <c r="GT950" s="155"/>
      <c r="GU950" s="155"/>
      <c r="GV950" s="155"/>
      <c r="GW950" s="155"/>
      <c r="GX950" s="155"/>
      <c r="GY950" s="155"/>
      <c r="GZ950" s="155"/>
      <c r="HA950" s="155"/>
      <c r="HB950" s="155"/>
      <c r="HC950" s="155"/>
      <c r="HD950" s="155"/>
      <c r="HE950" s="155"/>
    </row>
    <row r="951" spans="2:213" s="156" customFormat="1" hidden="1">
      <c r="B951" s="155"/>
      <c r="C951" s="155"/>
      <c r="D951" s="155"/>
      <c r="E951" s="155"/>
      <c r="F951" s="155"/>
      <c r="G951" s="155"/>
      <c r="H951" s="155"/>
      <c r="I951" s="155"/>
      <c r="J951" s="155"/>
      <c r="K951" s="155"/>
      <c r="L951" s="155"/>
      <c r="M951" s="155"/>
      <c r="N951" s="155"/>
      <c r="O951" s="155"/>
      <c r="P951" s="155"/>
      <c r="Q951" s="155"/>
      <c r="R951" s="155"/>
      <c r="S951" s="155"/>
      <c r="T951" s="155"/>
      <c r="U951" s="155"/>
      <c r="V951" s="155"/>
      <c r="W951" s="155"/>
      <c r="GL951" s="155"/>
      <c r="GM951" s="155"/>
      <c r="GN951" s="155"/>
      <c r="GO951" s="155"/>
      <c r="GP951" s="155"/>
      <c r="GQ951" s="155"/>
      <c r="GR951" s="155"/>
      <c r="GS951" s="155"/>
      <c r="GT951" s="155"/>
      <c r="GU951" s="155"/>
      <c r="GV951" s="155"/>
      <c r="GW951" s="155"/>
      <c r="GX951" s="155"/>
      <c r="GY951" s="155"/>
      <c r="GZ951" s="155"/>
      <c r="HA951" s="155"/>
      <c r="HB951" s="155"/>
      <c r="HC951" s="155"/>
      <c r="HD951" s="155"/>
      <c r="HE951" s="155"/>
    </row>
    <row r="952" spans="2:213" s="156" customFormat="1" hidden="1">
      <c r="B952" s="155"/>
      <c r="C952" s="155"/>
      <c r="D952" s="155"/>
      <c r="E952" s="155"/>
      <c r="F952" s="155"/>
      <c r="G952" s="155"/>
      <c r="H952" s="155"/>
      <c r="I952" s="155"/>
      <c r="J952" s="155"/>
      <c r="K952" s="155"/>
      <c r="L952" s="155"/>
      <c r="M952" s="155"/>
      <c r="N952" s="155"/>
      <c r="O952" s="155"/>
      <c r="P952" s="155"/>
      <c r="Q952" s="155"/>
      <c r="R952" s="155"/>
      <c r="S952" s="155"/>
      <c r="T952" s="155"/>
      <c r="U952" s="155"/>
      <c r="V952" s="155"/>
      <c r="W952" s="155"/>
      <c r="GL952" s="155"/>
      <c r="GM952" s="155"/>
      <c r="GN952" s="155"/>
      <c r="GO952" s="155"/>
      <c r="GP952" s="155"/>
      <c r="GQ952" s="155"/>
      <c r="GR952" s="155"/>
      <c r="GS952" s="155"/>
      <c r="GT952" s="155"/>
      <c r="GU952" s="155"/>
      <c r="GV952" s="155"/>
      <c r="GW952" s="155"/>
      <c r="GX952" s="155"/>
      <c r="GY952" s="155"/>
      <c r="GZ952" s="155"/>
      <c r="HA952" s="155"/>
      <c r="HB952" s="155"/>
      <c r="HC952" s="155"/>
      <c r="HD952" s="155"/>
      <c r="HE952" s="155"/>
    </row>
    <row r="953" spans="2:213" s="156" customFormat="1" hidden="1">
      <c r="B953" s="155"/>
      <c r="C953" s="155"/>
      <c r="D953" s="155"/>
      <c r="E953" s="155"/>
      <c r="F953" s="155"/>
      <c r="G953" s="155"/>
      <c r="H953" s="155"/>
      <c r="I953" s="155"/>
      <c r="J953" s="155"/>
      <c r="K953" s="155"/>
      <c r="L953" s="155"/>
      <c r="M953" s="155"/>
      <c r="N953" s="155"/>
      <c r="O953" s="155"/>
      <c r="P953" s="155"/>
      <c r="Q953" s="155"/>
      <c r="R953" s="155"/>
      <c r="S953" s="155"/>
      <c r="T953" s="155"/>
      <c r="U953" s="155"/>
      <c r="V953" s="155"/>
      <c r="W953" s="155"/>
      <c r="GL953" s="155"/>
      <c r="GM953" s="155"/>
      <c r="GN953" s="155"/>
      <c r="GO953" s="155"/>
      <c r="GP953" s="155"/>
      <c r="GQ953" s="155"/>
      <c r="GR953" s="155"/>
      <c r="GS953" s="155"/>
      <c r="GT953" s="155"/>
      <c r="GU953" s="155"/>
      <c r="GV953" s="155"/>
      <c r="GW953" s="155"/>
      <c r="GX953" s="155"/>
      <c r="GY953" s="155"/>
      <c r="GZ953" s="155"/>
      <c r="HA953" s="155"/>
      <c r="HB953" s="155"/>
      <c r="HC953" s="155"/>
      <c r="HD953" s="155"/>
      <c r="HE953" s="155"/>
    </row>
    <row r="954" spans="2:213" s="156" customFormat="1" hidden="1">
      <c r="B954" s="155"/>
      <c r="C954" s="155"/>
      <c r="D954" s="155"/>
      <c r="E954" s="155"/>
      <c r="F954" s="155"/>
      <c r="G954" s="155"/>
      <c r="H954" s="155"/>
      <c r="I954" s="155"/>
      <c r="J954" s="155"/>
      <c r="K954" s="155"/>
      <c r="L954" s="155"/>
      <c r="M954" s="155"/>
      <c r="N954" s="155"/>
      <c r="O954" s="155"/>
      <c r="P954" s="155"/>
      <c r="Q954" s="155"/>
      <c r="R954" s="155"/>
      <c r="S954" s="155"/>
      <c r="T954" s="155"/>
      <c r="U954" s="155"/>
      <c r="V954" s="155"/>
      <c r="W954" s="155"/>
      <c r="GL954" s="155"/>
      <c r="GM954" s="155"/>
      <c r="GN954" s="155"/>
      <c r="GO954" s="155"/>
      <c r="GP954" s="155"/>
      <c r="GQ954" s="155"/>
      <c r="GR954" s="155"/>
      <c r="GS954" s="155"/>
      <c r="GT954" s="155"/>
      <c r="GU954" s="155"/>
      <c r="GV954" s="155"/>
      <c r="GW954" s="155"/>
      <c r="GX954" s="155"/>
      <c r="GY954" s="155"/>
      <c r="GZ954" s="155"/>
      <c r="HA954" s="155"/>
      <c r="HB954" s="155"/>
      <c r="HC954" s="155"/>
      <c r="HD954" s="155"/>
      <c r="HE954" s="155"/>
    </row>
    <row r="955" spans="2:213" s="156" customFormat="1" hidden="1">
      <c r="B955" s="155"/>
      <c r="C955" s="155"/>
      <c r="D955" s="155"/>
      <c r="E955" s="155"/>
      <c r="F955" s="155"/>
      <c r="G955" s="155"/>
      <c r="H955" s="155"/>
      <c r="I955" s="155"/>
      <c r="J955" s="155"/>
      <c r="K955" s="155"/>
      <c r="L955" s="155"/>
      <c r="M955" s="155"/>
      <c r="N955" s="155"/>
      <c r="O955" s="155"/>
      <c r="P955" s="155"/>
      <c r="Q955" s="155"/>
      <c r="R955" s="155"/>
      <c r="S955" s="155"/>
      <c r="T955" s="155"/>
      <c r="U955" s="155"/>
      <c r="V955" s="155"/>
      <c r="W955" s="155"/>
      <c r="GL955" s="155"/>
      <c r="GM955" s="155"/>
      <c r="GN955" s="155"/>
      <c r="GO955" s="155"/>
      <c r="GP955" s="155"/>
      <c r="GQ955" s="155"/>
      <c r="GR955" s="155"/>
      <c r="GS955" s="155"/>
      <c r="GT955" s="155"/>
      <c r="GU955" s="155"/>
      <c r="GV955" s="155"/>
      <c r="GW955" s="155"/>
      <c r="GX955" s="155"/>
      <c r="GY955" s="155"/>
      <c r="GZ955" s="155"/>
      <c r="HA955" s="155"/>
      <c r="HB955" s="155"/>
      <c r="HC955" s="155"/>
      <c r="HD955" s="155"/>
      <c r="HE955" s="155"/>
    </row>
    <row r="956" spans="2:213" s="156" customFormat="1" hidden="1">
      <c r="B956" s="155"/>
      <c r="C956" s="155"/>
      <c r="D956" s="155"/>
      <c r="E956" s="155"/>
      <c r="F956" s="155"/>
      <c r="G956" s="155"/>
      <c r="H956" s="155"/>
      <c r="I956" s="155"/>
      <c r="J956" s="155"/>
      <c r="K956" s="155"/>
      <c r="L956" s="155"/>
      <c r="M956" s="155"/>
      <c r="N956" s="155"/>
      <c r="O956" s="155"/>
      <c r="P956" s="155"/>
      <c r="Q956" s="155"/>
      <c r="R956" s="155"/>
      <c r="S956" s="155"/>
      <c r="T956" s="155"/>
      <c r="U956" s="155"/>
      <c r="V956" s="155"/>
      <c r="W956" s="155"/>
      <c r="GL956" s="155"/>
      <c r="GM956" s="155"/>
      <c r="GN956" s="155"/>
      <c r="GO956" s="155"/>
      <c r="GP956" s="155"/>
      <c r="GQ956" s="155"/>
      <c r="GR956" s="155"/>
      <c r="GS956" s="155"/>
      <c r="GT956" s="155"/>
      <c r="GU956" s="155"/>
      <c r="GV956" s="155"/>
      <c r="GW956" s="155"/>
      <c r="GX956" s="155"/>
      <c r="GY956" s="155"/>
      <c r="GZ956" s="155"/>
      <c r="HA956" s="155"/>
      <c r="HB956" s="155"/>
      <c r="HC956" s="155"/>
      <c r="HD956" s="155"/>
      <c r="HE956" s="155"/>
    </row>
    <row r="957" spans="2:213" s="156" customFormat="1" hidden="1">
      <c r="B957" s="155"/>
      <c r="C957" s="155"/>
      <c r="D957" s="155"/>
      <c r="E957" s="155"/>
      <c r="F957" s="155"/>
      <c r="G957" s="155"/>
      <c r="H957" s="155"/>
      <c r="I957" s="155"/>
      <c r="J957" s="155"/>
      <c r="K957" s="155"/>
      <c r="L957" s="155"/>
      <c r="M957" s="155"/>
      <c r="N957" s="155"/>
      <c r="O957" s="155"/>
      <c r="P957" s="155"/>
      <c r="Q957" s="155"/>
      <c r="R957" s="155"/>
      <c r="S957" s="155"/>
      <c r="T957" s="155"/>
      <c r="U957" s="155"/>
      <c r="V957" s="155"/>
      <c r="W957" s="155"/>
      <c r="GL957" s="155"/>
      <c r="GM957" s="155"/>
      <c r="GN957" s="155"/>
      <c r="GO957" s="155"/>
      <c r="GP957" s="155"/>
      <c r="GQ957" s="155"/>
      <c r="GR957" s="155"/>
      <c r="GS957" s="155"/>
      <c r="GT957" s="155"/>
      <c r="GU957" s="155"/>
      <c r="GV957" s="155"/>
      <c r="GW957" s="155"/>
      <c r="GX957" s="155"/>
      <c r="GY957" s="155"/>
      <c r="GZ957" s="155"/>
      <c r="HA957" s="155"/>
      <c r="HB957" s="155"/>
      <c r="HC957" s="155"/>
      <c r="HD957" s="155"/>
      <c r="HE957" s="155"/>
    </row>
    <row r="958" spans="2:213" s="156" customFormat="1" hidden="1">
      <c r="B958" s="155"/>
      <c r="C958" s="155"/>
      <c r="D958" s="155"/>
      <c r="E958" s="155"/>
      <c r="F958" s="155"/>
      <c r="G958" s="155"/>
      <c r="H958" s="155"/>
      <c r="I958" s="155"/>
      <c r="J958" s="155"/>
      <c r="K958" s="155"/>
      <c r="L958" s="155"/>
      <c r="M958" s="155"/>
      <c r="N958" s="155"/>
      <c r="O958" s="155"/>
      <c r="P958" s="155"/>
      <c r="Q958" s="155"/>
      <c r="R958" s="155"/>
      <c r="S958" s="155"/>
      <c r="T958" s="155"/>
      <c r="U958" s="155"/>
      <c r="V958" s="155"/>
      <c r="W958" s="155"/>
      <c r="GL958" s="155"/>
      <c r="GM958" s="155"/>
      <c r="GN958" s="155"/>
      <c r="GO958" s="155"/>
      <c r="GP958" s="155"/>
      <c r="GQ958" s="155"/>
      <c r="GR958" s="155"/>
      <c r="GS958" s="155"/>
      <c r="GT958" s="155"/>
      <c r="GU958" s="155"/>
      <c r="GV958" s="155"/>
      <c r="GW958" s="155"/>
      <c r="GX958" s="155"/>
      <c r="GY958" s="155"/>
      <c r="GZ958" s="155"/>
      <c r="HA958" s="155"/>
      <c r="HB958" s="155"/>
      <c r="HC958" s="155"/>
      <c r="HD958" s="155"/>
      <c r="HE958" s="155"/>
    </row>
    <row r="959" spans="2:213" s="156" customFormat="1" hidden="1">
      <c r="B959" s="155"/>
      <c r="C959" s="155"/>
      <c r="D959" s="155"/>
      <c r="E959" s="155"/>
      <c r="F959" s="155"/>
      <c r="G959" s="155"/>
      <c r="H959" s="155"/>
      <c r="I959" s="155"/>
      <c r="J959" s="155"/>
      <c r="K959" s="155"/>
      <c r="L959" s="155"/>
      <c r="M959" s="155"/>
      <c r="N959" s="155"/>
      <c r="O959" s="155"/>
      <c r="P959" s="155"/>
      <c r="Q959" s="155"/>
      <c r="R959" s="155"/>
      <c r="S959" s="155"/>
      <c r="T959" s="155"/>
      <c r="U959" s="155"/>
      <c r="V959" s="155"/>
      <c r="W959" s="155"/>
      <c r="GL959" s="155"/>
      <c r="GM959" s="155"/>
      <c r="GN959" s="155"/>
      <c r="GO959" s="155"/>
      <c r="GP959" s="155"/>
      <c r="GQ959" s="155"/>
      <c r="GR959" s="155"/>
      <c r="GS959" s="155"/>
      <c r="GT959" s="155"/>
      <c r="GU959" s="155"/>
      <c r="GV959" s="155"/>
      <c r="GW959" s="155"/>
      <c r="GX959" s="155"/>
      <c r="GY959" s="155"/>
      <c r="GZ959" s="155"/>
      <c r="HA959" s="155"/>
      <c r="HB959" s="155"/>
      <c r="HC959" s="155"/>
      <c r="HD959" s="155"/>
      <c r="HE959" s="155"/>
    </row>
    <row r="960" spans="2:213" s="156" customFormat="1" hidden="1">
      <c r="B960" s="155"/>
      <c r="C960" s="155"/>
      <c r="D960" s="155"/>
      <c r="E960" s="155"/>
      <c r="F960" s="155"/>
      <c r="G960" s="155"/>
      <c r="H960" s="155"/>
      <c r="I960" s="155"/>
      <c r="J960" s="155"/>
      <c r="K960" s="155"/>
      <c r="L960" s="155"/>
      <c r="M960" s="155"/>
      <c r="N960" s="155"/>
      <c r="O960" s="155"/>
      <c r="P960" s="155"/>
      <c r="Q960" s="155"/>
      <c r="R960" s="155"/>
      <c r="S960" s="155"/>
      <c r="T960" s="155"/>
      <c r="U960" s="155"/>
      <c r="V960" s="155"/>
      <c r="W960" s="155"/>
      <c r="GL960" s="155"/>
      <c r="GM960" s="155"/>
      <c r="GN960" s="155"/>
      <c r="GO960" s="155"/>
      <c r="GP960" s="155"/>
      <c r="GQ960" s="155"/>
      <c r="GR960" s="155"/>
      <c r="GS960" s="155"/>
      <c r="GT960" s="155"/>
      <c r="GU960" s="155"/>
      <c r="GV960" s="155"/>
      <c r="GW960" s="155"/>
      <c r="GX960" s="155"/>
      <c r="GY960" s="155"/>
      <c r="GZ960" s="155"/>
      <c r="HA960" s="155"/>
      <c r="HB960" s="155"/>
      <c r="HC960" s="155"/>
      <c r="HD960" s="155"/>
      <c r="HE960" s="155"/>
    </row>
    <row r="961" spans="2:213" s="156" customFormat="1" hidden="1">
      <c r="B961" s="155"/>
      <c r="C961" s="155"/>
      <c r="D961" s="155"/>
      <c r="E961" s="155"/>
      <c r="F961" s="155"/>
      <c r="G961" s="155"/>
      <c r="H961" s="155"/>
      <c r="I961" s="155"/>
      <c r="J961" s="155"/>
      <c r="K961" s="155"/>
      <c r="L961" s="155"/>
      <c r="M961" s="155"/>
      <c r="N961" s="155"/>
      <c r="O961" s="155"/>
      <c r="P961" s="155"/>
      <c r="Q961" s="155"/>
      <c r="R961" s="155"/>
      <c r="S961" s="155"/>
      <c r="T961" s="155"/>
      <c r="U961" s="155"/>
      <c r="V961" s="155"/>
      <c r="W961" s="155"/>
      <c r="GL961" s="155"/>
      <c r="GM961" s="155"/>
      <c r="GN961" s="155"/>
      <c r="GO961" s="155"/>
      <c r="GP961" s="155"/>
      <c r="GQ961" s="155"/>
      <c r="GR961" s="155"/>
      <c r="GS961" s="155"/>
      <c r="GT961" s="155"/>
      <c r="GU961" s="155"/>
      <c r="GV961" s="155"/>
      <c r="GW961" s="155"/>
      <c r="GX961" s="155"/>
      <c r="GY961" s="155"/>
      <c r="GZ961" s="155"/>
      <c r="HA961" s="155"/>
      <c r="HB961" s="155"/>
      <c r="HC961" s="155"/>
      <c r="HD961" s="155"/>
      <c r="HE961" s="155"/>
    </row>
    <row r="962" spans="2:213" s="156" customFormat="1" hidden="1">
      <c r="B962" s="155"/>
      <c r="C962" s="155"/>
      <c r="D962" s="155"/>
      <c r="E962" s="155"/>
      <c r="F962" s="155"/>
      <c r="G962" s="155"/>
      <c r="H962" s="155"/>
      <c r="I962" s="155"/>
      <c r="J962" s="155"/>
      <c r="K962" s="155"/>
      <c r="L962" s="155"/>
      <c r="M962" s="155"/>
      <c r="N962" s="155"/>
      <c r="O962" s="155"/>
      <c r="P962" s="155"/>
      <c r="Q962" s="155"/>
      <c r="R962" s="155"/>
      <c r="S962" s="155"/>
      <c r="T962" s="155"/>
      <c r="U962" s="155"/>
      <c r="V962" s="155"/>
      <c r="W962" s="155"/>
      <c r="GL962" s="155"/>
      <c r="GM962" s="155"/>
      <c r="GN962" s="155"/>
      <c r="GO962" s="155"/>
      <c r="GP962" s="155"/>
      <c r="GQ962" s="155"/>
      <c r="GR962" s="155"/>
      <c r="GS962" s="155"/>
      <c r="GT962" s="155"/>
      <c r="GU962" s="155"/>
      <c r="GV962" s="155"/>
      <c r="GW962" s="155"/>
      <c r="GX962" s="155"/>
      <c r="GY962" s="155"/>
      <c r="GZ962" s="155"/>
      <c r="HA962" s="155"/>
      <c r="HB962" s="155"/>
      <c r="HC962" s="155"/>
      <c r="HD962" s="155"/>
      <c r="HE962" s="155"/>
    </row>
    <row r="963" spans="2:213" s="156" customFormat="1" hidden="1">
      <c r="B963" s="155"/>
      <c r="C963" s="155"/>
      <c r="D963" s="155"/>
      <c r="E963" s="155"/>
      <c r="F963" s="155"/>
      <c r="G963" s="155"/>
      <c r="H963" s="155"/>
      <c r="I963" s="155"/>
      <c r="J963" s="155"/>
      <c r="K963" s="155"/>
      <c r="L963" s="155"/>
      <c r="M963" s="155"/>
      <c r="N963" s="155"/>
      <c r="O963" s="155"/>
      <c r="P963" s="155"/>
      <c r="Q963" s="155"/>
      <c r="R963" s="155"/>
      <c r="S963" s="155"/>
      <c r="T963" s="155"/>
      <c r="U963" s="155"/>
      <c r="V963" s="155"/>
      <c r="W963" s="155"/>
      <c r="GL963" s="155"/>
      <c r="GM963" s="155"/>
      <c r="GN963" s="155"/>
      <c r="GO963" s="155"/>
      <c r="GP963" s="155"/>
      <c r="GQ963" s="155"/>
      <c r="GR963" s="155"/>
      <c r="GS963" s="155"/>
      <c r="GT963" s="155"/>
      <c r="GU963" s="155"/>
      <c r="GV963" s="155"/>
      <c r="GW963" s="155"/>
      <c r="GX963" s="155"/>
      <c r="GY963" s="155"/>
      <c r="GZ963" s="155"/>
      <c r="HA963" s="155"/>
      <c r="HB963" s="155"/>
      <c r="HC963" s="155"/>
      <c r="HD963" s="155"/>
      <c r="HE963" s="155"/>
    </row>
    <row r="964" spans="2:213" s="156" customFormat="1" hidden="1">
      <c r="B964" s="155"/>
      <c r="C964" s="155"/>
      <c r="D964" s="155"/>
      <c r="E964" s="155"/>
      <c r="F964" s="155"/>
      <c r="G964" s="155"/>
      <c r="H964" s="155"/>
      <c r="I964" s="155"/>
      <c r="J964" s="155"/>
      <c r="K964" s="155"/>
      <c r="L964" s="155"/>
      <c r="M964" s="155"/>
      <c r="N964" s="155"/>
      <c r="O964" s="155"/>
      <c r="P964" s="155"/>
      <c r="Q964" s="155"/>
      <c r="R964" s="155"/>
      <c r="S964" s="155"/>
      <c r="T964" s="155"/>
      <c r="U964" s="155"/>
      <c r="V964" s="155"/>
      <c r="W964" s="155"/>
      <c r="GL964" s="155"/>
      <c r="GM964" s="155"/>
      <c r="GN964" s="155"/>
      <c r="GO964" s="155"/>
      <c r="GP964" s="155"/>
      <c r="GQ964" s="155"/>
      <c r="GR964" s="155"/>
      <c r="GS964" s="155"/>
      <c r="GT964" s="155"/>
      <c r="GU964" s="155"/>
      <c r="GV964" s="155"/>
      <c r="GW964" s="155"/>
      <c r="GX964" s="155"/>
      <c r="GY964" s="155"/>
      <c r="GZ964" s="155"/>
      <c r="HA964" s="155"/>
      <c r="HB964" s="155"/>
      <c r="HC964" s="155"/>
      <c r="HD964" s="155"/>
      <c r="HE964" s="155"/>
    </row>
    <row r="965" spans="2:213" s="156" customFormat="1" hidden="1">
      <c r="B965" s="155"/>
      <c r="C965" s="155"/>
      <c r="D965" s="155"/>
      <c r="E965" s="155"/>
      <c r="F965" s="155"/>
      <c r="G965" s="155"/>
      <c r="H965" s="155"/>
      <c r="I965" s="155"/>
      <c r="J965" s="155"/>
      <c r="K965" s="155"/>
      <c r="L965" s="155"/>
      <c r="M965" s="155"/>
      <c r="N965" s="155"/>
      <c r="O965" s="155"/>
      <c r="P965" s="155"/>
      <c r="Q965" s="155"/>
      <c r="R965" s="155"/>
      <c r="S965" s="155"/>
      <c r="T965" s="155"/>
      <c r="U965" s="155"/>
      <c r="V965" s="155"/>
      <c r="W965" s="155"/>
      <c r="GL965" s="155"/>
      <c r="GM965" s="155"/>
      <c r="GN965" s="155"/>
      <c r="GO965" s="155"/>
      <c r="GP965" s="155"/>
      <c r="GQ965" s="155"/>
      <c r="GR965" s="155"/>
      <c r="GS965" s="155"/>
      <c r="GT965" s="155"/>
      <c r="GU965" s="155"/>
      <c r="GV965" s="155"/>
      <c r="GW965" s="155"/>
      <c r="GX965" s="155"/>
      <c r="GY965" s="155"/>
      <c r="GZ965" s="155"/>
      <c r="HA965" s="155"/>
      <c r="HB965" s="155"/>
      <c r="HC965" s="155"/>
      <c r="HD965" s="155"/>
      <c r="HE965" s="155"/>
    </row>
    <row r="966" spans="2:213" s="156" customFormat="1" hidden="1">
      <c r="B966" s="155"/>
      <c r="C966" s="155"/>
      <c r="D966" s="155"/>
      <c r="E966" s="155"/>
      <c r="F966" s="155"/>
      <c r="G966" s="155"/>
      <c r="H966" s="155"/>
      <c r="I966" s="155"/>
      <c r="J966" s="155"/>
      <c r="K966" s="155"/>
      <c r="L966" s="155"/>
      <c r="M966" s="155"/>
      <c r="N966" s="155"/>
      <c r="O966" s="155"/>
      <c r="P966" s="155"/>
      <c r="Q966" s="155"/>
      <c r="R966" s="155"/>
      <c r="S966" s="155"/>
      <c r="T966" s="155"/>
      <c r="U966" s="155"/>
      <c r="V966" s="155"/>
      <c r="W966" s="155"/>
      <c r="GL966" s="155"/>
      <c r="GM966" s="155"/>
      <c r="GN966" s="155"/>
      <c r="GO966" s="155"/>
      <c r="GP966" s="155"/>
      <c r="GQ966" s="155"/>
      <c r="GR966" s="155"/>
      <c r="GS966" s="155"/>
      <c r="GT966" s="155"/>
      <c r="GU966" s="155"/>
      <c r="GV966" s="155"/>
      <c r="GW966" s="155"/>
      <c r="GX966" s="155"/>
      <c r="GY966" s="155"/>
      <c r="GZ966" s="155"/>
      <c r="HA966" s="155"/>
      <c r="HB966" s="155"/>
      <c r="HC966" s="155"/>
      <c r="HD966" s="155"/>
      <c r="HE966" s="155"/>
    </row>
    <row r="967" spans="2:213" s="156" customFormat="1" hidden="1">
      <c r="B967" s="155"/>
      <c r="C967" s="155"/>
      <c r="D967" s="155"/>
      <c r="E967" s="155"/>
      <c r="F967" s="155"/>
      <c r="G967" s="155"/>
      <c r="H967" s="155"/>
      <c r="I967" s="155"/>
      <c r="J967" s="155"/>
      <c r="K967" s="155"/>
      <c r="L967" s="155"/>
      <c r="M967" s="155"/>
      <c r="N967" s="155"/>
      <c r="O967" s="155"/>
      <c r="P967" s="155"/>
      <c r="Q967" s="155"/>
      <c r="R967" s="155"/>
      <c r="S967" s="155"/>
      <c r="T967" s="155"/>
      <c r="U967" s="155"/>
      <c r="V967" s="155"/>
      <c r="W967" s="155"/>
      <c r="GL967" s="155"/>
      <c r="GM967" s="155"/>
      <c r="GN967" s="155"/>
      <c r="GO967" s="155"/>
      <c r="GP967" s="155"/>
      <c r="GQ967" s="155"/>
      <c r="GR967" s="155"/>
      <c r="GS967" s="155"/>
      <c r="GT967" s="155"/>
      <c r="GU967" s="155"/>
      <c r="GV967" s="155"/>
      <c r="GW967" s="155"/>
      <c r="GX967" s="155"/>
      <c r="GY967" s="155"/>
      <c r="GZ967" s="155"/>
      <c r="HA967" s="155"/>
      <c r="HB967" s="155"/>
      <c r="HC967" s="155"/>
      <c r="HD967" s="155"/>
      <c r="HE967" s="155"/>
    </row>
    <row r="968" spans="2:213" s="156" customFormat="1" hidden="1">
      <c r="B968" s="155"/>
      <c r="C968" s="155"/>
      <c r="D968" s="155"/>
      <c r="E968" s="155"/>
      <c r="F968" s="155"/>
      <c r="G968" s="155"/>
      <c r="H968" s="155"/>
      <c r="I968" s="155"/>
      <c r="J968" s="155"/>
      <c r="K968" s="155"/>
      <c r="L968" s="155"/>
      <c r="M968" s="155"/>
      <c r="N968" s="155"/>
      <c r="O968" s="155"/>
      <c r="P968" s="155"/>
      <c r="Q968" s="155"/>
      <c r="R968" s="155"/>
      <c r="S968" s="155"/>
      <c r="T968" s="155"/>
      <c r="U968" s="155"/>
      <c r="V968" s="155"/>
      <c r="W968" s="155"/>
      <c r="GL968" s="155"/>
      <c r="GM968" s="155"/>
      <c r="GN968" s="155"/>
      <c r="GO968" s="155"/>
      <c r="GP968" s="155"/>
      <c r="GQ968" s="155"/>
      <c r="GR968" s="155"/>
      <c r="GS968" s="155"/>
      <c r="GT968" s="155"/>
      <c r="GU968" s="155"/>
      <c r="GV968" s="155"/>
      <c r="GW968" s="155"/>
      <c r="GX968" s="155"/>
      <c r="GY968" s="155"/>
      <c r="GZ968" s="155"/>
      <c r="HA968" s="155"/>
      <c r="HB968" s="155"/>
      <c r="HC968" s="155"/>
      <c r="HD968" s="155"/>
      <c r="HE968" s="155"/>
    </row>
    <row r="969" spans="2:213" s="156" customFormat="1" hidden="1">
      <c r="B969" s="155"/>
      <c r="C969" s="155"/>
      <c r="D969" s="155"/>
      <c r="E969" s="155"/>
      <c r="F969" s="155"/>
      <c r="G969" s="155"/>
      <c r="H969" s="155"/>
      <c r="I969" s="155"/>
      <c r="J969" s="155"/>
      <c r="K969" s="155"/>
      <c r="L969" s="155"/>
      <c r="M969" s="155"/>
      <c r="N969" s="155"/>
      <c r="O969" s="155"/>
      <c r="P969" s="155"/>
      <c r="Q969" s="155"/>
      <c r="R969" s="155"/>
      <c r="S969" s="155"/>
      <c r="T969" s="155"/>
      <c r="U969" s="155"/>
      <c r="V969" s="155"/>
      <c r="W969" s="155"/>
      <c r="GL969" s="155"/>
      <c r="GM969" s="155"/>
      <c r="GN969" s="155"/>
      <c r="GO969" s="155"/>
      <c r="GP969" s="155"/>
      <c r="GQ969" s="155"/>
      <c r="GR969" s="155"/>
      <c r="GS969" s="155"/>
      <c r="GT969" s="155"/>
      <c r="GU969" s="155"/>
      <c r="GV969" s="155"/>
      <c r="GW969" s="155"/>
      <c r="GX969" s="155"/>
      <c r="GY969" s="155"/>
      <c r="GZ969" s="155"/>
      <c r="HA969" s="155"/>
      <c r="HB969" s="155"/>
      <c r="HC969" s="155"/>
      <c r="HD969" s="155"/>
      <c r="HE969" s="155"/>
    </row>
    <row r="970" spans="2:213" s="156" customFormat="1" hidden="1">
      <c r="B970" s="155"/>
      <c r="C970" s="155"/>
      <c r="D970" s="155"/>
      <c r="E970" s="155"/>
      <c r="F970" s="155"/>
      <c r="G970" s="155"/>
      <c r="H970" s="155"/>
      <c r="I970" s="155"/>
      <c r="J970" s="155"/>
      <c r="K970" s="155"/>
      <c r="L970" s="155"/>
      <c r="M970" s="155"/>
      <c r="N970" s="155"/>
      <c r="O970" s="155"/>
      <c r="P970" s="155"/>
      <c r="Q970" s="155"/>
      <c r="R970" s="155"/>
      <c r="S970" s="155"/>
      <c r="T970" s="155"/>
      <c r="U970" s="155"/>
      <c r="V970" s="155"/>
      <c r="W970" s="155"/>
      <c r="GL970" s="155"/>
      <c r="GM970" s="155"/>
      <c r="GN970" s="155"/>
      <c r="GO970" s="155"/>
      <c r="GP970" s="155"/>
      <c r="GQ970" s="155"/>
      <c r="GR970" s="155"/>
      <c r="GS970" s="155"/>
      <c r="GT970" s="155"/>
      <c r="GU970" s="155"/>
      <c r="GV970" s="155"/>
      <c r="GW970" s="155"/>
      <c r="GX970" s="155"/>
      <c r="GY970" s="155"/>
      <c r="GZ970" s="155"/>
      <c r="HA970" s="155"/>
      <c r="HB970" s="155"/>
      <c r="HC970" s="155"/>
      <c r="HD970" s="155"/>
      <c r="HE970" s="155"/>
    </row>
    <row r="971" spans="2:213" s="156" customFormat="1" hidden="1">
      <c r="B971" s="155"/>
      <c r="C971" s="155"/>
      <c r="D971" s="155"/>
      <c r="E971" s="155"/>
      <c r="F971" s="155"/>
      <c r="G971" s="155"/>
      <c r="H971" s="155"/>
      <c r="I971" s="155"/>
      <c r="J971" s="155"/>
      <c r="K971" s="155"/>
      <c r="L971" s="155"/>
      <c r="M971" s="155"/>
      <c r="N971" s="155"/>
      <c r="O971" s="155"/>
      <c r="P971" s="155"/>
      <c r="Q971" s="155"/>
      <c r="R971" s="155"/>
      <c r="S971" s="155"/>
      <c r="T971" s="155"/>
      <c r="U971" s="155"/>
      <c r="V971" s="155"/>
      <c r="W971" s="155"/>
      <c r="GL971" s="155"/>
      <c r="GM971" s="155"/>
      <c r="GN971" s="155"/>
      <c r="GO971" s="155"/>
      <c r="GP971" s="155"/>
      <c r="GQ971" s="155"/>
      <c r="GR971" s="155"/>
      <c r="GS971" s="155"/>
      <c r="GT971" s="155"/>
      <c r="GU971" s="155"/>
      <c r="GV971" s="155"/>
      <c r="GW971" s="155"/>
      <c r="GX971" s="155"/>
      <c r="GY971" s="155"/>
      <c r="GZ971" s="155"/>
      <c r="HA971" s="155"/>
      <c r="HB971" s="155"/>
      <c r="HC971" s="155"/>
      <c r="HD971" s="155"/>
      <c r="HE971" s="155"/>
    </row>
    <row r="972" spans="2:213" s="156" customFormat="1" hidden="1">
      <c r="B972" s="155"/>
      <c r="C972" s="155"/>
      <c r="D972" s="155"/>
      <c r="E972" s="155"/>
      <c r="F972" s="155"/>
      <c r="G972" s="155"/>
      <c r="H972" s="155"/>
      <c r="I972" s="155"/>
      <c r="J972" s="155"/>
      <c r="K972" s="155"/>
      <c r="L972" s="155"/>
      <c r="M972" s="155"/>
      <c r="N972" s="155"/>
      <c r="O972" s="155"/>
      <c r="P972" s="155"/>
      <c r="Q972" s="155"/>
      <c r="R972" s="155"/>
      <c r="S972" s="155"/>
      <c r="T972" s="155"/>
      <c r="U972" s="155"/>
      <c r="V972" s="155"/>
      <c r="W972" s="155"/>
      <c r="GL972" s="155"/>
      <c r="GM972" s="155"/>
      <c r="GN972" s="155"/>
      <c r="GO972" s="155"/>
      <c r="GP972" s="155"/>
      <c r="GQ972" s="155"/>
      <c r="GR972" s="155"/>
      <c r="GS972" s="155"/>
      <c r="GT972" s="155"/>
      <c r="GU972" s="155"/>
      <c r="GV972" s="155"/>
      <c r="GW972" s="155"/>
      <c r="GX972" s="155"/>
      <c r="GY972" s="155"/>
      <c r="GZ972" s="155"/>
      <c r="HA972" s="155"/>
      <c r="HB972" s="155"/>
      <c r="HC972" s="155"/>
      <c r="HD972" s="155"/>
      <c r="HE972" s="155"/>
    </row>
    <row r="973" spans="2:213" s="156" customFormat="1" hidden="1">
      <c r="B973" s="155"/>
      <c r="C973" s="155"/>
      <c r="D973" s="155"/>
      <c r="E973" s="155"/>
      <c r="F973" s="155"/>
      <c r="G973" s="155"/>
      <c r="H973" s="155"/>
      <c r="I973" s="155"/>
      <c r="J973" s="155"/>
      <c r="K973" s="155"/>
      <c r="L973" s="155"/>
      <c r="M973" s="155"/>
      <c r="N973" s="155"/>
      <c r="O973" s="155"/>
      <c r="P973" s="155"/>
      <c r="Q973" s="155"/>
      <c r="R973" s="155"/>
      <c r="S973" s="155"/>
      <c r="T973" s="155"/>
      <c r="U973" s="155"/>
      <c r="V973" s="155"/>
      <c r="W973" s="155"/>
      <c r="GL973" s="155"/>
      <c r="GM973" s="155"/>
      <c r="GN973" s="155"/>
      <c r="GO973" s="155"/>
      <c r="GP973" s="155"/>
      <c r="GQ973" s="155"/>
      <c r="GR973" s="155"/>
      <c r="GS973" s="155"/>
      <c r="GT973" s="155"/>
      <c r="GU973" s="155"/>
      <c r="GV973" s="155"/>
      <c r="GW973" s="155"/>
      <c r="GX973" s="155"/>
      <c r="GY973" s="155"/>
      <c r="GZ973" s="155"/>
      <c r="HA973" s="155"/>
      <c r="HB973" s="155"/>
      <c r="HC973" s="155"/>
      <c r="HD973" s="155"/>
      <c r="HE973" s="155"/>
    </row>
    <row r="974" spans="2:213" s="156" customFormat="1" hidden="1">
      <c r="B974" s="155"/>
      <c r="C974" s="155"/>
      <c r="D974" s="155"/>
      <c r="E974" s="155"/>
      <c r="F974" s="155"/>
      <c r="G974" s="155"/>
      <c r="H974" s="155"/>
      <c r="I974" s="155"/>
      <c r="J974" s="155"/>
      <c r="K974" s="155"/>
      <c r="L974" s="155"/>
      <c r="M974" s="155"/>
      <c r="N974" s="155"/>
      <c r="O974" s="155"/>
      <c r="P974" s="155"/>
      <c r="Q974" s="155"/>
      <c r="R974" s="155"/>
      <c r="S974" s="155"/>
      <c r="T974" s="155"/>
      <c r="U974" s="155"/>
      <c r="V974" s="155"/>
      <c r="W974" s="155"/>
      <c r="GL974" s="155"/>
      <c r="GM974" s="155"/>
      <c r="GN974" s="155"/>
      <c r="GO974" s="155"/>
      <c r="GP974" s="155"/>
      <c r="GQ974" s="155"/>
      <c r="GR974" s="155"/>
      <c r="GS974" s="155"/>
      <c r="GT974" s="155"/>
      <c r="GU974" s="155"/>
      <c r="GV974" s="155"/>
      <c r="GW974" s="155"/>
      <c r="GX974" s="155"/>
      <c r="GY974" s="155"/>
      <c r="GZ974" s="155"/>
      <c r="HA974" s="155"/>
      <c r="HB974" s="155"/>
      <c r="HC974" s="155"/>
      <c r="HD974" s="155"/>
      <c r="HE974" s="155"/>
    </row>
    <row r="975" spans="2:213" s="156" customFormat="1" hidden="1">
      <c r="B975" s="155"/>
      <c r="C975" s="155"/>
      <c r="D975" s="155"/>
      <c r="E975" s="155"/>
      <c r="F975" s="155"/>
      <c r="G975" s="155"/>
      <c r="H975" s="155"/>
      <c r="I975" s="155"/>
      <c r="J975" s="155"/>
      <c r="K975" s="155"/>
      <c r="L975" s="155"/>
      <c r="M975" s="155"/>
      <c r="N975" s="155"/>
      <c r="O975" s="155"/>
      <c r="P975" s="155"/>
      <c r="Q975" s="155"/>
      <c r="R975" s="155"/>
      <c r="S975" s="155"/>
      <c r="T975" s="155"/>
      <c r="U975" s="155"/>
      <c r="V975" s="155"/>
      <c r="W975" s="155"/>
      <c r="GL975" s="155"/>
      <c r="GM975" s="155"/>
      <c r="GN975" s="155"/>
      <c r="GO975" s="155"/>
      <c r="GP975" s="155"/>
      <c r="GQ975" s="155"/>
      <c r="GR975" s="155"/>
      <c r="GS975" s="155"/>
      <c r="GT975" s="155"/>
      <c r="GU975" s="155"/>
      <c r="GV975" s="155"/>
      <c r="GW975" s="155"/>
      <c r="GX975" s="155"/>
      <c r="GY975" s="155"/>
      <c r="GZ975" s="155"/>
      <c r="HA975" s="155"/>
      <c r="HB975" s="155"/>
      <c r="HC975" s="155"/>
      <c r="HD975" s="155"/>
      <c r="HE975" s="155"/>
    </row>
    <row r="976" spans="2:213" s="156" customFormat="1" hidden="1">
      <c r="B976" s="155"/>
      <c r="C976" s="155"/>
      <c r="D976" s="155"/>
      <c r="E976" s="155"/>
      <c r="F976" s="155"/>
      <c r="G976" s="155"/>
      <c r="H976" s="155"/>
      <c r="I976" s="155"/>
      <c r="J976" s="155"/>
      <c r="K976" s="155"/>
      <c r="L976" s="155"/>
      <c r="M976" s="155"/>
      <c r="N976" s="155"/>
      <c r="O976" s="155"/>
      <c r="P976" s="155"/>
      <c r="Q976" s="155"/>
      <c r="R976" s="155"/>
      <c r="S976" s="155"/>
      <c r="T976" s="155"/>
      <c r="U976" s="155"/>
      <c r="V976" s="155"/>
      <c r="W976" s="155"/>
      <c r="GL976" s="155"/>
      <c r="GM976" s="155"/>
      <c r="GN976" s="155"/>
      <c r="GO976" s="155"/>
      <c r="GP976" s="155"/>
      <c r="GQ976" s="155"/>
      <c r="GR976" s="155"/>
      <c r="GS976" s="155"/>
      <c r="GT976" s="155"/>
      <c r="GU976" s="155"/>
      <c r="GV976" s="155"/>
      <c r="GW976" s="155"/>
      <c r="GX976" s="155"/>
      <c r="GY976" s="155"/>
      <c r="GZ976" s="155"/>
      <c r="HA976" s="155"/>
      <c r="HB976" s="155"/>
      <c r="HC976" s="155"/>
      <c r="HD976" s="155"/>
      <c r="HE976" s="155"/>
    </row>
    <row r="977" spans="2:213" s="156" customFormat="1" hidden="1">
      <c r="B977" s="155"/>
      <c r="C977" s="155"/>
      <c r="D977" s="155"/>
      <c r="E977" s="155"/>
      <c r="F977" s="155"/>
      <c r="G977" s="155"/>
      <c r="H977" s="155"/>
      <c r="I977" s="155"/>
      <c r="J977" s="155"/>
      <c r="K977" s="155"/>
      <c r="L977" s="155"/>
      <c r="M977" s="155"/>
      <c r="N977" s="155"/>
      <c r="O977" s="155"/>
      <c r="P977" s="155"/>
      <c r="Q977" s="155"/>
      <c r="R977" s="155"/>
      <c r="S977" s="155"/>
      <c r="T977" s="155"/>
      <c r="U977" s="155"/>
      <c r="V977" s="155"/>
      <c r="W977" s="155"/>
      <c r="GL977" s="155"/>
      <c r="GM977" s="155"/>
      <c r="GN977" s="155"/>
      <c r="GO977" s="155"/>
      <c r="GP977" s="155"/>
      <c r="GQ977" s="155"/>
      <c r="GR977" s="155"/>
      <c r="GS977" s="155"/>
      <c r="GT977" s="155"/>
      <c r="GU977" s="155"/>
      <c r="GV977" s="155"/>
      <c r="GW977" s="155"/>
      <c r="GX977" s="155"/>
      <c r="GY977" s="155"/>
      <c r="GZ977" s="155"/>
      <c r="HA977" s="155"/>
      <c r="HB977" s="155"/>
      <c r="HC977" s="155"/>
      <c r="HD977" s="155"/>
      <c r="HE977" s="155"/>
    </row>
    <row r="978" spans="2:213" s="156" customFormat="1" hidden="1">
      <c r="B978" s="155"/>
      <c r="C978" s="155"/>
      <c r="D978" s="155"/>
      <c r="E978" s="155"/>
      <c r="F978" s="155"/>
      <c r="G978" s="155"/>
      <c r="H978" s="155"/>
      <c r="I978" s="155"/>
      <c r="J978" s="155"/>
      <c r="K978" s="155"/>
      <c r="L978" s="155"/>
      <c r="M978" s="155"/>
      <c r="N978" s="155"/>
      <c r="O978" s="155"/>
      <c r="P978" s="155"/>
      <c r="Q978" s="155"/>
      <c r="R978" s="155"/>
      <c r="S978" s="155"/>
      <c r="T978" s="155"/>
      <c r="U978" s="155"/>
      <c r="V978" s="155"/>
      <c r="W978" s="155"/>
      <c r="GL978" s="155"/>
      <c r="GM978" s="155"/>
      <c r="GN978" s="155"/>
      <c r="GO978" s="155"/>
      <c r="GP978" s="155"/>
      <c r="GQ978" s="155"/>
      <c r="GR978" s="155"/>
      <c r="GS978" s="155"/>
      <c r="GT978" s="155"/>
      <c r="GU978" s="155"/>
      <c r="GV978" s="155"/>
      <c r="GW978" s="155"/>
      <c r="GX978" s="155"/>
      <c r="GY978" s="155"/>
      <c r="GZ978" s="155"/>
      <c r="HA978" s="155"/>
      <c r="HB978" s="155"/>
      <c r="HC978" s="155"/>
      <c r="HD978" s="155"/>
      <c r="HE978" s="155"/>
    </row>
    <row r="979" spans="2:213" s="156" customFormat="1" hidden="1">
      <c r="B979" s="155"/>
      <c r="C979" s="155"/>
      <c r="D979" s="155"/>
      <c r="E979" s="155"/>
      <c r="F979" s="155"/>
      <c r="G979" s="155"/>
      <c r="H979" s="155"/>
      <c r="I979" s="155"/>
      <c r="J979" s="155"/>
      <c r="K979" s="155"/>
      <c r="L979" s="155"/>
      <c r="M979" s="155"/>
      <c r="N979" s="155"/>
      <c r="O979" s="155"/>
      <c r="P979" s="155"/>
      <c r="Q979" s="155"/>
      <c r="R979" s="155"/>
      <c r="S979" s="155"/>
      <c r="T979" s="155"/>
      <c r="U979" s="155"/>
      <c r="V979" s="155"/>
      <c r="W979" s="155"/>
      <c r="GL979" s="155"/>
      <c r="GM979" s="155"/>
      <c r="GN979" s="155"/>
      <c r="GO979" s="155"/>
      <c r="GP979" s="155"/>
      <c r="GQ979" s="155"/>
      <c r="GR979" s="155"/>
      <c r="GS979" s="155"/>
      <c r="GT979" s="155"/>
      <c r="GU979" s="155"/>
      <c r="GV979" s="155"/>
      <c r="GW979" s="155"/>
      <c r="GX979" s="155"/>
      <c r="GY979" s="155"/>
      <c r="GZ979" s="155"/>
      <c r="HA979" s="155"/>
      <c r="HB979" s="155"/>
      <c r="HC979" s="155"/>
      <c r="HD979" s="155"/>
      <c r="HE979" s="155"/>
    </row>
    <row r="980" spans="2:213" s="156" customFormat="1" hidden="1">
      <c r="B980" s="155"/>
      <c r="C980" s="155"/>
      <c r="D980" s="155"/>
      <c r="E980" s="155"/>
      <c r="F980" s="155"/>
      <c r="G980" s="155"/>
      <c r="H980" s="155"/>
      <c r="I980" s="155"/>
      <c r="J980" s="155"/>
      <c r="K980" s="155"/>
      <c r="L980" s="155"/>
      <c r="M980" s="155"/>
      <c r="N980" s="155"/>
      <c r="O980" s="155"/>
      <c r="P980" s="155"/>
      <c r="Q980" s="155"/>
      <c r="R980" s="155"/>
      <c r="S980" s="155"/>
      <c r="T980" s="155"/>
      <c r="U980" s="155"/>
      <c r="V980" s="155"/>
      <c r="W980" s="155"/>
      <c r="GL980" s="155"/>
      <c r="GM980" s="155"/>
      <c r="GN980" s="155"/>
      <c r="GO980" s="155"/>
      <c r="GP980" s="155"/>
      <c r="GQ980" s="155"/>
      <c r="GR980" s="155"/>
      <c r="GS980" s="155"/>
      <c r="GT980" s="155"/>
      <c r="GU980" s="155"/>
      <c r="GV980" s="155"/>
      <c r="GW980" s="155"/>
      <c r="GX980" s="155"/>
      <c r="GY980" s="155"/>
      <c r="GZ980" s="155"/>
      <c r="HA980" s="155"/>
      <c r="HB980" s="155"/>
      <c r="HC980" s="155"/>
      <c r="HD980" s="155"/>
      <c r="HE980" s="155"/>
    </row>
    <row r="981" spans="2:213" s="156" customFormat="1" hidden="1">
      <c r="B981" s="155"/>
      <c r="C981" s="155"/>
      <c r="D981" s="155"/>
      <c r="E981" s="155"/>
      <c r="F981" s="155"/>
      <c r="G981" s="155"/>
      <c r="H981" s="155"/>
      <c r="I981" s="155"/>
      <c r="J981" s="155"/>
      <c r="K981" s="155"/>
      <c r="L981" s="155"/>
      <c r="M981" s="155"/>
      <c r="N981" s="155"/>
      <c r="O981" s="155"/>
      <c r="P981" s="155"/>
      <c r="Q981" s="155"/>
      <c r="R981" s="155"/>
      <c r="S981" s="155"/>
      <c r="T981" s="155"/>
      <c r="U981" s="155"/>
      <c r="V981" s="155"/>
      <c r="W981" s="155"/>
      <c r="GL981" s="155"/>
      <c r="GM981" s="155"/>
      <c r="GN981" s="155"/>
      <c r="GO981" s="155"/>
      <c r="GP981" s="155"/>
      <c r="GQ981" s="155"/>
      <c r="GR981" s="155"/>
      <c r="GS981" s="155"/>
      <c r="GT981" s="155"/>
      <c r="GU981" s="155"/>
      <c r="GV981" s="155"/>
      <c r="GW981" s="155"/>
      <c r="GX981" s="155"/>
      <c r="GY981" s="155"/>
      <c r="GZ981" s="155"/>
      <c r="HA981" s="155"/>
      <c r="HB981" s="155"/>
      <c r="HC981" s="155"/>
      <c r="HD981" s="155"/>
      <c r="HE981" s="155"/>
    </row>
    <row r="982" spans="2:213" s="156" customFormat="1" hidden="1">
      <c r="B982" s="155"/>
      <c r="C982" s="155"/>
      <c r="D982" s="155"/>
      <c r="E982" s="155"/>
      <c r="F982" s="155"/>
      <c r="G982" s="155"/>
      <c r="H982" s="155"/>
      <c r="I982" s="155"/>
      <c r="J982" s="155"/>
      <c r="K982" s="155"/>
      <c r="L982" s="155"/>
      <c r="M982" s="155"/>
      <c r="N982" s="155"/>
      <c r="O982" s="155"/>
      <c r="P982" s="155"/>
      <c r="Q982" s="155"/>
      <c r="R982" s="155"/>
      <c r="S982" s="155"/>
      <c r="T982" s="155"/>
      <c r="U982" s="155"/>
      <c r="V982" s="155"/>
      <c r="W982" s="155"/>
      <c r="GL982" s="155"/>
      <c r="GM982" s="155"/>
      <c r="GN982" s="155"/>
      <c r="GO982" s="155"/>
      <c r="GP982" s="155"/>
      <c r="GQ982" s="155"/>
      <c r="GR982" s="155"/>
      <c r="GS982" s="155"/>
      <c r="GT982" s="155"/>
      <c r="GU982" s="155"/>
      <c r="GV982" s="155"/>
      <c r="GW982" s="155"/>
      <c r="GX982" s="155"/>
      <c r="GY982" s="155"/>
      <c r="GZ982" s="155"/>
      <c r="HA982" s="155"/>
      <c r="HB982" s="155"/>
      <c r="HC982" s="155"/>
      <c r="HD982" s="155"/>
      <c r="HE982" s="155"/>
    </row>
    <row r="983" spans="2:213" s="156" customFormat="1" hidden="1">
      <c r="B983" s="155"/>
      <c r="C983" s="155"/>
      <c r="D983" s="155"/>
      <c r="E983" s="155"/>
      <c r="F983" s="155"/>
      <c r="G983" s="155"/>
      <c r="H983" s="155"/>
      <c r="I983" s="155"/>
      <c r="J983" s="155"/>
      <c r="K983" s="155"/>
      <c r="L983" s="155"/>
      <c r="M983" s="155"/>
      <c r="N983" s="155"/>
      <c r="O983" s="155"/>
      <c r="P983" s="155"/>
      <c r="Q983" s="155"/>
      <c r="R983" s="155"/>
      <c r="S983" s="155"/>
      <c r="T983" s="155"/>
      <c r="U983" s="155"/>
      <c r="V983" s="155"/>
      <c r="W983" s="155"/>
      <c r="GL983" s="155"/>
      <c r="GM983" s="155"/>
      <c r="GN983" s="155"/>
      <c r="GO983" s="155"/>
      <c r="GP983" s="155"/>
      <c r="GQ983" s="155"/>
      <c r="GR983" s="155"/>
      <c r="GS983" s="155"/>
      <c r="GT983" s="155"/>
      <c r="GU983" s="155"/>
      <c r="GV983" s="155"/>
      <c r="GW983" s="155"/>
      <c r="GX983" s="155"/>
      <c r="GY983" s="155"/>
      <c r="GZ983" s="155"/>
      <c r="HA983" s="155"/>
      <c r="HB983" s="155"/>
      <c r="HC983" s="155"/>
      <c r="HD983" s="155"/>
      <c r="HE983" s="155"/>
    </row>
    <row r="984" spans="2:213" s="156" customFormat="1" hidden="1">
      <c r="B984" s="155"/>
      <c r="C984" s="155"/>
      <c r="D984" s="155"/>
      <c r="E984" s="155"/>
      <c r="F984" s="155"/>
      <c r="G984" s="155"/>
      <c r="H984" s="155"/>
      <c r="I984" s="155"/>
      <c r="J984" s="155"/>
      <c r="K984" s="155"/>
      <c r="L984" s="155"/>
      <c r="M984" s="155"/>
      <c r="N984" s="155"/>
      <c r="O984" s="155"/>
      <c r="P984" s="155"/>
      <c r="Q984" s="155"/>
      <c r="R984" s="155"/>
      <c r="S984" s="155"/>
      <c r="T984" s="155"/>
      <c r="U984" s="155"/>
      <c r="V984" s="155"/>
      <c r="W984" s="155"/>
      <c r="GL984" s="155"/>
      <c r="GM984" s="155"/>
      <c r="GN984" s="155"/>
      <c r="GO984" s="155"/>
      <c r="GP984" s="155"/>
      <c r="GQ984" s="155"/>
      <c r="GR984" s="155"/>
      <c r="GS984" s="155"/>
      <c r="GT984" s="155"/>
      <c r="GU984" s="155"/>
      <c r="GV984" s="155"/>
      <c r="GW984" s="155"/>
      <c r="GX984" s="155"/>
      <c r="GY984" s="155"/>
      <c r="GZ984" s="155"/>
      <c r="HA984" s="155"/>
      <c r="HB984" s="155"/>
      <c r="HC984" s="155"/>
      <c r="HD984" s="155"/>
      <c r="HE984" s="155"/>
    </row>
    <row r="985" spans="2:213" s="156" customFormat="1" hidden="1">
      <c r="B985" s="155"/>
      <c r="C985" s="155"/>
      <c r="D985" s="155"/>
      <c r="E985" s="155"/>
      <c r="F985" s="155"/>
      <c r="G985" s="155"/>
      <c r="H985" s="155"/>
      <c r="I985" s="155"/>
      <c r="J985" s="155"/>
      <c r="K985" s="155"/>
      <c r="L985" s="155"/>
      <c r="M985" s="155"/>
      <c r="N985" s="155"/>
      <c r="O985" s="155"/>
      <c r="P985" s="155"/>
      <c r="Q985" s="155"/>
      <c r="R985" s="155"/>
      <c r="S985" s="155"/>
      <c r="T985" s="155"/>
      <c r="U985" s="155"/>
      <c r="V985" s="155"/>
      <c r="W985" s="155"/>
      <c r="GL985" s="155"/>
      <c r="GM985" s="155"/>
      <c r="GN985" s="155"/>
      <c r="GO985" s="155"/>
      <c r="GP985" s="155"/>
      <c r="GQ985" s="155"/>
      <c r="GR985" s="155"/>
      <c r="GS985" s="155"/>
      <c r="GT985" s="155"/>
      <c r="GU985" s="155"/>
      <c r="GV985" s="155"/>
      <c r="GW985" s="155"/>
      <c r="GX985" s="155"/>
      <c r="GY985" s="155"/>
      <c r="GZ985" s="155"/>
      <c r="HA985" s="155"/>
      <c r="HB985" s="155"/>
      <c r="HC985" s="155"/>
      <c r="HD985" s="155"/>
      <c r="HE985" s="155"/>
    </row>
    <row r="986" spans="2:213" s="156" customFormat="1" hidden="1">
      <c r="B986" s="155"/>
      <c r="C986" s="155"/>
      <c r="D986" s="155"/>
      <c r="E986" s="155"/>
      <c r="F986" s="155"/>
      <c r="G986" s="155"/>
      <c r="H986" s="155"/>
      <c r="I986" s="155"/>
      <c r="J986" s="155"/>
      <c r="K986" s="155"/>
      <c r="L986" s="155"/>
      <c r="M986" s="155"/>
      <c r="N986" s="155"/>
      <c r="O986" s="155"/>
      <c r="P986" s="155"/>
      <c r="Q986" s="155"/>
      <c r="R986" s="155"/>
      <c r="S986" s="155"/>
      <c r="T986" s="155"/>
      <c r="U986" s="155"/>
      <c r="V986" s="155"/>
      <c r="W986" s="155"/>
      <c r="GL986" s="155"/>
      <c r="GM986" s="155"/>
      <c r="GN986" s="155"/>
      <c r="GO986" s="155"/>
      <c r="GP986" s="155"/>
      <c r="GQ986" s="155"/>
      <c r="GR986" s="155"/>
      <c r="GS986" s="155"/>
      <c r="GT986" s="155"/>
      <c r="GU986" s="155"/>
      <c r="GV986" s="155"/>
      <c r="GW986" s="155"/>
      <c r="GX986" s="155"/>
      <c r="GY986" s="155"/>
      <c r="GZ986" s="155"/>
      <c r="HA986" s="155"/>
      <c r="HB986" s="155"/>
      <c r="HC986" s="155"/>
      <c r="HD986" s="155"/>
      <c r="HE986" s="155"/>
    </row>
    <row r="987" spans="2:213" s="156" customFormat="1" hidden="1">
      <c r="B987" s="155"/>
      <c r="C987" s="155"/>
      <c r="D987" s="155"/>
      <c r="E987" s="155"/>
      <c r="F987" s="155"/>
      <c r="G987" s="155"/>
      <c r="H987" s="155"/>
      <c r="I987" s="155"/>
      <c r="J987" s="155"/>
      <c r="K987" s="155"/>
      <c r="L987" s="155"/>
      <c r="M987" s="155"/>
      <c r="N987" s="155"/>
      <c r="O987" s="155"/>
      <c r="P987" s="155"/>
      <c r="Q987" s="155"/>
      <c r="R987" s="155"/>
      <c r="S987" s="155"/>
      <c r="T987" s="155"/>
      <c r="U987" s="155"/>
      <c r="V987" s="155"/>
      <c r="W987" s="155"/>
      <c r="GL987" s="155"/>
      <c r="GM987" s="155"/>
      <c r="GN987" s="155"/>
      <c r="GO987" s="155"/>
      <c r="GP987" s="155"/>
      <c r="GQ987" s="155"/>
      <c r="GR987" s="155"/>
      <c r="GS987" s="155"/>
      <c r="GT987" s="155"/>
      <c r="GU987" s="155"/>
      <c r="GV987" s="155"/>
      <c r="GW987" s="155"/>
      <c r="GX987" s="155"/>
      <c r="GY987" s="155"/>
      <c r="GZ987" s="155"/>
      <c r="HA987" s="155"/>
      <c r="HB987" s="155"/>
      <c r="HC987" s="155"/>
      <c r="HD987" s="155"/>
      <c r="HE987" s="155"/>
    </row>
    <row r="988" spans="2:213" s="156" customFormat="1" hidden="1">
      <c r="B988" s="155"/>
      <c r="C988" s="155"/>
      <c r="D988" s="155"/>
      <c r="E988" s="155"/>
      <c r="F988" s="155"/>
      <c r="G988" s="155"/>
      <c r="H988" s="155"/>
      <c r="I988" s="155"/>
      <c r="J988" s="155"/>
      <c r="K988" s="155"/>
      <c r="L988" s="155"/>
      <c r="M988" s="155"/>
      <c r="N988" s="155"/>
      <c r="O988" s="155"/>
      <c r="P988" s="155"/>
      <c r="Q988" s="155"/>
      <c r="R988" s="155"/>
      <c r="S988" s="155"/>
      <c r="T988" s="155"/>
      <c r="U988" s="155"/>
      <c r="V988" s="155"/>
      <c r="W988" s="155"/>
      <c r="GL988" s="155"/>
      <c r="GM988" s="155"/>
      <c r="GN988" s="155"/>
      <c r="GO988" s="155"/>
      <c r="GP988" s="155"/>
      <c r="GQ988" s="155"/>
      <c r="GR988" s="155"/>
      <c r="GS988" s="155"/>
      <c r="GT988" s="155"/>
      <c r="GU988" s="155"/>
      <c r="GV988" s="155"/>
      <c r="GW988" s="155"/>
      <c r="GX988" s="155"/>
      <c r="GY988" s="155"/>
      <c r="GZ988" s="155"/>
      <c r="HA988" s="155"/>
      <c r="HB988" s="155"/>
      <c r="HC988" s="155"/>
      <c r="HD988" s="155"/>
      <c r="HE988" s="155"/>
    </row>
    <row r="989" spans="2:213" s="156" customFormat="1" hidden="1">
      <c r="B989" s="155"/>
      <c r="C989" s="155"/>
      <c r="D989" s="155"/>
      <c r="E989" s="155"/>
      <c r="F989" s="155"/>
      <c r="G989" s="155"/>
      <c r="H989" s="155"/>
      <c r="I989" s="155"/>
      <c r="J989" s="155"/>
      <c r="K989" s="155"/>
      <c r="L989" s="155"/>
      <c r="M989" s="155"/>
      <c r="N989" s="155"/>
      <c r="O989" s="155"/>
      <c r="P989" s="155"/>
      <c r="Q989" s="155"/>
      <c r="R989" s="155"/>
      <c r="S989" s="155"/>
      <c r="T989" s="155"/>
      <c r="U989" s="155"/>
      <c r="V989" s="155"/>
      <c r="W989" s="155"/>
      <c r="GL989" s="155"/>
      <c r="GM989" s="155"/>
      <c r="GN989" s="155"/>
      <c r="GO989" s="155"/>
      <c r="GP989" s="155"/>
      <c r="GQ989" s="155"/>
      <c r="GR989" s="155"/>
      <c r="GS989" s="155"/>
      <c r="GT989" s="155"/>
      <c r="GU989" s="155"/>
      <c r="GV989" s="155"/>
      <c r="GW989" s="155"/>
      <c r="GX989" s="155"/>
      <c r="GY989" s="155"/>
      <c r="GZ989" s="155"/>
      <c r="HA989" s="155"/>
      <c r="HB989" s="155"/>
      <c r="HC989" s="155"/>
      <c r="HD989" s="155"/>
      <c r="HE989" s="155"/>
    </row>
    <row r="990" spans="2:213" s="156" customFormat="1" hidden="1">
      <c r="B990" s="155"/>
      <c r="C990" s="155"/>
      <c r="D990" s="155"/>
      <c r="E990" s="155"/>
      <c r="F990" s="155"/>
      <c r="G990" s="155"/>
      <c r="H990" s="155"/>
      <c r="I990" s="155"/>
      <c r="J990" s="155"/>
      <c r="K990" s="155"/>
      <c r="L990" s="155"/>
      <c r="M990" s="155"/>
      <c r="N990" s="155"/>
      <c r="O990" s="155"/>
      <c r="P990" s="155"/>
      <c r="Q990" s="155"/>
      <c r="R990" s="155"/>
      <c r="S990" s="155"/>
      <c r="T990" s="155"/>
      <c r="U990" s="155"/>
      <c r="V990" s="155"/>
      <c r="W990" s="155"/>
      <c r="GL990" s="155"/>
      <c r="GM990" s="155"/>
      <c r="GN990" s="155"/>
      <c r="GO990" s="155"/>
      <c r="GP990" s="155"/>
      <c r="GQ990" s="155"/>
      <c r="GR990" s="155"/>
      <c r="GS990" s="155"/>
      <c r="GT990" s="155"/>
      <c r="GU990" s="155"/>
      <c r="GV990" s="155"/>
      <c r="GW990" s="155"/>
      <c r="GX990" s="155"/>
      <c r="GY990" s="155"/>
      <c r="GZ990" s="155"/>
      <c r="HA990" s="155"/>
      <c r="HB990" s="155"/>
      <c r="HC990" s="155"/>
      <c r="HD990" s="155"/>
      <c r="HE990" s="155"/>
    </row>
    <row r="991" spans="2:213" s="156" customFormat="1" hidden="1">
      <c r="B991" s="155"/>
      <c r="C991" s="155"/>
      <c r="D991" s="155"/>
      <c r="E991" s="155"/>
      <c r="F991" s="155"/>
      <c r="G991" s="155"/>
      <c r="H991" s="155"/>
      <c r="I991" s="155"/>
      <c r="J991" s="155"/>
      <c r="K991" s="155"/>
      <c r="L991" s="155"/>
      <c r="M991" s="155"/>
      <c r="N991" s="155"/>
      <c r="O991" s="155"/>
      <c r="P991" s="155"/>
      <c r="Q991" s="155"/>
      <c r="R991" s="155"/>
      <c r="S991" s="155"/>
      <c r="T991" s="155"/>
      <c r="U991" s="155"/>
      <c r="V991" s="155"/>
      <c r="W991" s="155"/>
      <c r="GL991" s="155"/>
      <c r="GM991" s="155"/>
      <c r="GN991" s="155"/>
      <c r="GO991" s="155"/>
      <c r="GP991" s="155"/>
      <c r="GQ991" s="155"/>
      <c r="GR991" s="155"/>
      <c r="GS991" s="155"/>
      <c r="GT991" s="155"/>
      <c r="GU991" s="155"/>
      <c r="GV991" s="155"/>
      <c r="GW991" s="155"/>
      <c r="GX991" s="155"/>
      <c r="GY991" s="155"/>
      <c r="GZ991" s="155"/>
      <c r="HA991" s="155"/>
      <c r="HB991" s="155"/>
      <c r="HC991" s="155"/>
      <c r="HD991" s="155"/>
      <c r="HE991" s="155"/>
    </row>
    <row r="992" spans="2:213" s="156" customFormat="1" hidden="1">
      <c r="B992" s="155"/>
      <c r="C992" s="155"/>
      <c r="D992" s="155"/>
      <c r="E992" s="155"/>
      <c r="F992" s="155"/>
      <c r="G992" s="155"/>
      <c r="H992" s="155"/>
      <c r="I992" s="155"/>
      <c r="J992" s="155"/>
      <c r="K992" s="155"/>
      <c r="L992" s="155"/>
      <c r="M992" s="155"/>
      <c r="N992" s="155"/>
      <c r="O992" s="155"/>
      <c r="P992" s="155"/>
      <c r="Q992" s="155"/>
      <c r="R992" s="155"/>
      <c r="S992" s="155"/>
      <c r="T992" s="155"/>
      <c r="U992" s="155"/>
      <c r="V992" s="155"/>
      <c r="W992" s="155"/>
      <c r="GL992" s="155"/>
      <c r="GM992" s="155"/>
      <c r="GN992" s="155"/>
      <c r="GO992" s="155"/>
      <c r="GP992" s="155"/>
      <c r="GQ992" s="155"/>
      <c r="GR992" s="155"/>
      <c r="GS992" s="155"/>
      <c r="GT992" s="155"/>
      <c r="GU992" s="155"/>
      <c r="GV992" s="155"/>
      <c r="GW992" s="155"/>
      <c r="GX992" s="155"/>
      <c r="GY992" s="155"/>
      <c r="GZ992" s="155"/>
      <c r="HA992" s="155"/>
      <c r="HB992" s="155"/>
      <c r="HC992" s="155"/>
      <c r="HD992" s="155"/>
      <c r="HE992" s="155"/>
    </row>
    <row r="993" spans="2:213" s="156" customFormat="1" hidden="1">
      <c r="B993" s="155"/>
      <c r="C993" s="155"/>
      <c r="D993" s="155"/>
      <c r="E993" s="155"/>
      <c r="F993" s="155"/>
      <c r="G993" s="155"/>
      <c r="H993" s="155"/>
      <c r="I993" s="155"/>
      <c r="J993" s="155"/>
      <c r="K993" s="155"/>
      <c r="L993" s="155"/>
      <c r="M993" s="155"/>
      <c r="N993" s="155"/>
      <c r="O993" s="155"/>
      <c r="P993" s="155"/>
      <c r="Q993" s="155"/>
      <c r="R993" s="155"/>
      <c r="S993" s="155"/>
      <c r="T993" s="155"/>
      <c r="U993" s="155"/>
      <c r="V993" s="155"/>
      <c r="W993" s="155"/>
      <c r="GL993" s="155"/>
      <c r="GM993" s="155"/>
      <c r="GN993" s="155"/>
      <c r="GO993" s="155"/>
      <c r="GP993" s="155"/>
      <c r="GQ993" s="155"/>
      <c r="GR993" s="155"/>
      <c r="GS993" s="155"/>
      <c r="GT993" s="155"/>
      <c r="GU993" s="155"/>
      <c r="GV993" s="155"/>
      <c r="GW993" s="155"/>
      <c r="GX993" s="155"/>
      <c r="GY993" s="155"/>
      <c r="GZ993" s="155"/>
      <c r="HA993" s="155"/>
      <c r="HB993" s="155"/>
      <c r="HC993" s="155"/>
      <c r="HD993" s="155"/>
      <c r="HE993" s="155"/>
    </row>
    <row r="994" spans="2:213" s="156" customFormat="1" hidden="1">
      <c r="B994" s="155"/>
      <c r="C994" s="155"/>
      <c r="D994" s="155"/>
      <c r="E994" s="155"/>
      <c r="F994" s="155"/>
      <c r="G994" s="155"/>
      <c r="H994" s="155"/>
      <c r="I994" s="155"/>
      <c r="J994" s="155"/>
      <c r="K994" s="155"/>
      <c r="L994" s="155"/>
      <c r="M994" s="155"/>
      <c r="N994" s="155"/>
      <c r="O994" s="155"/>
      <c r="P994" s="155"/>
      <c r="Q994" s="155"/>
      <c r="R994" s="155"/>
      <c r="S994" s="155"/>
      <c r="T994" s="155"/>
      <c r="U994" s="155"/>
      <c r="V994" s="155"/>
      <c r="W994" s="155"/>
      <c r="GL994" s="155"/>
      <c r="GM994" s="155"/>
      <c r="GN994" s="155"/>
      <c r="GO994" s="155"/>
      <c r="GP994" s="155"/>
      <c r="GQ994" s="155"/>
      <c r="GR994" s="155"/>
      <c r="GS994" s="155"/>
      <c r="GT994" s="155"/>
      <c r="GU994" s="155"/>
      <c r="GV994" s="155"/>
      <c r="GW994" s="155"/>
      <c r="GX994" s="155"/>
      <c r="GY994" s="155"/>
      <c r="GZ994" s="155"/>
      <c r="HA994" s="155"/>
      <c r="HB994" s="155"/>
      <c r="HC994" s="155"/>
      <c r="HD994" s="155"/>
      <c r="HE994" s="155"/>
    </row>
    <row r="995" spans="2:213" s="156" customFormat="1" hidden="1">
      <c r="B995" s="155"/>
      <c r="C995" s="155"/>
      <c r="D995" s="155"/>
      <c r="E995" s="155"/>
      <c r="F995" s="155"/>
      <c r="G995" s="155"/>
      <c r="H995" s="155"/>
      <c r="I995" s="155"/>
      <c r="J995" s="155"/>
      <c r="K995" s="155"/>
      <c r="L995" s="155"/>
      <c r="M995" s="155"/>
      <c r="N995" s="155"/>
      <c r="O995" s="155"/>
      <c r="P995" s="155"/>
      <c r="Q995" s="155"/>
      <c r="R995" s="155"/>
      <c r="S995" s="155"/>
      <c r="T995" s="155"/>
      <c r="U995" s="155"/>
      <c r="V995" s="155"/>
      <c r="W995" s="155"/>
      <c r="GL995" s="155"/>
      <c r="GM995" s="155"/>
      <c r="GN995" s="155"/>
      <c r="GO995" s="155"/>
      <c r="GP995" s="155"/>
      <c r="GQ995" s="155"/>
      <c r="GR995" s="155"/>
      <c r="GS995" s="155"/>
      <c r="GT995" s="155"/>
      <c r="GU995" s="155"/>
      <c r="GV995" s="155"/>
      <c r="GW995" s="155"/>
      <c r="GX995" s="155"/>
      <c r="GY995" s="155"/>
      <c r="GZ995" s="155"/>
      <c r="HA995" s="155"/>
      <c r="HB995" s="155"/>
      <c r="HC995" s="155"/>
      <c r="HD995" s="155"/>
      <c r="HE995" s="155"/>
    </row>
    <row r="996" spans="2:213" s="156" customFormat="1" hidden="1">
      <c r="B996" s="155"/>
      <c r="C996" s="155"/>
      <c r="D996" s="155"/>
      <c r="E996" s="155"/>
      <c r="F996" s="155"/>
      <c r="G996" s="155"/>
      <c r="H996" s="155"/>
      <c r="I996" s="155"/>
      <c r="J996" s="155"/>
      <c r="K996" s="155"/>
      <c r="L996" s="155"/>
      <c r="M996" s="155"/>
      <c r="N996" s="155"/>
      <c r="O996" s="155"/>
      <c r="P996" s="155"/>
      <c r="Q996" s="155"/>
      <c r="R996" s="155"/>
      <c r="S996" s="155"/>
      <c r="T996" s="155"/>
      <c r="U996" s="155"/>
      <c r="V996" s="155"/>
      <c r="W996" s="155"/>
      <c r="GL996" s="155"/>
      <c r="GM996" s="155"/>
      <c r="GN996" s="155"/>
      <c r="GO996" s="155"/>
      <c r="GP996" s="155"/>
      <c r="GQ996" s="155"/>
      <c r="GR996" s="155"/>
      <c r="GS996" s="155"/>
      <c r="GT996" s="155"/>
      <c r="GU996" s="155"/>
      <c r="GV996" s="155"/>
      <c r="GW996" s="155"/>
      <c r="GX996" s="155"/>
      <c r="GY996" s="155"/>
      <c r="GZ996" s="155"/>
      <c r="HA996" s="155"/>
      <c r="HB996" s="155"/>
      <c r="HC996" s="155"/>
      <c r="HD996" s="155"/>
      <c r="HE996" s="155"/>
    </row>
    <row r="997" spans="2:213" s="156" customFormat="1" hidden="1">
      <c r="B997" s="155"/>
      <c r="C997" s="155"/>
      <c r="D997" s="155"/>
      <c r="E997" s="155"/>
      <c r="F997" s="155"/>
      <c r="G997" s="155"/>
      <c r="H997" s="155"/>
      <c r="I997" s="155"/>
      <c r="J997" s="155"/>
      <c r="K997" s="155"/>
      <c r="L997" s="155"/>
      <c r="M997" s="155"/>
      <c r="N997" s="155"/>
      <c r="O997" s="155"/>
      <c r="P997" s="155"/>
      <c r="Q997" s="155"/>
      <c r="R997" s="155"/>
      <c r="S997" s="155"/>
      <c r="T997" s="155"/>
      <c r="U997" s="155"/>
      <c r="V997" s="155"/>
      <c r="W997" s="155"/>
      <c r="GL997" s="155"/>
      <c r="GM997" s="155"/>
      <c r="GN997" s="155"/>
      <c r="GO997" s="155"/>
      <c r="GP997" s="155"/>
      <c r="GQ997" s="155"/>
      <c r="GR997" s="155"/>
      <c r="GS997" s="155"/>
      <c r="GT997" s="155"/>
      <c r="GU997" s="155"/>
      <c r="GV997" s="155"/>
      <c r="GW997" s="155"/>
      <c r="GX997" s="155"/>
      <c r="GY997" s="155"/>
      <c r="GZ997" s="155"/>
      <c r="HA997" s="155"/>
      <c r="HB997" s="155"/>
      <c r="HC997" s="155"/>
      <c r="HD997" s="155"/>
      <c r="HE997" s="155"/>
    </row>
    <row r="998" spans="2:213" s="156" customFormat="1" hidden="1">
      <c r="B998" s="155"/>
      <c r="C998" s="155"/>
      <c r="D998" s="155"/>
      <c r="E998" s="155"/>
      <c r="F998" s="155"/>
      <c r="G998" s="155"/>
      <c r="H998" s="155"/>
      <c r="I998" s="155"/>
      <c r="J998" s="155"/>
      <c r="K998" s="155"/>
      <c r="L998" s="155"/>
      <c r="M998" s="155"/>
      <c r="N998" s="155"/>
      <c r="O998" s="155"/>
      <c r="P998" s="155"/>
      <c r="Q998" s="155"/>
      <c r="R998" s="155"/>
      <c r="S998" s="155"/>
      <c r="T998" s="155"/>
      <c r="U998" s="155"/>
      <c r="V998" s="155"/>
      <c r="W998" s="155"/>
      <c r="GL998" s="155"/>
      <c r="GM998" s="155"/>
      <c r="GN998" s="155"/>
      <c r="GO998" s="155"/>
      <c r="GP998" s="155"/>
      <c r="GQ998" s="155"/>
      <c r="GR998" s="155"/>
      <c r="GS998" s="155"/>
      <c r="GT998" s="155"/>
      <c r="GU998" s="155"/>
      <c r="GV998" s="155"/>
      <c r="GW998" s="155"/>
      <c r="GX998" s="155"/>
      <c r="GY998" s="155"/>
      <c r="GZ998" s="155"/>
      <c r="HA998" s="155"/>
      <c r="HB998" s="155"/>
      <c r="HC998" s="155"/>
      <c r="HD998" s="155"/>
      <c r="HE998" s="155"/>
    </row>
    <row r="999" spans="2:213" s="156" customFormat="1" hidden="1">
      <c r="B999" s="155"/>
      <c r="C999" s="155"/>
      <c r="D999" s="155"/>
      <c r="E999" s="155"/>
      <c r="F999" s="155"/>
      <c r="G999" s="155"/>
      <c r="H999" s="155"/>
      <c r="I999" s="155"/>
      <c r="J999" s="155"/>
      <c r="K999" s="155"/>
      <c r="L999" s="155"/>
      <c r="M999" s="155"/>
      <c r="N999" s="155"/>
      <c r="O999" s="155"/>
      <c r="P999" s="155"/>
      <c r="Q999" s="155"/>
      <c r="R999" s="155"/>
      <c r="S999" s="155"/>
      <c r="T999" s="155"/>
      <c r="U999" s="155"/>
      <c r="V999" s="155"/>
      <c r="W999" s="155"/>
      <c r="GL999" s="155"/>
      <c r="GM999" s="155"/>
      <c r="GN999" s="155"/>
      <c r="GO999" s="155"/>
      <c r="GP999" s="155"/>
      <c r="GQ999" s="155"/>
      <c r="GR999" s="155"/>
      <c r="GS999" s="155"/>
      <c r="GT999" s="155"/>
      <c r="GU999" s="155"/>
      <c r="GV999" s="155"/>
      <c r="GW999" s="155"/>
      <c r="GX999" s="155"/>
      <c r="GY999" s="155"/>
      <c r="GZ999" s="155"/>
      <c r="HA999" s="155"/>
      <c r="HB999" s="155"/>
      <c r="HC999" s="155"/>
      <c r="HD999" s="155"/>
      <c r="HE999" s="155"/>
    </row>
    <row r="1000" spans="2:213" s="156" customFormat="1" hidden="1">
      <c r="B1000" s="155"/>
      <c r="C1000" s="155"/>
      <c r="D1000" s="155"/>
      <c r="E1000" s="155"/>
      <c r="F1000" s="155"/>
      <c r="G1000" s="155"/>
      <c r="H1000" s="155"/>
      <c r="I1000" s="155"/>
      <c r="J1000" s="155"/>
      <c r="K1000" s="155"/>
      <c r="L1000" s="155"/>
      <c r="M1000" s="155"/>
      <c r="N1000" s="155"/>
      <c r="O1000" s="155"/>
      <c r="P1000" s="155"/>
      <c r="Q1000" s="155"/>
      <c r="R1000" s="155"/>
      <c r="S1000" s="155"/>
      <c r="T1000" s="155"/>
      <c r="U1000" s="155"/>
      <c r="V1000" s="155"/>
      <c r="W1000" s="155"/>
      <c r="GL1000" s="155"/>
      <c r="GM1000" s="155"/>
      <c r="GN1000" s="155"/>
      <c r="GO1000" s="155"/>
      <c r="GP1000" s="155"/>
      <c r="GQ1000" s="155"/>
      <c r="GR1000" s="155"/>
      <c r="GS1000" s="155"/>
      <c r="GT1000" s="155"/>
      <c r="GU1000" s="155"/>
      <c r="GV1000" s="155"/>
      <c r="GW1000" s="155"/>
      <c r="GX1000" s="155"/>
      <c r="GY1000" s="155"/>
      <c r="GZ1000" s="155"/>
      <c r="HA1000" s="155"/>
      <c r="HB1000" s="155"/>
      <c r="HC1000" s="155"/>
      <c r="HD1000" s="155"/>
      <c r="HE1000" s="155"/>
    </row>
    <row r="1001" spans="2:213" s="156" customFormat="1" hidden="1">
      <c r="B1001" s="155"/>
      <c r="C1001" s="155"/>
      <c r="D1001" s="155"/>
      <c r="E1001" s="155"/>
      <c r="F1001" s="155"/>
      <c r="G1001" s="155"/>
      <c r="H1001" s="155"/>
      <c r="I1001" s="155"/>
      <c r="J1001" s="155"/>
      <c r="K1001" s="155"/>
      <c r="L1001" s="155"/>
      <c r="M1001" s="155"/>
      <c r="N1001" s="155"/>
      <c r="O1001" s="155"/>
      <c r="P1001" s="155"/>
      <c r="Q1001" s="155"/>
      <c r="R1001" s="155"/>
      <c r="S1001" s="155"/>
      <c r="T1001" s="155"/>
      <c r="U1001" s="155"/>
      <c r="V1001" s="155"/>
      <c r="W1001" s="155"/>
      <c r="GL1001" s="155"/>
      <c r="GM1001" s="155"/>
      <c r="GN1001" s="155"/>
      <c r="GO1001" s="155"/>
      <c r="GP1001" s="155"/>
      <c r="GQ1001" s="155"/>
      <c r="GR1001" s="155"/>
      <c r="GS1001" s="155"/>
      <c r="GT1001" s="155"/>
      <c r="GU1001" s="155"/>
      <c r="GV1001" s="155"/>
      <c r="GW1001" s="155"/>
      <c r="GX1001" s="155"/>
      <c r="GY1001" s="155"/>
      <c r="GZ1001" s="155"/>
      <c r="HA1001" s="155"/>
      <c r="HB1001" s="155"/>
      <c r="HC1001" s="155"/>
      <c r="HD1001" s="155"/>
      <c r="HE1001" s="155"/>
    </row>
    <row r="1002" spans="2:213" s="156" customFormat="1" hidden="1">
      <c r="B1002" s="155"/>
      <c r="C1002" s="155"/>
      <c r="D1002" s="155"/>
      <c r="E1002" s="155"/>
      <c r="F1002" s="155"/>
      <c r="G1002" s="155"/>
      <c r="H1002" s="155"/>
      <c r="I1002" s="155"/>
      <c r="J1002" s="155"/>
      <c r="K1002" s="155"/>
      <c r="L1002" s="155"/>
      <c r="M1002" s="155"/>
      <c r="N1002" s="155"/>
      <c r="O1002" s="155"/>
      <c r="P1002" s="155"/>
      <c r="Q1002" s="155"/>
      <c r="R1002" s="155"/>
      <c r="S1002" s="155"/>
      <c r="T1002" s="155"/>
      <c r="U1002" s="155"/>
      <c r="V1002" s="155"/>
      <c r="W1002" s="155"/>
      <c r="GL1002" s="155"/>
      <c r="GM1002" s="155"/>
      <c r="GN1002" s="155"/>
      <c r="GO1002" s="155"/>
      <c r="GP1002" s="155"/>
      <c r="GQ1002" s="155"/>
      <c r="GR1002" s="155"/>
      <c r="GS1002" s="155"/>
      <c r="GT1002" s="155"/>
      <c r="GU1002" s="155"/>
      <c r="GV1002" s="155"/>
      <c r="GW1002" s="155"/>
      <c r="GX1002" s="155"/>
      <c r="GY1002" s="155"/>
      <c r="GZ1002" s="155"/>
      <c r="HA1002" s="155"/>
      <c r="HB1002" s="155"/>
      <c r="HC1002" s="155"/>
      <c r="HD1002" s="155"/>
      <c r="HE1002" s="155"/>
    </row>
    <row r="1003" spans="2:213" s="156" customFormat="1" hidden="1">
      <c r="B1003" s="155"/>
      <c r="C1003" s="155"/>
      <c r="D1003" s="155"/>
      <c r="E1003" s="155"/>
      <c r="F1003" s="155"/>
      <c r="G1003" s="155"/>
      <c r="H1003" s="155"/>
      <c r="I1003" s="155"/>
      <c r="J1003" s="155"/>
      <c r="K1003" s="155"/>
      <c r="L1003" s="155"/>
      <c r="M1003" s="155"/>
      <c r="N1003" s="155"/>
      <c r="O1003" s="155"/>
      <c r="P1003" s="155"/>
      <c r="Q1003" s="155"/>
      <c r="R1003" s="155"/>
      <c r="S1003" s="155"/>
      <c r="T1003" s="155"/>
      <c r="U1003" s="155"/>
      <c r="V1003" s="155"/>
      <c r="W1003" s="155"/>
      <c r="GL1003" s="155"/>
      <c r="GM1003" s="155"/>
      <c r="GN1003" s="155"/>
      <c r="GO1003" s="155"/>
      <c r="GP1003" s="155"/>
      <c r="GQ1003" s="155"/>
      <c r="GR1003" s="155"/>
      <c r="GS1003" s="155"/>
      <c r="GT1003" s="155"/>
      <c r="GU1003" s="155"/>
      <c r="GV1003" s="155"/>
      <c r="GW1003" s="155"/>
      <c r="GX1003" s="155"/>
      <c r="GY1003" s="155"/>
      <c r="GZ1003" s="155"/>
      <c r="HA1003" s="155"/>
      <c r="HB1003" s="155"/>
      <c r="HC1003" s="155"/>
      <c r="HD1003" s="155"/>
      <c r="HE1003" s="155"/>
    </row>
    <row r="1004" spans="2:213" s="156" customFormat="1" hidden="1">
      <c r="B1004" s="155"/>
      <c r="C1004" s="155"/>
      <c r="D1004" s="155"/>
      <c r="E1004" s="155"/>
      <c r="F1004" s="155"/>
      <c r="G1004" s="155"/>
      <c r="H1004" s="155"/>
      <c r="I1004" s="155"/>
      <c r="J1004" s="155"/>
      <c r="K1004" s="155"/>
      <c r="L1004" s="155"/>
      <c r="M1004" s="155"/>
      <c r="N1004" s="155"/>
      <c r="O1004" s="155"/>
      <c r="P1004" s="155"/>
      <c r="Q1004" s="155"/>
      <c r="R1004" s="155"/>
      <c r="S1004" s="155"/>
      <c r="T1004" s="155"/>
      <c r="U1004" s="155"/>
      <c r="V1004" s="155"/>
      <c r="W1004" s="155"/>
      <c r="GL1004" s="155"/>
      <c r="GM1004" s="155"/>
      <c r="GN1004" s="155"/>
      <c r="GO1004" s="155"/>
      <c r="GP1004" s="155"/>
      <c r="GQ1004" s="155"/>
      <c r="GR1004" s="155"/>
      <c r="GS1004" s="155"/>
      <c r="GT1004" s="155"/>
      <c r="GU1004" s="155"/>
      <c r="GV1004" s="155"/>
      <c r="GW1004" s="155"/>
      <c r="GX1004" s="155"/>
      <c r="GY1004" s="155"/>
      <c r="GZ1004" s="155"/>
      <c r="HA1004" s="155"/>
      <c r="HB1004" s="155"/>
      <c r="HC1004" s="155"/>
      <c r="HD1004" s="155"/>
      <c r="HE1004" s="155"/>
    </row>
    <row r="1005" spans="2:213" s="156" customFormat="1" hidden="1">
      <c r="B1005" s="155"/>
      <c r="C1005" s="155"/>
      <c r="D1005" s="155"/>
      <c r="E1005" s="155"/>
      <c r="F1005" s="155"/>
      <c r="G1005" s="155"/>
      <c r="H1005" s="155"/>
      <c r="I1005" s="155"/>
      <c r="J1005" s="155"/>
      <c r="K1005" s="155"/>
      <c r="L1005" s="155"/>
      <c r="M1005" s="155"/>
      <c r="N1005" s="155"/>
      <c r="O1005" s="155"/>
      <c r="P1005" s="155"/>
      <c r="Q1005" s="155"/>
      <c r="R1005" s="155"/>
      <c r="S1005" s="155"/>
      <c r="T1005" s="155"/>
      <c r="U1005" s="155"/>
      <c r="V1005" s="155"/>
      <c r="W1005" s="155"/>
      <c r="GL1005" s="155"/>
      <c r="GM1005" s="155"/>
      <c r="GN1005" s="155"/>
      <c r="GO1005" s="155"/>
      <c r="GP1005" s="155"/>
      <c r="GQ1005" s="155"/>
      <c r="GR1005" s="155"/>
      <c r="GS1005" s="155"/>
      <c r="GT1005" s="155"/>
      <c r="GU1005" s="155"/>
      <c r="GV1005" s="155"/>
      <c r="GW1005" s="155"/>
      <c r="GX1005" s="155"/>
      <c r="GY1005" s="155"/>
      <c r="GZ1005" s="155"/>
      <c r="HA1005" s="155"/>
      <c r="HB1005" s="155"/>
      <c r="HC1005" s="155"/>
      <c r="HD1005" s="155"/>
      <c r="HE1005" s="155"/>
    </row>
    <row r="1006" spans="2:213" s="156" customFormat="1" hidden="1">
      <c r="B1006" s="155"/>
      <c r="C1006" s="155"/>
      <c r="D1006" s="155"/>
      <c r="E1006" s="155"/>
      <c r="F1006" s="155"/>
      <c r="G1006" s="155"/>
      <c r="H1006" s="155"/>
      <c r="I1006" s="155"/>
      <c r="J1006" s="155"/>
      <c r="K1006" s="155"/>
      <c r="L1006" s="155"/>
      <c r="M1006" s="155"/>
      <c r="N1006" s="155"/>
      <c r="O1006" s="155"/>
      <c r="P1006" s="155"/>
      <c r="Q1006" s="155"/>
      <c r="R1006" s="155"/>
      <c r="S1006" s="155"/>
      <c r="T1006" s="155"/>
      <c r="U1006" s="155"/>
      <c r="V1006" s="155"/>
      <c r="W1006" s="155"/>
      <c r="GL1006" s="155"/>
      <c r="GM1006" s="155"/>
      <c r="GN1006" s="155"/>
      <c r="GO1006" s="155"/>
      <c r="GP1006" s="155"/>
      <c r="GQ1006" s="155"/>
      <c r="GR1006" s="155"/>
      <c r="GS1006" s="155"/>
      <c r="GT1006" s="155"/>
      <c r="GU1006" s="155"/>
      <c r="GV1006" s="155"/>
      <c r="GW1006" s="155"/>
      <c r="GX1006" s="155"/>
      <c r="GY1006" s="155"/>
      <c r="GZ1006" s="155"/>
      <c r="HA1006" s="155"/>
      <c r="HB1006" s="155"/>
      <c r="HC1006" s="155"/>
      <c r="HD1006" s="155"/>
      <c r="HE1006" s="155"/>
    </row>
    <row r="1007" spans="2:213" s="156" customFormat="1" hidden="1">
      <c r="B1007" s="155"/>
      <c r="C1007" s="155"/>
      <c r="D1007" s="155"/>
      <c r="E1007" s="155"/>
      <c r="F1007" s="155"/>
      <c r="G1007" s="155"/>
      <c r="H1007" s="155"/>
      <c r="I1007" s="155"/>
      <c r="J1007" s="155"/>
      <c r="K1007" s="155"/>
      <c r="L1007" s="155"/>
      <c r="M1007" s="155"/>
      <c r="N1007" s="155"/>
      <c r="O1007" s="155"/>
      <c r="P1007" s="155"/>
      <c r="Q1007" s="155"/>
      <c r="R1007" s="155"/>
      <c r="S1007" s="155"/>
      <c r="T1007" s="155"/>
      <c r="U1007" s="155"/>
      <c r="V1007" s="155"/>
      <c r="W1007" s="155"/>
      <c r="GL1007" s="155"/>
      <c r="GM1007" s="155"/>
      <c r="GN1007" s="155"/>
      <c r="GO1007" s="155"/>
      <c r="GP1007" s="155"/>
      <c r="GQ1007" s="155"/>
      <c r="GR1007" s="155"/>
      <c r="GS1007" s="155"/>
      <c r="GT1007" s="155"/>
      <c r="GU1007" s="155"/>
      <c r="GV1007" s="155"/>
      <c r="GW1007" s="155"/>
      <c r="GX1007" s="155"/>
      <c r="GY1007" s="155"/>
      <c r="GZ1007" s="155"/>
      <c r="HA1007" s="155"/>
      <c r="HB1007" s="155"/>
      <c r="HC1007" s="155"/>
      <c r="HD1007" s="155"/>
      <c r="HE1007" s="155"/>
    </row>
    <row r="1008" spans="2:213" s="156" customFormat="1" hidden="1">
      <c r="B1008" s="155"/>
      <c r="C1008" s="155"/>
      <c r="D1008" s="155"/>
      <c r="E1008" s="155"/>
      <c r="F1008" s="155"/>
      <c r="G1008" s="155"/>
      <c r="H1008" s="155"/>
      <c r="I1008" s="155"/>
      <c r="J1008" s="155"/>
      <c r="K1008" s="155"/>
      <c r="L1008" s="155"/>
      <c r="M1008" s="155"/>
      <c r="N1008" s="155"/>
      <c r="O1008" s="155"/>
      <c r="P1008" s="155"/>
      <c r="Q1008" s="155"/>
      <c r="R1008" s="155"/>
      <c r="S1008" s="155"/>
      <c r="T1008" s="155"/>
      <c r="U1008" s="155"/>
      <c r="V1008" s="155"/>
      <c r="W1008" s="155"/>
      <c r="GL1008" s="155"/>
      <c r="GM1008" s="155"/>
      <c r="GN1008" s="155"/>
      <c r="GO1008" s="155"/>
      <c r="GP1008" s="155"/>
      <c r="GQ1008" s="155"/>
      <c r="GR1008" s="155"/>
      <c r="GS1008" s="155"/>
      <c r="GT1008" s="155"/>
      <c r="GU1008" s="155"/>
      <c r="GV1008" s="155"/>
      <c r="GW1008" s="155"/>
      <c r="GX1008" s="155"/>
      <c r="GY1008" s="155"/>
      <c r="GZ1008" s="155"/>
      <c r="HA1008" s="155"/>
      <c r="HB1008" s="155"/>
      <c r="HC1008" s="155"/>
      <c r="HD1008" s="155"/>
      <c r="HE1008" s="155"/>
    </row>
    <row r="1009" spans="2:213" s="156" customFormat="1" hidden="1">
      <c r="B1009" s="155"/>
      <c r="C1009" s="155"/>
      <c r="D1009" s="155"/>
      <c r="E1009" s="155"/>
      <c r="F1009" s="155"/>
      <c r="G1009" s="155"/>
      <c r="H1009" s="155"/>
      <c r="I1009" s="155"/>
      <c r="J1009" s="155"/>
      <c r="K1009" s="155"/>
      <c r="L1009" s="155"/>
      <c r="M1009" s="155"/>
      <c r="N1009" s="155"/>
      <c r="O1009" s="155"/>
      <c r="P1009" s="155"/>
      <c r="Q1009" s="155"/>
      <c r="R1009" s="155"/>
      <c r="S1009" s="155"/>
      <c r="T1009" s="155"/>
      <c r="U1009" s="155"/>
      <c r="V1009" s="155"/>
      <c r="W1009" s="155"/>
      <c r="GL1009" s="155"/>
      <c r="GM1009" s="155"/>
      <c r="GN1009" s="155"/>
      <c r="GO1009" s="155"/>
      <c r="GP1009" s="155"/>
      <c r="GQ1009" s="155"/>
      <c r="GR1009" s="155"/>
      <c r="GS1009" s="155"/>
      <c r="GT1009" s="155"/>
      <c r="GU1009" s="155"/>
      <c r="GV1009" s="155"/>
      <c r="GW1009" s="155"/>
      <c r="GX1009" s="155"/>
      <c r="GY1009" s="155"/>
      <c r="GZ1009" s="155"/>
      <c r="HA1009" s="155"/>
      <c r="HB1009" s="155"/>
      <c r="HC1009" s="155"/>
      <c r="HD1009" s="155"/>
      <c r="HE1009" s="155"/>
    </row>
    <row r="1010" spans="2:213" s="156" customFormat="1" hidden="1">
      <c r="B1010" s="155"/>
      <c r="C1010" s="155"/>
      <c r="D1010" s="155"/>
      <c r="E1010" s="155"/>
      <c r="F1010" s="155"/>
      <c r="G1010" s="155"/>
      <c r="H1010" s="155"/>
      <c r="I1010" s="155"/>
      <c r="J1010" s="155"/>
      <c r="K1010" s="155"/>
      <c r="L1010" s="155"/>
      <c r="M1010" s="155"/>
      <c r="N1010" s="155"/>
      <c r="O1010" s="155"/>
      <c r="P1010" s="155"/>
      <c r="Q1010" s="155"/>
      <c r="R1010" s="155"/>
      <c r="S1010" s="155"/>
      <c r="T1010" s="155"/>
      <c r="U1010" s="155"/>
      <c r="V1010" s="155"/>
      <c r="W1010" s="155"/>
      <c r="GL1010" s="155"/>
      <c r="GM1010" s="155"/>
      <c r="GN1010" s="155"/>
      <c r="GO1010" s="155"/>
      <c r="GP1010" s="155"/>
      <c r="GQ1010" s="155"/>
      <c r="GR1010" s="155"/>
      <c r="GS1010" s="155"/>
      <c r="GT1010" s="155"/>
      <c r="GU1010" s="155"/>
      <c r="GV1010" s="155"/>
      <c r="GW1010" s="155"/>
      <c r="GX1010" s="155"/>
      <c r="GY1010" s="155"/>
      <c r="GZ1010" s="155"/>
      <c r="HA1010" s="155"/>
      <c r="HB1010" s="155"/>
      <c r="HC1010" s="155"/>
      <c r="HD1010" s="155"/>
      <c r="HE1010" s="155"/>
    </row>
    <row r="1011" spans="2:213" s="156" customFormat="1" hidden="1">
      <c r="B1011" s="155"/>
      <c r="C1011" s="155"/>
      <c r="D1011" s="155"/>
      <c r="E1011" s="155"/>
      <c r="F1011" s="155"/>
      <c r="G1011" s="155"/>
      <c r="H1011" s="155"/>
      <c r="I1011" s="155"/>
      <c r="J1011" s="155"/>
      <c r="K1011" s="155"/>
      <c r="L1011" s="155"/>
      <c r="M1011" s="155"/>
      <c r="N1011" s="155"/>
      <c r="O1011" s="155"/>
      <c r="P1011" s="155"/>
      <c r="Q1011" s="155"/>
      <c r="R1011" s="155"/>
      <c r="S1011" s="155"/>
      <c r="T1011" s="155"/>
      <c r="U1011" s="155"/>
      <c r="V1011" s="155"/>
      <c r="W1011" s="155"/>
      <c r="GL1011" s="155"/>
      <c r="GM1011" s="155"/>
      <c r="GN1011" s="155"/>
      <c r="GO1011" s="155"/>
      <c r="GP1011" s="155"/>
      <c r="GQ1011" s="155"/>
      <c r="GR1011" s="155"/>
      <c r="GS1011" s="155"/>
      <c r="GT1011" s="155"/>
      <c r="GU1011" s="155"/>
      <c r="GV1011" s="155"/>
      <c r="GW1011" s="155"/>
      <c r="GX1011" s="155"/>
      <c r="GY1011" s="155"/>
      <c r="GZ1011" s="155"/>
      <c r="HA1011" s="155"/>
      <c r="HB1011" s="155"/>
      <c r="HC1011" s="155"/>
      <c r="HD1011" s="155"/>
      <c r="HE1011" s="155"/>
    </row>
    <row r="1012" spans="2:213" s="156" customFormat="1" hidden="1">
      <c r="B1012" s="155"/>
      <c r="C1012" s="155"/>
      <c r="D1012" s="155"/>
      <c r="E1012" s="155"/>
      <c r="F1012" s="155"/>
      <c r="G1012" s="155"/>
      <c r="H1012" s="155"/>
      <c r="I1012" s="155"/>
      <c r="J1012" s="155"/>
      <c r="K1012" s="155"/>
      <c r="L1012" s="155"/>
      <c r="M1012" s="155"/>
      <c r="N1012" s="155"/>
      <c r="O1012" s="155"/>
      <c r="P1012" s="155"/>
      <c r="Q1012" s="155"/>
      <c r="R1012" s="155"/>
      <c r="S1012" s="155"/>
      <c r="T1012" s="155"/>
      <c r="U1012" s="155"/>
      <c r="V1012" s="155"/>
      <c r="W1012" s="155"/>
      <c r="GL1012" s="155"/>
      <c r="GM1012" s="155"/>
      <c r="GN1012" s="155"/>
      <c r="GO1012" s="155"/>
      <c r="GP1012" s="155"/>
      <c r="GQ1012" s="155"/>
      <c r="GR1012" s="155"/>
      <c r="GS1012" s="155"/>
      <c r="GT1012" s="155"/>
      <c r="GU1012" s="155"/>
      <c r="GV1012" s="155"/>
      <c r="GW1012" s="155"/>
      <c r="GX1012" s="155"/>
      <c r="GY1012" s="155"/>
      <c r="GZ1012" s="155"/>
      <c r="HA1012" s="155"/>
      <c r="HB1012" s="155"/>
      <c r="HC1012" s="155"/>
      <c r="HD1012" s="155"/>
      <c r="HE1012" s="155"/>
    </row>
    <row r="1013" spans="2:213" s="156" customFormat="1" hidden="1">
      <c r="B1013" s="155"/>
      <c r="C1013" s="155"/>
      <c r="D1013" s="155"/>
      <c r="E1013" s="155"/>
      <c r="F1013" s="155"/>
      <c r="G1013" s="155"/>
      <c r="H1013" s="155"/>
      <c r="I1013" s="155"/>
      <c r="J1013" s="155"/>
      <c r="K1013" s="155"/>
      <c r="L1013" s="155"/>
      <c r="M1013" s="155"/>
      <c r="N1013" s="155"/>
      <c r="O1013" s="155"/>
      <c r="P1013" s="155"/>
      <c r="Q1013" s="155"/>
      <c r="R1013" s="155"/>
      <c r="S1013" s="155"/>
      <c r="T1013" s="155"/>
      <c r="U1013" s="155"/>
      <c r="V1013" s="155"/>
      <c r="W1013" s="155"/>
      <c r="GL1013" s="155"/>
      <c r="GM1013" s="155"/>
      <c r="GN1013" s="155"/>
      <c r="GO1013" s="155"/>
      <c r="GP1013" s="155"/>
      <c r="GQ1013" s="155"/>
      <c r="GR1013" s="155"/>
      <c r="GS1013" s="155"/>
      <c r="GT1013" s="155"/>
      <c r="GU1013" s="155"/>
      <c r="GV1013" s="155"/>
      <c r="GW1013" s="155"/>
      <c r="GX1013" s="155"/>
      <c r="GY1013" s="155"/>
      <c r="GZ1013" s="155"/>
      <c r="HA1013" s="155"/>
      <c r="HB1013" s="155"/>
      <c r="HC1013" s="155"/>
      <c r="HD1013" s="155"/>
      <c r="HE1013" s="155"/>
    </row>
    <row r="1014" spans="2:213" s="156" customFormat="1" hidden="1">
      <c r="B1014" s="155"/>
      <c r="C1014" s="155"/>
      <c r="D1014" s="155"/>
      <c r="E1014" s="155"/>
      <c r="F1014" s="155"/>
      <c r="G1014" s="155"/>
      <c r="H1014" s="155"/>
      <c r="I1014" s="155"/>
      <c r="J1014" s="155"/>
      <c r="K1014" s="155"/>
      <c r="L1014" s="155"/>
      <c r="M1014" s="155"/>
      <c r="N1014" s="155"/>
      <c r="O1014" s="155"/>
      <c r="P1014" s="155"/>
      <c r="Q1014" s="155"/>
      <c r="R1014" s="155"/>
      <c r="S1014" s="155"/>
      <c r="T1014" s="155"/>
      <c r="U1014" s="155"/>
      <c r="V1014" s="155"/>
      <c r="W1014" s="155"/>
      <c r="GL1014" s="155"/>
      <c r="GM1014" s="155"/>
      <c r="GN1014" s="155"/>
      <c r="GO1014" s="155"/>
      <c r="GP1014" s="155"/>
      <c r="GQ1014" s="155"/>
      <c r="GR1014" s="155"/>
      <c r="GS1014" s="155"/>
      <c r="GT1014" s="155"/>
      <c r="GU1014" s="155"/>
      <c r="GV1014" s="155"/>
      <c r="GW1014" s="155"/>
      <c r="GX1014" s="155"/>
      <c r="GY1014" s="155"/>
      <c r="GZ1014" s="155"/>
      <c r="HA1014" s="155"/>
      <c r="HB1014" s="155"/>
      <c r="HC1014" s="155"/>
      <c r="HD1014" s="155"/>
      <c r="HE1014" s="155"/>
    </row>
    <row r="1015" spans="2:213" s="156" customFormat="1" hidden="1">
      <c r="B1015" s="155"/>
      <c r="C1015" s="155"/>
      <c r="D1015" s="155"/>
      <c r="E1015" s="155"/>
      <c r="F1015" s="155"/>
      <c r="G1015" s="155"/>
      <c r="H1015" s="155"/>
      <c r="I1015" s="155"/>
      <c r="J1015" s="155"/>
      <c r="K1015" s="155"/>
      <c r="L1015" s="155"/>
      <c r="M1015" s="155"/>
      <c r="N1015" s="155"/>
      <c r="O1015" s="155"/>
      <c r="P1015" s="155"/>
      <c r="Q1015" s="155"/>
      <c r="R1015" s="155"/>
      <c r="S1015" s="155"/>
      <c r="T1015" s="155"/>
      <c r="U1015" s="155"/>
      <c r="V1015" s="155"/>
      <c r="W1015" s="155"/>
      <c r="GL1015" s="155"/>
      <c r="GM1015" s="155"/>
      <c r="GN1015" s="155"/>
      <c r="GO1015" s="155"/>
      <c r="GP1015" s="155"/>
      <c r="GQ1015" s="155"/>
      <c r="GR1015" s="155"/>
      <c r="GS1015" s="155"/>
      <c r="GT1015" s="155"/>
      <c r="GU1015" s="155"/>
      <c r="GV1015" s="155"/>
      <c r="GW1015" s="155"/>
      <c r="GX1015" s="155"/>
      <c r="GY1015" s="155"/>
      <c r="GZ1015" s="155"/>
      <c r="HA1015" s="155"/>
      <c r="HB1015" s="155"/>
      <c r="HC1015" s="155"/>
      <c r="HD1015" s="155"/>
      <c r="HE1015" s="155"/>
    </row>
    <row r="1016" spans="2:213" s="156" customFormat="1" hidden="1">
      <c r="B1016" s="155"/>
      <c r="C1016" s="155"/>
      <c r="D1016" s="155"/>
      <c r="E1016" s="155"/>
      <c r="F1016" s="155"/>
      <c r="G1016" s="155"/>
      <c r="H1016" s="155"/>
      <c r="I1016" s="155"/>
      <c r="J1016" s="155"/>
      <c r="K1016" s="155"/>
      <c r="L1016" s="155"/>
      <c r="M1016" s="155"/>
      <c r="N1016" s="155"/>
      <c r="O1016" s="155"/>
      <c r="P1016" s="155"/>
      <c r="Q1016" s="155"/>
      <c r="R1016" s="155"/>
      <c r="S1016" s="155"/>
      <c r="T1016" s="155"/>
      <c r="U1016" s="155"/>
      <c r="V1016" s="155"/>
      <c r="W1016" s="155"/>
      <c r="GL1016" s="155"/>
      <c r="GM1016" s="155"/>
      <c r="GN1016" s="155"/>
      <c r="GO1016" s="155"/>
      <c r="GP1016" s="155"/>
      <c r="GQ1016" s="155"/>
      <c r="GR1016" s="155"/>
      <c r="GS1016" s="155"/>
      <c r="GT1016" s="155"/>
      <c r="GU1016" s="155"/>
      <c r="GV1016" s="155"/>
      <c r="GW1016" s="155"/>
      <c r="GX1016" s="155"/>
      <c r="GY1016" s="155"/>
      <c r="GZ1016" s="155"/>
      <c r="HA1016" s="155"/>
      <c r="HB1016" s="155"/>
      <c r="HC1016" s="155"/>
      <c r="HD1016" s="155"/>
      <c r="HE1016" s="155"/>
    </row>
    <row r="1017" spans="2:213" s="156" customFormat="1" hidden="1">
      <c r="B1017" s="155"/>
      <c r="C1017" s="155"/>
      <c r="D1017" s="155"/>
      <c r="E1017" s="155"/>
      <c r="F1017" s="155"/>
      <c r="G1017" s="155"/>
      <c r="H1017" s="155"/>
      <c r="I1017" s="155"/>
      <c r="J1017" s="155"/>
      <c r="K1017" s="155"/>
      <c r="L1017" s="155"/>
      <c r="M1017" s="155"/>
      <c r="N1017" s="155"/>
      <c r="O1017" s="155"/>
      <c r="P1017" s="155"/>
      <c r="Q1017" s="155"/>
      <c r="R1017" s="155"/>
      <c r="S1017" s="155"/>
      <c r="T1017" s="155"/>
      <c r="U1017" s="155"/>
      <c r="V1017" s="155"/>
      <c r="W1017" s="155"/>
      <c r="GL1017" s="155"/>
      <c r="GM1017" s="155"/>
      <c r="GN1017" s="155"/>
      <c r="GO1017" s="155"/>
      <c r="GP1017" s="155"/>
      <c r="GQ1017" s="155"/>
      <c r="GR1017" s="155"/>
      <c r="GS1017" s="155"/>
      <c r="GT1017" s="155"/>
      <c r="GU1017" s="155"/>
      <c r="GV1017" s="155"/>
      <c r="GW1017" s="155"/>
      <c r="GX1017" s="155"/>
      <c r="GY1017" s="155"/>
      <c r="GZ1017" s="155"/>
      <c r="HA1017" s="155"/>
      <c r="HB1017" s="155"/>
      <c r="HC1017" s="155"/>
      <c r="HD1017" s="155"/>
      <c r="HE1017" s="155"/>
    </row>
    <row r="1018" spans="2:213" s="156" customFormat="1" hidden="1">
      <c r="B1018" s="155"/>
      <c r="C1018" s="155"/>
      <c r="D1018" s="155"/>
      <c r="E1018" s="155"/>
      <c r="F1018" s="155"/>
      <c r="G1018" s="155"/>
      <c r="H1018" s="155"/>
      <c r="I1018" s="155"/>
      <c r="J1018" s="155"/>
      <c r="K1018" s="155"/>
      <c r="L1018" s="155"/>
      <c r="M1018" s="155"/>
      <c r="N1018" s="155"/>
      <c r="O1018" s="155"/>
      <c r="P1018" s="155"/>
      <c r="Q1018" s="155"/>
      <c r="R1018" s="155"/>
      <c r="S1018" s="155"/>
      <c r="T1018" s="155"/>
      <c r="U1018" s="155"/>
      <c r="V1018" s="155"/>
      <c r="W1018" s="155"/>
      <c r="GL1018" s="155"/>
      <c r="GM1018" s="155"/>
      <c r="GN1018" s="155"/>
      <c r="GO1018" s="155"/>
      <c r="GP1018" s="155"/>
      <c r="GQ1018" s="155"/>
      <c r="GR1018" s="155"/>
      <c r="GS1018" s="155"/>
      <c r="GT1018" s="155"/>
      <c r="GU1018" s="155"/>
      <c r="GV1018" s="155"/>
      <c r="GW1018" s="155"/>
      <c r="GX1018" s="155"/>
      <c r="GY1018" s="155"/>
      <c r="GZ1018" s="155"/>
      <c r="HA1018" s="155"/>
      <c r="HB1018" s="155"/>
      <c r="HC1018" s="155"/>
      <c r="HD1018" s="155"/>
      <c r="HE1018" s="155"/>
    </row>
    <row r="1019" spans="2:213" s="156" customFormat="1" hidden="1">
      <c r="B1019" s="155"/>
      <c r="C1019" s="155"/>
      <c r="D1019" s="155"/>
      <c r="E1019" s="155"/>
      <c r="F1019" s="155"/>
      <c r="G1019" s="155"/>
      <c r="H1019" s="155"/>
      <c r="I1019" s="155"/>
      <c r="J1019" s="155"/>
      <c r="K1019" s="155"/>
      <c r="L1019" s="155"/>
      <c r="M1019" s="155"/>
      <c r="N1019" s="155"/>
      <c r="O1019" s="155"/>
      <c r="P1019" s="155"/>
      <c r="Q1019" s="155"/>
      <c r="R1019" s="155"/>
      <c r="S1019" s="155"/>
      <c r="T1019" s="155"/>
      <c r="U1019" s="155"/>
      <c r="V1019" s="155"/>
      <c r="W1019" s="155"/>
      <c r="GL1019" s="155"/>
      <c r="GM1019" s="155"/>
      <c r="GN1019" s="155"/>
      <c r="GO1019" s="155"/>
      <c r="GP1019" s="155"/>
      <c r="GQ1019" s="155"/>
      <c r="GR1019" s="155"/>
      <c r="GS1019" s="155"/>
      <c r="GT1019" s="155"/>
      <c r="GU1019" s="155"/>
      <c r="GV1019" s="155"/>
      <c r="GW1019" s="155"/>
      <c r="GX1019" s="155"/>
      <c r="GY1019" s="155"/>
      <c r="GZ1019" s="155"/>
      <c r="HA1019" s="155"/>
      <c r="HB1019" s="155"/>
      <c r="HC1019" s="155"/>
      <c r="HD1019" s="155"/>
      <c r="HE1019" s="155"/>
    </row>
    <row r="1020" spans="2:213" s="156" customFormat="1" hidden="1">
      <c r="B1020" s="155"/>
      <c r="C1020" s="155"/>
      <c r="D1020" s="155"/>
      <c r="E1020" s="155"/>
      <c r="F1020" s="155"/>
      <c r="G1020" s="155"/>
      <c r="H1020" s="155"/>
      <c r="I1020" s="155"/>
      <c r="J1020" s="155"/>
      <c r="K1020" s="155"/>
      <c r="L1020" s="155"/>
      <c r="M1020" s="155"/>
      <c r="N1020" s="155"/>
      <c r="O1020" s="155"/>
      <c r="P1020" s="155"/>
      <c r="Q1020" s="155"/>
      <c r="R1020" s="155"/>
      <c r="S1020" s="155"/>
      <c r="T1020" s="155"/>
      <c r="U1020" s="155"/>
      <c r="V1020" s="155"/>
      <c r="W1020" s="155"/>
      <c r="GL1020" s="155"/>
      <c r="GM1020" s="155"/>
      <c r="GN1020" s="155"/>
      <c r="GO1020" s="155"/>
      <c r="GP1020" s="155"/>
      <c r="GQ1020" s="155"/>
      <c r="GR1020" s="155"/>
      <c r="GS1020" s="155"/>
      <c r="GT1020" s="155"/>
      <c r="GU1020" s="155"/>
      <c r="GV1020" s="155"/>
      <c r="GW1020" s="155"/>
      <c r="GX1020" s="155"/>
      <c r="GY1020" s="155"/>
      <c r="GZ1020" s="155"/>
      <c r="HA1020" s="155"/>
      <c r="HB1020" s="155"/>
      <c r="HC1020" s="155"/>
      <c r="HD1020" s="155"/>
      <c r="HE1020" s="155"/>
    </row>
    <row r="1021" spans="2:213" s="156" customFormat="1" hidden="1">
      <c r="B1021" s="155"/>
      <c r="C1021" s="155"/>
      <c r="D1021" s="155"/>
      <c r="E1021" s="155"/>
      <c r="F1021" s="155"/>
      <c r="G1021" s="155"/>
      <c r="H1021" s="155"/>
      <c r="I1021" s="155"/>
      <c r="J1021" s="155"/>
      <c r="K1021" s="155"/>
      <c r="L1021" s="155"/>
      <c r="M1021" s="155"/>
      <c r="N1021" s="155"/>
      <c r="O1021" s="155"/>
      <c r="P1021" s="155"/>
      <c r="Q1021" s="155"/>
      <c r="R1021" s="155"/>
      <c r="S1021" s="155"/>
      <c r="T1021" s="155"/>
      <c r="U1021" s="155"/>
      <c r="V1021" s="155"/>
      <c r="W1021" s="155"/>
      <c r="GL1021" s="155"/>
      <c r="GM1021" s="155"/>
      <c r="GN1021" s="155"/>
      <c r="GO1021" s="155"/>
      <c r="GP1021" s="155"/>
      <c r="GQ1021" s="155"/>
      <c r="GR1021" s="155"/>
      <c r="GS1021" s="155"/>
      <c r="GT1021" s="155"/>
      <c r="GU1021" s="155"/>
      <c r="GV1021" s="155"/>
      <c r="GW1021" s="155"/>
      <c r="GX1021" s="155"/>
      <c r="GY1021" s="155"/>
      <c r="GZ1021" s="155"/>
      <c r="HA1021" s="155"/>
      <c r="HB1021" s="155"/>
      <c r="HC1021" s="155"/>
      <c r="HD1021" s="155"/>
      <c r="HE1021" s="155"/>
    </row>
    <row r="1022" spans="2:213" s="156" customFormat="1" hidden="1">
      <c r="B1022" s="155"/>
      <c r="C1022" s="155"/>
      <c r="D1022" s="155"/>
      <c r="E1022" s="155"/>
      <c r="F1022" s="155"/>
      <c r="G1022" s="155"/>
      <c r="H1022" s="155"/>
      <c r="I1022" s="155"/>
      <c r="J1022" s="155"/>
      <c r="K1022" s="155"/>
      <c r="L1022" s="155"/>
      <c r="M1022" s="155"/>
      <c r="N1022" s="155"/>
      <c r="O1022" s="155"/>
      <c r="P1022" s="155"/>
      <c r="Q1022" s="155"/>
      <c r="R1022" s="155"/>
      <c r="S1022" s="155"/>
      <c r="T1022" s="155"/>
      <c r="U1022" s="155"/>
      <c r="V1022" s="155"/>
      <c r="W1022" s="155"/>
      <c r="GL1022" s="155"/>
      <c r="GM1022" s="155"/>
      <c r="GN1022" s="155"/>
      <c r="GO1022" s="155"/>
      <c r="GP1022" s="155"/>
      <c r="GQ1022" s="155"/>
      <c r="GR1022" s="155"/>
      <c r="GS1022" s="155"/>
      <c r="GT1022" s="155"/>
      <c r="GU1022" s="155"/>
      <c r="GV1022" s="155"/>
      <c r="GW1022" s="155"/>
      <c r="GX1022" s="155"/>
      <c r="GY1022" s="155"/>
      <c r="GZ1022" s="155"/>
      <c r="HA1022" s="155"/>
      <c r="HB1022" s="155"/>
      <c r="HC1022" s="155"/>
      <c r="HD1022" s="155"/>
      <c r="HE1022" s="155"/>
    </row>
    <row r="1023" spans="2:213" s="156" customFormat="1" hidden="1">
      <c r="B1023" s="155"/>
      <c r="C1023" s="155"/>
      <c r="D1023" s="155"/>
      <c r="E1023" s="155"/>
      <c r="F1023" s="155"/>
      <c r="G1023" s="155"/>
      <c r="H1023" s="155"/>
      <c r="I1023" s="155"/>
      <c r="J1023" s="155"/>
      <c r="K1023" s="155"/>
      <c r="L1023" s="155"/>
      <c r="M1023" s="155"/>
      <c r="N1023" s="155"/>
      <c r="O1023" s="155"/>
      <c r="P1023" s="155"/>
      <c r="Q1023" s="155"/>
      <c r="R1023" s="155"/>
      <c r="S1023" s="155"/>
      <c r="T1023" s="155"/>
      <c r="U1023" s="155"/>
      <c r="V1023" s="155"/>
      <c r="W1023" s="155"/>
      <c r="GL1023" s="155"/>
      <c r="GM1023" s="155"/>
      <c r="GN1023" s="155"/>
      <c r="GO1023" s="155"/>
      <c r="GP1023" s="155"/>
      <c r="GQ1023" s="155"/>
      <c r="GR1023" s="155"/>
      <c r="GS1023" s="155"/>
      <c r="GT1023" s="155"/>
      <c r="GU1023" s="155"/>
      <c r="GV1023" s="155"/>
      <c r="GW1023" s="155"/>
      <c r="GX1023" s="155"/>
      <c r="GY1023" s="155"/>
      <c r="GZ1023" s="155"/>
      <c r="HA1023" s="155"/>
      <c r="HB1023" s="155"/>
      <c r="HC1023" s="155"/>
      <c r="HD1023" s="155"/>
      <c r="HE1023" s="155"/>
    </row>
    <row r="1024" spans="2:213" s="156" customFormat="1" hidden="1">
      <c r="B1024" s="155"/>
      <c r="C1024" s="155"/>
      <c r="D1024" s="155"/>
      <c r="E1024" s="155"/>
      <c r="F1024" s="155"/>
      <c r="G1024" s="155"/>
      <c r="H1024" s="155"/>
      <c r="I1024" s="155"/>
      <c r="J1024" s="155"/>
      <c r="K1024" s="155"/>
      <c r="L1024" s="155"/>
      <c r="M1024" s="155"/>
      <c r="N1024" s="155"/>
      <c r="O1024" s="155"/>
      <c r="P1024" s="155"/>
      <c r="Q1024" s="155"/>
      <c r="R1024" s="155"/>
      <c r="S1024" s="155"/>
      <c r="T1024" s="155"/>
      <c r="U1024" s="155"/>
      <c r="V1024" s="155"/>
      <c r="W1024" s="155"/>
      <c r="GL1024" s="155"/>
      <c r="GM1024" s="155"/>
      <c r="GN1024" s="155"/>
      <c r="GO1024" s="155"/>
      <c r="GP1024" s="155"/>
      <c r="GQ1024" s="155"/>
      <c r="GR1024" s="155"/>
      <c r="GS1024" s="155"/>
      <c r="GT1024" s="155"/>
      <c r="GU1024" s="155"/>
      <c r="GV1024" s="155"/>
      <c r="GW1024" s="155"/>
      <c r="GX1024" s="155"/>
      <c r="GY1024" s="155"/>
      <c r="GZ1024" s="155"/>
      <c r="HA1024" s="155"/>
      <c r="HB1024" s="155"/>
      <c r="HC1024" s="155"/>
      <c r="HD1024" s="155"/>
      <c r="HE1024" s="155"/>
    </row>
    <row r="1025" spans="2:213" s="156" customFormat="1" hidden="1">
      <c r="B1025" s="155"/>
      <c r="C1025" s="155"/>
      <c r="D1025" s="155"/>
      <c r="E1025" s="155"/>
      <c r="F1025" s="155"/>
      <c r="G1025" s="155"/>
      <c r="H1025" s="155"/>
      <c r="I1025" s="155"/>
      <c r="J1025" s="155"/>
      <c r="K1025" s="155"/>
      <c r="L1025" s="155"/>
      <c r="M1025" s="155"/>
      <c r="N1025" s="155"/>
      <c r="O1025" s="155"/>
      <c r="P1025" s="155"/>
      <c r="Q1025" s="155"/>
      <c r="R1025" s="155"/>
      <c r="S1025" s="155"/>
      <c r="T1025" s="155"/>
      <c r="U1025" s="155"/>
      <c r="V1025" s="155"/>
      <c r="W1025" s="155"/>
      <c r="GL1025" s="155"/>
      <c r="GM1025" s="155"/>
      <c r="GN1025" s="155"/>
      <c r="GO1025" s="155"/>
      <c r="GP1025" s="155"/>
      <c r="GQ1025" s="155"/>
      <c r="GR1025" s="155"/>
      <c r="GS1025" s="155"/>
      <c r="GT1025" s="155"/>
      <c r="GU1025" s="155"/>
      <c r="GV1025" s="155"/>
      <c r="GW1025" s="155"/>
      <c r="GX1025" s="155"/>
      <c r="GY1025" s="155"/>
      <c r="GZ1025" s="155"/>
      <c r="HA1025" s="155"/>
      <c r="HB1025" s="155"/>
      <c r="HC1025" s="155"/>
      <c r="HD1025" s="155"/>
      <c r="HE1025" s="155"/>
    </row>
    <row r="1026" spans="2:213" s="156" customFormat="1" hidden="1">
      <c r="B1026" s="155"/>
      <c r="C1026" s="155"/>
      <c r="D1026" s="155"/>
      <c r="E1026" s="155"/>
      <c r="F1026" s="155"/>
      <c r="G1026" s="155"/>
      <c r="H1026" s="155"/>
      <c r="I1026" s="155"/>
      <c r="J1026" s="155"/>
      <c r="K1026" s="155"/>
      <c r="L1026" s="155"/>
      <c r="M1026" s="155"/>
      <c r="N1026" s="155"/>
      <c r="O1026" s="155"/>
      <c r="P1026" s="155"/>
      <c r="Q1026" s="155"/>
      <c r="R1026" s="155"/>
      <c r="S1026" s="155"/>
      <c r="T1026" s="155"/>
      <c r="U1026" s="155"/>
      <c r="V1026" s="155"/>
      <c r="W1026" s="155"/>
      <c r="GL1026" s="155"/>
      <c r="GM1026" s="155"/>
      <c r="GN1026" s="155"/>
      <c r="GO1026" s="155"/>
      <c r="GP1026" s="155"/>
      <c r="GQ1026" s="155"/>
      <c r="GR1026" s="155"/>
      <c r="GS1026" s="155"/>
      <c r="GT1026" s="155"/>
      <c r="GU1026" s="155"/>
      <c r="GV1026" s="155"/>
      <c r="GW1026" s="155"/>
      <c r="GX1026" s="155"/>
      <c r="GY1026" s="155"/>
      <c r="GZ1026" s="155"/>
      <c r="HA1026" s="155"/>
      <c r="HB1026" s="155"/>
      <c r="HC1026" s="155"/>
      <c r="HD1026" s="155"/>
      <c r="HE1026" s="155"/>
    </row>
    <row r="1027" spans="2:213" s="156" customFormat="1" hidden="1">
      <c r="B1027" s="155"/>
      <c r="C1027" s="155"/>
      <c r="D1027" s="155"/>
      <c r="E1027" s="155"/>
      <c r="F1027" s="155"/>
      <c r="G1027" s="155"/>
      <c r="H1027" s="155"/>
      <c r="I1027" s="155"/>
      <c r="J1027" s="155"/>
      <c r="K1027" s="155"/>
      <c r="L1027" s="155"/>
      <c r="M1027" s="155"/>
      <c r="N1027" s="155"/>
      <c r="O1027" s="155"/>
      <c r="P1027" s="155"/>
      <c r="Q1027" s="155"/>
      <c r="R1027" s="155"/>
      <c r="S1027" s="155"/>
      <c r="T1027" s="155"/>
      <c r="U1027" s="155"/>
      <c r="V1027" s="155"/>
      <c r="W1027" s="155"/>
      <c r="GL1027" s="155"/>
      <c r="GM1027" s="155"/>
      <c r="GN1027" s="155"/>
      <c r="GO1027" s="155"/>
      <c r="GP1027" s="155"/>
      <c r="GQ1027" s="155"/>
      <c r="GR1027" s="155"/>
      <c r="GS1027" s="155"/>
      <c r="GT1027" s="155"/>
      <c r="GU1027" s="155"/>
      <c r="GV1027" s="155"/>
      <c r="GW1027" s="155"/>
      <c r="GX1027" s="155"/>
      <c r="GY1027" s="155"/>
      <c r="GZ1027" s="155"/>
      <c r="HA1027" s="155"/>
      <c r="HB1027" s="155"/>
      <c r="HC1027" s="155"/>
      <c r="HD1027" s="155"/>
      <c r="HE1027" s="155"/>
    </row>
    <row r="1028" spans="2:213" s="156" customFormat="1" hidden="1">
      <c r="B1028" s="155"/>
      <c r="C1028" s="155"/>
      <c r="D1028" s="155"/>
      <c r="E1028" s="155"/>
      <c r="F1028" s="155"/>
      <c r="G1028" s="155"/>
      <c r="H1028" s="155"/>
      <c r="I1028" s="155"/>
      <c r="J1028" s="155"/>
      <c r="K1028" s="155"/>
      <c r="L1028" s="155"/>
      <c r="M1028" s="155"/>
      <c r="N1028" s="155"/>
      <c r="O1028" s="155"/>
      <c r="P1028" s="155"/>
      <c r="Q1028" s="155"/>
      <c r="R1028" s="155"/>
      <c r="S1028" s="155"/>
      <c r="T1028" s="155"/>
      <c r="U1028" s="155"/>
      <c r="V1028" s="155"/>
      <c r="W1028" s="155"/>
      <c r="GL1028" s="155"/>
      <c r="GM1028" s="155"/>
      <c r="GN1028" s="155"/>
      <c r="GO1028" s="155"/>
      <c r="GP1028" s="155"/>
      <c r="GQ1028" s="155"/>
      <c r="GR1028" s="155"/>
      <c r="GS1028" s="155"/>
      <c r="GT1028" s="155"/>
      <c r="GU1028" s="155"/>
      <c r="GV1028" s="155"/>
      <c r="GW1028" s="155"/>
      <c r="GX1028" s="155"/>
      <c r="GY1028" s="155"/>
      <c r="GZ1028" s="155"/>
      <c r="HA1028" s="155"/>
      <c r="HB1028" s="155"/>
      <c r="HC1028" s="155"/>
      <c r="HD1028" s="155"/>
      <c r="HE1028" s="155"/>
    </row>
    <row r="1029" spans="2:213" s="156" customFormat="1" hidden="1">
      <c r="B1029" s="155"/>
      <c r="C1029" s="155"/>
      <c r="D1029" s="155"/>
      <c r="E1029" s="155"/>
      <c r="F1029" s="155"/>
      <c r="G1029" s="155"/>
      <c r="H1029" s="155"/>
      <c r="I1029" s="155"/>
      <c r="J1029" s="155"/>
      <c r="K1029" s="155"/>
      <c r="L1029" s="155"/>
      <c r="M1029" s="155"/>
      <c r="N1029" s="155"/>
      <c r="O1029" s="155"/>
      <c r="P1029" s="155"/>
      <c r="Q1029" s="155"/>
      <c r="R1029" s="155"/>
      <c r="S1029" s="155"/>
      <c r="T1029" s="155"/>
      <c r="U1029" s="155"/>
      <c r="V1029" s="155"/>
      <c r="W1029" s="155"/>
      <c r="GL1029" s="155"/>
      <c r="GM1029" s="155"/>
      <c r="GN1029" s="155"/>
      <c r="GO1029" s="155"/>
      <c r="GP1029" s="155"/>
      <c r="GQ1029" s="155"/>
      <c r="GR1029" s="155"/>
      <c r="GS1029" s="155"/>
      <c r="GT1029" s="155"/>
      <c r="GU1029" s="155"/>
      <c r="GV1029" s="155"/>
      <c r="GW1029" s="155"/>
      <c r="GX1029" s="155"/>
      <c r="GY1029" s="155"/>
      <c r="GZ1029" s="155"/>
      <c r="HA1029" s="155"/>
      <c r="HB1029" s="155"/>
      <c r="HC1029" s="155"/>
      <c r="HD1029" s="155"/>
      <c r="HE1029" s="155"/>
    </row>
    <row r="1030" spans="2:213" s="156" customFormat="1" hidden="1">
      <c r="B1030" s="155"/>
      <c r="C1030" s="155"/>
      <c r="D1030" s="155"/>
      <c r="E1030" s="155"/>
      <c r="F1030" s="155"/>
      <c r="G1030" s="155"/>
      <c r="H1030" s="155"/>
      <c r="I1030" s="155"/>
      <c r="J1030" s="155"/>
      <c r="K1030" s="155"/>
      <c r="L1030" s="155"/>
      <c r="M1030" s="155"/>
      <c r="N1030" s="155"/>
      <c r="O1030" s="155"/>
      <c r="P1030" s="155"/>
      <c r="Q1030" s="155"/>
      <c r="R1030" s="155"/>
      <c r="S1030" s="155"/>
      <c r="T1030" s="155"/>
      <c r="U1030" s="155"/>
      <c r="V1030" s="155"/>
      <c r="W1030" s="155"/>
      <c r="GL1030" s="155"/>
      <c r="GM1030" s="155"/>
      <c r="GN1030" s="155"/>
      <c r="GO1030" s="155"/>
      <c r="GP1030" s="155"/>
      <c r="GQ1030" s="155"/>
      <c r="GR1030" s="155"/>
      <c r="GS1030" s="155"/>
      <c r="GT1030" s="155"/>
      <c r="GU1030" s="155"/>
      <c r="GV1030" s="155"/>
      <c r="GW1030" s="155"/>
      <c r="GX1030" s="155"/>
      <c r="GY1030" s="155"/>
      <c r="GZ1030" s="155"/>
      <c r="HA1030" s="155"/>
      <c r="HB1030" s="155"/>
      <c r="HC1030" s="155"/>
      <c r="HD1030" s="155"/>
      <c r="HE1030" s="155"/>
    </row>
    <row r="1031" spans="2:213" s="156" customFormat="1" hidden="1">
      <c r="B1031" s="155"/>
      <c r="C1031" s="155"/>
      <c r="D1031" s="155"/>
      <c r="E1031" s="155"/>
      <c r="F1031" s="155"/>
      <c r="G1031" s="155"/>
      <c r="H1031" s="155"/>
      <c r="I1031" s="155"/>
      <c r="J1031" s="155"/>
      <c r="K1031" s="155"/>
      <c r="L1031" s="155"/>
      <c r="M1031" s="155"/>
      <c r="N1031" s="155"/>
      <c r="O1031" s="155"/>
      <c r="P1031" s="155"/>
      <c r="Q1031" s="155"/>
      <c r="R1031" s="155"/>
      <c r="S1031" s="155"/>
      <c r="T1031" s="155"/>
      <c r="U1031" s="155"/>
      <c r="V1031" s="155"/>
      <c r="W1031" s="155"/>
      <c r="GL1031" s="155"/>
      <c r="GM1031" s="155"/>
      <c r="GN1031" s="155"/>
      <c r="GO1031" s="155"/>
      <c r="GP1031" s="155"/>
      <c r="GQ1031" s="155"/>
      <c r="GR1031" s="155"/>
      <c r="GS1031" s="155"/>
      <c r="GT1031" s="155"/>
      <c r="GU1031" s="155"/>
      <c r="GV1031" s="155"/>
      <c r="GW1031" s="155"/>
      <c r="GX1031" s="155"/>
      <c r="GY1031" s="155"/>
      <c r="GZ1031" s="155"/>
      <c r="HA1031" s="155"/>
      <c r="HB1031" s="155"/>
      <c r="HC1031" s="155"/>
      <c r="HD1031" s="155"/>
      <c r="HE1031" s="155"/>
    </row>
    <row r="1032" spans="2:213" s="156" customFormat="1" hidden="1">
      <c r="B1032" s="155"/>
      <c r="C1032" s="155"/>
      <c r="D1032" s="155"/>
      <c r="E1032" s="155"/>
      <c r="F1032" s="155"/>
      <c r="G1032" s="155"/>
      <c r="H1032" s="155"/>
      <c r="I1032" s="155"/>
      <c r="J1032" s="155"/>
      <c r="K1032" s="155"/>
      <c r="L1032" s="155"/>
      <c r="M1032" s="155"/>
      <c r="N1032" s="155"/>
      <c r="O1032" s="155"/>
      <c r="P1032" s="155"/>
      <c r="Q1032" s="155"/>
      <c r="R1032" s="155"/>
      <c r="S1032" s="155"/>
      <c r="T1032" s="155"/>
      <c r="U1032" s="155"/>
      <c r="V1032" s="155"/>
      <c r="W1032" s="155"/>
      <c r="GL1032" s="155"/>
      <c r="GM1032" s="155"/>
      <c r="GN1032" s="155"/>
      <c r="GO1032" s="155"/>
      <c r="GP1032" s="155"/>
      <c r="GQ1032" s="155"/>
      <c r="GR1032" s="155"/>
      <c r="GS1032" s="155"/>
      <c r="GT1032" s="155"/>
      <c r="GU1032" s="155"/>
      <c r="GV1032" s="155"/>
      <c r="GW1032" s="155"/>
      <c r="GX1032" s="155"/>
      <c r="GY1032" s="155"/>
      <c r="GZ1032" s="155"/>
      <c r="HA1032" s="155"/>
      <c r="HB1032" s="155"/>
      <c r="HC1032" s="155"/>
      <c r="HD1032" s="155"/>
      <c r="HE1032" s="155"/>
    </row>
    <row r="1033" spans="2:213" s="156" customFormat="1" hidden="1">
      <c r="B1033" s="155"/>
      <c r="C1033" s="155"/>
      <c r="D1033" s="155"/>
      <c r="E1033" s="155"/>
      <c r="F1033" s="155"/>
      <c r="G1033" s="155"/>
      <c r="H1033" s="155"/>
      <c r="I1033" s="155"/>
      <c r="J1033" s="155"/>
      <c r="K1033" s="155"/>
      <c r="L1033" s="155"/>
      <c r="M1033" s="155"/>
      <c r="N1033" s="155"/>
      <c r="O1033" s="155"/>
      <c r="P1033" s="155"/>
      <c r="Q1033" s="155"/>
      <c r="R1033" s="155"/>
      <c r="S1033" s="155"/>
      <c r="T1033" s="155"/>
      <c r="U1033" s="155"/>
      <c r="V1033" s="155"/>
      <c r="W1033" s="155"/>
      <c r="GL1033" s="155"/>
      <c r="GM1033" s="155"/>
      <c r="GN1033" s="155"/>
      <c r="GO1033" s="155"/>
      <c r="GP1033" s="155"/>
      <c r="GQ1033" s="155"/>
      <c r="GR1033" s="155"/>
      <c r="GS1033" s="155"/>
      <c r="GT1033" s="155"/>
      <c r="GU1033" s="155"/>
      <c r="GV1033" s="155"/>
      <c r="GW1033" s="155"/>
      <c r="GX1033" s="155"/>
      <c r="GY1033" s="155"/>
      <c r="GZ1033" s="155"/>
      <c r="HA1033" s="155"/>
      <c r="HB1033" s="155"/>
      <c r="HC1033" s="155"/>
      <c r="HD1033" s="155"/>
      <c r="HE1033" s="155"/>
    </row>
    <row r="1034" spans="2:213" s="156" customFormat="1" hidden="1">
      <c r="B1034" s="155"/>
      <c r="C1034" s="155"/>
      <c r="D1034" s="155"/>
      <c r="E1034" s="155"/>
      <c r="F1034" s="155"/>
      <c r="G1034" s="155"/>
      <c r="H1034" s="155"/>
      <c r="I1034" s="155"/>
      <c r="J1034" s="155"/>
      <c r="K1034" s="155"/>
      <c r="L1034" s="155"/>
      <c r="M1034" s="155"/>
      <c r="N1034" s="155"/>
      <c r="O1034" s="155"/>
      <c r="P1034" s="155"/>
      <c r="Q1034" s="155"/>
      <c r="R1034" s="155"/>
      <c r="S1034" s="155"/>
      <c r="T1034" s="155"/>
      <c r="U1034" s="155"/>
      <c r="V1034" s="155"/>
      <c r="W1034" s="155"/>
      <c r="GL1034" s="155"/>
      <c r="GM1034" s="155"/>
      <c r="GN1034" s="155"/>
      <c r="GO1034" s="155"/>
      <c r="GP1034" s="155"/>
      <c r="GQ1034" s="155"/>
      <c r="GR1034" s="155"/>
      <c r="GS1034" s="155"/>
      <c r="GT1034" s="155"/>
      <c r="GU1034" s="155"/>
      <c r="GV1034" s="155"/>
      <c r="GW1034" s="155"/>
      <c r="GX1034" s="155"/>
      <c r="GY1034" s="155"/>
      <c r="GZ1034" s="155"/>
      <c r="HA1034" s="155"/>
      <c r="HB1034" s="155"/>
      <c r="HC1034" s="155"/>
      <c r="HD1034" s="155"/>
      <c r="HE1034" s="155"/>
    </row>
    <row r="1035" spans="2:213" s="156" customFormat="1" hidden="1">
      <c r="B1035" s="155"/>
      <c r="C1035" s="155"/>
      <c r="D1035" s="155"/>
      <c r="E1035" s="155"/>
      <c r="F1035" s="155"/>
      <c r="G1035" s="155"/>
      <c r="H1035" s="155"/>
      <c r="I1035" s="155"/>
      <c r="J1035" s="155"/>
      <c r="K1035" s="155"/>
      <c r="L1035" s="155"/>
      <c r="M1035" s="155"/>
      <c r="N1035" s="155"/>
      <c r="O1035" s="155"/>
      <c r="P1035" s="155"/>
      <c r="Q1035" s="155"/>
      <c r="R1035" s="155"/>
      <c r="S1035" s="155"/>
      <c r="T1035" s="155"/>
      <c r="U1035" s="155"/>
      <c r="V1035" s="155"/>
      <c r="W1035" s="155"/>
      <c r="GL1035" s="155"/>
      <c r="GM1035" s="155"/>
      <c r="GN1035" s="155"/>
      <c r="GO1035" s="155"/>
      <c r="GP1035" s="155"/>
      <c r="GQ1035" s="155"/>
      <c r="GR1035" s="155"/>
      <c r="GS1035" s="155"/>
      <c r="GT1035" s="155"/>
      <c r="GU1035" s="155"/>
      <c r="GV1035" s="155"/>
      <c r="GW1035" s="155"/>
      <c r="GX1035" s="155"/>
      <c r="GY1035" s="155"/>
      <c r="GZ1035" s="155"/>
      <c r="HA1035" s="155"/>
      <c r="HB1035" s="155"/>
      <c r="HC1035" s="155"/>
      <c r="HD1035" s="155"/>
      <c r="HE1035" s="155"/>
    </row>
    <row r="1036" spans="2:213" s="156" customFormat="1" hidden="1">
      <c r="B1036" s="155"/>
      <c r="C1036" s="155"/>
      <c r="D1036" s="155"/>
      <c r="E1036" s="155"/>
      <c r="F1036" s="155"/>
      <c r="G1036" s="155"/>
      <c r="H1036" s="155"/>
      <c r="I1036" s="155"/>
      <c r="J1036" s="155"/>
      <c r="K1036" s="155"/>
      <c r="L1036" s="155"/>
      <c r="M1036" s="155"/>
      <c r="N1036" s="155"/>
      <c r="O1036" s="155"/>
      <c r="P1036" s="155"/>
      <c r="Q1036" s="155"/>
      <c r="R1036" s="155"/>
      <c r="S1036" s="155"/>
      <c r="T1036" s="155"/>
      <c r="U1036" s="155"/>
      <c r="V1036" s="155"/>
      <c r="W1036" s="155"/>
      <c r="GL1036" s="155"/>
      <c r="GM1036" s="155"/>
      <c r="GN1036" s="155"/>
      <c r="GO1036" s="155"/>
      <c r="GP1036" s="155"/>
      <c r="GQ1036" s="155"/>
      <c r="GR1036" s="155"/>
      <c r="GS1036" s="155"/>
      <c r="GT1036" s="155"/>
      <c r="GU1036" s="155"/>
      <c r="GV1036" s="155"/>
      <c r="GW1036" s="155"/>
      <c r="GX1036" s="155"/>
      <c r="GY1036" s="155"/>
      <c r="GZ1036" s="155"/>
      <c r="HA1036" s="155"/>
      <c r="HB1036" s="155"/>
      <c r="HC1036" s="155"/>
      <c r="HD1036" s="155"/>
      <c r="HE1036" s="155"/>
    </row>
    <row r="1037" spans="2:213" s="156" customFormat="1" hidden="1">
      <c r="B1037" s="155"/>
      <c r="C1037" s="155"/>
      <c r="D1037" s="155"/>
      <c r="E1037" s="155"/>
      <c r="F1037" s="155"/>
      <c r="G1037" s="155"/>
      <c r="H1037" s="155"/>
      <c r="I1037" s="155"/>
      <c r="J1037" s="155"/>
      <c r="K1037" s="155"/>
      <c r="L1037" s="155"/>
      <c r="M1037" s="155"/>
      <c r="N1037" s="155"/>
      <c r="O1037" s="155"/>
      <c r="P1037" s="155"/>
      <c r="Q1037" s="155"/>
      <c r="R1037" s="155"/>
      <c r="S1037" s="155"/>
      <c r="T1037" s="155"/>
      <c r="U1037" s="155"/>
      <c r="V1037" s="155"/>
      <c r="W1037" s="155"/>
      <c r="GL1037" s="155"/>
      <c r="GM1037" s="155"/>
      <c r="GN1037" s="155"/>
      <c r="GO1037" s="155"/>
      <c r="GP1037" s="155"/>
      <c r="GQ1037" s="155"/>
      <c r="GR1037" s="155"/>
      <c r="GS1037" s="155"/>
      <c r="GT1037" s="155"/>
      <c r="GU1037" s="155"/>
      <c r="GV1037" s="155"/>
      <c r="GW1037" s="155"/>
      <c r="GX1037" s="155"/>
      <c r="GY1037" s="155"/>
      <c r="GZ1037" s="155"/>
      <c r="HA1037" s="155"/>
      <c r="HB1037" s="155"/>
      <c r="HC1037" s="155"/>
      <c r="HD1037" s="155"/>
      <c r="HE1037" s="155"/>
    </row>
    <row r="1038" spans="2:213" s="156" customFormat="1" hidden="1">
      <c r="B1038" s="155"/>
      <c r="C1038" s="155"/>
      <c r="D1038" s="155"/>
      <c r="E1038" s="155"/>
      <c r="F1038" s="155"/>
      <c r="G1038" s="155"/>
      <c r="H1038" s="155"/>
      <c r="I1038" s="155"/>
      <c r="J1038" s="155"/>
      <c r="K1038" s="155"/>
      <c r="L1038" s="155"/>
      <c r="M1038" s="155"/>
      <c r="N1038" s="155"/>
      <c r="O1038" s="155"/>
      <c r="P1038" s="155"/>
      <c r="Q1038" s="155"/>
      <c r="R1038" s="155"/>
      <c r="S1038" s="155"/>
      <c r="T1038" s="155"/>
      <c r="U1038" s="155"/>
      <c r="V1038" s="155"/>
      <c r="W1038" s="155"/>
      <c r="GL1038" s="155"/>
      <c r="GM1038" s="155"/>
      <c r="GN1038" s="155"/>
      <c r="GO1038" s="155"/>
      <c r="GP1038" s="155"/>
      <c r="GQ1038" s="155"/>
      <c r="GR1038" s="155"/>
      <c r="GS1038" s="155"/>
      <c r="GT1038" s="155"/>
      <c r="GU1038" s="155"/>
      <c r="GV1038" s="155"/>
      <c r="GW1038" s="155"/>
      <c r="GX1038" s="155"/>
      <c r="GY1038" s="155"/>
      <c r="GZ1038" s="155"/>
      <c r="HA1038" s="155"/>
      <c r="HB1038" s="155"/>
      <c r="HC1038" s="155"/>
      <c r="HD1038" s="155"/>
      <c r="HE1038" s="155"/>
    </row>
    <row r="1039" spans="2:213" s="156" customFormat="1" hidden="1">
      <c r="B1039" s="155"/>
      <c r="C1039" s="155"/>
      <c r="D1039" s="155"/>
      <c r="E1039" s="155"/>
      <c r="F1039" s="155"/>
      <c r="G1039" s="155"/>
      <c r="H1039" s="155"/>
      <c r="I1039" s="155"/>
      <c r="J1039" s="155"/>
      <c r="K1039" s="155"/>
      <c r="L1039" s="155"/>
      <c r="M1039" s="155"/>
      <c r="N1039" s="155"/>
      <c r="O1039" s="155"/>
      <c r="P1039" s="155"/>
      <c r="Q1039" s="155"/>
      <c r="R1039" s="155"/>
      <c r="S1039" s="155"/>
      <c r="T1039" s="155"/>
      <c r="U1039" s="155"/>
      <c r="V1039" s="155"/>
      <c r="W1039" s="155"/>
      <c r="GL1039" s="155"/>
      <c r="GM1039" s="155"/>
      <c r="GN1039" s="155"/>
      <c r="GO1039" s="155"/>
      <c r="GP1039" s="155"/>
      <c r="GQ1039" s="155"/>
      <c r="GR1039" s="155"/>
      <c r="GS1039" s="155"/>
      <c r="GT1039" s="155"/>
      <c r="GU1039" s="155"/>
      <c r="GV1039" s="155"/>
      <c r="GW1039" s="155"/>
      <c r="GX1039" s="155"/>
      <c r="GY1039" s="155"/>
      <c r="GZ1039" s="155"/>
      <c r="HA1039" s="155"/>
      <c r="HB1039" s="155"/>
      <c r="HC1039" s="155"/>
      <c r="HD1039" s="155"/>
      <c r="HE1039" s="155"/>
    </row>
    <row r="1040" spans="2:213" s="156" customFormat="1" hidden="1">
      <c r="B1040" s="155"/>
      <c r="C1040" s="155"/>
      <c r="D1040" s="155"/>
      <c r="E1040" s="155"/>
      <c r="F1040" s="155"/>
      <c r="G1040" s="155"/>
      <c r="H1040" s="155"/>
      <c r="I1040" s="155"/>
      <c r="J1040" s="155"/>
      <c r="K1040" s="155"/>
      <c r="L1040" s="155"/>
      <c r="M1040" s="155"/>
      <c r="N1040" s="155"/>
      <c r="O1040" s="155"/>
      <c r="P1040" s="155"/>
      <c r="Q1040" s="155"/>
      <c r="R1040" s="155"/>
      <c r="S1040" s="155"/>
      <c r="T1040" s="155"/>
      <c r="U1040" s="155"/>
      <c r="V1040" s="155"/>
      <c r="W1040" s="155"/>
      <c r="GL1040" s="155"/>
      <c r="GM1040" s="155"/>
      <c r="GN1040" s="155"/>
      <c r="GO1040" s="155"/>
      <c r="GP1040" s="155"/>
      <c r="GQ1040" s="155"/>
      <c r="GR1040" s="155"/>
      <c r="GS1040" s="155"/>
      <c r="GT1040" s="155"/>
      <c r="GU1040" s="155"/>
      <c r="GV1040" s="155"/>
      <c r="GW1040" s="155"/>
      <c r="GX1040" s="155"/>
      <c r="GY1040" s="155"/>
      <c r="GZ1040" s="155"/>
      <c r="HA1040" s="155"/>
      <c r="HB1040" s="155"/>
      <c r="HC1040" s="155"/>
      <c r="HD1040" s="155"/>
      <c r="HE1040" s="155"/>
    </row>
    <row r="1041" spans="2:213" s="156" customFormat="1" hidden="1">
      <c r="B1041" s="155"/>
      <c r="C1041" s="155"/>
      <c r="D1041" s="155"/>
      <c r="E1041" s="155"/>
      <c r="F1041" s="155"/>
      <c r="G1041" s="155"/>
      <c r="H1041" s="155"/>
      <c r="I1041" s="155"/>
      <c r="J1041" s="155"/>
      <c r="K1041" s="155"/>
      <c r="L1041" s="155"/>
      <c r="M1041" s="155"/>
      <c r="N1041" s="155"/>
      <c r="O1041" s="155"/>
      <c r="P1041" s="155"/>
      <c r="Q1041" s="155"/>
      <c r="R1041" s="155"/>
      <c r="S1041" s="155"/>
      <c r="T1041" s="155"/>
      <c r="U1041" s="155"/>
      <c r="V1041" s="155"/>
      <c r="W1041" s="155"/>
      <c r="GL1041" s="155"/>
      <c r="GM1041" s="155"/>
      <c r="GN1041" s="155"/>
      <c r="GO1041" s="155"/>
      <c r="GP1041" s="155"/>
      <c r="GQ1041" s="155"/>
      <c r="GR1041" s="155"/>
      <c r="GS1041" s="155"/>
      <c r="GT1041" s="155"/>
      <c r="GU1041" s="155"/>
      <c r="GV1041" s="155"/>
      <c r="GW1041" s="155"/>
      <c r="GX1041" s="155"/>
      <c r="GY1041" s="155"/>
      <c r="GZ1041" s="155"/>
      <c r="HA1041" s="155"/>
      <c r="HB1041" s="155"/>
      <c r="HC1041" s="155"/>
      <c r="HD1041" s="155"/>
      <c r="HE1041" s="155"/>
    </row>
    <row r="1042" spans="2:213" s="156" customFormat="1" hidden="1">
      <c r="B1042" s="155"/>
      <c r="C1042" s="155"/>
      <c r="D1042" s="155"/>
      <c r="E1042" s="155"/>
      <c r="F1042" s="155"/>
      <c r="G1042" s="155"/>
      <c r="H1042" s="155"/>
      <c r="I1042" s="155"/>
      <c r="J1042" s="155"/>
      <c r="K1042" s="155"/>
      <c r="L1042" s="155"/>
      <c r="M1042" s="155"/>
      <c r="N1042" s="155"/>
      <c r="O1042" s="155"/>
      <c r="P1042" s="155"/>
      <c r="Q1042" s="155"/>
      <c r="R1042" s="155"/>
      <c r="S1042" s="155"/>
      <c r="T1042" s="155"/>
      <c r="U1042" s="155"/>
      <c r="V1042" s="155"/>
      <c r="W1042" s="155"/>
      <c r="GL1042" s="155"/>
      <c r="GM1042" s="155"/>
      <c r="GN1042" s="155"/>
      <c r="GO1042" s="155"/>
      <c r="GP1042" s="155"/>
      <c r="GQ1042" s="155"/>
      <c r="GR1042" s="155"/>
      <c r="GS1042" s="155"/>
      <c r="GT1042" s="155"/>
      <c r="GU1042" s="155"/>
      <c r="GV1042" s="155"/>
      <c r="GW1042" s="155"/>
      <c r="GX1042" s="155"/>
      <c r="GY1042" s="155"/>
      <c r="GZ1042" s="155"/>
      <c r="HA1042" s="155"/>
      <c r="HB1042" s="155"/>
      <c r="HC1042" s="155"/>
      <c r="HD1042" s="155"/>
      <c r="HE1042" s="155"/>
    </row>
    <row r="1043" spans="2:213" s="156" customFormat="1" hidden="1">
      <c r="B1043" s="155"/>
      <c r="C1043" s="155"/>
      <c r="D1043" s="155"/>
      <c r="E1043" s="155"/>
      <c r="F1043" s="155"/>
      <c r="G1043" s="155"/>
      <c r="H1043" s="155"/>
      <c r="I1043" s="155"/>
      <c r="J1043" s="155"/>
      <c r="K1043" s="155"/>
      <c r="L1043" s="155"/>
      <c r="M1043" s="155"/>
      <c r="N1043" s="155"/>
      <c r="O1043" s="155"/>
      <c r="P1043" s="155"/>
      <c r="Q1043" s="155"/>
      <c r="R1043" s="155"/>
      <c r="S1043" s="155"/>
      <c r="T1043" s="155"/>
      <c r="U1043" s="155"/>
      <c r="V1043" s="155"/>
      <c r="W1043" s="155"/>
      <c r="GL1043" s="155"/>
      <c r="GM1043" s="155"/>
      <c r="GN1043" s="155"/>
      <c r="GO1043" s="155"/>
      <c r="GP1043" s="155"/>
      <c r="GQ1043" s="155"/>
      <c r="GR1043" s="155"/>
      <c r="GS1043" s="155"/>
      <c r="GT1043" s="155"/>
      <c r="GU1043" s="155"/>
      <c r="GV1043" s="155"/>
      <c r="GW1043" s="155"/>
      <c r="GX1043" s="155"/>
      <c r="GY1043" s="155"/>
      <c r="GZ1043" s="155"/>
      <c r="HA1043" s="155"/>
      <c r="HB1043" s="155"/>
      <c r="HC1043" s="155"/>
      <c r="HD1043" s="155"/>
      <c r="HE1043" s="155"/>
    </row>
    <row r="1044" spans="2:213" s="156" customFormat="1" hidden="1">
      <c r="B1044" s="155"/>
      <c r="C1044" s="155"/>
      <c r="D1044" s="155"/>
      <c r="E1044" s="155"/>
      <c r="F1044" s="155"/>
      <c r="G1044" s="155"/>
      <c r="H1044" s="155"/>
      <c r="I1044" s="155"/>
      <c r="J1044" s="155"/>
      <c r="K1044" s="155"/>
      <c r="L1044" s="155"/>
      <c r="M1044" s="155"/>
      <c r="N1044" s="155"/>
      <c r="O1044" s="155"/>
      <c r="P1044" s="155"/>
      <c r="Q1044" s="155"/>
      <c r="R1044" s="155"/>
      <c r="S1044" s="155"/>
      <c r="T1044" s="155"/>
      <c r="U1044" s="155"/>
      <c r="V1044" s="155"/>
      <c r="W1044" s="155"/>
      <c r="GL1044" s="155"/>
      <c r="GM1044" s="155"/>
      <c r="GN1044" s="155"/>
      <c r="GO1044" s="155"/>
      <c r="GP1044" s="155"/>
      <c r="GQ1044" s="155"/>
      <c r="GR1044" s="155"/>
      <c r="GS1044" s="155"/>
      <c r="GT1044" s="155"/>
      <c r="GU1044" s="155"/>
      <c r="GV1044" s="155"/>
      <c r="GW1044" s="155"/>
      <c r="GX1044" s="155"/>
      <c r="GY1044" s="155"/>
      <c r="GZ1044" s="155"/>
      <c r="HA1044" s="155"/>
      <c r="HB1044" s="155"/>
      <c r="HC1044" s="155"/>
      <c r="HD1044" s="155"/>
      <c r="HE1044" s="155"/>
    </row>
    <row r="1045" spans="2:213" s="156" customFormat="1" hidden="1">
      <c r="B1045" s="155"/>
      <c r="C1045" s="155"/>
      <c r="D1045" s="155"/>
      <c r="E1045" s="155"/>
      <c r="F1045" s="155"/>
      <c r="G1045" s="155"/>
      <c r="H1045" s="155"/>
      <c r="I1045" s="155"/>
      <c r="J1045" s="155"/>
      <c r="K1045" s="155"/>
      <c r="L1045" s="155"/>
      <c r="M1045" s="155"/>
      <c r="N1045" s="155"/>
      <c r="O1045" s="155"/>
      <c r="P1045" s="155"/>
      <c r="Q1045" s="155"/>
      <c r="R1045" s="155"/>
      <c r="S1045" s="155"/>
      <c r="T1045" s="155"/>
      <c r="U1045" s="155"/>
      <c r="V1045" s="155"/>
      <c r="W1045" s="155"/>
      <c r="GL1045" s="155"/>
      <c r="GM1045" s="155"/>
      <c r="GN1045" s="155"/>
      <c r="GO1045" s="155"/>
      <c r="GP1045" s="155"/>
      <c r="GQ1045" s="155"/>
      <c r="GR1045" s="155"/>
      <c r="GS1045" s="155"/>
      <c r="GT1045" s="155"/>
      <c r="GU1045" s="155"/>
      <c r="GV1045" s="155"/>
      <c r="GW1045" s="155"/>
      <c r="GX1045" s="155"/>
      <c r="GY1045" s="155"/>
      <c r="GZ1045" s="155"/>
      <c r="HA1045" s="155"/>
      <c r="HB1045" s="155"/>
      <c r="HC1045" s="155"/>
      <c r="HD1045" s="155"/>
      <c r="HE1045" s="155"/>
    </row>
    <row r="1046" spans="2:213" s="156" customFormat="1" hidden="1">
      <c r="B1046" s="155"/>
      <c r="C1046" s="155"/>
      <c r="D1046" s="155"/>
      <c r="E1046" s="155"/>
      <c r="F1046" s="155"/>
      <c r="G1046" s="155"/>
      <c r="H1046" s="155"/>
      <c r="I1046" s="155"/>
      <c r="J1046" s="155"/>
      <c r="K1046" s="155"/>
      <c r="L1046" s="155"/>
      <c r="M1046" s="155"/>
      <c r="N1046" s="155"/>
      <c r="O1046" s="155"/>
      <c r="P1046" s="155"/>
      <c r="Q1046" s="155"/>
      <c r="R1046" s="155"/>
      <c r="S1046" s="155"/>
      <c r="T1046" s="155"/>
      <c r="U1046" s="155"/>
      <c r="V1046" s="155"/>
      <c r="W1046" s="155"/>
      <c r="GL1046" s="155"/>
      <c r="GM1046" s="155"/>
      <c r="GN1046" s="155"/>
      <c r="GO1046" s="155"/>
      <c r="GP1046" s="155"/>
      <c r="GQ1046" s="155"/>
      <c r="GR1046" s="155"/>
      <c r="GS1046" s="155"/>
      <c r="GT1046" s="155"/>
      <c r="GU1046" s="155"/>
      <c r="GV1046" s="155"/>
      <c r="GW1046" s="155"/>
      <c r="GX1046" s="155"/>
      <c r="GY1046" s="155"/>
      <c r="GZ1046" s="155"/>
      <c r="HA1046" s="155"/>
      <c r="HB1046" s="155"/>
      <c r="HC1046" s="155"/>
      <c r="HD1046" s="155"/>
      <c r="HE1046" s="155"/>
    </row>
    <row r="1047" spans="2:213" s="156" customFormat="1" hidden="1">
      <c r="B1047" s="155"/>
      <c r="C1047" s="155"/>
      <c r="D1047" s="155"/>
      <c r="E1047" s="155"/>
      <c r="F1047" s="155"/>
      <c r="G1047" s="155"/>
      <c r="H1047" s="155"/>
      <c r="I1047" s="155"/>
      <c r="J1047" s="155"/>
      <c r="K1047" s="155"/>
      <c r="L1047" s="155"/>
      <c r="M1047" s="155"/>
      <c r="N1047" s="155"/>
      <c r="O1047" s="155"/>
      <c r="P1047" s="155"/>
      <c r="Q1047" s="155"/>
      <c r="R1047" s="155"/>
      <c r="S1047" s="155"/>
      <c r="T1047" s="155"/>
      <c r="U1047" s="155"/>
      <c r="V1047" s="155"/>
      <c r="W1047" s="155"/>
      <c r="GL1047" s="155"/>
      <c r="GM1047" s="155"/>
      <c r="GN1047" s="155"/>
      <c r="GO1047" s="155"/>
      <c r="GP1047" s="155"/>
      <c r="GQ1047" s="155"/>
      <c r="GR1047" s="155"/>
      <c r="GS1047" s="155"/>
      <c r="GT1047" s="155"/>
      <c r="GU1047" s="155"/>
      <c r="GV1047" s="155"/>
      <c r="GW1047" s="155"/>
      <c r="GX1047" s="155"/>
      <c r="GY1047" s="155"/>
      <c r="GZ1047" s="155"/>
      <c r="HA1047" s="155"/>
      <c r="HB1047" s="155"/>
      <c r="HC1047" s="155"/>
      <c r="HD1047" s="155"/>
      <c r="HE1047" s="155"/>
    </row>
    <row r="1048" spans="2:213" s="156" customFormat="1" hidden="1">
      <c r="B1048" s="155"/>
      <c r="C1048" s="155"/>
      <c r="D1048" s="155"/>
      <c r="E1048" s="155"/>
      <c r="F1048" s="155"/>
      <c r="G1048" s="155"/>
      <c r="H1048" s="155"/>
      <c r="I1048" s="155"/>
      <c r="J1048" s="155"/>
      <c r="K1048" s="155"/>
      <c r="L1048" s="155"/>
      <c r="M1048" s="155"/>
      <c r="N1048" s="155"/>
      <c r="O1048" s="155"/>
      <c r="P1048" s="155"/>
      <c r="Q1048" s="155"/>
      <c r="R1048" s="155"/>
      <c r="S1048" s="155"/>
      <c r="T1048" s="155"/>
      <c r="U1048" s="155"/>
      <c r="V1048" s="155"/>
      <c r="W1048" s="155"/>
      <c r="GL1048" s="155"/>
      <c r="GM1048" s="155"/>
      <c r="GN1048" s="155"/>
      <c r="GO1048" s="155"/>
      <c r="GP1048" s="155"/>
      <c r="GQ1048" s="155"/>
      <c r="GR1048" s="155"/>
      <c r="GS1048" s="155"/>
      <c r="GT1048" s="155"/>
      <c r="GU1048" s="155"/>
      <c r="GV1048" s="155"/>
      <c r="GW1048" s="155"/>
      <c r="GX1048" s="155"/>
      <c r="GY1048" s="155"/>
      <c r="GZ1048" s="155"/>
      <c r="HA1048" s="155"/>
      <c r="HB1048" s="155"/>
      <c r="HC1048" s="155"/>
      <c r="HD1048" s="155"/>
      <c r="HE1048" s="155"/>
    </row>
    <row r="1049" spans="2:213" s="156" customFormat="1" hidden="1">
      <c r="B1049" s="155"/>
      <c r="C1049" s="155"/>
      <c r="D1049" s="155"/>
      <c r="E1049" s="155"/>
      <c r="F1049" s="155"/>
      <c r="G1049" s="155"/>
      <c r="H1049" s="155"/>
      <c r="I1049" s="155"/>
      <c r="J1049" s="155"/>
      <c r="K1049" s="155"/>
      <c r="L1049" s="155"/>
      <c r="M1049" s="155"/>
      <c r="N1049" s="155"/>
      <c r="O1049" s="155"/>
      <c r="P1049" s="155"/>
      <c r="Q1049" s="155"/>
      <c r="R1049" s="155"/>
      <c r="S1049" s="155"/>
      <c r="T1049" s="155"/>
      <c r="U1049" s="155"/>
      <c r="V1049" s="155"/>
      <c r="W1049" s="155"/>
      <c r="GL1049" s="155"/>
      <c r="GM1049" s="155"/>
      <c r="GN1049" s="155"/>
      <c r="GO1049" s="155"/>
      <c r="GP1049" s="155"/>
      <c r="GQ1049" s="155"/>
      <c r="GR1049" s="155"/>
      <c r="GS1049" s="155"/>
      <c r="GT1049" s="155"/>
      <c r="GU1049" s="155"/>
      <c r="GV1049" s="155"/>
      <c r="GW1049" s="155"/>
      <c r="GX1049" s="155"/>
      <c r="GY1049" s="155"/>
      <c r="GZ1049" s="155"/>
      <c r="HA1049" s="155"/>
      <c r="HB1049" s="155"/>
      <c r="HC1049" s="155"/>
      <c r="HD1049" s="155"/>
      <c r="HE1049" s="155"/>
    </row>
    <row r="1050" spans="2:213" s="156" customFormat="1" hidden="1">
      <c r="B1050" s="155"/>
      <c r="C1050" s="155"/>
      <c r="D1050" s="155"/>
      <c r="E1050" s="155"/>
      <c r="F1050" s="155"/>
      <c r="G1050" s="155"/>
      <c r="H1050" s="155"/>
      <c r="I1050" s="155"/>
      <c r="J1050" s="155"/>
      <c r="K1050" s="155"/>
      <c r="L1050" s="155"/>
      <c r="M1050" s="155"/>
      <c r="N1050" s="155"/>
      <c r="O1050" s="155"/>
      <c r="P1050" s="155"/>
      <c r="Q1050" s="155"/>
      <c r="R1050" s="155"/>
      <c r="S1050" s="155"/>
      <c r="T1050" s="155"/>
      <c r="U1050" s="155"/>
      <c r="V1050" s="155"/>
      <c r="W1050" s="155"/>
      <c r="GL1050" s="155"/>
      <c r="GM1050" s="155"/>
      <c r="GN1050" s="155"/>
      <c r="GO1050" s="155"/>
      <c r="GP1050" s="155"/>
      <c r="GQ1050" s="155"/>
      <c r="GR1050" s="155"/>
      <c r="GS1050" s="155"/>
      <c r="GT1050" s="155"/>
      <c r="GU1050" s="155"/>
      <c r="GV1050" s="155"/>
      <c r="GW1050" s="155"/>
      <c r="GX1050" s="155"/>
      <c r="GY1050" s="155"/>
      <c r="GZ1050" s="155"/>
      <c r="HA1050" s="155"/>
      <c r="HB1050" s="155"/>
      <c r="HC1050" s="155"/>
      <c r="HD1050" s="155"/>
      <c r="HE1050" s="155"/>
    </row>
    <row r="1051" spans="2:213" s="156" customFormat="1" hidden="1">
      <c r="B1051" s="155"/>
      <c r="C1051" s="155"/>
      <c r="D1051" s="155"/>
      <c r="E1051" s="155"/>
      <c r="F1051" s="155"/>
      <c r="G1051" s="155"/>
      <c r="H1051" s="155"/>
      <c r="I1051" s="155"/>
      <c r="J1051" s="155"/>
      <c r="K1051" s="155"/>
      <c r="L1051" s="155"/>
      <c r="M1051" s="155"/>
      <c r="N1051" s="155"/>
      <c r="O1051" s="155"/>
      <c r="P1051" s="155"/>
      <c r="Q1051" s="155"/>
      <c r="R1051" s="155"/>
      <c r="S1051" s="155"/>
      <c r="T1051" s="155"/>
      <c r="U1051" s="155"/>
      <c r="V1051" s="155"/>
      <c r="W1051" s="155"/>
      <c r="GL1051" s="155"/>
      <c r="GM1051" s="155"/>
      <c r="GN1051" s="155"/>
      <c r="GO1051" s="155"/>
      <c r="GP1051" s="155"/>
      <c r="GQ1051" s="155"/>
      <c r="GR1051" s="155"/>
      <c r="GS1051" s="155"/>
      <c r="GT1051" s="155"/>
      <c r="GU1051" s="155"/>
      <c r="GV1051" s="155"/>
      <c r="GW1051" s="155"/>
      <c r="GX1051" s="155"/>
      <c r="GY1051" s="155"/>
      <c r="GZ1051" s="155"/>
      <c r="HA1051" s="155"/>
      <c r="HB1051" s="155"/>
      <c r="HC1051" s="155"/>
      <c r="HD1051" s="155"/>
      <c r="HE1051" s="155"/>
    </row>
    <row r="1052" spans="2:213" s="156" customFormat="1" hidden="1">
      <c r="B1052" s="155"/>
      <c r="C1052" s="155"/>
      <c r="D1052" s="155"/>
      <c r="E1052" s="155"/>
      <c r="F1052" s="155"/>
      <c r="G1052" s="155"/>
      <c r="H1052" s="155"/>
      <c r="I1052" s="155"/>
      <c r="J1052" s="155"/>
      <c r="K1052" s="155"/>
      <c r="L1052" s="155"/>
      <c r="M1052" s="155"/>
      <c r="N1052" s="155"/>
      <c r="O1052" s="155"/>
      <c r="P1052" s="155"/>
      <c r="Q1052" s="155"/>
      <c r="R1052" s="155"/>
      <c r="S1052" s="155"/>
      <c r="T1052" s="155"/>
      <c r="U1052" s="155"/>
      <c r="V1052" s="155"/>
      <c r="W1052" s="155"/>
      <c r="GL1052" s="155"/>
      <c r="GM1052" s="155"/>
      <c r="GN1052" s="155"/>
      <c r="GO1052" s="155"/>
      <c r="GP1052" s="155"/>
      <c r="GQ1052" s="155"/>
      <c r="GR1052" s="155"/>
      <c r="GS1052" s="155"/>
      <c r="GT1052" s="155"/>
      <c r="GU1052" s="155"/>
      <c r="GV1052" s="155"/>
      <c r="GW1052" s="155"/>
      <c r="GX1052" s="155"/>
      <c r="GY1052" s="155"/>
      <c r="GZ1052" s="155"/>
      <c r="HA1052" s="155"/>
      <c r="HB1052" s="155"/>
      <c r="HC1052" s="155"/>
      <c r="HD1052" s="155"/>
      <c r="HE1052" s="155"/>
    </row>
    <row r="1053" spans="2:213" s="156" customFormat="1" hidden="1">
      <c r="B1053" s="155"/>
      <c r="C1053" s="155"/>
      <c r="D1053" s="155"/>
      <c r="E1053" s="155"/>
      <c r="F1053" s="155"/>
      <c r="G1053" s="155"/>
      <c r="H1053" s="155"/>
      <c r="I1053" s="155"/>
      <c r="J1053" s="155"/>
      <c r="K1053" s="155"/>
      <c r="L1053" s="155"/>
      <c r="M1053" s="155"/>
      <c r="N1053" s="155"/>
      <c r="O1053" s="155"/>
      <c r="P1053" s="155"/>
      <c r="Q1053" s="155"/>
      <c r="R1053" s="155"/>
      <c r="S1053" s="155"/>
      <c r="T1053" s="155"/>
      <c r="U1053" s="155"/>
      <c r="V1053" s="155"/>
      <c r="W1053" s="155"/>
      <c r="GL1053" s="155"/>
      <c r="GM1053" s="155"/>
      <c r="GN1053" s="155"/>
      <c r="GO1053" s="155"/>
      <c r="GP1053" s="155"/>
      <c r="GQ1053" s="155"/>
      <c r="GR1053" s="155"/>
      <c r="GS1053" s="155"/>
      <c r="GT1053" s="155"/>
      <c r="GU1053" s="155"/>
      <c r="GV1053" s="155"/>
      <c r="GW1053" s="155"/>
      <c r="GX1053" s="155"/>
      <c r="GY1053" s="155"/>
      <c r="GZ1053" s="155"/>
      <c r="HA1053" s="155"/>
      <c r="HB1053" s="155"/>
      <c r="HC1053" s="155"/>
      <c r="HD1053" s="155"/>
      <c r="HE1053" s="155"/>
    </row>
    <row r="1054" spans="2:213" s="156" customFormat="1" hidden="1">
      <c r="B1054" s="155"/>
      <c r="C1054" s="155"/>
      <c r="D1054" s="155"/>
      <c r="E1054" s="155"/>
      <c r="F1054" s="155"/>
      <c r="G1054" s="155"/>
      <c r="H1054" s="155"/>
      <c r="I1054" s="155"/>
      <c r="J1054" s="155"/>
      <c r="K1054" s="155"/>
      <c r="L1054" s="155"/>
      <c r="M1054" s="155"/>
      <c r="N1054" s="155"/>
      <c r="O1054" s="155"/>
      <c r="P1054" s="155"/>
      <c r="Q1054" s="155"/>
      <c r="R1054" s="155"/>
      <c r="S1054" s="155"/>
      <c r="T1054" s="155"/>
      <c r="U1054" s="155"/>
      <c r="V1054" s="155"/>
      <c r="W1054" s="155"/>
      <c r="GL1054" s="155"/>
      <c r="GM1054" s="155"/>
      <c r="GN1054" s="155"/>
      <c r="GO1054" s="155"/>
      <c r="GP1054" s="155"/>
      <c r="GQ1054" s="155"/>
      <c r="GR1054" s="155"/>
      <c r="GS1054" s="155"/>
      <c r="GT1054" s="155"/>
      <c r="GU1054" s="155"/>
      <c r="GV1054" s="155"/>
      <c r="GW1054" s="155"/>
      <c r="GX1054" s="155"/>
      <c r="GY1054" s="155"/>
      <c r="GZ1054" s="155"/>
      <c r="HA1054" s="155"/>
      <c r="HB1054" s="155"/>
      <c r="HC1054" s="155"/>
      <c r="HD1054" s="155"/>
      <c r="HE1054" s="155"/>
    </row>
    <row r="1055" spans="2:213" s="156" customFormat="1" hidden="1">
      <c r="B1055" s="155"/>
      <c r="C1055" s="155"/>
      <c r="D1055" s="155"/>
      <c r="E1055" s="155"/>
      <c r="F1055" s="155"/>
      <c r="G1055" s="155"/>
      <c r="H1055" s="155"/>
      <c r="I1055" s="155"/>
      <c r="J1055" s="155"/>
      <c r="K1055" s="155"/>
      <c r="L1055" s="155"/>
      <c r="M1055" s="155"/>
      <c r="N1055" s="155"/>
      <c r="O1055" s="155"/>
      <c r="P1055" s="155"/>
      <c r="Q1055" s="155"/>
      <c r="R1055" s="155"/>
      <c r="S1055" s="155"/>
      <c r="T1055" s="155"/>
      <c r="U1055" s="155"/>
      <c r="V1055" s="155"/>
      <c r="W1055" s="155"/>
      <c r="GL1055" s="155"/>
      <c r="GM1055" s="155"/>
      <c r="GN1055" s="155"/>
      <c r="GO1055" s="155"/>
      <c r="GP1055" s="155"/>
      <c r="GQ1055" s="155"/>
      <c r="GR1055" s="155"/>
      <c r="GS1055" s="155"/>
      <c r="GT1055" s="155"/>
      <c r="GU1055" s="155"/>
      <c r="GV1055" s="155"/>
      <c r="GW1055" s="155"/>
      <c r="GX1055" s="155"/>
      <c r="GY1055" s="155"/>
      <c r="GZ1055" s="155"/>
      <c r="HA1055" s="155"/>
      <c r="HB1055" s="155"/>
      <c r="HC1055" s="155"/>
      <c r="HD1055" s="155"/>
      <c r="HE1055" s="155"/>
    </row>
    <row r="1056" spans="2:213" s="156" customFormat="1" hidden="1">
      <c r="B1056" s="155"/>
      <c r="C1056" s="155"/>
      <c r="D1056" s="155"/>
      <c r="E1056" s="155"/>
      <c r="F1056" s="155"/>
      <c r="G1056" s="155"/>
      <c r="H1056" s="155"/>
      <c r="I1056" s="155"/>
      <c r="J1056" s="155"/>
      <c r="K1056" s="155"/>
      <c r="L1056" s="155"/>
      <c r="M1056" s="155"/>
      <c r="N1056" s="155"/>
      <c r="O1056" s="155"/>
      <c r="P1056" s="155"/>
      <c r="Q1056" s="155"/>
      <c r="R1056" s="155"/>
      <c r="S1056" s="155"/>
      <c r="T1056" s="155"/>
      <c r="U1056" s="155"/>
      <c r="V1056" s="155"/>
      <c r="W1056" s="155"/>
      <c r="GL1056" s="155"/>
      <c r="GM1056" s="155"/>
      <c r="GN1056" s="155"/>
      <c r="GO1056" s="155"/>
      <c r="GP1056" s="155"/>
      <c r="GQ1056" s="155"/>
      <c r="GR1056" s="155"/>
      <c r="GS1056" s="155"/>
      <c r="GT1056" s="155"/>
      <c r="GU1056" s="155"/>
      <c r="GV1056" s="155"/>
      <c r="GW1056" s="155"/>
      <c r="GX1056" s="155"/>
      <c r="GY1056" s="155"/>
      <c r="GZ1056" s="155"/>
      <c r="HA1056" s="155"/>
      <c r="HB1056" s="155"/>
      <c r="HC1056" s="155"/>
      <c r="HD1056" s="155"/>
      <c r="HE1056" s="155"/>
    </row>
    <row r="1057" spans="2:213" s="156" customFormat="1" hidden="1">
      <c r="B1057" s="155"/>
      <c r="C1057" s="155"/>
      <c r="D1057" s="155"/>
      <c r="E1057" s="155"/>
      <c r="F1057" s="155"/>
      <c r="G1057" s="155"/>
      <c r="H1057" s="155"/>
      <c r="I1057" s="155"/>
      <c r="J1057" s="155"/>
      <c r="K1057" s="155"/>
      <c r="L1057" s="155"/>
      <c r="M1057" s="155"/>
      <c r="N1057" s="155"/>
      <c r="O1057" s="155"/>
      <c r="P1057" s="155"/>
      <c r="Q1057" s="155"/>
      <c r="R1057" s="155"/>
      <c r="S1057" s="155"/>
      <c r="T1057" s="155"/>
      <c r="U1057" s="155"/>
      <c r="V1057" s="155"/>
      <c r="W1057" s="155"/>
      <c r="GL1057" s="155"/>
      <c r="GM1057" s="155"/>
      <c r="GN1057" s="155"/>
      <c r="GO1057" s="155"/>
      <c r="GP1057" s="155"/>
      <c r="GQ1057" s="155"/>
      <c r="GR1057" s="155"/>
      <c r="GS1057" s="155"/>
      <c r="GT1057" s="155"/>
      <c r="GU1057" s="155"/>
      <c r="GV1057" s="155"/>
      <c r="GW1057" s="155"/>
      <c r="GX1057" s="155"/>
      <c r="GY1057" s="155"/>
      <c r="GZ1057" s="155"/>
      <c r="HA1057" s="155"/>
      <c r="HB1057" s="155"/>
      <c r="HC1057" s="155"/>
      <c r="HD1057" s="155"/>
      <c r="HE1057" s="155"/>
    </row>
    <row r="1058" spans="2:213" s="156" customFormat="1" hidden="1">
      <c r="B1058" s="155"/>
      <c r="C1058" s="155"/>
      <c r="D1058" s="155"/>
      <c r="E1058" s="155"/>
      <c r="F1058" s="155"/>
      <c r="G1058" s="155"/>
      <c r="H1058" s="155"/>
      <c r="I1058" s="155"/>
      <c r="J1058" s="155"/>
      <c r="K1058" s="155"/>
      <c r="L1058" s="155"/>
      <c r="M1058" s="155"/>
      <c r="N1058" s="155"/>
      <c r="O1058" s="155"/>
      <c r="P1058" s="155"/>
      <c r="Q1058" s="155"/>
      <c r="R1058" s="155"/>
      <c r="S1058" s="155"/>
      <c r="T1058" s="155"/>
      <c r="U1058" s="155"/>
      <c r="V1058" s="155"/>
      <c r="W1058" s="155"/>
      <c r="GL1058" s="155"/>
      <c r="GM1058" s="155"/>
      <c r="GN1058" s="155"/>
      <c r="GO1058" s="155"/>
      <c r="GP1058" s="155"/>
      <c r="GQ1058" s="155"/>
      <c r="GR1058" s="155"/>
      <c r="GS1058" s="155"/>
      <c r="GT1058" s="155"/>
      <c r="GU1058" s="155"/>
      <c r="GV1058" s="155"/>
      <c r="GW1058" s="155"/>
      <c r="GX1058" s="155"/>
      <c r="GY1058" s="155"/>
      <c r="GZ1058" s="155"/>
      <c r="HA1058" s="155"/>
      <c r="HB1058" s="155"/>
      <c r="HC1058" s="155"/>
      <c r="HD1058" s="155"/>
      <c r="HE1058" s="155"/>
    </row>
    <row r="1059" spans="2:213" s="156" customFormat="1" hidden="1">
      <c r="B1059" s="155"/>
      <c r="C1059" s="155"/>
      <c r="D1059" s="155"/>
      <c r="E1059" s="155"/>
      <c r="F1059" s="155"/>
      <c r="G1059" s="155"/>
      <c r="H1059" s="155"/>
      <c r="I1059" s="155"/>
      <c r="J1059" s="155"/>
      <c r="K1059" s="155"/>
      <c r="L1059" s="155"/>
      <c r="M1059" s="155"/>
      <c r="N1059" s="155"/>
      <c r="O1059" s="155"/>
      <c r="P1059" s="155"/>
      <c r="Q1059" s="155"/>
      <c r="R1059" s="155"/>
      <c r="S1059" s="155"/>
      <c r="T1059" s="155"/>
      <c r="U1059" s="155"/>
      <c r="V1059" s="155"/>
      <c r="W1059" s="155"/>
      <c r="GL1059" s="155"/>
      <c r="GM1059" s="155"/>
      <c r="GN1059" s="155"/>
      <c r="GO1059" s="155"/>
      <c r="GP1059" s="155"/>
      <c r="GQ1059" s="155"/>
      <c r="GR1059" s="155"/>
      <c r="GS1059" s="155"/>
      <c r="GT1059" s="155"/>
      <c r="GU1059" s="155"/>
      <c r="GV1059" s="155"/>
      <c r="GW1059" s="155"/>
      <c r="GX1059" s="155"/>
      <c r="GY1059" s="155"/>
      <c r="GZ1059" s="155"/>
      <c r="HA1059" s="155"/>
      <c r="HB1059" s="155"/>
      <c r="HC1059" s="155"/>
      <c r="HD1059" s="155"/>
      <c r="HE1059" s="155"/>
    </row>
    <row r="1060" spans="2:213" s="156" customFormat="1" hidden="1">
      <c r="B1060" s="155"/>
      <c r="C1060" s="155"/>
      <c r="D1060" s="155"/>
      <c r="E1060" s="155"/>
      <c r="F1060" s="155"/>
      <c r="G1060" s="155"/>
      <c r="H1060" s="155"/>
      <c r="I1060" s="155"/>
      <c r="J1060" s="155"/>
      <c r="K1060" s="155"/>
      <c r="L1060" s="155"/>
      <c r="M1060" s="155"/>
      <c r="N1060" s="155"/>
      <c r="O1060" s="155"/>
      <c r="P1060" s="155"/>
      <c r="Q1060" s="155"/>
      <c r="R1060" s="155"/>
      <c r="S1060" s="155"/>
      <c r="T1060" s="155"/>
      <c r="U1060" s="155"/>
      <c r="V1060" s="155"/>
      <c r="W1060" s="155"/>
      <c r="GL1060" s="155"/>
      <c r="GM1060" s="155"/>
      <c r="GN1060" s="155"/>
      <c r="GO1060" s="155"/>
      <c r="GP1060" s="155"/>
      <c r="GQ1060" s="155"/>
      <c r="GR1060" s="155"/>
      <c r="GS1060" s="155"/>
      <c r="GT1060" s="155"/>
      <c r="GU1060" s="155"/>
      <c r="GV1060" s="155"/>
      <c r="GW1060" s="155"/>
      <c r="GX1060" s="155"/>
      <c r="GY1060" s="155"/>
      <c r="GZ1060" s="155"/>
      <c r="HA1060" s="155"/>
      <c r="HB1060" s="155"/>
      <c r="HC1060" s="155"/>
      <c r="HD1060" s="155"/>
      <c r="HE1060" s="155"/>
    </row>
    <row r="1061" spans="2:213" s="156" customFormat="1" hidden="1">
      <c r="B1061" s="155"/>
      <c r="C1061" s="155"/>
      <c r="D1061" s="155"/>
      <c r="E1061" s="155"/>
      <c r="F1061" s="155"/>
      <c r="G1061" s="155"/>
      <c r="H1061" s="155"/>
      <c r="I1061" s="155"/>
      <c r="J1061" s="155"/>
      <c r="K1061" s="155"/>
      <c r="L1061" s="155"/>
      <c r="M1061" s="155"/>
      <c r="N1061" s="155"/>
      <c r="O1061" s="155"/>
      <c r="P1061" s="155"/>
      <c r="Q1061" s="155"/>
      <c r="R1061" s="155"/>
      <c r="S1061" s="155"/>
      <c r="T1061" s="155"/>
      <c r="U1061" s="155"/>
      <c r="V1061" s="155"/>
      <c r="W1061" s="155"/>
      <c r="GL1061" s="155"/>
      <c r="GM1061" s="155"/>
      <c r="GN1061" s="155"/>
      <c r="GO1061" s="155"/>
      <c r="GP1061" s="155"/>
      <c r="GQ1061" s="155"/>
      <c r="GR1061" s="155"/>
      <c r="GS1061" s="155"/>
      <c r="GT1061" s="155"/>
      <c r="GU1061" s="155"/>
      <c r="GV1061" s="155"/>
      <c r="GW1061" s="155"/>
      <c r="GX1061" s="155"/>
      <c r="GY1061" s="155"/>
      <c r="GZ1061" s="155"/>
      <c r="HA1061" s="155"/>
      <c r="HB1061" s="155"/>
      <c r="HC1061" s="155"/>
      <c r="HD1061" s="155"/>
      <c r="HE1061" s="155"/>
    </row>
    <row r="1062" spans="2:213" s="156" customFormat="1" hidden="1">
      <c r="B1062" s="155"/>
      <c r="C1062" s="155"/>
      <c r="D1062" s="155"/>
      <c r="E1062" s="155"/>
      <c r="F1062" s="155"/>
      <c r="G1062" s="155"/>
      <c r="H1062" s="155"/>
      <c r="I1062" s="155"/>
      <c r="J1062" s="155"/>
      <c r="K1062" s="155"/>
      <c r="L1062" s="155"/>
      <c r="M1062" s="155"/>
      <c r="N1062" s="155"/>
      <c r="O1062" s="155"/>
      <c r="P1062" s="155"/>
      <c r="Q1062" s="155"/>
      <c r="R1062" s="155"/>
      <c r="S1062" s="155"/>
      <c r="T1062" s="155"/>
      <c r="U1062" s="155"/>
      <c r="V1062" s="155"/>
      <c r="W1062" s="155"/>
      <c r="GL1062" s="155"/>
      <c r="GM1062" s="155"/>
      <c r="GN1062" s="155"/>
      <c r="GO1062" s="155"/>
      <c r="GP1062" s="155"/>
      <c r="GQ1062" s="155"/>
      <c r="GR1062" s="155"/>
      <c r="GS1062" s="155"/>
      <c r="GT1062" s="155"/>
      <c r="GU1062" s="155"/>
      <c r="GV1062" s="155"/>
      <c r="GW1062" s="155"/>
      <c r="GX1062" s="155"/>
      <c r="GY1062" s="155"/>
      <c r="GZ1062" s="155"/>
      <c r="HA1062" s="155"/>
      <c r="HB1062" s="155"/>
      <c r="HC1062" s="155"/>
      <c r="HD1062" s="155"/>
      <c r="HE1062" s="155"/>
    </row>
    <row r="1063" spans="2:213" s="156" customFormat="1" hidden="1">
      <c r="B1063" s="155"/>
      <c r="C1063" s="155"/>
      <c r="D1063" s="155"/>
      <c r="E1063" s="155"/>
      <c r="F1063" s="155"/>
      <c r="G1063" s="155"/>
      <c r="H1063" s="155"/>
      <c r="I1063" s="155"/>
      <c r="J1063" s="155"/>
      <c r="K1063" s="155"/>
      <c r="L1063" s="155"/>
      <c r="M1063" s="155"/>
      <c r="N1063" s="155"/>
      <c r="O1063" s="155"/>
      <c r="P1063" s="155"/>
      <c r="Q1063" s="155"/>
      <c r="R1063" s="155"/>
      <c r="S1063" s="155"/>
      <c r="T1063" s="155"/>
      <c r="U1063" s="155"/>
      <c r="V1063" s="155"/>
      <c r="W1063" s="155"/>
      <c r="GL1063" s="155"/>
      <c r="GM1063" s="155"/>
      <c r="GN1063" s="155"/>
      <c r="GO1063" s="155"/>
      <c r="GP1063" s="155"/>
      <c r="GQ1063" s="155"/>
      <c r="GR1063" s="155"/>
      <c r="GS1063" s="155"/>
      <c r="GT1063" s="155"/>
      <c r="GU1063" s="155"/>
      <c r="GV1063" s="155"/>
      <c r="GW1063" s="155"/>
      <c r="GX1063" s="155"/>
      <c r="GY1063" s="155"/>
      <c r="GZ1063" s="155"/>
      <c r="HA1063" s="155"/>
      <c r="HB1063" s="155"/>
      <c r="HC1063" s="155"/>
      <c r="HD1063" s="155"/>
      <c r="HE1063" s="155"/>
    </row>
    <row r="1064" spans="2:213" s="156" customFormat="1" hidden="1">
      <c r="B1064" s="155"/>
      <c r="C1064" s="155"/>
      <c r="D1064" s="155"/>
      <c r="E1064" s="155"/>
      <c r="F1064" s="155"/>
      <c r="G1064" s="155"/>
      <c r="H1064" s="155"/>
      <c r="I1064" s="155"/>
      <c r="J1064" s="155"/>
      <c r="K1064" s="155"/>
      <c r="L1064" s="155"/>
      <c r="M1064" s="155"/>
      <c r="N1064" s="155"/>
      <c r="O1064" s="155"/>
      <c r="P1064" s="155"/>
      <c r="Q1064" s="155"/>
      <c r="R1064" s="155"/>
      <c r="S1064" s="155"/>
      <c r="T1064" s="155"/>
      <c r="U1064" s="155"/>
      <c r="V1064" s="155"/>
      <c r="W1064" s="155"/>
      <c r="GL1064" s="155"/>
      <c r="GM1064" s="155"/>
      <c r="GN1064" s="155"/>
      <c r="GO1064" s="155"/>
      <c r="GP1064" s="155"/>
      <c r="GQ1064" s="155"/>
      <c r="GR1064" s="155"/>
      <c r="GS1064" s="155"/>
      <c r="GT1064" s="155"/>
      <c r="GU1064" s="155"/>
      <c r="GV1064" s="155"/>
      <c r="GW1064" s="155"/>
      <c r="GX1064" s="155"/>
      <c r="GY1064" s="155"/>
      <c r="GZ1064" s="155"/>
      <c r="HA1064" s="155"/>
      <c r="HB1064" s="155"/>
      <c r="HC1064" s="155"/>
      <c r="HD1064" s="155"/>
      <c r="HE1064" s="155"/>
    </row>
    <row r="1065" spans="2:213" s="156" customFormat="1" hidden="1">
      <c r="B1065" s="155"/>
      <c r="C1065" s="155"/>
      <c r="D1065" s="155"/>
      <c r="E1065" s="155"/>
      <c r="F1065" s="155"/>
      <c r="G1065" s="155"/>
      <c r="H1065" s="155"/>
      <c r="I1065" s="155"/>
      <c r="J1065" s="155"/>
      <c r="K1065" s="155"/>
      <c r="L1065" s="155"/>
      <c r="M1065" s="155"/>
      <c r="N1065" s="155"/>
      <c r="O1065" s="155"/>
      <c r="P1065" s="155"/>
      <c r="Q1065" s="155"/>
      <c r="R1065" s="155"/>
      <c r="S1065" s="155"/>
      <c r="T1065" s="155"/>
      <c r="U1065" s="155"/>
      <c r="V1065" s="155"/>
      <c r="W1065" s="155"/>
      <c r="GL1065" s="155"/>
      <c r="GM1065" s="155"/>
      <c r="GN1065" s="155"/>
      <c r="GO1065" s="155"/>
      <c r="GP1065" s="155"/>
      <c r="GQ1065" s="155"/>
      <c r="GR1065" s="155"/>
      <c r="GS1065" s="155"/>
      <c r="GT1065" s="155"/>
      <c r="GU1065" s="155"/>
      <c r="GV1065" s="155"/>
      <c r="GW1065" s="155"/>
      <c r="GX1065" s="155"/>
      <c r="GY1065" s="155"/>
      <c r="GZ1065" s="155"/>
      <c r="HA1065" s="155"/>
      <c r="HB1065" s="155"/>
      <c r="HC1065" s="155"/>
      <c r="HD1065" s="155"/>
      <c r="HE1065" s="155"/>
    </row>
    <row r="1066" spans="2:213" s="156" customFormat="1" hidden="1">
      <c r="B1066" s="155"/>
      <c r="C1066" s="155"/>
      <c r="D1066" s="155"/>
      <c r="E1066" s="155"/>
      <c r="F1066" s="155"/>
      <c r="G1066" s="155"/>
      <c r="H1066" s="155"/>
      <c r="I1066" s="155"/>
      <c r="J1066" s="155"/>
      <c r="K1066" s="155"/>
      <c r="L1066" s="155"/>
      <c r="M1066" s="155"/>
      <c r="N1066" s="155"/>
      <c r="O1066" s="155"/>
      <c r="P1066" s="155"/>
      <c r="Q1066" s="155"/>
      <c r="R1066" s="155"/>
      <c r="S1066" s="155"/>
      <c r="T1066" s="155"/>
      <c r="U1066" s="155"/>
      <c r="V1066" s="155"/>
      <c r="W1066" s="155"/>
      <c r="GL1066" s="155"/>
      <c r="GM1066" s="155"/>
      <c r="GN1066" s="155"/>
      <c r="GO1066" s="155"/>
      <c r="GP1066" s="155"/>
      <c r="GQ1066" s="155"/>
      <c r="GR1066" s="155"/>
      <c r="GS1066" s="155"/>
      <c r="GT1066" s="155"/>
      <c r="GU1066" s="155"/>
      <c r="GV1066" s="155"/>
      <c r="GW1066" s="155"/>
      <c r="GX1066" s="155"/>
      <c r="GY1066" s="155"/>
      <c r="GZ1066" s="155"/>
      <c r="HA1066" s="155"/>
      <c r="HB1066" s="155"/>
      <c r="HC1066" s="155"/>
      <c r="HD1066" s="155"/>
      <c r="HE1066" s="155"/>
    </row>
    <row r="1067" spans="2:213" s="156" customFormat="1" hidden="1">
      <c r="B1067" s="155"/>
      <c r="C1067" s="155"/>
      <c r="D1067" s="155"/>
      <c r="E1067" s="155"/>
      <c r="F1067" s="155"/>
      <c r="G1067" s="155"/>
      <c r="H1067" s="155"/>
      <c r="I1067" s="155"/>
      <c r="J1067" s="155"/>
      <c r="K1067" s="155"/>
      <c r="L1067" s="155"/>
      <c r="M1067" s="155"/>
      <c r="N1067" s="155"/>
      <c r="O1067" s="155"/>
      <c r="P1067" s="155"/>
      <c r="Q1067" s="155"/>
      <c r="R1067" s="155"/>
      <c r="S1067" s="155"/>
      <c r="T1067" s="155"/>
      <c r="U1067" s="155"/>
      <c r="V1067" s="155"/>
      <c r="W1067" s="155"/>
      <c r="GL1067" s="155"/>
      <c r="GM1067" s="155"/>
      <c r="GN1067" s="155"/>
      <c r="GO1067" s="155"/>
      <c r="GP1067" s="155"/>
      <c r="GQ1067" s="155"/>
      <c r="GR1067" s="155"/>
      <c r="GS1067" s="155"/>
      <c r="GT1067" s="155"/>
      <c r="GU1067" s="155"/>
      <c r="GV1067" s="155"/>
      <c r="GW1067" s="155"/>
      <c r="GX1067" s="155"/>
      <c r="GY1067" s="155"/>
      <c r="GZ1067" s="155"/>
      <c r="HA1067" s="155"/>
      <c r="HB1067" s="155"/>
      <c r="HC1067" s="155"/>
      <c r="HD1067" s="155"/>
      <c r="HE1067" s="155"/>
    </row>
    <row r="1068" spans="2:213" s="156" customFormat="1" hidden="1">
      <c r="B1068" s="155"/>
      <c r="C1068" s="155"/>
      <c r="D1068" s="155"/>
      <c r="E1068" s="155"/>
      <c r="F1068" s="155"/>
      <c r="G1068" s="155"/>
      <c r="H1068" s="155"/>
      <c r="I1068" s="155"/>
      <c r="J1068" s="155"/>
      <c r="K1068" s="155"/>
      <c r="L1068" s="155"/>
      <c r="M1068" s="155"/>
      <c r="N1068" s="155"/>
      <c r="O1068" s="155"/>
      <c r="P1068" s="155"/>
      <c r="Q1068" s="155"/>
      <c r="R1068" s="155"/>
      <c r="S1068" s="155"/>
      <c r="T1068" s="155"/>
      <c r="U1068" s="155"/>
      <c r="V1068" s="155"/>
      <c r="W1068" s="155"/>
      <c r="GL1068" s="155"/>
      <c r="GM1068" s="155"/>
      <c r="GN1068" s="155"/>
      <c r="GO1068" s="155"/>
      <c r="GP1068" s="155"/>
      <c r="GQ1068" s="155"/>
      <c r="GR1068" s="155"/>
      <c r="GS1068" s="155"/>
      <c r="GT1068" s="155"/>
      <c r="GU1068" s="155"/>
      <c r="GV1068" s="155"/>
      <c r="GW1068" s="155"/>
      <c r="GX1068" s="155"/>
      <c r="GY1068" s="155"/>
      <c r="GZ1068" s="155"/>
      <c r="HA1068" s="155"/>
      <c r="HB1068" s="155"/>
      <c r="HC1068" s="155"/>
      <c r="HD1068" s="155"/>
      <c r="HE1068" s="155"/>
    </row>
    <row r="1069" spans="2:213" s="156" customFormat="1" hidden="1">
      <c r="B1069" s="155"/>
      <c r="C1069" s="155"/>
      <c r="D1069" s="155"/>
      <c r="E1069" s="155"/>
      <c r="F1069" s="155"/>
      <c r="G1069" s="155"/>
      <c r="H1069" s="155"/>
      <c r="I1069" s="155"/>
      <c r="J1069" s="155"/>
      <c r="K1069" s="155"/>
      <c r="L1069" s="155"/>
      <c r="M1069" s="155"/>
      <c r="N1069" s="155"/>
      <c r="O1069" s="155"/>
      <c r="P1069" s="155"/>
      <c r="Q1069" s="155"/>
      <c r="R1069" s="155"/>
      <c r="S1069" s="155"/>
      <c r="T1069" s="155"/>
      <c r="U1069" s="155"/>
      <c r="V1069" s="155"/>
      <c r="W1069" s="155"/>
      <c r="GL1069" s="155"/>
      <c r="GM1069" s="155"/>
      <c r="GN1069" s="155"/>
      <c r="GO1069" s="155"/>
      <c r="GP1069" s="155"/>
      <c r="GQ1069" s="155"/>
      <c r="GR1069" s="155"/>
      <c r="GS1069" s="155"/>
      <c r="GT1069" s="155"/>
      <c r="GU1069" s="155"/>
      <c r="GV1069" s="155"/>
      <c r="GW1069" s="155"/>
      <c r="GX1069" s="155"/>
      <c r="GY1069" s="155"/>
      <c r="GZ1069" s="155"/>
      <c r="HA1069" s="155"/>
      <c r="HB1069" s="155"/>
      <c r="HC1069" s="155"/>
      <c r="HD1069" s="155"/>
      <c r="HE1069" s="155"/>
    </row>
    <row r="1070" spans="2:213" s="156" customFormat="1" hidden="1">
      <c r="B1070" s="155"/>
      <c r="C1070" s="155"/>
      <c r="D1070" s="155"/>
      <c r="E1070" s="155"/>
      <c r="F1070" s="155"/>
      <c r="G1070" s="155"/>
      <c r="H1070" s="155"/>
      <c r="I1070" s="155"/>
      <c r="J1070" s="155"/>
      <c r="K1070" s="155"/>
      <c r="L1070" s="155"/>
      <c r="M1070" s="155"/>
      <c r="N1070" s="155"/>
      <c r="O1070" s="155"/>
      <c r="P1070" s="155"/>
      <c r="Q1070" s="155"/>
      <c r="R1070" s="155"/>
      <c r="S1070" s="155"/>
      <c r="T1070" s="155"/>
      <c r="U1070" s="155"/>
      <c r="V1070" s="155"/>
      <c r="W1070" s="155"/>
      <c r="GL1070" s="155"/>
      <c r="GM1070" s="155"/>
      <c r="GN1070" s="155"/>
      <c r="GO1070" s="155"/>
      <c r="GP1070" s="155"/>
      <c r="GQ1070" s="155"/>
      <c r="GR1070" s="155"/>
      <c r="GS1070" s="155"/>
      <c r="GT1070" s="155"/>
      <c r="GU1070" s="155"/>
      <c r="GV1070" s="155"/>
      <c r="GW1070" s="155"/>
      <c r="GX1070" s="155"/>
      <c r="GY1070" s="155"/>
      <c r="GZ1070" s="155"/>
      <c r="HA1070" s="155"/>
      <c r="HB1070" s="155"/>
      <c r="HC1070" s="155"/>
      <c r="HD1070" s="155"/>
      <c r="HE1070" s="155"/>
    </row>
    <row r="1071" spans="2:213" s="156" customFormat="1" hidden="1">
      <c r="B1071" s="155"/>
      <c r="C1071" s="155"/>
      <c r="D1071" s="155"/>
      <c r="E1071" s="155"/>
      <c r="F1071" s="155"/>
      <c r="G1071" s="155"/>
      <c r="H1071" s="155"/>
      <c r="I1071" s="155"/>
      <c r="J1071" s="155"/>
      <c r="K1071" s="155"/>
      <c r="L1071" s="155"/>
      <c r="M1071" s="155"/>
      <c r="N1071" s="155"/>
      <c r="O1071" s="155"/>
      <c r="P1071" s="155"/>
      <c r="Q1071" s="155"/>
      <c r="R1071" s="155"/>
      <c r="S1071" s="155"/>
      <c r="T1071" s="155"/>
      <c r="U1071" s="155"/>
      <c r="V1071" s="155"/>
      <c r="W1071" s="155"/>
      <c r="GL1071" s="155"/>
      <c r="GM1071" s="155"/>
      <c r="GN1071" s="155"/>
      <c r="GO1071" s="155"/>
      <c r="GP1071" s="155"/>
      <c r="GQ1071" s="155"/>
      <c r="GR1071" s="155"/>
      <c r="GS1071" s="155"/>
      <c r="GT1071" s="155"/>
      <c r="GU1071" s="155"/>
      <c r="GV1071" s="155"/>
      <c r="GW1071" s="155"/>
      <c r="GX1071" s="155"/>
      <c r="GY1071" s="155"/>
      <c r="GZ1071" s="155"/>
      <c r="HA1071" s="155"/>
      <c r="HB1071" s="155"/>
      <c r="HC1071" s="155"/>
      <c r="HD1071" s="155"/>
      <c r="HE1071" s="155"/>
    </row>
    <row r="1072" spans="2:213" s="156" customFormat="1" hidden="1">
      <c r="B1072" s="155"/>
      <c r="C1072" s="155"/>
      <c r="D1072" s="155"/>
      <c r="E1072" s="155"/>
      <c r="F1072" s="155"/>
      <c r="G1072" s="155"/>
      <c r="H1072" s="155"/>
      <c r="I1072" s="155"/>
      <c r="J1072" s="155"/>
      <c r="K1072" s="155"/>
      <c r="L1072" s="155"/>
      <c r="M1072" s="155"/>
      <c r="N1072" s="155"/>
      <c r="O1072" s="155"/>
      <c r="P1072" s="155"/>
      <c r="Q1072" s="155"/>
      <c r="R1072" s="155"/>
      <c r="S1072" s="155"/>
      <c r="T1072" s="155"/>
      <c r="U1072" s="155"/>
      <c r="V1072" s="155"/>
      <c r="W1072" s="155"/>
      <c r="GL1072" s="155"/>
      <c r="GM1072" s="155"/>
      <c r="GN1072" s="155"/>
      <c r="GO1072" s="155"/>
      <c r="GP1072" s="155"/>
      <c r="GQ1072" s="155"/>
      <c r="GR1072" s="155"/>
      <c r="GS1072" s="155"/>
      <c r="GT1072" s="155"/>
      <c r="GU1072" s="155"/>
      <c r="GV1072" s="155"/>
      <c r="GW1072" s="155"/>
      <c r="GX1072" s="155"/>
      <c r="GY1072" s="155"/>
      <c r="GZ1072" s="155"/>
      <c r="HA1072" s="155"/>
      <c r="HB1072" s="155"/>
      <c r="HC1072" s="155"/>
      <c r="HD1072" s="155"/>
      <c r="HE1072" s="155"/>
    </row>
    <row r="1073" spans="2:213" s="156" customFormat="1" hidden="1">
      <c r="B1073" s="155"/>
      <c r="C1073" s="155"/>
      <c r="D1073" s="155"/>
      <c r="E1073" s="155"/>
      <c r="F1073" s="155"/>
      <c r="G1073" s="155"/>
      <c r="H1073" s="155"/>
      <c r="I1073" s="155"/>
      <c r="J1073" s="155"/>
      <c r="K1073" s="155"/>
      <c r="L1073" s="155"/>
      <c r="M1073" s="155"/>
      <c r="N1073" s="155"/>
      <c r="O1073" s="155"/>
      <c r="P1073" s="155"/>
      <c r="Q1073" s="155"/>
      <c r="R1073" s="155"/>
      <c r="S1073" s="155"/>
      <c r="T1073" s="155"/>
      <c r="U1073" s="155"/>
      <c r="V1073" s="155"/>
      <c r="W1073" s="155"/>
      <c r="GL1073" s="155"/>
      <c r="GM1073" s="155"/>
      <c r="GN1073" s="155"/>
      <c r="GO1073" s="155"/>
      <c r="GP1073" s="155"/>
      <c r="GQ1073" s="155"/>
      <c r="GR1073" s="155"/>
      <c r="GS1073" s="155"/>
      <c r="GT1073" s="155"/>
      <c r="GU1073" s="155"/>
      <c r="GV1073" s="155"/>
      <c r="GW1073" s="155"/>
      <c r="GX1073" s="155"/>
      <c r="GY1073" s="155"/>
      <c r="GZ1073" s="155"/>
      <c r="HA1073" s="155"/>
      <c r="HB1073" s="155"/>
      <c r="HC1073" s="155"/>
      <c r="HD1073" s="155"/>
      <c r="HE1073" s="155"/>
    </row>
    <row r="1074" spans="2:213" s="156" customFormat="1" hidden="1">
      <c r="B1074" s="155"/>
      <c r="C1074" s="155"/>
      <c r="D1074" s="155"/>
      <c r="E1074" s="155"/>
      <c r="F1074" s="155"/>
      <c r="G1074" s="155"/>
      <c r="H1074" s="155"/>
      <c r="I1074" s="155"/>
      <c r="J1074" s="155"/>
      <c r="K1074" s="155"/>
      <c r="L1074" s="155"/>
      <c r="M1074" s="155"/>
      <c r="N1074" s="155"/>
      <c r="O1074" s="155"/>
      <c r="P1074" s="155"/>
      <c r="Q1074" s="155"/>
      <c r="R1074" s="155"/>
      <c r="S1074" s="155"/>
      <c r="T1074" s="155"/>
      <c r="U1074" s="155"/>
      <c r="V1074" s="155"/>
      <c r="W1074" s="155"/>
      <c r="GL1074" s="155"/>
      <c r="GM1074" s="155"/>
      <c r="GN1074" s="155"/>
      <c r="GO1074" s="155"/>
      <c r="GP1074" s="155"/>
      <c r="GQ1074" s="155"/>
      <c r="GR1074" s="155"/>
      <c r="GS1074" s="155"/>
      <c r="GT1074" s="155"/>
      <c r="GU1074" s="155"/>
      <c r="GV1074" s="155"/>
      <c r="GW1074" s="155"/>
      <c r="GX1074" s="155"/>
      <c r="GY1074" s="155"/>
      <c r="GZ1074" s="155"/>
      <c r="HA1074" s="155"/>
      <c r="HB1074" s="155"/>
      <c r="HC1074" s="155"/>
      <c r="HD1074" s="155"/>
      <c r="HE1074" s="155"/>
    </row>
    <row r="1075" spans="2:213" s="156" customFormat="1" hidden="1">
      <c r="B1075" s="155"/>
      <c r="C1075" s="155"/>
      <c r="D1075" s="155"/>
      <c r="E1075" s="155"/>
      <c r="F1075" s="155"/>
      <c r="G1075" s="155"/>
      <c r="H1075" s="155"/>
      <c r="I1075" s="155"/>
      <c r="J1075" s="155"/>
      <c r="K1075" s="155"/>
      <c r="L1075" s="155"/>
      <c r="M1075" s="155"/>
      <c r="N1075" s="155"/>
      <c r="O1075" s="155"/>
      <c r="P1075" s="155"/>
      <c r="Q1075" s="155"/>
      <c r="R1075" s="155"/>
      <c r="S1075" s="155"/>
      <c r="T1075" s="155"/>
      <c r="U1075" s="155"/>
      <c r="V1075" s="155"/>
      <c r="W1075" s="155"/>
      <c r="GL1075" s="155"/>
      <c r="GM1075" s="155"/>
      <c r="GN1075" s="155"/>
      <c r="GO1075" s="155"/>
      <c r="GP1075" s="155"/>
      <c r="GQ1075" s="155"/>
      <c r="GR1075" s="155"/>
      <c r="GS1075" s="155"/>
      <c r="GT1075" s="155"/>
      <c r="GU1075" s="155"/>
      <c r="GV1075" s="155"/>
      <c r="GW1075" s="155"/>
      <c r="GX1075" s="155"/>
      <c r="GY1075" s="155"/>
      <c r="GZ1075" s="155"/>
      <c r="HA1075" s="155"/>
      <c r="HB1075" s="155"/>
      <c r="HC1075" s="155"/>
      <c r="HD1075" s="155"/>
      <c r="HE1075" s="155"/>
    </row>
    <row r="1076" spans="2:213" s="156" customFormat="1" hidden="1">
      <c r="B1076" s="155"/>
      <c r="C1076" s="155"/>
      <c r="D1076" s="155"/>
      <c r="E1076" s="155"/>
      <c r="F1076" s="155"/>
      <c r="G1076" s="155"/>
      <c r="H1076" s="155"/>
      <c r="I1076" s="155"/>
      <c r="J1076" s="155"/>
      <c r="K1076" s="155"/>
      <c r="L1076" s="155"/>
      <c r="M1076" s="155"/>
      <c r="N1076" s="155"/>
      <c r="O1076" s="155"/>
      <c r="P1076" s="155"/>
      <c r="Q1076" s="155"/>
      <c r="R1076" s="155"/>
      <c r="S1076" s="155"/>
      <c r="T1076" s="155"/>
      <c r="U1076" s="155"/>
      <c r="V1076" s="155"/>
      <c r="W1076" s="155"/>
      <c r="GL1076" s="155"/>
      <c r="GM1076" s="155"/>
      <c r="GN1076" s="155"/>
      <c r="GO1076" s="155"/>
      <c r="GP1076" s="155"/>
      <c r="GQ1076" s="155"/>
      <c r="GR1076" s="155"/>
      <c r="GS1076" s="155"/>
      <c r="GT1076" s="155"/>
      <c r="GU1076" s="155"/>
      <c r="GV1076" s="155"/>
      <c r="GW1076" s="155"/>
      <c r="GX1076" s="155"/>
      <c r="GY1076" s="155"/>
      <c r="GZ1076" s="155"/>
      <c r="HA1076" s="155"/>
      <c r="HB1076" s="155"/>
      <c r="HC1076" s="155"/>
      <c r="HD1076" s="155"/>
      <c r="HE1076" s="155"/>
    </row>
    <row r="1077" spans="2:213" s="156" customFormat="1" hidden="1">
      <c r="B1077" s="155"/>
      <c r="C1077" s="155"/>
      <c r="D1077" s="155"/>
      <c r="E1077" s="155"/>
      <c r="F1077" s="155"/>
      <c r="G1077" s="155"/>
      <c r="H1077" s="155"/>
      <c r="I1077" s="155"/>
      <c r="J1077" s="155"/>
      <c r="K1077" s="155"/>
      <c r="L1077" s="155"/>
      <c r="M1077" s="155"/>
      <c r="N1077" s="155"/>
      <c r="O1077" s="155"/>
      <c r="P1077" s="155"/>
      <c r="Q1077" s="155"/>
      <c r="R1077" s="155"/>
      <c r="S1077" s="155"/>
      <c r="T1077" s="155"/>
      <c r="U1077" s="155"/>
      <c r="V1077" s="155"/>
      <c r="W1077" s="155"/>
      <c r="GL1077" s="155"/>
      <c r="GM1077" s="155"/>
      <c r="GN1077" s="155"/>
      <c r="GO1077" s="155"/>
      <c r="GP1077" s="155"/>
      <c r="GQ1077" s="155"/>
      <c r="GR1077" s="155"/>
      <c r="GS1077" s="155"/>
      <c r="GT1077" s="155"/>
      <c r="GU1077" s="155"/>
      <c r="GV1077" s="155"/>
      <c r="GW1077" s="155"/>
      <c r="GX1077" s="155"/>
      <c r="GY1077" s="155"/>
      <c r="GZ1077" s="155"/>
      <c r="HA1077" s="155"/>
      <c r="HB1077" s="155"/>
      <c r="HC1077" s="155"/>
      <c r="HD1077" s="155"/>
      <c r="HE1077" s="155"/>
    </row>
    <row r="1078" spans="2:213" s="156" customFormat="1" hidden="1">
      <c r="B1078" s="155"/>
      <c r="C1078" s="155"/>
      <c r="D1078" s="155"/>
      <c r="E1078" s="155"/>
      <c r="F1078" s="155"/>
      <c r="G1078" s="155"/>
      <c r="H1078" s="155"/>
      <c r="I1078" s="155"/>
      <c r="J1078" s="155"/>
      <c r="K1078" s="155"/>
      <c r="L1078" s="155"/>
      <c r="M1078" s="155"/>
      <c r="N1078" s="155"/>
      <c r="O1078" s="155"/>
      <c r="P1078" s="155"/>
      <c r="Q1078" s="155"/>
      <c r="R1078" s="155"/>
      <c r="S1078" s="155"/>
      <c r="T1078" s="155"/>
      <c r="U1078" s="155"/>
      <c r="V1078" s="155"/>
      <c r="W1078" s="155"/>
      <c r="GL1078" s="155"/>
      <c r="GM1078" s="155"/>
      <c r="GN1078" s="155"/>
      <c r="GO1078" s="155"/>
      <c r="GP1078" s="155"/>
      <c r="GQ1078" s="155"/>
      <c r="GR1078" s="155"/>
      <c r="GS1078" s="155"/>
      <c r="GT1078" s="155"/>
      <c r="GU1078" s="155"/>
      <c r="GV1078" s="155"/>
      <c r="GW1078" s="155"/>
      <c r="GX1078" s="155"/>
      <c r="GY1078" s="155"/>
      <c r="GZ1078" s="155"/>
      <c r="HA1078" s="155"/>
      <c r="HB1078" s="155"/>
      <c r="HC1078" s="155"/>
      <c r="HD1078" s="155"/>
      <c r="HE1078" s="155"/>
    </row>
    <row r="1079" spans="2:213" s="156" customFormat="1" hidden="1">
      <c r="B1079" s="155"/>
      <c r="C1079" s="155"/>
      <c r="D1079" s="155"/>
      <c r="E1079" s="155"/>
      <c r="F1079" s="155"/>
      <c r="G1079" s="155"/>
      <c r="H1079" s="155"/>
      <c r="I1079" s="155"/>
      <c r="J1079" s="155"/>
      <c r="K1079" s="155"/>
      <c r="L1079" s="155"/>
      <c r="M1079" s="155"/>
      <c r="N1079" s="155"/>
      <c r="O1079" s="155"/>
      <c r="P1079" s="155"/>
      <c r="Q1079" s="155"/>
      <c r="R1079" s="155"/>
      <c r="S1079" s="155"/>
      <c r="T1079" s="155"/>
      <c r="U1079" s="155"/>
      <c r="V1079" s="155"/>
      <c r="W1079" s="155"/>
      <c r="GL1079" s="155"/>
      <c r="GM1079" s="155"/>
      <c r="GN1079" s="155"/>
      <c r="GO1079" s="155"/>
      <c r="GP1079" s="155"/>
      <c r="GQ1079" s="155"/>
      <c r="GR1079" s="155"/>
      <c r="GS1079" s="155"/>
      <c r="GT1079" s="155"/>
      <c r="GU1079" s="155"/>
      <c r="GV1079" s="155"/>
      <c r="GW1079" s="155"/>
      <c r="GX1079" s="155"/>
      <c r="GY1079" s="155"/>
      <c r="GZ1079" s="155"/>
      <c r="HA1079" s="155"/>
      <c r="HB1079" s="155"/>
      <c r="HC1079" s="155"/>
      <c r="HD1079" s="155"/>
      <c r="HE1079" s="155"/>
    </row>
    <row r="1080" spans="2:213" s="156" customFormat="1" hidden="1">
      <c r="B1080" s="155"/>
      <c r="C1080" s="155"/>
      <c r="D1080" s="155"/>
      <c r="E1080" s="155"/>
      <c r="F1080" s="155"/>
      <c r="G1080" s="155"/>
      <c r="H1080" s="155"/>
      <c r="I1080" s="155"/>
      <c r="J1080" s="155"/>
      <c r="K1080" s="155"/>
      <c r="L1080" s="155"/>
      <c r="M1080" s="155"/>
      <c r="N1080" s="155"/>
      <c r="O1080" s="155"/>
      <c r="P1080" s="155"/>
      <c r="Q1080" s="155"/>
      <c r="R1080" s="155"/>
      <c r="S1080" s="155"/>
      <c r="T1080" s="155"/>
      <c r="U1080" s="155"/>
      <c r="V1080" s="155"/>
      <c r="W1080" s="155"/>
      <c r="GL1080" s="155"/>
      <c r="GM1080" s="155"/>
      <c r="GN1080" s="155"/>
      <c r="GO1080" s="155"/>
      <c r="GP1080" s="155"/>
      <c r="GQ1080" s="155"/>
      <c r="GR1080" s="155"/>
      <c r="GS1080" s="155"/>
      <c r="GT1080" s="155"/>
      <c r="GU1080" s="155"/>
      <c r="GV1080" s="155"/>
      <c r="GW1080" s="155"/>
      <c r="GX1080" s="155"/>
      <c r="GY1080" s="155"/>
      <c r="GZ1080" s="155"/>
      <c r="HA1080" s="155"/>
      <c r="HB1080" s="155"/>
      <c r="HC1080" s="155"/>
      <c r="HD1080" s="155"/>
      <c r="HE1080" s="155"/>
    </row>
    <row r="1081" spans="2:213" s="156" customFormat="1" hidden="1">
      <c r="B1081" s="155"/>
      <c r="C1081" s="155"/>
      <c r="D1081" s="155"/>
      <c r="E1081" s="155"/>
      <c r="F1081" s="155"/>
      <c r="G1081" s="155"/>
      <c r="H1081" s="155"/>
      <c r="I1081" s="155"/>
      <c r="J1081" s="155"/>
      <c r="K1081" s="155"/>
      <c r="L1081" s="155"/>
      <c r="M1081" s="155"/>
      <c r="N1081" s="155"/>
      <c r="O1081" s="155"/>
      <c r="P1081" s="155"/>
      <c r="Q1081" s="155"/>
      <c r="R1081" s="155"/>
      <c r="S1081" s="155"/>
      <c r="T1081" s="155"/>
      <c r="U1081" s="155"/>
      <c r="V1081" s="155"/>
      <c r="W1081" s="155"/>
      <c r="GL1081" s="155"/>
      <c r="GM1081" s="155"/>
      <c r="GN1081" s="155"/>
      <c r="GO1081" s="155"/>
      <c r="GP1081" s="155"/>
      <c r="GQ1081" s="155"/>
      <c r="GR1081" s="155"/>
      <c r="GS1081" s="155"/>
      <c r="GT1081" s="155"/>
      <c r="GU1081" s="155"/>
      <c r="GV1081" s="155"/>
      <c r="GW1081" s="155"/>
      <c r="GX1081" s="155"/>
      <c r="GY1081" s="155"/>
      <c r="GZ1081" s="155"/>
      <c r="HA1081" s="155"/>
      <c r="HB1081" s="155"/>
      <c r="HC1081" s="155"/>
      <c r="HD1081" s="155"/>
      <c r="HE1081" s="155"/>
    </row>
    <row r="1082" spans="2:213" s="156" customFormat="1" hidden="1">
      <c r="B1082" s="155"/>
      <c r="C1082" s="155"/>
      <c r="D1082" s="155"/>
      <c r="E1082" s="155"/>
      <c r="F1082" s="155"/>
      <c r="G1082" s="155"/>
      <c r="H1082" s="155"/>
      <c r="I1082" s="155"/>
      <c r="J1082" s="155"/>
      <c r="K1082" s="155"/>
      <c r="L1082" s="155"/>
      <c r="M1082" s="155"/>
      <c r="N1082" s="155"/>
      <c r="O1082" s="155"/>
      <c r="P1082" s="155"/>
      <c r="Q1082" s="155"/>
      <c r="R1082" s="155"/>
      <c r="S1082" s="155"/>
      <c r="T1082" s="155"/>
      <c r="U1082" s="155"/>
      <c r="V1082" s="155"/>
      <c r="W1082" s="155"/>
      <c r="GL1082" s="155"/>
      <c r="GM1082" s="155"/>
      <c r="GN1082" s="155"/>
      <c r="GO1082" s="155"/>
      <c r="GP1082" s="155"/>
      <c r="GQ1082" s="155"/>
      <c r="GR1082" s="155"/>
      <c r="GS1082" s="155"/>
      <c r="GT1082" s="155"/>
      <c r="GU1082" s="155"/>
      <c r="GV1082" s="155"/>
      <c r="GW1082" s="155"/>
      <c r="GX1082" s="155"/>
      <c r="GY1082" s="155"/>
      <c r="GZ1082" s="155"/>
      <c r="HA1082" s="155"/>
      <c r="HB1082" s="155"/>
      <c r="HC1082" s="155"/>
      <c r="HD1082" s="155"/>
      <c r="HE1082" s="155"/>
    </row>
    <row r="1083" spans="2:213" s="156" customFormat="1" hidden="1">
      <c r="B1083" s="155"/>
      <c r="C1083" s="155"/>
      <c r="D1083" s="155"/>
      <c r="E1083" s="155"/>
      <c r="F1083" s="155"/>
      <c r="G1083" s="155"/>
      <c r="H1083" s="155"/>
      <c r="I1083" s="155"/>
      <c r="J1083" s="155"/>
      <c r="K1083" s="155"/>
      <c r="L1083" s="155"/>
      <c r="M1083" s="155"/>
      <c r="N1083" s="155"/>
      <c r="O1083" s="155"/>
      <c r="P1083" s="155"/>
      <c r="Q1083" s="155"/>
      <c r="R1083" s="155"/>
      <c r="S1083" s="155"/>
      <c r="T1083" s="155"/>
      <c r="U1083" s="155"/>
      <c r="V1083" s="155"/>
      <c r="W1083" s="155"/>
      <c r="GL1083" s="155"/>
      <c r="GM1083" s="155"/>
      <c r="GN1083" s="155"/>
      <c r="GO1083" s="155"/>
      <c r="GP1083" s="155"/>
      <c r="GQ1083" s="155"/>
      <c r="GR1083" s="155"/>
      <c r="GS1083" s="155"/>
      <c r="GT1083" s="155"/>
      <c r="GU1083" s="155"/>
      <c r="GV1083" s="155"/>
      <c r="GW1083" s="155"/>
      <c r="GX1083" s="155"/>
      <c r="GY1083" s="155"/>
      <c r="GZ1083" s="155"/>
      <c r="HA1083" s="155"/>
      <c r="HB1083" s="155"/>
      <c r="HC1083" s="155"/>
      <c r="HD1083" s="155"/>
      <c r="HE1083" s="155"/>
    </row>
    <row r="1084" spans="2:213" s="156" customFormat="1" hidden="1">
      <c r="B1084" s="155"/>
      <c r="C1084" s="155"/>
      <c r="D1084" s="155"/>
      <c r="E1084" s="155"/>
      <c r="F1084" s="155"/>
      <c r="G1084" s="155"/>
      <c r="H1084" s="155"/>
      <c r="I1084" s="155"/>
      <c r="J1084" s="155"/>
      <c r="K1084" s="155"/>
      <c r="L1084" s="155"/>
      <c r="M1084" s="155"/>
      <c r="N1084" s="155"/>
      <c r="O1084" s="155"/>
      <c r="P1084" s="155"/>
      <c r="Q1084" s="155"/>
      <c r="R1084" s="155"/>
      <c r="S1084" s="155"/>
      <c r="T1084" s="155"/>
      <c r="U1084" s="155"/>
      <c r="V1084" s="155"/>
      <c r="W1084" s="155"/>
      <c r="GL1084" s="155"/>
      <c r="GM1084" s="155"/>
      <c r="GN1084" s="155"/>
      <c r="GO1084" s="155"/>
      <c r="GP1084" s="155"/>
      <c r="GQ1084" s="155"/>
      <c r="GR1084" s="155"/>
      <c r="GS1084" s="155"/>
      <c r="GT1084" s="155"/>
      <c r="GU1084" s="155"/>
      <c r="GV1084" s="155"/>
      <c r="GW1084" s="155"/>
      <c r="GX1084" s="155"/>
      <c r="GY1084" s="155"/>
      <c r="GZ1084" s="155"/>
      <c r="HA1084" s="155"/>
      <c r="HB1084" s="155"/>
      <c r="HC1084" s="155"/>
      <c r="HD1084" s="155"/>
      <c r="HE1084" s="155"/>
    </row>
    <row r="1085" spans="2:213" s="156" customFormat="1" hidden="1">
      <c r="B1085" s="155"/>
      <c r="C1085" s="155"/>
      <c r="D1085" s="155"/>
      <c r="E1085" s="155"/>
      <c r="F1085" s="155"/>
      <c r="G1085" s="155"/>
      <c r="H1085" s="155"/>
      <c r="I1085" s="155"/>
      <c r="J1085" s="155"/>
      <c r="K1085" s="155"/>
      <c r="L1085" s="155"/>
      <c r="M1085" s="155"/>
      <c r="N1085" s="155"/>
      <c r="O1085" s="155"/>
      <c r="P1085" s="155"/>
      <c r="Q1085" s="155"/>
      <c r="R1085" s="155"/>
      <c r="S1085" s="155"/>
      <c r="T1085" s="155"/>
      <c r="U1085" s="155"/>
      <c r="V1085" s="155"/>
      <c r="W1085" s="155"/>
      <c r="GL1085" s="155"/>
      <c r="GM1085" s="155"/>
      <c r="GN1085" s="155"/>
      <c r="GO1085" s="155"/>
      <c r="GP1085" s="155"/>
      <c r="GQ1085" s="155"/>
      <c r="GR1085" s="155"/>
      <c r="GS1085" s="155"/>
      <c r="GT1085" s="155"/>
      <c r="GU1085" s="155"/>
      <c r="GV1085" s="155"/>
      <c r="GW1085" s="155"/>
      <c r="GX1085" s="155"/>
      <c r="GY1085" s="155"/>
      <c r="GZ1085" s="155"/>
      <c r="HA1085" s="155"/>
      <c r="HB1085" s="155"/>
      <c r="HC1085" s="155"/>
      <c r="HD1085" s="155"/>
      <c r="HE1085" s="155"/>
    </row>
    <row r="1086" spans="2:213" s="156" customFormat="1" hidden="1">
      <c r="B1086" s="155"/>
      <c r="C1086" s="155"/>
      <c r="D1086" s="155"/>
      <c r="E1086" s="155"/>
      <c r="F1086" s="155"/>
      <c r="G1086" s="155"/>
      <c r="H1086" s="155"/>
      <c r="I1086" s="155"/>
      <c r="J1086" s="155"/>
      <c r="K1086" s="155"/>
      <c r="L1086" s="155"/>
      <c r="M1086" s="155"/>
      <c r="N1086" s="155"/>
      <c r="O1086" s="155"/>
      <c r="P1086" s="155"/>
      <c r="Q1086" s="155"/>
      <c r="R1086" s="155"/>
      <c r="S1086" s="155"/>
      <c r="T1086" s="155"/>
      <c r="U1086" s="155"/>
      <c r="V1086" s="155"/>
      <c r="W1086" s="155"/>
      <c r="GL1086" s="155"/>
      <c r="GM1086" s="155"/>
      <c r="GN1086" s="155"/>
      <c r="GO1086" s="155"/>
      <c r="GP1086" s="155"/>
      <c r="GQ1086" s="155"/>
      <c r="GR1086" s="155"/>
      <c r="GS1086" s="155"/>
      <c r="GT1086" s="155"/>
      <c r="GU1086" s="155"/>
      <c r="GV1086" s="155"/>
      <c r="GW1086" s="155"/>
      <c r="GX1086" s="155"/>
      <c r="GY1086" s="155"/>
      <c r="GZ1086" s="155"/>
      <c r="HA1086" s="155"/>
      <c r="HB1086" s="155"/>
      <c r="HC1086" s="155"/>
      <c r="HD1086" s="155"/>
      <c r="HE1086" s="155"/>
    </row>
    <row r="1087" spans="2:213" s="156" customFormat="1" hidden="1">
      <c r="B1087" s="155"/>
      <c r="C1087" s="155"/>
      <c r="D1087" s="155"/>
      <c r="E1087" s="155"/>
      <c r="F1087" s="155"/>
      <c r="G1087" s="155"/>
      <c r="H1087" s="155"/>
      <c r="I1087" s="155"/>
      <c r="J1087" s="155"/>
      <c r="K1087" s="155"/>
      <c r="L1087" s="155"/>
      <c r="M1087" s="155"/>
      <c r="N1087" s="155"/>
      <c r="O1087" s="155"/>
      <c r="P1087" s="155"/>
      <c r="Q1087" s="155"/>
      <c r="R1087" s="155"/>
      <c r="S1087" s="155"/>
      <c r="T1087" s="155"/>
      <c r="U1087" s="155"/>
      <c r="V1087" s="155"/>
      <c r="W1087" s="155"/>
      <c r="GL1087" s="155"/>
      <c r="GM1087" s="155"/>
      <c r="GN1087" s="155"/>
      <c r="GO1087" s="155"/>
      <c r="GP1087" s="155"/>
      <c r="GQ1087" s="155"/>
      <c r="GR1087" s="155"/>
      <c r="GS1087" s="155"/>
      <c r="GT1087" s="155"/>
      <c r="GU1087" s="155"/>
      <c r="GV1087" s="155"/>
      <c r="GW1087" s="155"/>
      <c r="GX1087" s="155"/>
      <c r="GY1087" s="155"/>
      <c r="GZ1087" s="155"/>
      <c r="HA1087" s="155"/>
      <c r="HB1087" s="155"/>
      <c r="HC1087" s="155"/>
      <c r="HD1087" s="155"/>
      <c r="HE1087" s="155"/>
    </row>
    <row r="1088" spans="2:213" s="156" customFormat="1" hidden="1">
      <c r="B1088" s="155"/>
      <c r="C1088" s="155"/>
      <c r="D1088" s="155"/>
      <c r="E1088" s="155"/>
      <c r="F1088" s="155"/>
      <c r="G1088" s="155"/>
      <c r="H1088" s="155"/>
      <c r="I1088" s="155"/>
      <c r="J1088" s="155"/>
      <c r="K1088" s="155"/>
      <c r="L1088" s="155"/>
      <c r="M1088" s="155"/>
      <c r="N1088" s="155"/>
      <c r="O1088" s="155"/>
      <c r="P1088" s="155"/>
      <c r="Q1088" s="155"/>
      <c r="R1088" s="155"/>
      <c r="S1088" s="155"/>
      <c r="T1088" s="155"/>
      <c r="U1088" s="155"/>
      <c r="V1088" s="155"/>
      <c r="W1088" s="155"/>
      <c r="GL1088" s="155"/>
      <c r="GM1088" s="155"/>
      <c r="GN1088" s="155"/>
      <c r="GO1088" s="155"/>
      <c r="GP1088" s="155"/>
      <c r="GQ1088" s="155"/>
      <c r="GR1088" s="155"/>
      <c r="GS1088" s="155"/>
      <c r="GT1088" s="155"/>
      <c r="GU1088" s="155"/>
      <c r="GV1088" s="155"/>
      <c r="GW1088" s="155"/>
      <c r="GX1088" s="155"/>
      <c r="GY1088" s="155"/>
      <c r="GZ1088" s="155"/>
      <c r="HA1088" s="155"/>
      <c r="HB1088" s="155"/>
      <c r="HC1088" s="155"/>
      <c r="HD1088" s="155"/>
      <c r="HE1088" s="155"/>
    </row>
    <row r="1089" spans="2:213" s="156" customFormat="1" hidden="1">
      <c r="B1089" s="155"/>
      <c r="C1089" s="155"/>
      <c r="D1089" s="155"/>
      <c r="E1089" s="155"/>
      <c r="F1089" s="155"/>
      <c r="G1089" s="155"/>
      <c r="H1089" s="155"/>
      <c r="I1089" s="155"/>
      <c r="J1089" s="155"/>
      <c r="K1089" s="155"/>
      <c r="L1089" s="155"/>
      <c r="M1089" s="155"/>
      <c r="N1089" s="155"/>
      <c r="O1089" s="155"/>
      <c r="P1089" s="155"/>
      <c r="Q1089" s="155"/>
      <c r="R1089" s="155"/>
      <c r="S1089" s="155"/>
      <c r="T1089" s="155"/>
      <c r="U1089" s="155"/>
      <c r="V1089" s="155"/>
      <c r="W1089" s="155"/>
      <c r="GL1089" s="155"/>
      <c r="GM1089" s="155"/>
      <c r="GN1089" s="155"/>
      <c r="GO1089" s="155"/>
      <c r="GP1089" s="155"/>
      <c r="GQ1089" s="155"/>
      <c r="GR1089" s="155"/>
      <c r="GS1089" s="155"/>
      <c r="GT1089" s="155"/>
      <c r="GU1089" s="155"/>
      <c r="GV1089" s="155"/>
      <c r="GW1089" s="155"/>
      <c r="GX1089" s="155"/>
      <c r="GY1089" s="155"/>
      <c r="GZ1089" s="155"/>
      <c r="HA1089" s="155"/>
      <c r="HB1089" s="155"/>
      <c r="HC1089" s="155"/>
      <c r="HD1089" s="155"/>
      <c r="HE1089" s="155"/>
    </row>
    <row r="1090" spans="2:213" s="156" customFormat="1" hidden="1">
      <c r="B1090" s="155"/>
      <c r="C1090" s="155"/>
      <c r="D1090" s="155"/>
      <c r="E1090" s="155"/>
      <c r="F1090" s="155"/>
      <c r="G1090" s="155"/>
      <c r="H1090" s="155"/>
      <c r="I1090" s="155"/>
      <c r="J1090" s="155"/>
      <c r="K1090" s="155"/>
      <c r="L1090" s="155"/>
      <c r="M1090" s="155"/>
      <c r="N1090" s="155"/>
      <c r="O1090" s="155"/>
      <c r="P1090" s="155"/>
      <c r="Q1090" s="155"/>
      <c r="R1090" s="155"/>
      <c r="S1090" s="155"/>
      <c r="T1090" s="155"/>
      <c r="U1090" s="155"/>
      <c r="V1090" s="155"/>
      <c r="W1090" s="155"/>
      <c r="GL1090" s="155"/>
      <c r="GM1090" s="155"/>
      <c r="GN1090" s="155"/>
      <c r="GO1090" s="155"/>
      <c r="GP1090" s="155"/>
      <c r="GQ1090" s="155"/>
      <c r="GR1090" s="155"/>
      <c r="GS1090" s="155"/>
      <c r="GT1090" s="155"/>
      <c r="GU1090" s="155"/>
      <c r="GV1090" s="155"/>
      <c r="GW1090" s="155"/>
      <c r="GX1090" s="155"/>
      <c r="GY1090" s="155"/>
      <c r="GZ1090" s="155"/>
      <c r="HA1090" s="155"/>
      <c r="HB1090" s="155"/>
      <c r="HC1090" s="155"/>
      <c r="HD1090" s="155"/>
      <c r="HE1090" s="155"/>
    </row>
    <row r="1091" spans="2:213" s="156" customFormat="1" hidden="1">
      <c r="B1091" s="155"/>
      <c r="C1091" s="155"/>
      <c r="D1091" s="155"/>
      <c r="E1091" s="155"/>
      <c r="F1091" s="155"/>
      <c r="G1091" s="155"/>
      <c r="H1091" s="155"/>
      <c r="I1091" s="155"/>
      <c r="J1091" s="155"/>
      <c r="K1091" s="155"/>
      <c r="L1091" s="155"/>
      <c r="M1091" s="155"/>
      <c r="N1091" s="155"/>
      <c r="O1091" s="155"/>
      <c r="P1091" s="155"/>
      <c r="Q1091" s="155"/>
      <c r="R1091" s="155"/>
      <c r="S1091" s="155"/>
      <c r="T1091" s="155"/>
      <c r="U1091" s="155"/>
      <c r="V1091" s="155"/>
      <c r="W1091" s="155"/>
      <c r="GL1091" s="155"/>
      <c r="GM1091" s="155"/>
      <c r="GN1091" s="155"/>
      <c r="GO1091" s="155"/>
      <c r="GP1091" s="155"/>
      <c r="GQ1091" s="155"/>
      <c r="GR1091" s="155"/>
      <c r="GS1091" s="155"/>
      <c r="GT1091" s="155"/>
      <c r="GU1091" s="155"/>
      <c r="GV1091" s="155"/>
      <c r="GW1091" s="155"/>
      <c r="GX1091" s="155"/>
      <c r="GY1091" s="155"/>
      <c r="GZ1091" s="155"/>
      <c r="HA1091" s="155"/>
      <c r="HB1091" s="155"/>
      <c r="HC1091" s="155"/>
      <c r="HD1091" s="155"/>
      <c r="HE1091" s="155"/>
    </row>
    <row r="1092" spans="2:213" s="156" customFormat="1" hidden="1">
      <c r="B1092" s="155"/>
      <c r="C1092" s="155"/>
      <c r="D1092" s="155"/>
      <c r="E1092" s="155"/>
      <c r="F1092" s="155"/>
      <c r="G1092" s="155"/>
      <c r="H1092" s="155"/>
      <c r="I1092" s="155"/>
      <c r="J1092" s="155"/>
      <c r="K1092" s="155"/>
      <c r="L1092" s="155"/>
      <c r="M1092" s="155"/>
      <c r="N1092" s="155"/>
      <c r="O1092" s="155"/>
      <c r="P1092" s="155"/>
      <c r="Q1092" s="155"/>
      <c r="R1092" s="155"/>
      <c r="S1092" s="155"/>
      <c r="T1092" s="155"/>
      <c r="U1092" s="155"/>
      <c r="V1092" s="155"/>
      <c r="W1092" s="155"/>
      <c r="GL1092" s="155"/>
      <c r="GM1092" s="155"/>
      <c r="GN1092" s="155"/>
      <c r="GO1092" s="155"/>
      <c r="GP1092" s="155"/>
      <c r="GQ1092" s="155"/>
      <c r="GR1092" s="155"/>
      <c r="GS1092" s="155"/>
      <c r="GT1092" s="155"/>
      <c r="GU1092" s="155"/>
      <c r="GV1092" s="155"/>
      <c r="GW1092" s="155"/>
      <c r="GX1092" s="155"/>
      <c r="GY1092" s="155"/>
      <c r="GZ1092" s="155"/>
      <c r="HA1092" s="155"/>
      <c r="HB1092" s="155"/>
      <c r="HC1092" s="155"/>
      <c r="HD1092" s="155"/>
      <c r="HE1092" s="155"/>
    </row>
    <row r="1093" spans="2:213" s="156" customFormat="1" hidden="1">
      <c r="B1093" s="155"/>
      <c r="C1093" s="155"/>
      <c r="D1093" s="155"/>
      <c r="E1093" s="155"/>
      <c r="F1093" s="155"/>
      <c r="G1093" s="155"/>
      <c r="H1093" s="155"/>
      <c r="I1093" s="155"/>
      <c r="J1093" s="155"/>
      <c r="K1093" s="155"/>
      <c r="L1093" s="155"/>
      <c r="M1093" s="155"/>
      <c r="N1093" s="155"/>
      <c r="O1093" s="155"/>
      <c r="P1093" s="155"/>
      <c r="Q1093" s="155"/>
      <c r="R1093" s="155"/>
      <c r="S1093" s="155"/>
      <c r="T1093" s="155"/>
      <c r="U1093" s="155"/>
      <c r="V1093" s="155"/>
      <c r="W1093" s="155"/>
      <c r="GL1093" s="155"/>
      <c r="GM1093" s="155"/>
      <c r="GN1093" s="155"/>
      <c r="GO1093" s="155"/>
      <c r="GP1093" s="155"/>
      <c r="GQ1093" s="155"/>
      <c r="GR1093" s="155"/>
      <c r="GS1093" s="155"/>
      <c r="GT1093" s="155"/>
      <c r="GU1093" s="155"/>
      <c r="GV1093" s="155"/>
      <c r="GW1093" s="155"/>
      <c r="GX1093" s="155"/>
      <c r="GY1093" s="155"/>
      <c r="GZ1093" s="155"/>
      <c r="HA1093" s="155"/>
      <c r="HB1093" s="155"/>
      <c r="HC1093" s="155"/>
      <c r="HD1093" s="155"/>
      <c r="HE1093" s="155"/>
    </row>
    <row r="1094" spans="2:213" s="156" customFormat="1" hidden="1">
      <c r="B1094" s="155"/>
      <c r="C1094" s="155"/>
      <c r="D1094" s="155"/>
      <c r="E1094" s="155"/>
      <c r="F1094" s="155"/>
      <c r="G1094" s="155"/>
      <c r="H1094" s="155"/>
      <c r="I1094" s="155"/>
      <c r="J1094" s="155"/>
      <c r="K1094" s="155"/>
      <c r="L1094" s="155"/>
      <c r="M1094" s="155"/>
      <c r="N1094" s="155"/>
      <c r="O1094" s="155"/>
      <c r="P1094" s="155"/>
      <c r="Q1094" s="155"/>
      <c r="R1094" s="155"/>
      <c r="S1094" s="155"/>
      <c r="T1094" s="155"/>
      <c r="U1094" s="155"/>
      <c r="V1094" s="155"/>
      <c r="W1094" s="155"/>
      <c r="GL1094" s="155"/>
      <c r="GM1094" s="155"/>
      <c r="GN1094" s="155"/>
      <c r="GO1094" s="155"/>
      <c r="GP1094" s="155"/>
      <c r="GQ1094" s="155"/>
      <c r="GR1094" s="155"/>
      <c r="GS1094" s="155"/>
      <c r="GT1094" s="155"/>
      <c r="GU1094" s="155"/>
      <c r="GV1094" s="155"/>
      <c r="GW1094" s="155"/>
      <c r="GX1094" s="155"/>
      <c r="GY1094" s="155"/>
      <c r="GZ1094" s="155"/>
      <c r="HA1094" s="155"/>
      <c r="HB1094" s="155"/>
      <c r="HC1094" s="155"/>
      <c r="HD1094" s="155"/>
      <c r="HE1094" s="155"/>
    </row>
    <row r="1095" spans="2:213" s="156" customFormat="1" hidden="1">
      <c r="B1095" s="155"/>
      <c r="C1095" s="155"/>
      <c r="D1095" s="155"/>
      <c r="E1095" s="155"/>
      <c r="F1095" s="155"/>
      <c r="G1095" s="155"/>
      <c r="H1095" s="155"/>
      <c r="I1095" s="155"/>
      <c r="J1095" s="155"/>
      <c r="K1095" s="155"/>
      <c r="L1095" s="155"/>
      <c r="M1095" s="155"/>
      <c r="N1095" s="155"/>
      <c r="O1095" s="155"/>
      <c r="P1095" s="155"/>
      <c r="Q1095" s="155"/>
      <c r="R1095" s="155"/>
      <c r="S1095" s="155"/>
      <c r="T1095" s="155"/>
      <c r="U1095" s="155"/>
      <c r="V1095" s="155"/>
      <c r="W1095" s="155"/>
      <c r="GL1095" s="155"/>
      <c r="GM1095" s="155"/>
      <c r="GN1095" s="155"/>
      <c r="GO1095" s="155"/>
      <c r="GP1095" s="155"/>
      <c r="GQ1095" s="155"/>
      <c r="GR1095" s="155"/>
      <c r="GS1095" s="155"/>
      <c r="GT1095" s="155"/>
      <c r="GU1095" s="155"/>
      <c r="GV1095" s="155"/>
      <c r="GW1095" s="155"/>
      <c r="GX1095" s="155"/>
      <c r="GY1095" s="155"/>
      <c r="GZ1095" s="155"/>
      <c r="HA1095" s="155"/>
      <c r="HB1095" s="155"/>
      <c r="HC1095" s="155"/>
      <c r="HD1095" s="155"/>
      <c r="HE1095" s="155"/>
    </row>
    <row r="1096" spans="2:213" s="156" customFormat="1" hidden="1">
      <c r="B1096" s="155"/>
      <c r="C1096" s="155"/>
      <c r="D1096" s="155"/>
      <c r="E1096" s="155"/>
      <c r="F1096" s="155"/>
      <c r="G1096" s="155"/>
      <c r="H1096" s="155"/>
      <c r="I1096" s="155"/>
      <c r="J1096" s="155"/>
      <c r="K1096" s="155"/>
      <c r="L1096" s="155"/>
      <c r="M1096" s="155"/>
      <c r="N1096" s="155"/>
      <c r="O1096" s="155"/>
      <c r="P1096" s="155"/>
      <c r="Q1096" s="155"/>
      <c r="R1096" s="155"/>
      <c r="S1096" s="155"/>
      <c r="T1096" s="155"/>
      <c r="U1096" s="155"/>
      <c r="V1096" s="155"/>
      <c r="W1096" s="155"/>
      <c r="GL1096" s="155"/>
      <c r="GM1096" s="155"/>
      <c r="GN1096" s="155"/>
      <c r="GO1096" s="155"/>
      <c r="GP1096" s="155"/>
      <c r="GQ1096" s="155"/>
      <c r="GR1096" s="155"/>
      <c r="GS1096" s="155"/>
      <c r="GT1096" s="155"/>
      <c r="GU1096" s="155"/>
      <c r="GV1096" s="155"/>
      <c r="GW1096" s="155"/>
      <c r="GX1096" s="155"/>
      <c r="GY1096" s="155"/>
      <c r="GZ1096" s="155"/>
      <c r="HA1096" s="155"/>
      <c r="HB1096" s="155"/>
      <c r="HC1096" s="155"/>
      <c r="HD1096" s="155"/>
      <c r="HE1096" s="155"/>
    </row>
    <row r="1097" spans="2:213" s="156" customFormat="1" hidden="1">
      <c r="B1097" s="155"/>
      <c r="C1097" s="155"/>
      <c r="D1097" s="155"/>
      <c r="E1097" s="155"/>
      <c r="F1097" s="155"/>
      <c r="G1097" s="155"/>
      <c r="H1097" s="155"/>
      <c r="I1097" s="155"/>
      <c r="J1097" s="155"/>
      <c r="K1097" s="155"/>
      <c r="L1097" s="155"/>
      <c r="M1097" s="155"/>
      <c r="N1097" s="155"/>
      <c r="O1097" s="155"/>
      <c r="P1097" s="155"/>
      <c r="Q1097" s="155"/>
      <c r="R1097" s="155"/>
      <c r="S1097" s="155"/>
      <c r="T1097" s="155"/>
      <c r="U1097" s="155"/>
      <c r="V1097" s="155"/>
      <c r="W1097" s="155"/>
      <c r="GL1097" s="155"/>
      <c r="GM1097" s="155"/>
      <c r="GN1097" s="155"/>
      <c r="GO1097" s="155"/>
      <c r="GP1097" s="155"/>
      <c r="GQ1097" s="155"/>
      <c r="GR1097" s="155"/>
      <c r="GS1097" s="155"/>
      <c r="GT1097" s="155"/>
      <c r="GU1097" s="155"/>
      <c r="GV1097" s="155"/>
      <c r="GW1097" s="155"/>
      <c r="GX1097" s="155"/>
      <c r="GY1097" s="155"/>
      <c r="GZ1097" s="155"/>
      <c r="HA1097" s="155"/>
      <c r="HB1097" s="155"/>
      <c r="HC1097" s="155"/>
      <c r="HD1097" s="155"/>
      <c r="HE1097" s="155"/>
    </row>
    <row r="1098" spans="2:213" s="156" customFormat="1" hidden="1">
      <c r="B1098" s="155"/>
      <c r="C1098" s="155"/>
      <c r="D1098" s="155"/>
      <c r="E1098" s="155"/>
      <c r="F1098" s="155"/>
      <c r="G1098" s="155"/>
      <c r="H1098" s="155"/>
      <c r="I1098" s="155"/>
      <c r="J1098" s="155"/>
      <c r="K1098" s="155"/>
      <c r="L1098" s="155"/>
      <c r="M1098" s="155"/>
      <c r="N1098" s="155"/>
      <c r="O1098" s="155"/>
      <c r="P1098" s="155"/>
      <c r="Q1098" s="155"/>
      <c r="R1098" s="155"/>
      <c r="S1098" s="155"/>
      <c r="T1098" s="155"/>
      <c r="U1098" s="155"/>
      <c r="V1098" s="155"/>
      <c r="W1098" s="155"/>
      <c r="GL1098" s="155"/>
      <c r="GM1098" s="155"/>
      <c r="GN1098" s="155"/>
      <c r="GO1098" s="155"/>
      <c r="GP1098" s="155"/>
      <c r="GQ1098" s="155"/>
      <c r="GR1098" s="155"/>
      <c r="GS1098" s="155"/>
      <c r="GT1098" s="155"/>
      <c r="GU1098" s="155"/>
      <c r="GV1098" s="155"/>
      <c r="GW1098" s="155"/>
      <c r="GX1098" s="155"/>
      <c r="GY1098" s="155"/>
      <c r="GZ1098" s="155"/>
      <c r="HA1098" s="155"/>
      <c r="HB1098" s="155"/>
      <c r="HC1098" s="155"/>
      <c r="HD1098" s="155"/>
      <c r="HE1098" s="155"/>
    </row>
    <row r="1099" spans="2:213" s="156" customFormat="1" hidden="1">
      <c r="B1099" s="155"/>
      <c r="C1099" s="155"/>
      <c r="D1099" s="155"/>
      <c r="E1099" s="155"/>
      <c r="F1099" s="155"/>
      <c r="G1099" s="155"/>
      <c r="H1099" s="155"/>
      <c r="I1099" s="155"/>
      <c r="J1099" s="155"/>
      <c r="K1099" s="155"/>
      <c r="L1099" s="155"/>
      <c r="M1099" s="155"/>
      <c r="N1099" s="155"/>
      <c r="O1099" s="155"/>
      <c r="P1099" s="155"/>
      <c r="Q1099" s="155"/>
      <c r="R1099" s="155"/>
      <c r="S1099" s="155"/>
      <c r="T1099" s="155"/>
      <c r="U1099" s="155"/>
      <c r="V1099" s="155"/>
      <c r="W1099" s="155"/>
      <c r="GL1099" s="155"/>
      <c r="GM1099" s="155"/>
      <c r="GN1099" s="155"/>
      <c r="GO1099" s="155"/>
      <c r="GP1099" s="155"/>
      <c r="GQ1099" s="155"/>
      <c r="GR1099" s="155"/>
      <c r="GS1099" s="155"/>
      <c r="GT1099" s="155"/>
      <c r="GU1099" s="155"/>
      <c r="GV1099" s="155"/>
      <c r="GW1099" s="155"/>
      <c r="GX1099" s="155"/>
      <c r="GY1099" s="155"/>
      <c r="GZ1099" s="155"/>
      <c r="HA1099" s="155"/>
      <c r="HB1099" s="155"/>
      <c r="HC1099" s="155"/>
      <c r="HD1099" s="155"/>
      <c r="HE1099" s="155"/>
    </row>
    <row r="1100" spans="2:213" s="156" customFormat="1" hidden="1">
      <c r="B1100" s="155"/>
      <c r="C1100" s="155"/>
      <c r="D1100" s="155"/>
      <c r="E1100" s="155"/>
      <c r="F1100" s="155"/>
      <c r="G1100" s="155"/>
      <c r="H1100" s="155"/>
      <c r="I1100" s="155"/>
      <c r="J1100" s="155"/>
      <c r="K1100" s="155"/>
      <c r="L1100" s="155"/>
      <c r="M1100" s="155"/>
      <c r="N1100" s="155"/>
      <c r="O1100" s="155"/>
      <c r="P1100" s="155"/>
      <c r="Q1100" s="155"/>
      <c r="R1100" s="155"/>
      <c r="S1100" s="155"/>
      <c r="T1100" s="155"/>
      <c r="U1100" s="155"/>
      <c r="V1100" s="155"/>
      <c r="W1100" s="155"/>
      <c r="GL1100" s="155"/>
      <c r="GM1100" s="155"/>
      <c r="GN1100" s="155"/>
      <c r="GO1100" s="155"/>
      <c r="GP1100" s="155"/>
      <c r="GQ1100" s="155"/>
      <c r="GR1100" s="155"/>
      <c r="GS1100" s="155"/>
      <c r="GT1100" s="155"/>
      <c r="GU1100" s="155"/>
      <c r="GV1100" s="155"/>
      <c r="GW1100" s="155"/>
      <c r="GX1100" s="155"/>
      <c r="GY1100" s="155"/>
      <c r="GZ1100" s="155"/>
      <c r="HA1100" s="155"/>
      <c r="HB1100" s="155"/>
      <c r="HC1100" s="155"/>
      <c r="HD1100" s="155"/>
      <c r="HE1100" s="155"/>
    </row>
    <row r="1101" spans="2:213" s="156" customFormat="1" hidden="1">
      <c r="B1101" s="155"/>
      <c r="C1101" s="155"/>
      <c r="D1101" s="155"/>
      <c r="E1101" s="155"/>
      <c r="F1101" s="155"/>
      <c r="G1101" s="155"/>
      <c r="H1101" s="155"/>
      <c r="I1101" s="155"/>
      <c r="J1101" s="155"/>
      <c r="K1101" s="155"/>
      <c r="L1101" s="155"/>
      <c r="M1101" s="155"/>
      <c r="N1101" s="155"/>
      <c r="O1101" s="155"/>
      <c r="P1101" s="155"/>
      <c r="Q1101" s="155"/>
      <c r="R1101" s="155"/>
      <c r="S1101" s="155"/>
      <c r="T1101" s="155"/>
      <c r="U1101" s="155"/>
      <c r="V1101" s="155"/>
      <c r="W1101" s="155"/>
      <c r="GL1101" s="155"/>
      <c r="GM1101" s="155"/>
      <c r="GN1101" s="155"/>
      <c r="GO1101" s="155"/>
      <c r="GP1101" s="155"/>
      <c r="GQ1101" s="155"/>
      <c r="GR1101" s="155"/>
      <c r="GS1101" s="155"/>
      <c r="GT1101" s="155"/>
      <c r="GU1101" s="155"/>
      <c r="GV1101" s="155"/>
      <c r="GW1101" s="155"/>
      <c r="GX1101" s="155"/>
      <c r="GY1101" s="155"/>
      <c r="GZ1101" s="155"/>
      <c r="HA1101" s="155"/>
      <c r="HB1101" s="155"/>
      <c r="HC1101" s="155"/>
      <c r="HD1101" s="155"/>
      <c r="HE1101" s="155"/>
    </row>
    <row r="1102" spans="2:213" s="156" customFormat="1" hidden="1">
      <c r="B1102" s="155"/>
      <c r="C1102" s="155"/>
      <c r="D1102" s="155"/>
      <c r="E1102" s="155"/>
      <c r="F1102" s="155"/>
      <c r="G1102" s="155"/>
      <c r="H1102" s="155"/>
      <c r="I1102" s="155"/>
      <c r="J1102" s="155"/>
      <c r="K1102" s="155"/>
      <c r="L1102" s="155"/>
      <c r="M1102" s="155"/>
      <c r="N1102" s="155"/>
      <c r="O1102" s="155"/>
      <c r="P1102" s="155"/>
      <c r="Q1102" s="155"/>
      <c r="R1102" s="155"/>
      <c r="S1102" s="155"/>
      <c r="T1102" s="155"/>
      <c r="U1102" s="155"/>
      <c r="V1102" s="155"/>
      <c r="W1102" s="155"/>
      <c r="GL1102" s="155"/>
      <c r="GM1102" s="155"/>
      <c r="GN1102" s="155"/>
      <c r="GO1102" s="155"/>
      <c r="GP1102" s="155"/>
      <c r="GQ1102" s="155"/>
      <c r="GR1102" s="155"/>
      <c r="GS1102" s="155"/>
      <c r="GT1102" s="155"/>
      <c r="GU1102" s="155"/>
      <c r="GV1102" s="155"/>
      <c r="GW1102" s="155"/>
      <c r="GX1102" s="155"/>
      <c r="GY1102" s="155"/>
      <c r="GZ1102" s="155"/>
      <c r="HA1102" s="155"/>
      <c r="HB1102" s="155"/>
      <c r="HC1102" s="155"/>
      <c r="HD1102" s="155"/>
      <c r="HE1102" s="155"/>
    </row>
    <row r="1103" spans="2:213" s="156" customFormat="1" hidden="1">
      <c r="B1103" s="155"/>
      <c r="C1103" s="155"/>
      <c r="D1103" s="155"/>
      <c r="E1103" s="155"/>
      <c r="F1103" s="155"/>
      <c r="G1103" s="155"/>
      <c r="H1103" s="155"/>
      <c r="I1103" s="155"/>
      <c r="J1103" s="155"/>
      <c r="K1103" s="155"/>
      <c r="L1103" s="155"/>
      <c r="M1103" s="155"/>
      <c r="N1103" s="155"/>
      <c r="O1103" s="155"/>
      <c r="P1103" s="155"/>
      <c r="Q1103" s="155"/>
      <c r="R1103" s="155"/>
      <c r="S1103" s="155"/>
      <c r="T1103" s="155"/>
      <c r="U1103" s="155"/>
      <c r="V1103" s="155"/>
      <c r="W1103" s="155"/>
      <c r="GL1103" s="155"/>
      <c r="GM1103" s="155"/>
      <c r="GN1103" s="155"/>
      <c r="GO1103" s="155"/>
      <c r="GP1103" s="155"/>
      <c r="GQ1103" s="155"/>
      <c r="GR1103" s="155"/>
      <c r="GS1103" s="155"/>
      <c r="GT1103" s="155"/>
      <c r="GU1103" s="155"/>
      <c r="GV1103" s="155"/>
      <c r="GW1103" s="155"/>
      <c r="GX1103" s="155"/>
      <c r="GY1103" s="155"/>
      <c r="GZ1103" s="155"/>
      <c r="HA1103" s="155"/>
      <c r="HB1103" s="155"/>
      <c r="HC1103" s="155"/>
      <c r="HD1103" s="155"/>
      <c r="HE1103" s="155"/>
    </row>
    <row r="1104" spans="2:213" s="156" customFormat="1" hidden="1">
      <c r="B1104" s="155"/>
      <c r="C1104" s="155"/>
      <c r="D1104" s="155"/>
      <c r="E1104" s="155"/>
      <c r="F1104" s="155"/>
      <c r="G1104" s="155"/>
      <c r="H1104" s="155"/>
      <c r="I1104" s="155"/>
      <c r="J1104" s="155"/>
      <c r="K1104" s="155"/>
      <c r="L1104" s="155"/>
      <c r="M1104" s="155"/>
      <c r="N1104" s="155"/>
      <c r="O1104" s="155"/>
      <c r="P1104" s="155"/>
      <c r="Q1104" s="155"/>
      <c r="R1104" s="155"/>
      <c r="S1104" s="155"/>
      <c r="T1104" s="155"/>
      <c r="U1104" s="155"/>
      <c r="V1104" s="155"/>
      <c r="W1104" s="155"/>
      <c r="GL1104" s="155"/>
      <c r="GM1104" s="155"/>
      <c r="GN1104" s="155"/>
      <c r="GO1104" s="155"/>
      <c r="GP1104" s="155"/>
      <c r="GQ1104" s="155"/>
      <c r="GR1104" s="155"/>
      <c r="GS1104" s="155"/>
      <c r="GT1104" s="155"/>
      <c r="GU1104" s="155"/>
      <c r="GV1104" s="155"/>
      <c r="GW1104" s="155"/>
      <c r="GX1104" s="155"/>
      <c r="GY1104" s="155"/>
      <c r="GZ1104" s="155"/>
      <c r="HA1104" s="155"/>
      <c r="HB1104" s="155"/>
      <c r="HC1104" s="155"/>
      <c r="HD1104" s="155"/>
      <c r="HE1104" s="155"/>
    </row>
    <row r="1105" spans="2:213" s="156" customFormat="1" hidden="1">
      <c r="B1105" s="155"/>
      <c r="C1105" s="155"/>
      <c r="D1105" s="155"/>
      <c r="E1105" s="155"/>
      <c r="F1105" s="155"/>
      <c r="G1105" s="155"/>
      <c r="H1105" s="155"/>
      <c r="I1105" s="155"/>
      <c r="J1105" s="155"/>
      <c r="K1105" s="155"/>
      <c r="L1105" s="155"/>
      <c r="M1105" s="155"/>
      <c r="N1105" s="155"/>
      <c r="O1105" s="155"/>
      <c r="P1105" s="155"/>
      <c r="Q1105" s="155"/>
      <c r="R1105" s="155"/>
      <c r="S1105" s="155"/>
      <c r="T1105" s="155"/>
      <c r="U1105" s="155"/>
      <c r="V1105" s="155"/>
      <c r="W1105" s="155"/>
      <c r="GL1105" s="155"/>
      <c r="GM1105" s="155"/>
      <c r="GN1105" s="155"/>
      <c r="GO1105" s="155"/>
      <c r="GP1105" s="155"/>
      <c r="GQ1105" s="155"/>
      <c r="GR1105" s="155"/>
      <c r="GS1105" s="155"/>
      <c r="GT1105" s="155"/>
      <c r="GU1105" s="155"/>
      <c r="GV1105" s="155"/>
      <c r="GW1105" s="155"/>
      <c r="GX1105" s="155"/>
      <c r="GY1105" s="155"/>
      <c r="GZ1105" s="155"/>
      <c r="HA1105" s="155"/>
      <c r="HB1105" s="155"/>
      <c r="HC1105" s="155"/>
      <c r="HD1105" s="155"/>
      <c r="HE1105" s="155"/>
    </row>
    <row r="1106" spans="2:213" s="156" customFormat="1" hidden="1">
      <c r="B1106" s="155"/>
      <c r="C1106" s="155"/>
      <c r="D1106" s="155"/>
      <c r="E1106" s="155"/>
      <c r="F1106" s="155"/>
      <c r="G1106" s="155"/>
      <c r="H1106" s="155"/>
      <c r="I1106" s="155"/>
      <c r="J1106" s="155"/>
      <c r="K1106" s="155"/>
      <c r="L1106" s="155"/>
      <c r="M1106" s="155"/>
      <c r="N1106" s="155"/>
      <c r="O1106" s="155"/>
      <c r="P1106" s="155"/>
      <c r="Q1106" s="155"/>
      <c r="R1106" s="155"/>
      <c r="S1106" s="155"/>
      <c r="T1106" s="155"/>
      <c r="U1106" s="155"/>
      <c r="V1106" s="155"/>
      <c r="W1106" s="155"/>
      <c r="GL1106" s="155"/>
      <c r="GM1106" s="155"/>
      <c r="GN1106" s="155"/>
      <c r="GO1106" s="155"/>
      <c r="GP1106" s="155"/>
      <c r="GQ1106" s="155"/>
      <c r="GR1106" s="155"/>
      <c r="GS1106" s="155"/>
      <c r="GT1106" s="155"/>
      <c r="GU1106" s="155"/>
      <c r="GV1106" s="155"/>
      <c r="GW1106" s="155"/>
      <c r="GX1106" s="155"/>
      <c r="GY1106" s="155"/>
      <c r="GZ1106" s="155"/>
      <c r="HA1106" s="155"/>
      <c r="HB1106" s="155"/>
      <c r="HC1106" s="155"/>
      <c r="HD1106" s="155"/>
      <c r="HE1106" s="155"/>
    </row>
    <row r="1107" spans="2:213" s="156" customFormat="1" hidden="1">
      <c r="B1107" s="155"/>
      <c r="C1107" s="155"/>
      <c r="D1107" s="155"/>
      <c r="E1107" s="155"/>
      <c r="F1107" s="155"/>
      <c r="G1107" s="155"/>
      <c r="H1107" s="155"/>
      <c r="I1107" s="155"/>
      <c r="J1107" s="155"/>
      <c r="K1107" s="155"/>
      <c r="L1107" s="155"/>
      <c r="M1107" s="155"/>
      <c r="N1107" s="155"/>
      <c r="O1107" s="155"/>
      <c r="P1107" s="155"/>
      <c r="Q1107" s="155"/>
      <c r="R1107" s="155"/>
      <c r="S1107" s="155"/>
      <c r="T1107" s="155"/>
      <c r="U1107" s="155"/>
      <c r="V1107" s="155"/>
      <c r="W1107" s="155"/>
      <c r="GL1107" s="155"/>
      <c r="GM1107" s="155"/>
      <c r="GN1107" s="155"/>
      <c r="GO1107" s="155"/>
      <c r="GP1107" s="155"/>
      <c r="GQ1107" s="155"/>
      <c r="GR1107" s="155"/>
      <c r="GS1107" s="155"/>
      <c r="GT1107" s="155"/>
      <c r="GU1107" s="155"/>
      <c r="GV1107" s="155"/>
      <c r="GW1107" s="155"/>
      <c r="GX1107" s="155"/>
      <c r="GY1107" s="155"/>
      <c r="GZ1107" s="155"/>
      <c r="HA1107" s="155"/>
      <c r="HB1107" s="155"/>
      <c r="HC1107" s="155"/>
      <c r="HD1107" s="155"/>
      <c r="HE1107" s="155"/>
    </row>
    <row r="1108" spans="2:213" s="156" customFormat="1" hidden="1">
      <c r="B1108" s="155"/>
      <c r="C1108" s="155"/>
      <c r="D1108" s="155"/>
      <c r="E1108" s="155"/>
      <c r="F1108" s="155"/>
      <c r="G1108" s="155"/>
      <c r="H1108" s="155"/>
      <c r="I1108" s="155"/>
      <c r="J1108" s="155"/>
      <c r="K1108" s="155"/>
      <c r="L1108" s="155"/>
      <c r="M1108" s="155"/>
      <c r="N1108" s="155"/>
      <c r="O1108" s="155"/>
      <c r="P1108" s="155"/>
      <c r="Q1108" s="155"/>
      <c r="R1108" s="155"/>
      <c r="S1108" s="155"/>
      <c r="T1108" s="155"/>
      <c r="U1108" s="155"/>
      <c r="V1108" s="155"/>
      <c r="W1108" s="155"/>
      <c r="GL1108" s="155"/>
      <c r="GM1108" s="155"/>
      <c r="GN1108" s="155"/>
      <c r="GO1108" s="155"/>
      <c r="GP1108" s="155"/>
      <c r="GQ1108" s="155"/>
      <c r="GR1108" s="155"/>
      <c r="GS1108" s="155"/>
      <c r="GT1108" s="155"/>
      <c r="GU1108" s="155"/>
      <c r="GV1108" s="155"/>
      <c r="GW1108" s="155"/>
      <c r="GX1108" s="155"/>
      <c r="GY1108" s="155"/>
      <c r="GZ1108" s="155"/>
      <c r="HA1108" s="155"/>
      <c r="HB1108" s="155"/>
      <c r="HC1108" s="155"/>
      <c r="HD1108" s="155"/>
      <c r="HE1108" s="155"/>
    </row>
    <row r="1109" spans="2:213" s="156" customFormat="1" hidden="1">
      <c r="B1109" s="155"/>
      <c r="C1109" s="155"/>
      <c r="D1109" s="155"/>
      <c r="E1109" s="155"/>
      <c r="F1109" s="155"/>
      <c r="G1109" s="155"/>
      <c r="H1109" s="155"/>
      <c r="I1109" s="155"/>
      <c r="J1109" s="155"/>
      <c r="K1109" s="155"/>
      <c r="L1109" s="155"/>
      <c r="M1109" s="155"/>
      <c r="N1109" s="155"/>
      <c r="O1109" s="155"/>
      <c r="P1109" s="155"/>
      <c r="Q1109" s="155"/>
      <c r="R1109" s="155"/>
      <c r="S1109" s="155"/>
      <c r="T1109" s="155"/>
      <c r="U1109" s="155"/>
      <c r="V1109" s="155"/>
      <c r="W1109" s="155"/>
      <c r="GL1109" s="155"/>
      <c r="GM1109" s="155"/>
      <c r="GN1109" s="155"/>
      <c r="GO1109" s="155"/>
      <c r="GP1109" s="155"/>
      <c r="GQ1109" s="155"/>
      <c r="GR1109" s="155"/>
      <c r="GS1109" s="155"/>
      <c r="GT1109" s="155"/>
      <c r="GU1109" s="155"/>
      <c r="GV1109" s="155"/>
      <c r="GW1109" s="155"/>
      <c r="GX1109" s="155"/>
      <c r="GY1109" s="155"/>
      <c r="GZ1109" s="155"/>
      <c r="HA1109" s="155"/>
      <c r="HB1109" s="155"/>
      <c r="HC1109" s="155"/>
      <c r="HD1109" s="155"/>
      <c r="HE1109" s="155"/>
    </row>
    <row r="1110" spans="2:213" s="156" customFormat="1" hidden="1">
      <c r="B1110" s="155"/>
      <c r="C1110" s="155"/>
      <c r="D1110" s="155"/>
      <c r="E1110" s="155"/>
      <c r="F1110" s="155"/>
      <c r="G1110" s="155"/>
      <c r="H1110" s="155"/>
      <c r="I1110" s="155"/>
      <c r="J1110" s="155"/>
      <c r="K1110" s="155"/>
      <c r="L1110" s="155"/>
      <c r="M1110" s="155"/>
      <c r="N1110" s="155"/>
      <c r="O1110" s="155"/>
      <c r="P1110" s="155"/>
      <c r="Q1110" s="155"/>
      <c r="R1110" s="155"/>
      <c r="S1110" s="155"/>
      <c r="T1110" s="155"/>
      <c r="U1110" s="155"/>
      <c r="V1110" s="155"/>
      <c r="W1110" s="155"/>
      <c r="GL1110" s="155"/>
      <c r="GM1110" s="155"/>
      <c r="GN1110" s="155"/>
      <c r="GO1110" s="155"/>
      <c r="GP1110" s="155"/>
      <c r="GQ1110" s="155"/>
      <c r="GR1110" s="155"/>
      <c r="GS1110" s="155"/>
      <c r="GT1110" s="155"/>
      <c r="GU1110" s="155"/>
      <c r="GV1110" s="155"/>
      <c r="GW1110" s="155"/>
      <c r="GX1110" s="155"/>
      <c r="GY1110" s="155"/>
      <c r="GZ1110" s="155"/>
      <c r="HA1110" s="155"/>
      <c r="HB1110" s="155"/>
      <c r="HC1110" s="155"/>
      <c r="HD1110" s="155"/>
      <c r="HE1110" s="155"/>
    </row>
    <row r="1111" spans="2:213" s="156" customFormat="1" hidden="1">
      <c r="B1111" s="155"/>
      <c r="C1111" s="155"/>
      <c r="D1111" s="155"/>
      <c r="E1111" s="155"/>
      <c r="F1111" s="155"/>
      <c r="G1111" s="155"/>
      <c r="H1111" s="155"/>
      <c r="I1111" s="155"/>
      <c r="J1111" s="155"/>
      <c r="K1111" s="155"/>
      <c r="L1111" s="155"/>
      <c r="M1111" s="155"/>
      <c r="N1111" s="155"/>
      <c r="O1111" s="155"/>
      <c r="P1111" s="155"/>
      <c r="Q1111" s="155"/>
      <c r="R1111" s="155"/>
      <c r="S1111" s="155"/>
      <c r="T1111" s="155"/>
      <c r="U1111" s="155"/>
      <c r="V1111" s="155"/>
      <c r="W1111" s="155"/>
      <c r="GL1111" s="155"/>
      <c r="GM1111" s="155"/>
      <c r="GN1111" s="155"/>
      <c r="GO1111" s="155"/>
      <c r="GP1111" s="155"/>
      <c r="GQ1111" s="155"/>
      <c r="GR1111" s="155"/>
      <c r="GS1111" s="155"/>
      <c r="GT1111" s="155"/>
      <c r="GU1111" s="155"/>
      <c r="GV1111" s="155"/>
      <c r="GW1111" s="155"/>
      <c r="GX1111" s="155"/>
      <c r="GY1111" s="155"/>
      <c r="GZ1111" s="155"/>
      <c r="HA1111" s="155"/>
      <c r="HB1111" s="155"/>
      <c r="HC1111" s="155"/>
      <c r="HD1111" s="155"/>
      <c r="HE1111" s="155"/>
    </row>
    <row r="1112" spans="2:213" s="156" customFormat="1" hidden="1">
      <c r="B1112" s="155"/>
      <c r="C1112" s="155"/>
      <c r="D1112" s="155"/>
      <c r="E1112" s="155"/>
      <c r="F1112" s="155"/>
      <c r="G1112" s="155"/>
      <c r="H1112" s="155"/>
      <c r="I1112" s="155"/>
      <c r="J1112" s="155"/>
      <c r="K1112" s="155"/>
      <c r="L1112" s="155"/>
      <c r="M1112" s="155"/>
      <c r="N1112" s="155"/>
      <c r="O1112" s="155"/>
      <c r="P1112" s="155"/>
      <c r="Q1112" s="155"/>
      <c r="R1112" s="155"/>
      <c r="S1112" s="155"/>
      <c r="T1112" s="155"/>
      <c r="U1112" s="155"/>
      <c r="V1112" s="155"/>
      <c r="W1112" s="155"/>
      <c r="GL1112" s="155"/>
      <c r="GM1112" s="155"/>
      <c r="GN1112" s="155"/>
      <c r="GO1112" s="155"/>
      <c r="GP1112" s="155"/>
      <c r="GQ1112" s="155"/>
      <c r="GR1112" s="155"/>
      <c r="GS1112" s="155"/>
      <c r="GT1112" s="155"/>
      <c r="GU1112" s="155"/>
      <c r="GV1112" s="155"/>
      <c r="GW1112" s="155"/>
      <c r="GX1112" s="155"/>
      <c r="GY1112" s="155"/>
      <c r="GZ1112" s="155"/>
      <c r="HA1112" s="155"/>
      <c r="HB1112" s="155"/>
      <c r="HC1112" s="155"/>
      <c r="HD1112" s="155"/>
      <c r="HE1112" s="155"/>
    </row>
    <row r="1113" spans="2:213" s="156" customFormat="1" hidden="1">
      <c r="B1113" s="155"/>
      <c r="C1113" s="155"/>
      <c r="D1113" s="155"/>
      <c r="E1113" s="155"/>
      <c r="F1113" s="155"/>
      <c r="G1113" s="155"/>
      <c r="H1113" s="155"/>
      <c r="I1113" s="155"/>
      <c r="J1113" s="155"/>
      <c r="K1113" s="155"/>
      <c r="L1113" s="155"/>
      <c r="M1113" s="155"/>
      <c r="N1113" s="155"/>
      <c r="O1113" s="155"/>
      <c r="P1113" s="155"/>
      <c r="Q1113" s="155"/>
      <c r="R1113" s="155"/>
      <c r="S1113" s="155"/>
      <c r="T1113" s="155"/>
      <c r="U1113" s="155"/>
      <c r="V1113" s="155"/>
      <c r="W1113" s="155"/>
      <c r="GL1113" s="155"/>
      <c r="GM1113" s="155"/>
      <c r="GN1113" s="155"/>
      <c r="GO1113" s="155"/>
      <c r="GP1113" s="155"/>
      <c r="GQ1113" s="155"/>
      <c r="GR1113" s="155"/>
      <c r="GS1113" s="155"/>
      <c r="GT1113" s="155"/>
      <c r="GU1113" s="155"/>
      <c r="GV1113" s="155"/>
      <c r="GW1113" s="155"/>
      <c r="GX1113" s="155"/>
      <c r="GY1113" s="155"/>
      <c r="GZ1113" s="155"/>
      <c r="HA1113" s="155"/>
      <c r="HB1113" s="155"/>
      <c r="HC1113" s="155"/>
      <c r="HD1113" s="155"/>
      <c r="HE1113" s="155"/>
    </row>
    <row r="1114" spans="2:213" s="156" customFormat="1" hidden="1">
      <c r="B1114" s="155"/>
      <c r="C1114" s="155"/>
      <c r="D1114" s="155"/>
      <c r="E1114" s="155"/>
      <c r="F1114" s="155"/>
      <c r="G1114" s="155"/>
      <c r="H1114" s="155"/>
      <c r="I1114" s="155"/>
      <c r="J1114" s="155"/>
      <c r="K1114" s="155"/>
      <c r="L1114" s="155"/>
      <c r="M1114" s="155"/>
      <c r="N1114" s="155"/>
      <c r="O1114" s="155"/>
      <c r="P1114" s="155"/>
      <c r="Q1114" s="155"/>
      <c r="R1114" s="155"/>
      <c r="S1114" s="155"/>
      <c r="T1114" s="155"/>
      <c r="U1114" s="155"/>
      <c r="V1114" s="155"/>
      <c r="W1114" s="155"/>
      <c r="GL1114" s="155"/>
      <c r="GM1114" s="155"/>
      <c r="GN1114" s="155"/>
      <c r="GO1114" s="155"/>
      <c r="GP1114" s="155"/>
      <c r="GQ1114" s="155"/>
      <c r="GR1114" s="155"/>
      <c r="GS1114" s="155"/>
      <c r="GT1114" s="155"/>
      <c r="GU1114" s="155"/>
      <c r="GV1114" s="155"/>
      <c r="GW1114" s="155"/>
      <c r="GX1114" s="155"/>
      <c r="GY1114" s="155"/>
      <c r="GZ1114" s="155"/>
      <c r="HA1114" s="155"/>
      <c r="HB1114" s="155"/>
      <c r="HC1114" s="155"/>
      <c r="HD1114" s="155"/>
      <c r="HE1114" s="155"/>
    </row>
    <row r="1115" spans="2:213" s="156" customFormat="1" hidden="1">
      <c r="B1115" s="155"/>
      <c r="C1115" s="155"/>
      <c r="D1115" s="155"/>
      <c r="E1115" s="155"/>
      <c r="F1115" s="155"/>
      <c r="G1115" s="155"/>
      <c r="H1115" s="155"/>
      <c r="I1115" s="155"/>
      <c r="J1115" s="155"/>
      <c r="K1115" s="155"/>
      <c r="L1115" s="155"/>
      <c r="M1115" s="155"/>
      <c r="N1115" s="155"/>
      <c r="O1115" s="155"/>
      <c r="P1115" s="155"/>
      <c r="Q1115" s="155"/>
      <c r="R1115" s="155"/>
      <c r="S1115" s="155"/>
      <c r="T1115" s="155"/>
      <c r="U1115" s="155"/>
      <c r="V1115" s="155"/>
      <c r="W1115" s="155"/>
      <c r="GL1115" s="155"/>
      <c r="GM1115" s="155"/>
      <c r="GN1115" s="155"/>
      <c r="GO1115" s="155"/>
      <c r="GP1115" s="155"/>
      <c r="GQ1115" s="155"/>
      <c r="GR1115" s="155"/>
      <c r="GS1115" s="155"/>
      <c r="GT1115" s="155"/>
      <c r="GU1115" s="155"/>
      <c r="GV1115" s="155"/>
      <c r="GW1115" s="155"/>
      <c r="GX1115" s="155"/>
      <c r="GY1115" s="155"/>
      <c r="GZ1115" s="155"/>
      <c r="HA1115" s="155"/>
      <c r="HB1115" s="155"/>
      <c r="HC1115" s="155"/>
      <c r="HD1115" s="155"/>
      <c r="HE1115" s="155"/>
    </row>
    <row r="1116" spans="2:213" s="156" customFormat="1" hidden="1">
      <c r="B1116" s="155"/>
      <c r="C1116" s="155"/>
      <c r="D1116" s="155"/>
      <c r="E1116" s="155"/>
      <c r="F1116" s="155"/>
      <c r="G1116" s="155"/>
      <c r="H1116" s="155"/>
      <c r="I1116" s="155"/>
      <c r="J1116" s="155"/>
      <c r="K1116" s="155"/>
      <c r="L1116" s="155"/>
      <c r="M1116" s="155"/>
      <c r="N1116" s="155"/>
      <c r="O1116" s="155"/>
      <c r="P1116" s="155"/>
      <c r="Q1116" s="155"/>
      <c r="R1116" s="155"/>
      <c r="S1116" s="155"/>
      <c r="T1116" s="155"/>
      <c r="U1116" s="155"/>
      <c r="V1116" s="155"/>
      <c r="W1116" s="155"/>
      <c r="GL1116" s="155"/>
      <c r="GM1116" s="155"/>
      <c r="GN1116" s="155"/>
      <c r="GO1116" s="155"/>
      <c r="GP1116" s="155"/>
      <c r="GQ1116" s="155"/>
      <c r="GR1116" s="155"/>
      <c r="GS1116" s="155"/>
      <c r="GT1116" s="155"/>
      <c r="GU1116" s="155"/>
      <c r="GV1116" s="155"/>
      <c r="GW1116" s="155"/>
      <c r="GX1116" s="155"/>
      <c r="GY1116" s="155"/>
      <c r="GZ1116" s="155"/>
      <c r="HA1116" s="155"/>
      <c r="HB1116" s="155"/>
      <c r="HC1116" s="155"/>
      <c r="HD1116" s="155"/>
      <c r="HE1116" s="155"/>
    </row>
    <row r="1117" spans="2:213" s="156" customFormat="1" hidden="1">
      <c r="B1117" s="155"/>
      <c r="C1117" s="155"/>
      <c r="D1117" s="155"/>
      <c r="E1117" s="155"/>
      <c r="F1117" s="155"/>
      <c r="G1117" s="155"/>
      <c r="H1117" s="155"/>
      <c r="I1117" s="155"/>
      <c r="J1117" s="155"/>
      <c r="K1117" s="155"/>
      <c r="L1117" s="155"/>
      <c r="M1117" s="155"/>
      <c r="N1117" s="155"/>
      <c r="O1117" s="155"/>
      <c r="P1117" s="155"/>
      <c r="Q1117" s="155"/>
      <c r="R1117" s="155"/>
      <c r="S1117" s="155"/>
      <c r="T1117" s="155"/>
      <c r="U1117" s="155"/>
      <c r="V1117" s="155"/>
      <c r="W1117" s="155"/>
      <c r="GL1117" s="155"/>
      <c r="GM1117" s="155"/>
      <c r="GN1117" s="155"/>
      <c r="GO1117" s="155"/>
      <c r="GP1117" s="155"/>
      <c r="GQ1117" s="155"/>
      <c r="GR1117" s="155"/>
      <c r="GS1117" s="155"/>
      <c r="GT1117" s="155"/>
      <c r="GU1117" s="155"/>
      <c r="GV1117" s="155"/>
      <c r="GW1117" s="155"/>
      <c r="GX1117" s="155"/>
      <c r="GY1117" s="155"/>
      <c r="GZ1117" s="155"/>
      <c r="HA1117" s="155"/>
      <c r="HB1117" s="155"/>
      <c r="HC1117" s="155"/>
      <c r="HD1117" s="155"/>
      <c r="HE1117" s="155"/>
    </row>
    <row r="1118" spans="2:213" s="156" customFormat="1" hidden="1">
      <c r="B1118" s="155"/>
      <c r="C1118" s="155"/>
      <c r="D1118" s="155"/>
      <c r="E1118" s="155"/>
      <c r="F1118" s="155"/>
      <c r="G1118" s="155"/>
      <c r="H1118" s="155"/>
      <c r="I1118" s="155"/>
      <c r="J1118" s="155"/>
      <c r="K1118" s="155"/>
      <c r="L1118" s="155"/>
      <c r="M1118" s="155"/>
      <c r="N1118" s="155"/>
      <c r="O1118" s="155"/>
      <c r="P1118" s="155"/>
      <c r="Q1118" s="155"/>
      <c r="R1118" s="155"/>
      <c r="S1118" s="155"/>
      <c r="T1118" s="155"/>
      <c r="U1118" s="155"/>
      <c r="V1118" s="155"/>
      <c r="W1118" s="155"/>
      <c r="GL1118" s="155"/>
      <c r="GM1118" s="155"/>
      <c r="GN1118" s="155"/>
      <c r="GO1118" s="155"/>
      <c r="GP1118" s="155"/>
      <c r="GQ1118" s="155"/>
      <c r="GR1118" s="155"/>
      <c r="GS1118" s="155"/>
      <c r="GT1118" s="155"/>
      <c r="GU1118" s="155"/>
      <c r="GV1118" s="155"/>
      <c r="GW1118" s="155"/>
      <c r="GX1118" s="155"/>
      <c r="GY1118" s="155"/>
      <c r="GZ1118" s="155"/>
      <c r="HA1118" s="155"/>
      <c r="HB1118" s="155"/>
      <c r="HC1118" s="155"/>
      <c r="HD1118" s="155"/>
      <c r="HE1118" s="155"/>
    </row>
    <row r="1119" spans="2:213" s="156" customFormat="1" hidden="1">
      <c r="B1119" s="155"/>
      <c r="C1119" s="155"/>
      <c r="D1119" s="155"/>
      <c r="E1119" s="155"/>
      <c r="F1119" s="155"/>
      <c r="G1119" s="155"/>
      <c r="H1119" s="155"/>
      <c r="I1119" s="155"/>
      <c r="J1119" s="155"/>
      <c r="K1119" s="155"/>
      <c r="L1119" s="155"/>
      <c r="M1119" s="155"/>
      <c r="N1119" s="155"/>
      <c r="O1119" s="155"/>
      <c r="P1119" s="155"/>
      <c r="Q1119" s="155"/>
      <c r="R1119" s="155"/>
      <c r="S1119" s="155"/>
      <c r="T1119" s="155"/>
      <c r="U1119" s="155"/>
      <c r="V1119" s="155"/>
      <c r="W1119" s="155"/>
      <c r="GL1119" s="155"/>
      <c r="GM1119" s="155"/>
      <c r="GN1119" s="155"/>
      <c r="GO1119" s="155"/>
      <c r="GP1119" s="155"/>
      <c r="GQ1119" s="155"/>
      <c r="GR1119" s="155"/>
      <c r="GS1119" s="155"/>
      <c r="GT1119" s="155"/>
      <c r="GU1119" s="155"/>
      <c r="GV1119" s="155"/>
      <c r="GW1119" s="155"/>
      <c r="GX1119" s="155"/>
      <c r="GY1119" s="155"/>
      <c r="GZ1119" s="155"/>
      <c r="HA1119" s="155"/>
      <c r="HB1119" s="155"/>
      <c r="HC1119" s="155"/>
      <c r="HD1119" s="155"/>
      <c r="HE1119" s="155"/>
    </row>
    <row r="1120" spans="2:213" s="156" customFormat="1" hidden="1">
      <c r="B1120" s="155"/>
      <c r="C1120" s="155"/>
      <c r="D1120" s="155"/>
      <c r="E1120" s="155"/>
      <c r="F1120" s="155"/>
      <c r="G1120" s="155"/>
      <c r="H1120" s="155"/>
      <c r="I1120" s="155"/>
      <c r="J1120" s="155"/>
      <c r="K1120" s="155"/>
      <c r="L1120" s="155"/>
      <c r="M1120" s="155"/>
      <c r="N1120" s="155"/>
      <c r="O1120" s="155"/>
      <c r="P1120" s="155"/>
      <c r="Q1120" s="155"/>
      <c r="R1120" s="155"/>
      <c r="S1120" s="155"/>
      <c r="T1120" s="155"/>
      <c r="U1120" s="155"/>
      <c r="V1120" s="155"/>
      <c r="W1120" s="155"/>
      <c r="GL1120" s="155"/>
      <c r="GM1120" s="155"/>
      <c r="GN1120" s="155"/>
      <c r="GO1120" s="155"/>
      <c r="GP1120" s="155"/>
      <c r="GQ1120" s="155"/>
      <c r="GR1120" s="155"/>
      <c r="GS1120" s="155"/>
      <c r="GT1120" s="155"/>
      <c r="GU1120" s="155"/>
      <c r="GV1120" s="155"/>
      <c r="GW1120" s="155"/>
      <c r="GX1120" s="155"/>
      <c r="GY1120" s="155"/>
      <c r="GZ1120" s="155"/>
      <c r="HA1120" s="155"/>
      <c r="HB1120" s="155"/>
      <c r="HC1120" s="155"/>
      <c r="HD1120" s="155"/>
      <c r="HE1120" s="155"/>
    </row>
    <row r="1121" spans="2:213" s="156" customFormat="1" hidden="1">
      <c r="B1121" s="155"/>
      <c r="C1121" s="155"/>
      <c r="D1121" s="155"/>
      <c r="E1121" s="155"/>
      <c r="F1121" s="155"/>
      <c r="G1121" s="155"/>
      <c r="H1121" s="155"/>
      <c r="I1121" s="155"/>
      <c r="J1121" s="155"/>
      <c r="K1121" s="155"/>
      <c r="L1121" s="155"/>
      <c r="M1121" s="155"/>
      <c r="N1121" s="155"/>
      <c r="O1121" s="155"/>
      <c r="P1121" s="155"/>
      <c r="Q1121" s="155"/>
      <c r="R1121" s="155"/>
      <c r="S1121" s="155"/>
      <c r="T1121" s="155"/>
      <c r="U1121" s="155"/>
      <c r="V1121" s="155"/>
      <c r="W1121" s="155"/>
      <c r="GL1121" s="155"/>
      <c r="GM1121" s="155"/>
      <c r="GN1121" s="155"/>
      <c r="GO1121" s="155"/>
      <c r="GP1121" s="155"/>
      <c r="GQ1121" s="155"/>
      <c r="GR1121" s="155"/>
      <c r="GS1121" s="155"/>
      <c r="GT1121" s="155"/>
      <c r="GU1121" s="155"/>
      <c r="GV1121" s="155"/>
      <c r="GW1121" s="155"/>
      <c r="GX1121" s="155"/>
      <c r="GY1121" s="155"/>
      <c r="GZ1121" s="155"/>
      <c r="HA1121" s="155"/>
      <c r="HB1121" s="155"/>
      <c r="HC1121" s="155"/>
      <c r="HD1121" s="155"/>
      <c r="HE1121" s="155"/>
    </row>
    <row r="1122" spans="2:213" s="156" customFormat="1" hidden="1">
      <c r="B1122" s="155"/>
      <c r="C1122" s="155"/>
      <c r="D1122" s="155"/>
      <c r="E1122" s="155"/>
      <c r="F1122" s="155"/>
      <c r="G1122" s="155"/>
      <c r="H1122" s="155"/>
      <c r="I1122" s="155"/>
      <c r="J1122" s="155"/>
      <c r="K1122" s="155"/>
      <c r="L1122" s="155"/>
      <c r="M1122" s="155"/>
      <c r="N1122" s="155"/>
      <c r="O1122" s="155"/>
      <c r="P1122" s="155"/>
      <c r="Q1122" s="155"/>
      <c r="R1122" s="155"/>
      <c r="S1122" s="155"/>
      <c r="T1122" s="155"/>
      <c r="U1122" s="155"/>
      <c r="V1122" s="155"/>
      <c r="W1122" s="155"/>
      <c r="GL1122" s="155"/>
      <c r="GM1122" s="155"/>
      <c r="GN1122" s="155"/>
      <c r="GO1122" s="155"/>
      <c r="GP1122" s="155"/>
      <c r="GQ1122" s="155"/>
      <c r="GR1122" s="155"/>
      <c r="GS1122" s="155"/>
      <c r="GT1122" s="155"/>
      <c r="GU1122" s="155"/>
      <c r="GV1122" s="155"/>
      <c r="GW1122" s="155"/>
      <c r="GX1122" s="155"/>
      <c r="GY1122" s="155"/>
      <c r="GZ1122" s="155"/>
      <c r="HA1122" s="155"/>
      <c r="HB1122" s="155"/>
      <c r="HC1122" s="155"/>
      <c r="HD1122" s="155"/>
      <c r="HE1122" s="155"/>
    </row>
    <row r="1123" spans="2:213" s="156" customFormat="1" hidden="1">
      <c r="B1123" s="155"/>
      <c r="C1123" s="155"/>
      <c r="D1123" s="155"/>
      <c r="E1123" s="155"/>
      <c r="F1123" s="155"/>
      <c r="G1123" s="155"/>
      <c r="H1123" s="155"/>
      <c r="I1123" s="155"/>
      <c r="J1123" s="155"/>
      <c r="K1123" s="155"/>
      <c r="L1123" s="155"/>
      <c r="M1123" s="155"/>
      <c r="N1123" s="155"/>
      <c r="O1123" s="155"/>
      <c r="P1123" s="155"/>
      <c r="Q1123" s="155"/>
      <c r="R1123" s="155"/>
      <c r="S1123" s="155"/>
      <c r="T1123" s="155"/>
      <c r="U1123" s="155"/>
      <c r="V1123" s="155"/>
      <c r="W1123" s="155"/>
      <c r="GL1123" s="155"/>
      <c r="GM1123" s="155"/>
      <c r="GN1123" s="155"/>
      <c r="GO1123" s="155"/>
      <c r="GP1123" s="155"/>
      <c r="GQ1123" s="155"/>
      <c r="GR1123" s="155"/>
      <c r="GS1123" s="155"/>
      <c r="GT1123" s="155"/>
      <c r="GU1123" s="155"/>
      <c r="GV1123" s="155"/>
      <c r="GW1123" s="155"/>
      <c r="GX1123" s="155"/>
      <c r="GY1123" s="155"/>
      <c r="GZ1123" s="155"/>
      <c r="HA1123" s="155"/>
      <c r="HB1123" s="155"/>
      <c r="HC1123" s="155"/>
      <c r="HD1123" s="155"/>
      <c r="HE1123" s="155"/>
    </row>
    <row r="1124" spans="2:213" s="156" customFormat="1" hidden="1">
      <c r="B1124" s="155"/>
      <c r="C1124" s="155"/>
      <c r="D1124" s="155"/>
      <c r="E1124" s="155"/>
      <c r="F1124" s="155"/>
      <c r="G1124" s="155"/>
      <c r="H1124" s="155"/>
      <c r="I1124" s="155"/>
      <c r="J1124" s="155"/>
      <c r="K1124" s="155"/>
      <c r="L1124" s="155"/>
      <c r="M1124" s="155"/>
      <c r="N1124" s="155"/>
      <c r="O1124" s="155"/>
      <c r="P1124" s="155"/>
      <c r="Q1124" s="155"/>
      <c r="R1124" s="155"/>
      <c r="S1124" s="155"/>
      <c r="T1124" s="155"/>
      <c r="U1124" s="155"/>
      <c r="V1124" s="155"/>
      <c r="W1124" s="155"/>
      <c r="GL1124" s="155"/>
      <c r="GM1124" s="155"/>
      <c r="GN1124" s="155"/>
      <c r="GO1124" s="155"/>
      <c r="GP1124" s="155"/>
      <c r="GQ1124" s="155"/>
      <c r="GR1124" s="155"/>
      <c r="GS1124" s="155"/>
      <c r="GT1124" s="155"/>
      <c r="GU1124" s="155"/>
      <c r="GV1124" s="155"/>
      <c r="GW1124" s="155"/>
      <c r="GX1124" s="155"/>
      <c r="GY1124" s="155"/>
      <c r="GZ1124" s="155"/>
      <c r="HA1124" s="155"/>
      <c r="HB1124" s="155"/>
      <c r="HC1124" s="155"/>
      <c r="HD1124" s="155"/>
      <c r="HE1124" s="155"/>
    </row>
    <row r="1125" spans="2:213" s="156" customFormat="1" hidden="1">
      <c r="B1125" s="155"/>
      <c r="C1125" s="155"/>
      <c r="D1125" s="155"/>
      <c r="E1125" s="155"/>
      <c r="F1125" s="155"/>
      <c r="G1125" s="155"/>
      <c r="H1125" s="155"/>
      <c r="I1125" s="155"/>
      <c r="J1125" s="155"/>
      <c r="K1125" s="155"/>
      <c r="L1125" s="155"/>
      <c r="M1125" s="155"/>
      <c r="N1125" s="155"/>
      <c r="O1125" s="155"/>
      <c r="P1125" s="155"/>
      <c r="Q1125" s="155"/>
      <c r="R1125" s="155"/>
      <c r="S1125" s="155"/>
      <c r="T1125" s="155"/>
      <c r="U1125" s="155"/>
      <c r="V1125" s="155"/>
      <c r="W1125" s="155"/>
      <c r="GL1125" s="155"/>
      <c r="GM1125" s="155"/>
      <c r="GN1125" s="155"/>
      <c r="GO1125" s="155"/>
      <c r="GP1125" s="155"/>
      <c r="GQ1125" s="155"/>
      <c r="GR1125" s="155"/>
      <c r="GS1125" s="155"/>
      <c r="GT1125" s="155"/>
      <c r="GU1125" s="155"/>
      <c r="GV1125" s="155"/>
      <c r="GW1125" s="155"/>
      <c r="GX1125" s="155"/>
      <c r="GY1125" s="155"/>
      <c r="GZ1125" s="155"/>
      <c r="HA1125" s="155"/>
      <c r="HB1125" s="155"/>
      <c r="HC1125" s="155"/>
      <c r="HD1125" s="155"/>
      <c r="HE1125" s="155"/>
    </row>
    <row r="1126" spans="2:213" s="156" customFormat="1" hidden="1">
      <c r="B1126" s="155"/>
      <c r="C1126" s="155"/>
      <c r="D1126" s="155"/>
      <c r="E1126" s="155"/>
      <c r="F1126" s="155"/>
      <c r="G1126" s="155"/>
      <c r="H1126" s="155"/>
      <c r="I1126" s="155"/>
      <c r="J1126" s="155"/>
      <c r="K1126" s="155"/>
      <c r="L1126" s="155"/>
      <c r="M1126" s="155"/>
      <c r="N1126" s="155"/>
      <c r="O1126" s="155"/>
      <c r="P1126" s="155"/>
      <c r="Q1126" s="155"/>
      <c r="R1126" s="155"/>
      <c r="S1126" s="155"/>
      <c r="T1126" s="155"/>
      <c r="U1126" s="155"/>
      <c r="V1126" s="155"/>
      <c r="W1126" s="155"/>
      <c r="GL1126" s="155"/>
      <c r="GM1126" s="155"/>
      <c r="GN1126" s="155"/>
      <c r="GO1126" s="155"/>
      <c r="GP1126" s="155"/>
      <c r="GQ1126" s="155"/>
      <c r="GR1126" s="155"/>
      <c r="GS1126" s="155"/>
      <c r="GT1126" s="155"/>
      <c r="GU1126" s="155"/>
      <c r="GV1126" s="155"/>
      <c r="GW1126" s="155"/>
      <c r="GX1126" s="155"/>
      <c r="GY1126" s="155"/>
      <c r="GZ1126" s="155"/>
      <c r="HA1126" s="155"/>
      <c r="HB1126" s="155"/>
      <c r="HC1126" s="155"/>
      <c r="HD1126" s="155"/>
      <c r="HE1126" s="155"/>
    </row>
    <row r="1127" spans="2:213" s="156" customFormat="1" hidden="1">
      <c r="B1127" s="155"/>
      <c r="C1127" s="155"/>
      <c r="D1127" s="155"/>
      <c r="E1127" s="155"/>
      <c r="F1127" s="155"/>
      <c r="G1127" s="155"/>
      <c r="H1127" s="155"/>
      <c r="I1127" s="155"/>
      <c r="J1127" s="155"/>
      <c r="K1127" s="155"/>
      <c r="L1127" s="155"/>
      <c r="M1127" s="155"/>
      <c r="N1127" s="155"/>
      <c r="O1127" s="155"/>
      <c r="P1127" s="155"/>
      <c r="Q1127" s="155"/>
      <c r="R1127" s="155"/>
      <c r="S1127" s="155"/>
      <c r="T1127" s="155"/>
      <c r="U1127" s="155"/>
      <c r="V1127" s="155"/>
      <c r="W1127" s="155"/>
      <c r="GL1127" s="155"/>
      <c r="GM1127" s="155"/>
      <c r="GN1127" s="155"/>
      <c r="GO1127" s="155"/>
      <c r="GP1127" s="155"/>
      <c r="GQ1127" s="155"/>
      <c r="GR1127" s="155"/>
      <c r="GS1127" s="155"/>
      <c r="GT1127" s="155"/>
      <c r="GU1127" s="155"/>
      <c r="GV1127" s="155"/>
      <c r="GW1127" s="155"/>
      <c r="GX1127" s="155"/>
      <c r="GY1127" s="155"/>
      <c r="GZ1127" s="155"/>
      <c r="HA1127" s="155"/>
      <c r="HB1127" s="155"/>
      <c r="HC1127" s="155"/>
      <c r="HD1127" s="155"/>
      <c r="HE1127" s="155"/>
    </row>
    <row r="1128" spans="2:213" s="156" customFormat="1" hidden="1">
      <c r="B1128" s="155"/>
      <c r="C1128" s="155"/>
      <c r="D1128" s="155"/>
      <c r="E1128" s="155"/>
      <c r="F1128" s="155"/>
      <c r="G1128" s="155"/>
      <c r="H1128" s="155"/>
      <c r="I1128" s="155"/>
      <c r="J1128" s="155"/>
      <c r="K1128" s="155"/>
      <c r="L1128" s="155"/>
      <c r="M1128" s="155"/>
      <c r="N1128" s="155"/>
      <c r="O1128" s="155"/>
      <c r="P1128" s="155"/>
      <c r="Q1128" s="155"/>
      <c r="R1128" s="155"/>
      <c r="S1128" s="155"/>
      <c r="T1128" s="155"/>
      <c r="U1128" s="155"/>
      <c r="V1128" s="155"/>
      <c r="W1128" s="155"/>
      <c r="GL1128" s="155"/>
      <c r="GM1128" s="155"/>
      <c r="GN1128" s="155"/>
      <c r="GO1128" s="155"/>
      <c r="GP1128" s="155"/>
      <c r="GQ1128" s="155"/>
      <c r="GR1128" s="155"/>
      <c r="GS1128" s="155"/>
      <c r="GT1128" s="155"/>
      <c r="GU1128" s="155"/>
      <c r="GV1128" s="155"/>
      <c r="GW1128" s="155"/>
      <c r="GX1128" s="155"/>
      <c r="GY1128" s="155"/>
      <c r="GZ1128" s="155"/>
      <c r="HA1128" s="155"/>
      <c r="HB1128" s="155"/>
      <c r="HC1128" s="155"/>
      <c r="HD1128" s="155"/>
      <c r="HE1128" s="155"/>
    </row>
    <row r="1129" spans="2:213" s="156" customFormat="1" hidden="1">
      <c r="B1129" s="155"/>
      <c r="C1129" s="155"/>
      <c r="D1129" s="155"/>
      <c r="E1129" s="155"/>
      <c r="F1129" s="155"/>
      <c r="G1129" s="155"/>
      <c r="H1129" s="155"/>
      <c r="I1129" s="155"/>
      <c r="J1129" s="155"/>
      <c r="K1129" s="155"/>
      <c r="L1129" s="155"/>
      <c r="M1129" s="155"/>
      <c r="N1129" s="155"/>
      <c r="O1129" s="155"/>
      <c r="P1129" s="155"/>
      <c r="Q1129" s="155"/>
      <c r="R1129" s="155"/>
      <c r="S1129" s="155"/>
      <c r="T1129" s="155"/>
      <c r="U1129" s="155"/>
      <c r="V1129" s="155"/>
      <c r="W1129" s="155"/>
      <c r="GL1129" s="155"/>
      <c r="GM1129" s="155"/>
      <c r="GN1129" s="155"/>
      <c r="GO1129" s="155"/>
      <c r="GP1129" s="155"/>
      <c r="GQ1129" s="155"/>
      <c r="GR1129" s="155"/>
      <c r="GS1129" s="155"/>
      <c r="GT1129" s="155"/>
      <c r="GU1129" s="155"/>
      <c r="GV1129" s="155"/>
      <c r="GW1129" s="155"/>
      <c r="GX1129" s="155"/>
      <c r="GY1129" s="155"/>
      <c r="GZ1129" s="155"/>
      <c r="HA1129" s="155"/>
      <c r="HB1129" s="155"/>
      <c r="HC1129" s="155"/>
      <c r="HD1129" s="155"/>
      <c r="HE1129" s="155"/>
    </row>
    <row r="1130" spans="2:213" s="156" customFormat="1" hidden="1">
      <c r="B1130" s="155"/>
      <c r="C1130" s="155"/>
      <c r="D1130" s="155"/>
      <c r="E1130" s="155"/>
      <c r="F1130" s="155"/>
      <c r="G1130" s="155"/>
      <c r="H1130" s="155"/>
      <c r="I1130" s="155"/>
      <c r="J1130" s="155"/>
      <c r="K1130" s="155"/>
      <c r="L1130" s="155"/>
      <c r="M1130" s="155"/>
      <c r="N1130" s="155"/>
      <c r="O1130" s="155"/>
      <c r="P1130" s="155"/>
      <c r="Q1130" s="155"/>
      <c r="R1130" s="155"/>
      <c r="S1130" s="155"/>
      <c r="T1130" s="155"/>
      <c r="U1130" s="155"/>
      <c r="V1130" s="155"/>
      <c r="W1130" s="155"/>
      <c r="GL1130" s="155"/>
      <c r="GM1130" s="155"/>
      <c r="GN1130" s="155"/>
      <c r="GO1130" s="155"/>
      <c r="GP1130" s="155"/>
      <c r="GQ1130" s="155"/>
      <c r="GR1130" s="155"/>
      <c r="GS1130" s="155"/>
      <c r="GT1130" s="155"/>
      <c r="GU1130" s="155"/>
      <c r="GV1130" s="155"/>
      <c r="GW1130" s="155"/>
      <c r="GX1130" s="155"/>
      <c r="GY1130" s="155"/>
      <c r="GZ1130" s="155"/>
      <c r="HA1130" s="155"/>
      <c r="HB1130" s="155"/>
      <c r="HC1130" s="155"/>
      <c r="HD1130" s="155"/>
      <c r="HE1130" s="155"/>
    </row>
    <row r="1131" spans="2:213" s="156" customFormat="1" hidden="1">
      <c r="B1131" s="155"/>
      <c r="C1131" s="155"/>
      <c r="D1131" s="155"/>
      <c r="E1131" s="155"/>
      <c r="F1131" s="155"/>
      <c r="G1131" s="155"/>
      <c r="H1131" s="155"/>
      <c r="I1131" s="155"/>
      <c r="J1131" s="155"/>
      <c r="K1131" s="155"/>
      <c r="L1131" s="155"/>
      <c r="M1131" s="155"/>
      <c r="N1131" s="155"/>
      <c r="O1131" s="155"/>
      <c r="P1131" s="155"/>
      <c r="Q1131" s="155"/>
      <c r="R1131" s="155"/>
      <c r="S1131" s="155"/>
      <c r="T1131" s="155"/>
      <c r="U1131" s="155"/>
      <c r="V1131" s="155"/>
      <c r="W1131" s="155"/>
      <c r="GL1131" s="155"/>
      <c r="GM1131" s="155"/>
      <c r="GN1131" s="155"/>
      <c r="GO1131" s="155"/>
      <c r="GP1131" s="155"/>
      <c r="GQ1131" s="155"/>
      <c r="GR1131" s="155"/>
      <c r="GS1131" s="155"/>
      <c r="GT1131" s="155"/>
      <c r="GU1131" s="155"/>
      <c r="GV1131" s="155"/>
      <c r="GW1131" s="155"/>
      <c r="GX1131" s="155"/>
      <c r="GY1131" s="155"/>
      <c r="GZ1131" s="155"/>
      <c r="HA1131" s="155"/>
      <c r="HB1131" s="155"/>
      <c r="HC1131" s="155"/>
      <c r="HD1131" s="155"/>
      <c r="HE1131" s="155"/>
    </row>
    <row r="1132" spans="2:213" s="156" customFormat="1" hidden="1">
      <c r="B1132" s="155"/>
      <c r="C1132" s="155"/>
      <c r="D1132" s="155"/>
      <c r="E1132" s="155"/>
      <c r="F1132" s="155"/>
      <c r="G1132" s="155"/>
      <c r="H1132" s="155"/>
      <c r="I1132" s="155"/>
      <c r="J1132" s="155"/>
      <c r="K1132" s="155"/>
      <c r="L1132" s="155"/>
      <c r="M1132" s="155"/>
      <c r="N1132" s="155"/>
      <c r="O1132" s="155"/>
      <c r="P1132" s="155"/>
      <c r="Q1132" s="155"/>
      <c r="R1132" s="155"/>
      <c r="S1132" s="155"/>
      <c r="T1132" s="155"/>
      <c r="U1132" s="155"/>
      <c r="V1132" s="155"/>
      <c r="W1132" s="155"/>
      <c r="GL1132" s="155"/>
      <c r="GM1132" s="155"/>
      <c r="GN1132" s="155"/>
      <c r="GO1132" s="155"/>
      <c r="GP1132" s="155"/>
      <c r="GQ1132" s="155"/>
      <c r="GR1132" s="155"/>
      <c r="GS1132" s="155"/>
      <c r="GT1132" s="155"/>
      <c r="GU1132" s="155"/>
      <c r="GV1132" s="155"/>
      <c r="GW1132" s="155"/>
      <c r="GX1132" s="155"/>
      <c r="GY1132" s="155"/>
      <c r="GZ1132" s="155"/>
      <c r="HA1132" s="155"/>
      <c r="HB1132" s="155"/>
      <c r="HC1132" s="155"/>
      <c r="HD1132" s="155"/>
      <c r="HE1132" s="155"/>
    </row>
    <row r="1133" spans="2:213" s="156" customFormat="1" hidden="1">
      <c r="B1133" s="155"/>
      <c r="C1133" s="155"/>
      <c r="D1133" s="155"/>
      <c r="E1133" s="155"/>
      <c r="F1133" s="155"/>
      <c r="G1133" s="155"/>
      <c r="H1133" s="155"/>
      <c r="I1133" s="155"/>
      <c r="J1133" s="155"/>
      <c r="K1133" s="155"/>
      <c r="L1133" s="155"/>
      <c r="M1133" s="155"/>
      <c r="N1133" s="155"/>
      <c r="O1133" s="155"/>
      <c r="P1133" s="155"/>
      <c r="Q1133" s="155"/>
      <c r="R1133" s="155"/>
      <c r="S1133" s="155"/>
      <c r="T1133" s="155"/>
      <c r="U1133" s="155"/>
      <c r="V1133" s="155"/>
      <c r="W1133" s="155"/>
      <c r="GL1133" s="155"/>
      <c r="GM1133" s="155"/>
      <c r="GN1133" s="155"/>
      <c r="GO1133" s="155"/>
      <c r="GP1133" s="155"/>
      <c r="GQ1133" s="155"/>
      <c r="GR1133" s="155"/>
      <c r="GS1133" s="155"/>
      <c r="GT1133" s="155"/>
      <c r="GU1133" s="155"/>
      <c r="GV1133" s="155"/>
      <c r="GW1133" s="155"/>
      <c r="GX1133" s="155"/>
      <c r="GY1133" s="155"/>
      <c r="GZ1133" s="155"/>
      <c r="HA1133" s="155"/>
      <c r="HB1133" s="155"/>
      <c r="HC1133" s="155"/>
      <c r="HD1133" s="155"/>
      <c r="HE1133" s="155"/>
    </row>
    <row r="1134" spans="2:213" s="156" customFormat="1" hidden="1">
      <c r="B1134" s="155"/>
      <c r="C1134" s="155"/>
      <c r="D1134" s="155"/>
      <c r="E1134" s="155"/>
      <c r="F1134" s="155"/>
      <c r="G1134" s="155"/>
      <c r="H1134" s="155"/>
      <c r="I1134" s="155"/>
      <c r="J1134" s="155"/>
      <c r="K1134" s="155"/>
      <c r="L1134" s="155"/>
      <c r="M1134" s="155"/>
      <c r="N1134" s="155"/>
      <c r="O1134" s="155"/>
      <c r="P1134" s="155"/>
      <c r="Q1134" s="155"/>
      <c r="R1134" s="155"/>
      <c r="S1134" s="155"/>
      <c r="T1134" s="155"/>
      <c r="U1134" s="155"/>
      <c r="V1134" s="155"/>
      <c r="W1134" s="155"/>
      <c r="GL1134" s="155"/>
      <c r="GM1134" s="155"/>
      <c r="GN1134" s="155"/>
      <c r="GO1134" s="155"/>
      <c r="GP1134" s="155"/>
      <c r="GQ1134" s="155"/>
      <c r="GR1134" s="155"/>
      <c r="GS1134" s="155"/>
      <c r="GT1134" s="155"/>
      <c r="GU1134" s="155"/>
      <c r="GV1134" s="155"/>
      <c r="GW1134" s="155"/>
      <c r="GX1134" s="155"/>
      <c r="GY1134" s="155"/>
      <c r="GZ1134" s="155"/>
      <c r="HA1134" s="155"/>
      <c r="HB1134" s="155"/>
      <c r="HC1134" s="155"/>
      <c r="HD1134" s="155"/>
      <c r="HE1134" s="155"/>
    </row>
    <row r="1135" spans="2:213" s="156" customFormat="1" hidden="1">
      <c r="B1135" s="155"/>
      <c r="C1135" s="155"/>
      <c r="D1135" s="155"/>
      <c r="E1135" s="155"/>
      <c r="F1135" s="155"/>
      <c r="G1135" s="155"/>
      <c r="H1135" s="155"/>
      <c r="I1135" s="155"/>
      <c r="J1135" s="155"/>
      <c r="K1135" s="155"/>
      <c r="L1135" s="155"/>
      <c r="M1135" s="155"/>
      <c r="N1135" s="155"/>
      <c r="O1135" s="155"/>
      <c r="P1135" s="155"/>
      <c r="Q1135" s="155"/>
      <c r="R1135" s="155"/>
      <c r="S1135" s="155"/>
      <c r="T1135" s="155"/>
      <c r="U1135" s="155"/>
      <c r="V1135" s="155"/>
      <c r="W1135" s="155"/>
      <c r="GL1135" s="155"/>
      <c r="GM1135" s="155"/>
      <c r="GN1135" s="155"/>
      <c r="GO1135" s="155"/>
      <c r="GP1135" s="155"/>
      <c r="GQ1135" s="155"/>
      <c r="GR1135" s="155"/>
      <c r="GS1135" s="155"/>
      <c r="GT1135" s="155"/>
      <c r="GU1135" s="155"/>
      <c r="GV1135" s="155"/>
      <c r="GW1135" s="155"/>
      <c r="GX1135" s="155"/>
      <c r="GY1135" s="155"/>
      <c r="GZ1135" s="155"/>
      <c r="HA1135" s="155"/>
      <c r="HB1135" s="155"/>
      <c r="HC1135" s="155"/>
      <c r="HD1135" s="155"/>
      <c r="HE1135" s="155"/>
    </row>
    <row r="1136" spans="2:213" s="156" customFormat="1" hidden="1">
      <c r="B1136" s="155"/>
      <c r="C1136" s="155"/>
      <c r="D1136" s="155"/>
      <c r="E1136" s="155"/>
      <c r="F1136" s="155"/>
      <c r="G1136" s="155"/>
      <c r="H1136" s="155"/>
      <c r="I1136" s="155"/>
      <c r="J1136" s="155"/>
      <c r="K1136" s="155"/>
      <c r="L1136" s="155"/>
      <c r="M1136" s="155"/>
      <c r="N1136" s="155"/>
      <c r="O1136" s="155"/>
      <c r="P1136" s="155"/>
      <c r="Q1136" s="155"/>
      <c r="R1136" s="155"/>
      <c r="S1136" s="155"/>
      <c r="T1136" s="155"/>
      <c r="U1136" s="155"/>
      <c r="V1136" s="155"/>
      <c r="W1136" s="155"/>
      <c r="GL1136" s="155"/>
      <c r="GM1136" s="155"/>
      <c r="GN1136" s="155"/>
      <c r="GO1136" s="155"/>
      <c r="GP1136" s="155"/>
      <c r="GQ1136" s="155"/>
      <c r="GR1136" s="155"/>
      <c r="GS1136" s="155"/>
      <c r="GT1136" s="155"/>
      <c r="GU1136" s="155"/>
      <c r="GV1136" s="155"/>
      <c r="GW1136" s="155"/>
      <c r="GX1136" s="155"/>
      <c r="GY1136" s="155"/>
      <c r="GZ1136" s="155"/>
      <c r="HA1136" s="155"/>
      <c r="HB1136" s="155"/>
      <c r="HC1136" s="155"/>
      <c r="HD1136" s="155"/>
      <c r="HE1136" s="155"/>
    </row>
    <row r="1137" spans="2:213" s="156" customFormat="1" hidden="1">
      <c r="B1137" s="155"/>
      <c r="C1137" s="155"/>
      <c r="D1137" s="155"/>
      <c r="E1137" s="155"/>
      <c r="F1137" s="155"/>
      <c r="G1137" s="155"/>
      <c r="H1137" s="155"/>
      <c r="I1137" s="155"/>
      <c r="J1137" s="155"/>
      <c r="K1137" s="155"/>
      <c r="L1137" s="155"/>
      <c r="M1137" s="155"/>
      <c r="N1137" s="155"/>
      <c r="O1137" s="155"/>
      <c r="P1137" s="155"/>
      <c r="Q1137" s="155"/>
      <c r="R1137" s="155"/>
      <c r="S1137" s="155"/>
      <c r="T1137" s="155"/>
      <c r="U1137" s="155"/>
      <c r="V1137" s="155"/>
      <c r="W1137" s="155"/>
      <c r="GL1137" s="155"/>
      <c r="GM1137" s="155"/>
      <c r="GN1137" s="155"/>
      <c r="GO1137" s="155"/>
      <c r="GP1137" s="155"/>
      <c r="GQ1137" s="155"/>
      <c r="GR1137" s="155"/>
      <c r="GS1137" s="155"/>
      <c r="GT1137" s="155"/>
      <c r="GU1137" s="155"/>
      <c r="GV1137" s="155"/>
      <c r="GW1137" s="155"/>
      <c r="GX1137" s="155"/>
      <c r="GY1137" s="155"/>
      <c r="GZ1137" s="155"/>
      <c r="HA1137" s="155"/>
      <c r="HB1137" s="155"/>
      <c r="HC1137" s="155"/>
      <c r="HD1137" s="155"/>
      <c r="HE1137" s="155"/>
    </row>
    <row r="1138" spans="2:213" s="156" customFormat="1" hidden="1">
      <c r="B1138" s="155"/>
      <c r="C1138" s="155"/>
      <c r="D1138" s="155"/>
      <c r="E1138" s="155"/>
      <c r="F1138" s="155"/>
      <c r="G1138" s="155"/>
      <c r="H1138" s="155"/>
      <c r="I1138" s="155"/>
      <c r="J1138" s="155"/>
      <c r="K1138" s="155"/>
      <c r="L1138" s="155"/>
      <c r="M1138" s="155"/>
      <c r="N1138" s="155"/>
      <c r="O1138" s="155"/>
      <c r="P1138" s="155"/>
      <c r="Q1138" s="155"/>
      <c r="R1138" s="155"/>
      <c r="S1138" s="155"/>
      <c r="T1138" s="155"/>
      <c r="U1138" s="155"/>
      <c r="V1138" s="155"/>
      <c r="W1138" s="155"/>
      <c r="GL1138" s="155"/>
      <c r="GM1138" s="155"/>
      <c r="GN1138" s="155"/>
      <c r="GO1138" s="155"/>
      <c r="GP1138" s="155"/>
      <c r="GQ1138" s="155"/>
      <c r="GR1138" s="155"/>
      <c r="GS1138" s="155"/>
      <c r="GT1138" s="155"/>
      <c r="GU1138" s="155"/>
      <c r="GV1138" s="155"/>
      <c r="GW1138" s="155"/>
      <c r="GX1138" s="155"/>
      <c r="GY1138" s="155"/>
      <c r="GZ1138" s="155"/>
      <c r="HA1138" s="155"/>
      <c r="HB1138" s="155"/>
      <c r="HC1138" s="155"/>
      <c r="HD1138" s="155"/>
      <c r="HE1138" s="155"/>
    </row>
    <row r="1139" spans="2:213" s="156" customFormat="1" hidden="1">
      <c r="B1139" s="155"/>
      <c r="C1139" s="155"/>
      <c r="D1139" s="155"/>
      <c r="E1139" s="155"/>
      <c r="F1139" s="155"/>
      <c r="G1139" s="155"/>
      <c r="H1139" s="155"/>
      <c r="I1139" s="155"/>
      <c r="J1139" s="155"/>
      <c r="K1139" s="155"/>
      <c r="L1139" s="155"/>
      <c r="M1139" s="155"/>
      <c r="N1139" s="155"/>
      <c r="O1139" s="155"/>
      <c r="P1139" s="155"/>
      <c r="Q1139" s="155"/>
      <c r="R1139" s="155"/>
      <c r="S1139" s="155"/>
      <c r="T1139" s="155"/>
      <c r="U1139" s="155"/>
      <c r="V1139" s="155"/>
      <c r="W1139" s="155"/>
      <c r="GL1139" s="155"/>
      <c r="GM1139" s="155"/>
      <c r="GN1139" s="155"/>
      <c r="GO1139" s="155"/>
      <c r="GP1139" s="155"/>
      <c r="GQ1139" s="155"/>
      <c r="GR1139" s="155"/>
      <c r="GS1139" s="155"/>
      <c r="GT1139" s="155"/>
      <c r="GU1139" s="155"/>
      <c r="GV1139" s="155"/>
      <c r="GW1139" s="155"/>
      <c r="GX1139" s="155"/>
      <c r="GY1139" s="155"/>
      <c r="GZ1139" s="155"/>
      <c r="HA1139" s="155"/>
      <c r="HB1139" s="155"/>
      <c r="HC1139" s="155"/>
      <c r="HD1139" s="155"/>
      <c r="HE1139" s="155"/>
    </row>
    <row r="1140" spans="2:213" s="156" customFormat="1" hidden="1">
      <c r="B1140" s="155"/>
      <c r="C1140" s="155"/>
      <c r="D1140" s="155"/>
      <c r="E1140" s="155"/>
      <c r="F1140" s="155"/>
      <c r="G1140" s="155"/>
      <c r="H1140" s="155"/>
      <c r="I1140" s="155"/>
      <c r="J1140" s="155"/>
      <c r="K1140" s="155"/>
      <c r="L1140" s="155"/>
      <c r="M1140" s="155"/>
      <c r="N1140" s="155"/>
      <c r="O1140" s="155"/>
      <c r="P1140" s="155"/>
      <c r="Q1140" s="155"/>
      <c r="R1140" s="155"/>
      <c r="S1140" s="155"/>
      <c r="T1140" s="155"/>
      <c r="U1140" s="155"/>
      <c r="V1140" s="155"/>
      <c r="W1140" s="155"/>
      <c r="GL1140" s="155"/>
      <c r="GM1140" s="155"/>
      <c r="GN1140" s="155"/>
      <c r="GO1140" s="155"/>
      <c r="GP1140" s="155"/>
      <c r="GQ1140" s="155"/>
      <c r="GR1140" s="155"/>
      <c r="GS1140" s="155"/>
      <c r="GT1140" s="155"/>
      <c r="GU1140" s="155"/>
      <c r="GV1140" s="155"/>
      <c r="GW1140" s="155"/>
      <c r="GX1140" s="155"/>
      <c r="GY1140" s="155"/>
      <c r="GZ1140" s="155"/>
      <c r="HA1140" s="155"/>
      <c r="HB1140" s="155"/>
      <c r="HC1140" s="155"/>
      <c r="HD1140" s="155"/>
      <c r="HE1140" s="155"/>
    </row>
    <row r="1141" spans="2:213" s="156" customFormat="1" hidden="1">
      <c r="B1141" s="155"/>
      <c r="C1141" s="155"/>
      <c r="D1141" s="155"/>
      <c r="E1141" s="155"/>
      <c r="F1141" s="155"/>
      <c r="G1141" s="155"/>
      <c r="H1141" s="155"/>
      <c r="I1141" s="155"/>
      <c r="J1141" s="155"/>
      <c r="K1141" s="155"/>
      <c r="L1141" s="155"/>
      <c r="M1141" s="155"/>
      <c r="N1141" s="155"/>
      <c r="O1141" s="155"/>
      <c r="P1141" s="155"/>
      <c r="Q1141" s="155"/>
      <c r="R1141" s="155"/>
      <c r="S1141" s="155"/>
      <c r="T1141" s="155"/>
      <c r="U1141" s="155"/>
      <c r="V1141" s="155"/>
      <c r="W1141" s="155"/>
      <c r="GL1141" s="155"/>
      <c r="GM1141" s="155"/>
      <c r="GN1141" s="155"/>
      <c r="GO1141" s="155"/>
      <c r="GP1141" s="155"/>
      <c r="GQ1141" s="155"/>
      <c r="GR1141" s="155"/>
      <c r="GS1141" s="155"/>
      <c r="GT1141" s="155"/>
      <c r="GU1141" s="155"/>
      <c r="GV1141" s="155"/>
      <c r="GW1141" s="155"/>
      <c r="GX1141" s="155"/>
      <c r="GY1141" s="155"/>
      <c r="GZ1141" s="155"/>
      <c r="HA1141" s="155"/>
      <c r="HB1141" s="155"/>
      <c r="HC1141" s="155"/>
      <c r="HD1141" s="155"/>
      <c r="HE1141" s="155"/>
    </row>
    <row r="1142" spans="2:213" s="156" customFormat="1" hidden="1">
      <c r="B1142" s="155"/>
      <c r="C1142" s="155"/>
      <c r="D1142" s="155"/>
      <c r="E1142" s="155"/>
      <c r="F1142" s="155"/>
      <c r="G1142" s="155"/>
      <c r="H1142" s="155"/>
      <c r="I1142" s="155"/>
      <c r="J1142" s="155"/>
      <c r="K1142" s="155"/>
      <c r="L1142" s="155"/>
      <c r="M1142" s="155"/>
      <c r="N1142" s="155"/>
      <c r="O1142" s="155"/>
      <c r="P1142" s="155"/>
      <c r="Q1142" s="155"/>
      <c r="R1142" s="155"/>
      <c r="S1142" s="155"/>
      <c r="T1142" s="155"/>
      <c r="U1142" s="155"/>
      <c r="V1142" s="155"/>
      <c r="W1142" s="155"/>
      <c r="GL1142" s="155"/>
      <c r="GM1142" s="155"/>
      <c r="GN1142" s="155"/>
      <c r="GO1142" s="155"/>
      <c r="GP1142" s="155"/>
      <c r="GQ1142" s="155"/>
      <c r="GR1142" s="155"/>
      <c r="GS1142" s="155"/>
      <c r="GT1142" s="155"/>
      <c r="GU1142" s="155"/>
      <c r="GV1142" s="155"/>
      <c r="GW1142" s="155"/>
      <c r="GX1142" s="155"/>
      <c r="GY1142" s="155"/>
      <c r="GZ1142" s="155"/>
      <c r="HA1142" s="155"/>
      <c r="HB1142" s="155"/>
      <c r="HC1142" s="155"/>
      <c r="HD1142" s="155"/>
      <c r="HE1142" s="155"/>
    </row>
    <row r="1143" spans="2:213" s="156" customFormat="1" hidden="1">
      <c r="B1143" s="155"/>
      <c r="C1143" s="155"/>
      <c r="D1143" s="155"/>
      <c r="E1143" s="155"/>
      <c r="F1143" s="155"/>
      <c r="G1143" s="155"/>
      <c r="H1143" s="155"/>
      <c r="I1143" s="155"/>
      <c r="J1143" s="155"/>
      <c r="K1143" s="155"/>
      <c r="L1143" s="155"/>
      <c r="M1143" s="155"/>
      <c r="N1143" s="155"/>
      <c r="O1143" s="155"/>
      <c r="P1143" s="155"/>
      <c r="Q1143" s="155"/>
      <c r="R1143" s="155"/>
      <c r="S1143" s="155"/>
      <c r="T1143" s="155"/>
      <c r="U1143" s="155"/>
      <c r="V1143" s="155"/>
      <c r="W1143" s="155"/>
      <c r="GL1143" s="155"/>
      <c r="GM1143" s="155"/>
      <c r="GN1143" s="155"/>
      <c r="GO1143" s="155"/>
      <c r="GP1143" s="155"/>
      <c r="GQ1143" s="155"/>
      <c r="GR1143" s="155"/>
      <c r="GS1143" s="155"/>
      <c r="GT1143" s="155"/>
      <c r="GU1143" s="155"/>
      <c r="GV1143" s="155"/>
      <c r="GW1143" s="155"/>
      <c r="GX1143" s="155"/>
      <c r="GY1143" s="155"/>
      <c r="GZ1143" s="155"/>
      <c r="HA1143" s="155"/>
      <c r="HB1143" s="155"/>
      <c r="HC1143" s="155"/>
      <c r="HD1143" s="155"/>
      <c r="HE1143" s="155"/>
    </row>
    <row r="1144" spans="2:213" s="156" customFormat="1" hidden="1">
      <c r="B1144" s="155"/>
      <c r="C1144" s="155"/>
      <c r="D1144" s="155"/>
      <c r="E1144" s="155"/>
      <c r="F1144" s="155"/>
      <c r="G1144" s="155"/>
      <c r="H1144" s="155"/>
      <c r="I1144" s="155"/>
      <c r="J1144" s="155"/>
      <c r="K1144" s="155"/>
      <c r="L1144" s="155"/>
      <c r="M1144" s="155"/>
      <c r="N1144" s="155"/>
      <c r="O1144" s="155"/>
      <c r="P1144" s="155"/>
      <c r="Q1144" s="155"/>
      <c r="R1144" s="155"/>
      <c r="S1144" s="155"/>
      <c r="T1144" s="155"/>
      <c r="U1144" s="155"/>
      <c r="V1144" s="155"/>
      <c r="W1144" s="155"/>
      <c r="GL1144" s="155"/>
      <c r="GM1144" s="155"/>
      <c r="GN1144" s="155"/>
      <c r="GO1144" s="155"/>
      <c r="GP1144" s="155"/>
      <c r="GQ1144" s="155"/>
      <c r="GR1144" s="155"/>
      <c r="GS1144" s="155"/>
      <c r="GT1144" s="155"/>
      <c r="GU1144" s="155"/>
      <c r="GV1144" s="155"/>
      <c r="GW1144" s="155"/>
      <c r="GX1144" s="155"/>
      <c r="GY1144" s="155"/>
      <c r="GZ1144" s="155"/>
      <c r="HA1144" s="155"/>
      <c r="HB1144" s="155"/>
      <c r="HC1144" s="155"/>
      <c r="HD1144" s="155"/>
      <c r="HE1144" s="155"/>
    </row>
    <row r="1145" spans="2:213" s="156" customFormat="1" hidden="1">
      <c r="B1145" s="155"/>
      <c r="C1145" s="155"/>
      <c r="D1145" s="155"/>
      <c r="E1145" s="155"/>
      <c r="F1145" s="155"/>
      <c r="G1145" s="155"/>
      <c r="H1145" s="155"/>
      <c r="I1145" s="155"/>
      <c r="J1145" s="155"/>
      <c r="K1145" s="155"/>
      <c r="L1145" s="155"/>
      <c r="M1145" s="155"/>
      <c r="N1145" s="155"/>
      <c r="O1145" s="155"/>
      <c r="P1145" s="155"/>
      <c r="Q1145" s="155"/>
      <c r="R1145" s="155"/>
      <c r="S1145" s="155"/>
      <c r="T1145" s="155"/>
      <c r="U1145" s="155"/>
      <c r="V1145" s="155"/>
      <c r="W1145" s="155"/>
      <c r="GL1145" s="155"/>
      <c r="GM1145" s="155"/>
      <c r="GN1145" s="155"/>
      <c r="GO1145" s="155"/>
      <c r="GP1145" s="155"/>
      <c r="GQ1145" s="155"/>
      <c r="GR1145" s="155"/>
      <c r="GS1145" s="155"/>
      <c r="GT1145" s="155"/>
      <c r="GU1145" s="155"/>
      <c r="GV1145" s="155"/>
      <c r="GW1145" s="155"/>
      <c r="GX1145" s="155"/>
      <c r="GY1145" s="155"/>
      <c r="GZ1145" s="155"/>
      <c r="HA1145" s="155"/>
      <c r="HB1145" s="155"/>
      <c r="HC1145" s="155"/>
      <c r="HD1145" s="155"/>
      <c r="HE1145" s="155"/>
    </row>
    <row r="1146" spans="2:213" s="156" customFormat="1" hidden="1">
      <c r="B1146" s="155"/>
      <c r="C1146" s="155"/>
      <c r="D1146" s="155"/>
      <c r="E1146" s="155"/>
      <c r="F1146" s="155"/>
      <c r="G1146" s="155"/>
      <c r="H1146" s="155"/>
      <c r="I1146" s="155"/>
      <c r="J1146" s="155"/>
      <c r="K1146" s="155"/>
      <c r="L1146" s="155"/>
      <c r="M1146" s="155"/>
      <c r="N1146" s="155"/>
      <c r="O1146" s="155"/>
      <c r="P1146" s="155"/>
      <c r="Q1146" s="155"/>
      <c r="R1146" s="155"/>
      <c r="S1146" s="155"/>
      <c r="T1146" s="155"/>
      <c r="U1146" s="155"/>
      <c r="V1146" s="155"/>
      <c r="W1146" s="155"/>
      <c r="GL1146" s="155"/>
      <c r="GM1146" s="155"/>
      <c r="GN1146" s="155"/>
      <c r="GO1146" s="155"/>
      <c r="GP1146" s="155"/>
      <c r="GQ1146" s="155"/>
      <c r="GR1146" s="155"/>
      <c r="GS1146" s="155"/>
      <c r="GT1146" s="155"/>
      <c r="GU1146" s="155"/>
      <c r="GV1146" s="155"/>
      <c r="GW1146" s="155"/>
      <c r="GX1146" s="155"/>
      <c r="GY1146" s="155"/>
      <c r="GZ1146" s="155"/>
      <c r="HA1146" s="155"/>
      <c r="HB1146" s="155"/>
      <c r="HC1146" s="155"/>
      <c r="HD1146" s="155"/>
      <c r="HE1146" s="155"/>
    </row>
    <row r="1147" spans="2:213" s="156" customFormat="1" hidden="1">
      <c r="B1147" s="155"/>
      <c r="C1147" s="155"/>
      <c r="D1147" s="155"/>
      <c r="E1147" s="155"/>
      <c r="F1147" s="155"/>
      <c r="G1147" s="155"/>
      <c r="H1147" s="155"/>
      <c r="I1147" s="155"/>
      <c r="J1147" s="155"/>
      <c r="K1147" s="155"/>
      <c r="L1147" s="155"/>
      <c r="M1147" s="155"/>
      <c r="N1147" s="155"/>
      <c r="O1147" s="155"/>
      <c r="P1147" s="155"/>
      <c r="Q1147" s="155"/>
      <c r="R1147" s="155"/>
      <c r="S1147" s="155"/>
      <c r="T1147" s="155"/>
      <c r="U1147" s="155"/>
      <c r="V1147" s="155"/>
      <c r="W1147" s="155"/>
      <c r="GL1147" s="155"/>
      <c r="GM1147" s="155"/>
      <c r="GN1147" s="155"/>
      <c r="GO1147" s="155"/>
      <c r="GP1147" s="155"/>
      <c r="GQ1147" s="155"/>
      <c r="GR1147" s="155"/>
      <c r="GS1147" s="155"/>
      <c r="GT1147" s="155"/>
      <c r="GU1147" s="155"/>
      <c r="GV1147" s="155"/>
      <c r="GW1147" s="155"/>
      <c r="GX1147" s="155"/>
      <c r="GY1147" s="155"/>
      <c r="GZ1147" s="155"/>
      <c r="HA1147" s="155"/>
      <c r="HB1147" s="155"/>
      <c r="HC1147" s="155"/>
      <c r="HD1147" s="155"/>
      <c r="HE1147" s="155"/>
    </row>
    <row r="1148" spans="2:213" s="156" customFormat="1" hidden="1">
      <c r="B1148" s="155"/>
      <c r="C1148" s="155"/>
      <c r="D1148" s="155"/>
      <c r="E1148" s="155"/>
      <c r="F1148" s="155"/>
      <c r="G1148" s="155"/>
      <c r="H1148" s="155"/>
      <c r="I1148" s="155"/>
      <c r="J1148" s="155"/>
      <c r="K1148" s="155"/>
      <c r="L1148" s="155"/>
      <c r="M1148" s="155"/>
      <c r="N1148" s="155"/>
      <c r="O1148" s="155"/>
      <c r="P1148" s="155"/>
      <c r="Q1148" s="155"/>
      <c r="R1148" s="155"/>
      <c r="S1148" s="155"/>
      <c r="T1148" s="155"/>
      <c r="U1148" s="155"/>
      <c r="V1148" s="155"/>
      <c r="W1148" s="155"/>
      <c r="GL1148" s="155"/>
      <c r="GM1148" s="155"/>
      <c r="GN1148" s="155"/>
      <c r="GO1148" s="155"/>
      <c r="GP1148" s="155"/>
      <c r="GQ1148" s="155"/>
      <c r="GR1148" s="155"/>
      <c r="GS1148" s="155"/>
      <c r="GT1148" s="155"/>
      <c r="GU1148" s="155"/>
      <c r="GV1148" s="155"/>
      <c r="GW1148" s="155"/>
      <c r="GX1148" s="155"/>
      <c r="GY1148" s="155"/>
      <c r="GZ1148" s="155"/>
      <c r="HA1148" s="155"/>
      <c r="HB1148" s="155"/>
      <c r="HC1148" s="155"/>
      <c r="HD1148" s="155"/>
      <c r="HE1148" s="155"/>
    </row>
    <row r="1149" spans="2:213" s="156" customFormat="1" hidden="1">
      <c r="B1149" s="155"/>
      <c r="C1149" s="155"/>
      <c r="D1149" s="155"/>
      <c r="E1149" s="155"/>
      <c r="F1149" s="155"/>
      <c r="G1149" s="155"/>
      <c r="H1149" s="155"/>
      <c r="I1149" s="155"/>
      <c r="J1149" s="155"/>
      <c r="K1149" s="155"/>
      <c r="L1149" s="155"/>
      <c r="M1149" s="155"/>
      <c r="N1149" s="155"/>
      <c r="O1149" s="155"/>
      <c r="P1149" s="155"/>
      <c r="Q1149" s="155"/>
      <c r="R1149" s="155"/>
      <c r="S1149" s="155"/>
      <c r="T1149" s="155"/>
      <c r="U1149" s="155"/>
      <c r="V1149" s="155"/>
      <c r="W1149" s="155"/>
      <c r="GL1149" s="155"/>
      <c r="GM1149" s="155"/>
      <c r="GN1149" s="155"/>
      <c r="GO1149" s="155"/>
      <c r="GP1149" s="155"/>
      <c r="GQ1149" s="155"/>
      <c r="GR1149" s="155"/>
      <c r="GS1149" s="155"/>
      <c r="GT1149" s="155"/>
      <c r="GU1149" s="155"/>
      <c r="GV1149" s="155"/>
      <c r="GW1149" s="155"/>
      <c r="GX1149" s="155"/>
      <c r="GY1149" s="155"/>
      <c r="GZ1149" s="155"/>
      <c r="HA1149" s="155"/>
      <c r="HB1149" s="155"/>
      <c r="HC1149" s="155"/>
      <c r="HD1149" s="155"/>
      <c r="HE1149" s="155"/>
    </row>
    <row r="1150" spans="2:213" s="156" customFormat="1" hidden="1">
      <c r="B1150" s="155"/>
      <c r="C1150" s="155"/>
      <c r="D1150" s="155"/>
      <c r="E1150" s="155"/>
      <c r="F1150" s="155"/>
      <c r="G1150" s="155"/>
      <c r="H1150" s="155"/>
      <c r="I1150" s="155"/>
      <c r="J1150" s="155"/>
      <c r="K1150" s="155"/>
      <c r="L1150" s="155"/>
      <c r="M1150" s="155"/>
      <c r="N1150" s="155"/>
      <c r="O1150" s="155"/>
      <c r="P1150" s="155"/>
      <c r="Q1150" s="155"/>
      <c r="R1150" s="155"/>
      <c r="S1150" s="155"/>
      <c r="T1150" s="155"/>
      <c r="U1150" s="155"/>
      <c r="V1150" s="155"/>
      <c r="W1150" s="155"/>
      <c r="GL1150" s="155"/>
      <c r="GM1150" s="155"/>
      <c r="GN1150" s="155"/>
      <c r="GO1150" s="155"/>
      <c r="GP1150" s="155"/>
      <c r="GQ1150" s="155"/>
      <c r="GR1150" s="155"/>
      <c r="GS1150" s="155"/>
      <c r="GT1150" s="155"/>
      <c r="GU1150" s="155"/>
      <c r="GV1150" s="155"/>
      <c r="GW1150" s="155"/>
      <c r="GX1150" s="155"/>
      <c r="GY1150" s="155"/>
      <c r="GZ1150" s="155"/>
      <c r="HA1150" s="155"/>
      <c r="HB1150" s="155"/>
      <c r="HC1150" s="155"/>
      <c r="HD1150" s="155"/>
      <c r="HE1150" s="155"/>
    </row>
    <row r="1151" spans="2:213" s="156" customFormat="1" hidden="1">
      <c r="B1151" s="155"/>
      <c r="C1151" s="155"/>
      <c r="D1151" s="155"/>
      <c r="E1151" s="155"/>
      <c r="F1151" s="155"/>
      <c r="G1151" s="155"/>
      <c r="H1151" s="155"/>
      <c r="I1151" s="155"/>
      <c r="J1151" s="155"/>
      <c r="K1151" s="155"/>
      <c r="L1151" s="155"/>
      <c r="M1151" s="155"/>
      <c r="N1151" s="155"/>
      <c r="O1151" s="155"/>
      <c r="P1151" s="155"/>
      <c r="Q1151" s="155"/>
      <c r="R1151" s="155"/>
      <c r="S1151" s="155"/>
      <c r="T1151" s="155"/>
      <c r="U1151" s="155"/>
      <c r="V1151" s="155"/>
      <c r="W1151" s="155"/>
      <c r="GL1151" s="155"/>
      <c r="GM1151" s="155"/>
      <c r="GN1151" s="155"/>
      <c r="GO1151" s="155"/>
      <c r="GP1151" s="155"/>
      <c r="GQ1151" s="155"/>
      <c r="GR1151" s="155"/>
      <c r="GS1151" s="155"/>
      <c r="GT1151" s="155"/>
      <c r="GU1151" s="155"/>
      <c r="GV1151" s="155"/>
      <c r="GW1151" s="155"/>
      <c r="GX1151" s="155"/>
      <c r="GY1151" s="155"/>
      <c r="GZ1151" s="155"/>
      <c r="HA1151" s="155"/>
      <c r="HB1151" s="155"/>
      <c r="HC1151" s="155"/>
      <c r="HD1151" s="155"/>
      <c r="HE1151" s="155"/>
    </row>
    <row r="1152" spans="2:213" s="156" customFormat="1" hidden="1">
      <c r="B1152" s="155"/>
      <c r="C1152" s="155"/>
      <c r="D1152" s="155"/>
      <c r="E1152" s="155"/>
      <c r="F1152" s="155"/>
      <c r="G1152" s="155"/>
      <c r="H1152" s="155"/>
      <c r="I1152" s="155"/>
      <c r="J1152" s="155"/>
      <c r="K1152" s="155"/>
      <c r="L1152" s="155"/>
      <c r="M1152" s="155"/>
      <c r="N1152" s="155"/>
      <c r="O1152" s="155"/>
      <c r="P1152" s="155"/>
      <c r="Q1152" s="155"/>
      <c r="R1152" s="155"/>
      <c r="S1152" s="155"/>
      <c r="T1152" s="155"/>
      <c r="U1152" s="155"/>
      <c r="V1152" s="155"/>
      <c r="W1152" s="155"/>
      <c r="GL1152" s="155"/>
      <c r="GM1152" s="155"/>
      <c r="GN1152" s="155"/>
      <c r="GO1152" s="155"/>
      <c r="GP1152" s="155"/>
      <c r="GQ1152" s="155"/>
      <c r="GR1152" s="155"/>
      <c r="GS1152" s="155"/>
      <c r="GT1152" s="155"/>
      <c r="GU1152" s="155"/>
      <c r="GV1152" s="155"/>
      <c r="GW1152" s="155"/>
      <c r="GX1152" s="155"/>
      <c r="GY1152" s="155"/>
      <c r="GZ1152" s="155"/>
      <c r="HA1152" s="155"/>
      <c r="HB1152" s="155"/>
      <c r="HC1152" s="155"/>
      <c r="HD1152" s="155"/>
      <c r="HE1152" s="155"/>
    </row>
    <row r="1153" spans="2:213" s="156" customFormat="1" hidden="1">
      <c r="B1153" s="155"/>
      <c r="C1153" s="155"/>
      <c r="D1153" s="155"/>
      <c r="E1153" s="155"/>
      <c r="F1153" s="155"/>
      <c r="G1153" s="155"/>
      <c r="H1153" s="155"/>
      <c r="I1153" s="155"/>
      <c r="J1153" s="155"/>
      <c r="K1153" s="155"/>
      <c r="L1153" s="155"/>
      <c r="M1153" s="155"/>
      <c r="N1153" s="155"/>
      <c r="O1153" s="155"/>
      <c r="P1153" s="155"/>
      <c r="Q1153" s="155"/>
      <c r="R1153" s="155"/>
      <c r="S1153" s="155"/>
      <c r="T1153" s="155"/>
      <c r="U1153" s="155"/>
      <c r="V1153" s="155"/>
      <c r="W1153" s="155"/>
      <c r="GL1153" s="155"/>
      <c r="GM1153" s="155"/>
      <c r="GN1153" s="155"/>
      <c r="GO1153" s="155"/>
      <c r="GP1153" s="155"/>
      <c r="GQ1153" s="155"/>
      <c r="GR1153" s="155"/>
      <c r="GS1153" s="155"/>
      <c r="GT1153" s="155"/>
      <c r="GU1153" s="155"/>
      <c r="GV1153" s="155"/>
      <c r="GW1153" s="155"/>
      <c r="GX1153" s="155"/>
      <c r="GY1153" s="155"/>
      <c r="GZ1153" s="155"/>
      <c r="HA1153" s="155"/>
      <c r="HB1153" s="155"/>
      <c r="HC1153" s="155"/>
      <c r="HD1153" s="155"/>
      <c r="HE1153" s="155"/>
    </row>
    <row r="1154" spans="2:213" s="156" customFormat="1" hidden="1">
      <c r="B1154" s="155"/>
      <c r="C1154" s="155"/>
      <c r="D1154" s="155"/>
      <c r="E1154" s="155"/>
      <c r="F1154" s="155"/>
      <c r="G1154" s="155"/>
      <c r="H1154" s="155"/>
      <c r="I1154" s="155"/>
      <c r="J1154" s="155"/>
      <c r="K1154" s="155"/>
      <c r="L1154" s="155"/>
      <c r="M1154" s="155"/>
      <c r="N1154" s="155"/>
      <c r="O1154" s="155"/>
      <c r="P1154" s="155"/>
      <c r="Q1154" s="155"/>
      <c r="R1154" s="155"/>
      <c r="S1154" s="155"/>
      <c r="T1154" s="155"/>
      <c r="U1154" s="155"/>
      <c r="V1154" s="155"/>
      <c r="W1154" s="155"/>
      <c r="GL1154" s="155"/>
      <c r="GM1154" s="155"/>
      <c r="GN1154" s="155"/>
      <c r="GO1154" s="155"/>
      <c r="GP1154" s="155"/>
      <c r="GQ1154" s="155"/>
      <c r="GR1154" s="155"/>
      <c r="GS1154" s="155"/>
      <c r="GT1154" s="155"/>
      <c r="GU1154" s="155"/>
      <c r="GV1154" s="155"/>
      <c r="GW1154" s="155"/>
      <c r="GX1154" s="155"/>
      <c r="GY1154" s="155"/>
      <c r="GZ1154" s="155"/>
      <c r="HA1154" s="155"/>
      <c r="HB1154" s="155"/>
      <c r="HC1154" s="155"/>
      <c r="HD1154" s="155"/>
      <c r="HE1154" s="155"/>
    </row>
    <row r="1155" spans="2:213" s="156" customFormat="1" hidden="1">
      <c r="B1155" s="155"/>
      <c r="C1155" s="155"/>
      <c r="D1155" s="155"/>
      <c r="E1155" s="155"/>
      <c r="F1155" s="155"/>
      <c r="G1155" s="155"/>
      <c r="H1155" s="155"/>
      <c r="I1155" s="155"/>
      <c r="J1155" s="155"/>
      <c r="K1155" s="155"/>
      <c r="L1155" s="155"/>
      <c r="M1155" s="155"/>
      <c r="N1155" s="155"/>
      <c r="O1155" s="155"/>
      <c r="P1155" s="155"/>
      <c r="Q1155" s="155"/>
      <c r="R1155" s="155"/>
      <c r="S1155" s="155"/>
      <c r="T1155" s="155"/>
      <c r="U1155" s="155"/>
      <c r="V1155" s="155"/>
      <c r="W1155" s="155"/>
      <c r="GL1155" s="155"/>
      <c r="GM1155" s="155"/>
      <c r="GN1155" s="155"/>
      <c r="GO1155" s="155"/>
      <c r="GP1155" s="155"/>
      <c r="GQ1155" s="155"/>
      <c r="GR1155" s="155"/>
      <c r="GS1155" s="155"/>
      <c r="GT1155" s="155"/>
      <c r="GU1155" s="155"/>
      <c r="GV1155" s="155"/>
      <c r="GW1155" s="155"/>
      <c r="GX1155" s="155"/>
      <c r="GY1155" s="155"/>
      <c r="GZ1155" s="155"/>
      <c r="HA1155" s="155"/>
      <c r="HB1155" s="155"/>
      <c r="HC1155" s="155"/>
      <c r="HD1155" s="155"/>
      <c r="HE1155" s="155"/>
    </row>
    <row r="1156" spans="2:213" s="156" customFormat="1" hidden="1">
      <c r="B1156" s="155"/>
      <c r="C1156" s="155"/>
      <c r="D1156" s="155"/>
      <c r="E1156" s="155"/>
      <c r="F1156" s="155"/>
      <c r="G1156" s="155"/>
      <c r="H1156" s="155"/>
      <c r="I1156" s="155"/>
      <c r="J1156" s="155"/>
      <c r="K1156" s="155"/>
      <c r="L1156" s="155"/>
      <c r="M1156" s="155"/>
      <c r="N1156" s="155"/>
      <c r="O1156" s="155"/>
      <c r="P1156" s="155"/>
      <c r="Q1156" s="155"/>
      <c r="R1156" s="155"/>
      <c r="S1156" s="155"/>
      <c r="T1156" s="155"/>
      <c r="U1156" s="155"/>
      <c r="V1156" s="155"/>
      <c r="W1156" s="155"/>
      <c r="GL1156" s="155"/>
      <c r="GM1156" s="155"/>
      <c r="GN1156" s="155"/>
      <c r="GO1156" s="155"/>
      <c r="GP1156" s="155"/>
      <c r="GQ1156" s="155"/>
      <c r="GR1156" s="155"/>
      <c r="GS1156" s="155"/>
      <c r="GT1156" s="155"/>
      <c r="GU1156" s="155"/>
      <c r="GV1156" s="155"/>
      <c r="GW1156" s="155"/>
      <c r="GX1156" s="155"/>
      <c r="GY1156" s="155"/>
      <c r="GZ1156" s="155"/>
      <c r="HA1156" s="155"/>
      <c r="HB1156" s="155"/>
      <c r="HC1156" s="155"/>
      <c r="HD1156" s="155"/>
      <c r="HE1156" s="155"/>
    </row>
    <row r="1157" spans="2:213" s="156" customFormat="1" hidden="1">
      <c r="B1157" s="155"/>
      <c r="C1157" s="155"/>
      <c r="D1157" s="155"/>
      <c r="E1157" s="155"/>
      <c r="F1157" s="155"/>
      <c r="G1157" s="155"/>
      <c r="H1157" s="155"/>
      <c r="I1157" s="155"/>
      <c r="J1157" s="155"/>
      <c r="K1157" s="155"/>
      <c r="L1157" s="155"/>
      <c r="M1157" s="155"/>
      <c r="N1157" s="155"/>
      <c r="O1157" s="155"/>
      <c r="P1157" s="155"/>
      <c r="Q1157" s="155"/>
      <c r="R1157" s="155"/>
      <c r="S1157" s="155"/>
      <c r="T1157" s="155"/>
      <c r="U1157" s="155"/>
      <c r="V1157" s="155"/>
      <c r="W1157" s="155"/>
      <c r="GL1157" s="155"/>
      <c r="GM1157" s="155"/>
      <c r="GN1157" s="155"/>
      <c r="GO1157" s="155"/>
      <c r="GP1157" s="155"/>
      <c r="GQ1157" s="155"/>
      <c r="GR1157" s="155"/>
      <c r="GS1157" s="155"/>
      <c r="GT1157" s="155"/>
      <c r="GU1157" s="155"/>
      <c r="GV1157" s="155"/>
      <c r="GW1157" s="155"/>
      <c r="GX1157" s="155"/>
      <c r="GY1157" s="155"/>
      <c r="GZ1157" s="155"/>
      <c r="HA1157" s="155"/>
      <c r="HB1157" s="155"/>
      <c r="HC1157" s="155"/>
      <c r="HD1157" s="155"/>
      <c r="HE1157" s="155"/>
    </row>
    <row r="1158" spans="2:213" s="156" customFormat="1" hidden="1">
      <c r="B1158" s="155"/>
      <c r="C1158" s="155"/>
      <c r="D1158" s="155"/>
      <c r="E1158" s="155"/>
      <c r="F1158" s="155"/>
      <c r="G1158" s="155"/>
      <c r="H1158" s="155"/>
      <c r="I1158" s="155"/>
      <c r="J1158" s="155"/>
      <c r="K1158" s="155"/>
      <c r="L1158" s="155"/>
      <c r="M1158" s="155"/>
      <c r="N1158" s="155"/>
      <c r="O1158" s="155"/>
      <c r="P1158" s="155"/>
      <c r="Q1158" s="155"/>
      <c r="R1158" s="155"/>
      <c r="S1158" s="155"/>
      <c r="T1158" s="155"/>
      <c r="U1158" s="155"/>
      <c r="V1158" s="155"/>
      <c r="W1158" s="155"/>
      <c r="GL1158" s="155"/>
      <c r="GM1158" s="155"/>
      <c r="GN1158" s="155"/>
      <c r="GO1158" s="155"/>
      <c r="GP1158" s="155"/>
      <c r="GQ1158" s="155"/>
      <c r="GR1158" s="155"/>
      <c r="GS1158" s="155"/>
      <c r="GT1158" s="155"/>
      <c r="GU1158" s="155"/>
      <c r="GV1158" s="155"/>
      <c r="GW1158" s="155"/>
      <c r="GX1158" s="155"/>
      <c r="GY1158" s="155"/>
      <c r="GZ1158" s="155"/>
      <c r="HA1158" s="155"/>
      <c r="HB1158" s="155"/>
      <c r="HC1158" s="155"/>
      <c r="HD1158" s="155"/>
      <c r="HE1158" s="155"/>
    </row>
    <row r="1159" spans="2:213" s="156" customFormat="1" hidden="1">
      <c r="B1159" s="155"/>
      <c r="C1159" s="155"/>
      <c r="D1159" s="155"/>
      <c r="E1159" s="155"/>
      <c r="F1159" s="155"/>
      <c r="G1159" s="155"/>
      <c r="H1159" s="155"/>
      <c r="I1159" s="155"/>
      <c r="J1159" s="155"/>
      <c r="K1159" s="155"/>
      <c r="L1159" s="155"/>
      <c r="M1159" s="155"/>
      <c r="N1159" s="155"/>
      <c r="O1159" s="155"/>
      <c r="P1159" s="155"/>
      <c r="Q1159" s="155"/>
      <c r="R1159" s="155"/>
      <c r="S1159" s="155"/>
      <c r="T1159" s="155"/>
      <c r="U1159" s="155"/>
      <c r="V1159" s="155"/>
      <c r="W1159" s="155"/>
      <c r="GL1159" s="155"/>
      <c r="GM1159" s="155"/>
      <c r="GN1159" s="155"/>
      <c r="GO1159" s="155"/>
      <c r="GP1159" s="155"/>
      <c r="GQ1159" s="155"/>
      <c r="GR1159" s="155"/>
      <c r="GS1159" s="155"/>
      <c r="GT1159" s="155"/>
      <c r="GU1159" s="155"/>
      <c r="GV1159" s="155"/>
      <c r="GW1159" s="155"/>
      <c r="GX1159" s="155"/>
      <c r="GY1159" s="155"/>
      <c r="GZ1159" s="155"/>
      <c r="HA1159" s="155"/>
      <c r="HB1159" s="155"/>
      <c r="HC1159" s="155"/>
      <c r="HD1159" s="155"/>
      <c r="HE1159" s="155"/>
    </row>
    <row r="1160" spans="2:213" s="156" customFormat="1" hidden="1">
      <c r="B1160" s="155"/>
      <c r="C1160" s="155"/>
      <c r="D1160" s="155"/>
      <c r="E1160" s="155"/>
      <c r="F1160" s="155"/>
      <c r="G1160" s="155"/>
      <c r="H1160" s="155"/>
      <c r="I1160" s="155"/>
      <c r="J1160" s="155"/>
      <c r="K1160" s="155"/>
      <c r="L1160" s="155"/>
      <c r="M1160" s="155"/>
      <c r="N1160" s="155"/>
      <c r="O1160" s="155"/>
      <c r="P1160" s="155"/>
      <c r="Q1160" s="155"/>
      <c r="R1160" s="155"/>
      <c r="S1160" s="155"/>
      <c r="T1160" s="155"/>
      <c r="U1160" s="155"/>
      <c r="V1160" s="155"/>
      <c r="W1160" s="155"/>
      <c r="GL1160" s="155"/>
      <c r="GM1160" s="155"/>
      <c r="GN1160" s="155"/>
      <c r="GO1160" s="155"/>
      <c r="GP1160" s="155"/>
      <c r="GQ1160" s="155"/>
      <c r="GR1160" s="155"/>
      <c r="GS1160" s="155"/>
      <c r="GT1160" s="155"/>
      <c r="GU1160" s="155"/>
      <c r="GV1160" s="155"/>
      <c r="GW1160" s="155"/>
      <c r="GX1160" s="155"/>
      <c r="GY1160" s="155"/>
      <c r="GZ1160" s="155"/>
      <c r="HA1160" s="155"/>
      <c r="HB1160" s="155"/>
      <c r="HC1160" s="155"/>
      <c r="HD1160" s="155"/>
      <c r="HE1160" s="155"/>
    </row>
    <row r="1161" spans="2:213" s="156" customFormat="1" hidden="1">
      <c r="B1161" s="155"/>
      <c r="C1161" s="155"/>
      <c r="D1161" s="155"/>
      <c r="E1161" s="155"/>
      <c r="F1161" s="155"/>
      <c r="G1161" s="155"/>
      <c r="H1161" s="155"/>
      <c r="I1161" s="155"/>
      <c r="J1161" s="155"/>
      <c r="K1161" s="155"/>
      <c r="L1161" s="155"/>
      <c r="M1161" s="155"/>
      <c r="N1161" s="155"/>
      <c r="O1161" s="155"/>
      <c r="P1161" s="155"/>
      <c r="Q1161" s="155"/>
      <c r="R1161" s="155"/>
      <c r="S1161" s="155"/>
      <c r="T1161" s="155"/>
      <c r="U1161" s="155"/>
      <c r="V1161" s="155"/>
      <c r="W1161" s="155"/>
      <c r="GL1161" s="155"/>
      <c r="GM1161" s="155"/>
      <c r="GN1161" s="155"/>
      <c r="GO1161" s="155"/>
      <c r="GP1161" s="155"/>
      <c r="GQ1161" s="155"/>
      <c r="GR1161" s="155"/>
      <c r="GS1161" s="155"/>
      <c r="GT1161" s="155"/>
      <c r="GU1161" s="155"/>
      <c r="GV1161" s="155"/>
      <c r="GW1161" s="155"/>
      <c r="GX1161" s="155"/>
      <c r="GY1161" s="155"/>
      <c r="GZ1161" s="155"/>
      <c r="HA1161" s="155"/>
      <c r="HB1161" s="155"/>
      <c r="HC1161" s="155"/>
      <c r="HD1161" s="155"/>
      <c r="HE1161" s="155"/>
    </row>
    <row r="1162" spans="2:213" s="156" customFormat="1" hidden="1">
      <c r="B1162" s="155"/>
      <c r="C1162" s="155"/>
      <c r="D1162" s="155"/>
      <c r="E1162" s="155"/>
      <c r="F1162" s="155"/>
      <c r="G1162" s="155"/>
      <c r="H1162" s="155"/>
      <c r="I1162" s="155"/>
      <c r="J1162" s="155"/>
      <c r="K1162" s="155"/>
      <c r="L1162" s="155"/>
      <c r="M1162" s="155"/>
      <c r="N1162" s="155"/>
      <c r="O1162" s="155"/>
      <c r="P1162" s="155"/>
      <c r="Q1162" s="155"/>
      <c r="R1162" s="155"/>
      <c r="S1162" s="155"/>
      <c r="T1162" s="155"/>
      <c r="U1162" s="155"/>
      <c r="V1162" s="155"/>
      <c r="W1162" s="155"/>
      <c r="GL1162" s="155"/>
      <c r="GM1162" s="155"/>
      <c r="GN1162" s="155"/>
      <c r="GO1162" s="155"/>
      <c r="GP1162" s="155"/>
      <c r="GQ1162" s="155"/>
      <c r="GR1162" s="155"/>
      <c r="GS1162" s="155"/>
      <c r="GT1162" s="155"/>
      <c r="GU1162" s="155"/>
      <c r="GV1162" s="155"/>
      <c r="GW1162" s="155"/>
      <c r="GX1162" s="155"/>
      <c r="GY1162" s="155"/>
      <c r="GZ1162" s="155"/>
      <c r="HA1162" s="155"/>
      <c r="HB1162" s="155"/>
      <c r="HC1162" s="155"/>
      <c r="HD1162" s="155"/>
      <c r="HE1162" s="155"/>
    </row>
    <row r="1163" spans="2:213" s="156" customFormat="1" hidden="1">
      <c r="B1163" s="155"/>
      <c r="C1163" s="155"/>
      <c r="D1163" s="155"/>
      <c r="E1163" s="155"/>
      <c r="F1163" s="155"/>
      <c r="G1163" s="155"/>
      <c r="H1163" s="155"/>
      <c r="I1163" s="155"/>
      <c r="J1163" s="155"/>
      <c r="K1163" s="155"/>
      <c r="L1163" s="155"/>
      <c r="M1163" s="155"/>
      <c r="N1163" s="155"/>
      <c r="O1163" s="155"/>
      <c r="P1163" s="155"/>
      <c r="Q1163" s="155"/>
      <c r="R1163" s="155"/>
      <c r="S1163" s="155"/>
      <c r="T1163" s="155"/>
      <c r="U1163" s="155"/>
      <c r="V1163" s="155"/>
      <c r="W1163" s="155"/>
      <c r="GL1163" s="155"/>
      <c r="GM1163" s="155"/>
      <c r="GN1163" s="155"/>
      <c r="GO1163" s="155"/>
      <c r="GP1163" s="155"/>
      <c r="GQ1163" s="155"/>
      <c r="GR1163" s="155"/>
      <c r="GS1163" s="155"/>
      <c r="GT1163" s="155"/>
      <c r="GU1163" s="155"/>
      <c r="GV1163" s="155"/>
      <c r="GW1163" s="155"/>
      <c r="GX1163" s="155"/>
      <c r="GY1163" s="155"/>
      <c r="GZ1163" s="155"/>
      <c r="HA1163" s="155"/>
      <c r="HB1163" s="155"/>
      <c r="HC1163" s="155"/>
      <c r="HD1163" s="155"/>
      <c r="HE1163" s="155"/>
    </row>
    <row r="1164" spans="2:213" s="156" customFormat="1" hidden="1">
      <c r="B1164" s="155"/>
      <c r="C1164" s="155"/>
      <c r="D1164" s="155"/>
      <c r="E1164" s="155"/>
      <c r="F1164" s="155"/>
      <c r="G1164" s="155"/>
      <c r="H1164" s="155"/>
      <c r="I1164" s="155"/>
      <c r="J1164" s="155"/>
      <c r="K1164" s="155"/>
      <c r="L1164" s="155"/>
      <c r="M1164" s="155"/>
      <c r="N1164" s="155"/>
      <c r="O1164" s="155"/>
      <c r="P1164" s="155"/>
      <c r="Q1164" s="155"/>
      <c r="R1164" s="155"/>
      <c r="S1164" s="155"/>
      <c r="T1164" s="155"/>
      <c r="U1164" s="155"/>
      <c r="V1164" s="155"/>
      <c r="W1164" s="155"/>
      <c r="GL1164" s="155"/>
      <c r="GM1164" s="155"/>
      <c r="GN1164" s="155"/>
      <c r="GO1164" s="155"/>
      <c r="GP1164" s="155"/>
      <c r="GQ1164" s="155"/>
      <c r="GR1164" s="155"/>
      <c r="GS1164" s="155"/>
      <c r="GT1164" s="155"/>
      <c r="GU1164" s="155"/>
      <c r="GV1164" s="155"/>
      <c r="GW1164" s="155"/>
      <c r="GX1164" s="155"/>
      <c r="GY1164" s="155"/>
      <c r="GZ1164" s="155"/>
      <c r="HA1164" s="155"/>
      <c r="HB1164" s="155"/>
      <c r="HC1164" s="155"/>
      <c r="HD1164" s="155"/>
      <c r="HE1164" s="155"/>
    </row>
    <row r="1165" spans="2:213" s="156" customFormat="1" hidden="1">
      <c r="B1165" s="155"/>
      <c r="C1165" s="155"/>
      <c r="D1165" s="155"/>
      <c r="E1165" s="155"/>
      <c r="F1165" s="155"/>
      <c r="G1165" s="155"/>
      <c r="H1165" s="155"/>
      <c r="I1165" s="155"/>
      <c r="J1165" s="155"/>
      <c r="K1165" s="155"/>
      <c r="L1165" s="155"/>
      <c r="M1165" s="155"/>
      <c r="N1165" s="155"/>
      <c r="O1165" s="155"/>
      <c r="P1165" s="155"/>
      <c r="Q1165" s="155"/>
      <c r="R1165" s="155"/>
      <c r="S1165" s="155"/>
      <c r="T1165" s="155"/>
      <c r="U1165" s="155"/>
      <c r="V1165" s="155"/>
      <c r="W1165" s="155"/>
      <c r="GL1165" s="155"/>
      <c r="GM1165" s="155"/>
      <c r="GN1165" s="155"/>
      <c r="GO1165" s="155"/>
      <c r="GP1165" s="155"/>
      <c r="GQ1165" s="155"/>
      <c r="GR1165" s="155"/>
      <c r="GS1165" s="155"/>
      <c r="GT1165" s="155"/>
      <c r="GU1165" s="155"/>
      <c r="GV1165" s="155"/>
      <c r="GW1165" s="155"/>
      <c r="GX1165" s="155"/>
      <c r="GY1165" s="155"/>
      <c r="GZ1165" s="155"/>
      <c r="HA1165" s="155"/>
      <c r="HB1165" s="155"/>
      <c r="HC1165" s="155"/>
      <c r="HD1165" s="155"/>
      <c r="HE1165" s="155"/>
    </row>
    <row r="1166" spans="2:213" s="156" customFormat="1" hidden="1">
      <c r="B1166" s="155"/>
      <c r="C1166" s="155"/>
      <c r="D1166" s="155"/>
      <c r="E1166" s="155"/>
      <c r="F1166" s="155"/>
      <c r="G1166" s="155"/>
      <c r="H1166" s="155"/>
      <c r="I1166" s="155"/>
      <c r="J1166" s="155"/>
      <c r="K1166" s="155"/>
      <c r="L1166" s="155"/>
      <c r="M1166" s="155"/>
      <c r="N1166" s="155"/>
      <c r="O1166" s="155"/>
      <c r="P1166" s="155"/>
      <c r="Q1166" s="155"/>
      <c r="R1166" s="155"/>
      <c r="S1166" s="155"/>
      <c r="T1166" s="155"/>
      <c r="U1166" s="155"/>
      <c r="V1166" s="155"/>
      <c r="W1166" s="155"/>
      <c r="GL1166" s="155"/>
      <c r="GM1166" s="155"/>
      <c r="GN1166" s="155"/>
      <c r="GO1166" s="155"/>
      <c r="GP1166" s="155"/>
      <c r="GQ1166" s="155"/>
      <c r="GR1166" s="155"/>
      <c r="GS1166" s="155"/>
      <c r="GT1166" s="155"/>
      <c r="GU1166" s="155"/>
      <c r="GV1166" s="155"/>
      <c r="GW1166" s="155"/>
      <c r="GX1166" s="155"/>
      <c r="GY1166" s="155"/>
      <c r="GZ1166" s="155"/>
      <c r="HA1166" s="155"/>
      <c r="HB1166" s="155"/>
      <c r="HC1166" s="155"/>
      <c r="HD1166" s="155"/>
      <c r="HE1166" s="155"/>
    </row>
    <row r="1167" spans="2:213" s="156" customFormat="1" hidden="1">
      <c r="B1167" s="155"/>
      <c r="C1167" s="155"/>
      <c r="D1167" s="155"/>
      <c r="E1167" s="155"/>
      <c r="F1167" s="155"/>
      <c r="G1167" s="155"/>
      <c r="H1167" s="155"/>
      <c r="I1167" s="155"/>
      <c r="J1167" s="155"/>
      <c r="K1167" s="155"/>
      <c r="L1167" s="155"/>
      <c r="M1167" s="155"/>
      <c r="N1167" s="155"/>
      <c r="O1167" s="155"/>
      <c r="P1167" s="155"/>
      <c r="Q1167" s="155"/>
      <c r="R1167" s="155"/>
      <c r="S1167" s="155"/>
      <c r="T1167" s="155"/>
      <c r="U1167" s="155"/>
      <c r="V1167" s="155"/>
      <c r="W1167" s="155"/>
      <c r="GL1167" s="155"/>
      <c r="GM1167" s="155"/>
      <c r="GN1167" s="155"/>
      <c r="GO1167" s="155"/>
      <c r="GP1167" s="155"/>
      <c r="GQ1167" s="155"/>
      <c r="GR1167" s="155"/>
      <c r="GS1167" s="155"/>
      <c r="GT1167" s="155"/>
      <c r="GU1167" s="155"/>
      <c r="GV1167" s="155"/>
      <c r="GW1167" s="155"/>
      <c r="GX1167" s="155"/>
      <c r="GY1167" s="155"/>
      <c r="GZ1167" s="155"/>
      <c r="HA1167" s="155"/>
      <c r="HB1167" s="155"/>
      <c r="HC1167" s="155"/>
      <c r="HD1167" s="155"/>
      <c r="HE1167" s="155"/>
    </row>
    <row r="1168" spans="2:213" s="156" customFormat="1" hidden="1">
      <c r="B1168" s="155"/>
      <c r="C1168" s="155"/>
      <c r="D1168" s="155"/>
      <c r="E1168" s="155"/>
      <c r="F1168" s="155"/>
      <c r="G1168" s="155"/>
      <c r="H1168" s="155"/>
      <c r="I1168" s="155"/>
      <c r="J1168" s="155"/>
      <c r="K1168" s="155"/>
      <c r="L1168" s="155"/>
      <c r="M1168" s="155"/>
      <c r="N1168" s="155"/>
      <c r="O1168" s="155"/>
      <c r="P1168" s="155"/>
      <c r="Q1168" s="155"/>
      <c r="R1168" s="155"/>
      <c r="S1168" s="155"/>
      <c r="T1168" s="155"/>
      <c r="U1168" s="155"/>
      <c r="V1168" s="155"/>
      <c r="W1168" s="155"/>
      <c r="GL1168" s="155"/>
      <c r="GM1168" s="155"/>
      <c r="GN1168" s="155"/>
      <c r="GO1168" s="155"/>
      <c r="GP1168" s="155"/>
      <c r="GQ1168" s="155"/>
      <c r="GR1168" s="155"/>
      <c r="GS1168" s="155"/>
      <c r="GT1168" s="155"/>
      <c r="GU1168" s="155"/>
      <c r="GV1168" s="155"/>
      <c r="GW1168" s="155"/>
      <c r="GX1168" s="155"/>
      <c r="GY1168" s="155"/>
      <c r="GZ1168" s="155"/>
      <c r="HA1168" s="155"/>
      <c r="HB1168" s="155"/>
      <c r="HC1168" s="155"/>
      <c r="HD1168" s="155"/>
      <c r="HE1168" s="155"/>
    </row>
    <row r="1169" spans="2:213" s="156" customFormat="1" hidden="1">
      <c r="B1169" s="155"/>
      <c r="C1169" s="155"/>
      <c r="D1169" s="155"/>
      <c r="E1169" s="155"/>
      <c r="F1169" s="155"/>
      <c r="G1169" s="155"/>
      <c r="H1169" s="155"/>
      <c r="I1169" s="155"/>
      <c r="J1169" s="155"/>
      <c r="K1169" s="155"/>
      <c r="L1169" s="155"/>
      <c r="M1169" s="155"/>
      <c r="N1169" s="155"/>
      <c r="O1169" s="155"/>
      <c r="P1169" s="155"/>
      <c r="Q1169" s="155"/>
      <c r="R1169" s="155"/>
      <c r="S1169" s="155"/>
      <c r="T1169" s="155"/>
      <c r="U1169" s="155"/>
      <c r="V1169" s="155"/>
      <c r="W1169" s="155"/>
      <c r="GL1169" s="155"/>
      <c r="GM1169" s="155"/>
      <c r="GN1169" s="155"/>
      <c r="GO1169" s="155"/>
      <c r="GP1169" s="155"/>
      <c r="GQ1169" s="155"/>
      <c r="GR1169" s="155"/>
      <c r="GS1169" s="155"/>
      <c r="GT1169" s="155"/>
      <c r="GU1169" s="155"/>
      <c r="GV1169" s="155"/>
      <c r="GW1169" s="155"/>
      <c r="GX1169" s="155"/>
      <c r="GY1169" s="155"/>
      <c r="GZ1169" s="155"/>
      <c r="HA1169" s="155"/>
      <c r="HB1169" s="155"/>
      <c r="HC1169" s="155"/>
      <c r="HD1169" s="155"/>
      <c r="HE1169" s="155"/>
    </row>
    <row r="1170" spans="2:213" s="156" customFormat="1" hidden="1">
      <c r="B1170" s="155"/>
      <c r="C1170" s="155"/>
      <c r="D1170" s="155"/>
      <c r="E1170" s="155"/>
      <c r="F1170" s="155"/>
      <c r="G1170" s="155"/>
      <c r="H1170" s="155"/>
      <c r="I1170" s="155"/>
      <c r="J1170" s="155"/>
      <c r="K1170" s="155"/>
      <c r="L1170" s="155"/>
      <c r="M1170" s="155"/>
      <c r="N1170" s="155"/>
      <c r="O1170" s="155"/>
      <c r="P1170" s="155"/>
      <c r="Q1170" s="155"/>
      <c r="R1170" s="155"/>
      <c r="S1170" s="155"/>
      <c r="T1170" s="155"/>
      <c r="U1170" s="155"/>
      <c r="V1170" s="155"/>
      <c r="W1170" s="155"/>
      <c r="GL1170" s="155"/>
      <c r="GM1170" s="155"/>
      <c r="GN1170" s="155"/>
      <c r="GO1170" s="155"/>
      <c r="GP1170" s="155"/>
      <c r="GQ1170" s="155"/>
      <c r="GR1170" s="155"/>
      <c r="GS1170" s="155"/>
      <c r="GT1170" s="155"/>
      <c r="GU1170" s="155"/>
      <c r="GV1170" s="155"/>
      <c r="GW1170" s="155"/>
      <c r="GX1170" s="155"/>
      <c r="GY1170" s="155"/>
      <c r="GZ1170" s="155"/>
      <c r="HA1170" s="155"/>
      <c r="HB1170" s="155"/>
      <c r="HC1170" s="155"/>
      <c r="HD1170" s="155"/>
      <c r="HE1170" s="155"/>
    </row>
    <row r="1171" spans="2:213" s="156" customFormat="1" hidden="1">
      <c r="B1171" s="155"/>
      <c r="C1171" s="155"/>
      <c r="D1171" s="155"/>
      <c r="E1171" s="155"/>
      <c r="F1171" s="155"/>
      <c r="G1171" s="155"/>
      <c r="H1171" s="155"/>
      <c r="I1171" s="155"/>
      <c r="J1171" s="155"/>
      <c r="K1171" s="155"/>
      <c r="L1171" s="155"/>
      <c r="M1171" s="155"/>
      <c r="N1171" s="155"/>
      <c r="O1171" s="155"/>
      <c r="P1171" s="155"/>
      <c r="Q1171" s="155"/>
      <c r="R1171" s="155"/>
      <c r="S1171" s="155"/>
      <c r="T1171" s="155"/>
      <c r="U1171" s="155"/>
      <c r="V1171" s="155"/>
      <c r="W1171" s="155"/>
      <c r="GL1171" s="155"/>
      <c r="GM1171" s="155"/>
      <c r="GN1171" s="155"/>
      <c r="GO1171" s="155"/>
      <c r="GP1171" s="155"/>
      <c r="GQ1171" s="155"/>
      <c r="GR1171" s="155"/>
      <c r="GS1171" s="155"/>
      <c r="GT1171" s="155"/>
      <c r="GU1171" s="155"/>
      <c r="GV1171" s="155"/>
      <c r="GW1171" s="155"/>
      <c r="GX1171" s="155"/>
      <c r="GY1171" s="155"/>
      <c r="GZ1171" s="155"/>
      <c r="HA1171" s="155"/>
      <c r="HB1171" s="155"/>
      <c r="HC1171" s="155"/>
      <c r="HD1171" s="155"/>
      <c r="HE1171" s="155"/>
    </row>
    <row r="1172" spans="2:213" s="156" customFormat="1" hidden="1">
      <c r="B1172" s="155"/>
      <c r="C1172" s="155"/>
      <c r="D1172" s="155"/>
      <c r="E1172" s="155"/>
      <c r="F1172" s="155"/>
      <c r="G1172" s="155"/>
      <c r="H1172" s="155"/>
      <c r="I1172" s="155"/>
      <c r="J1172" s="155"/>
      <c r="K1172" s="155"/>
      <c r="L1172" s="155"/>
      <c r="M1172" s="155"/>
      <c r="N1172" s="155"/>
      <c r="O1172" s="155"/>
      <c r="P1172" s="155"/>
      <c r="Q1172" s="155"/>
      <c r="R1172" s="155"/>
      <c r="S1172" s="155"/>
      <c r="T1172" s="155"/>
      <c r="U1172" s="155"/>
      <c r="V1172" s="155"/>
      <c r="W1172" s="155"/>
      <c r="GL1172" s="155"/>
      <c r="GM1172" s="155"/>
      <c r="GN1172" s="155"/>
      <c r="GO1172" s="155"/>
      <c r="GP1172" s="155"/>
      <c r="GQ1172" s="155"/>
      <c r="GR1172" s="155"/>
      <c r="GS1172" s="155"/>
      <c r="GT1172" s="155"/>
      <c r="GU1172" s="155"/>
      <c r="GV1172" s="155"/>
      <c r="GW1172" s="155"/>
      <c r="GX1172" s="155"/>
      <c r="GY1172" s="155"/>
      <c r="GZ1172" s="155"/>
      <c r="HA1172" s="155"/>
      <c r="HB1172" s="155"/>
      <c r="HC1172" s="155"/>
      <c r="HD1172" s="155"/>
      <c r="HE1172" s="155"/>
    </row>
    <row r="1173" spans="2:213" s="156" customFormat="1" hidden="1">
      <c r="B1173" s="155"/>
      <c r="C1173" s="155"/>
      <c r="D1173" s="155"/>
      <c r="E1173" s="155"/>
      <c r="F1173" s="155"/>
      <c r="G1173" s="155"/>
      <c r="H1173" s="155"/>
      <c r="I1173" s="155"/>
      <c r="J1173" s="155"/>
      <c r="K1173" s="155"/>
      <c r="L1173" s="155"/>
      <c r="M1173" s="155"/>
      <c r="N1173" s="155"/>
      <c r="O1173" s="155"/>
      <c r="P1173" s="155"/>
      <c r="Q1173" s="155"/>
      <c r="R1173" s="155"/>
      <c r="S1173" s="155"/>
      <c r="T1173" s="155"/>
      <c r="U1173" s="155"/>
      <c r="V1173" s="155"/>
      <c r="W1173" s="155"/>
      <c r="GL1173" s="155"/>
      <c r="GM1173" s="155"/>
      <c r="GN1173" s="155"/>
      <c r="GO1173" s="155"/>
      <c r="GP1173" s="155"/>
      <c r="GQ1173" s="155"/>
      <c r="GR1173" s="155"/>
      <c r="GS1173" s="155"/>
      <c r="GT1173" s="155"/>
      <c r="GU1173" s="155"/>
      <c r="GV1173" s="155"/>
      <c r="GW1173" s="155"/>
      <c r="GX1173" s="155"/>
      <c r="GY1173" s="155"/>
      <c r="GZ1173" s="155"/>
      <c r="HA1173" s="155"/>
      <c r="HB1173" s="155"/>
      <c r="HC1173" s="155"/>
      <c r="HD1173" s="155"/>
      <c r="HE1173" s="155"/>
    </row>
    <row r="1174" spans="2:213" s="156" customFormat="1" hidden="1">
      <c r="B1174" s="155"/>
      <c r="C1174" s="155"/>
      <c r="D1174" s="155"/>
      <c r="E1174" s="155"/>
      <c r="F1174" s="155"/>
      <c r="G1174" s="155"/>
      <c r="H1174" s="155"/>
      <c r="I1174" s="155"/>
      <c r="J1174" s="155"/>
      <c r="K1174" s="155"/>
      <c r="L1174" s="155"/>
      <c r="M1174" s="155"/>
      <c r="N1174" s="155"/>
      <c r="O1174" s="155"/>
      <c r="P1174" s="155"/>
      <c r="Q1174" s="155"/>
      <c r="R1174" s="155"/>
      <c r="S1174" s="155"/>
      <c r="T1174" s="155"/>
      <c r="U1174" s="155"/>
      <c r="V1174" s="155"/>
      <c r="W1174" s="155"/>
      <c r="GL1174" s="155"/>
      <c r="GM1174" s="155"/>
      <c r="GN1174" s="155"/>
      <c r="GO1174" s="155"/>
      <c r="GP1174" s="155"/>
      <c r="GQ1174" s="155"/>
      <c r="GR1174" s="155"/>
      <c r="GS1174" s="155"/>
      <c r="GT1174" s="155"/>
      <c r="GU1174" s="155"/>
      <c r="GV1174" s="155"/>
      <c r="GW1174" s="155"/>
      <c r="GX1174" s="155"/>
      <c r="GY1174" s="155"/>
      <c r="GZ1174" s="155"/>
      <c r="HA1174" s="155"/>
      <c r="HB1174" s="155"/>
      <c r="HC1174" s="155"/>
      <c r="HD1174" s="155"/>
      <c r="HE1174" s="155"/>
    </row>
    <row r="1175" spans="2:213" s="156" customFormat="1" hidden="1">
      <c r="B1175" s="155"/>
      <c r="C1175" s="155"/>
      <c r="D1175" s="155"/>
      <c r="E1175" s="155"/>
      <c r="F1175" s="155"/>
      <c r="G1175" s="155"/>
      <c r="H1175" s="155"/>
      <c r="I1175" s="155"/>
      <c r="J1175" s="155"/>
      <c r="K1175" s="155"/>
      <c r="L1175" s="155"/>
      <c r="M1175" s="155"/>
      <c r="N1175" s="155"/>
      <c r="O1175" s="155"/>
      <c r="P1175" s="155"/>
      <c r="Q1175" s="155"/>
      <c r="R1175" s="155"/>
      <c r="S1175" s="155"/>
      <c r="T1175" s="155"/>
      <c r="U1175" s="155"/>
      <c r="V1175" s="155"/>
      <c r="W1175" s="155"/>
      <c r="GL1175" s="155"/>
      <c r="GM1175" s="155"/>
      <c r="GN1175" s="155"/>
      <c r="GO1175" s="155"/>
      <c r="GP1175" s="155"/>
      <c r="GQ1175" s="155"/>
      <c r="GR1175" s="155"/>
      <c r="GS1175" s="155"/>
      <c r="GT1175" s="155"/>
      <c r="GU1175" s="155"/>
      <c r="GV1175" s="155"/>
      <c r="GW1175" s="155"/>
      <c r="GX1175" s="155"/>
      <c r="GY1175" s="155"/>
      <c r="GZ1175" s="155"/>
      <c r="HA1175" s="155"/>
      <c r="HB1175" s="155"/>
      <c r="HC1175" s="155"/>
      <c r="HD1175" s="155"/>
      <c r="HE1175" s="155"/>
    </row>
    <row r="1176" spans="2:213" s="156" customFormat="1" hidden="1">
      <c r="B1176" s="155"/>
      <c r="C1176" s="155"/>
      <c r="D1176" s="155"/>
      <c r="E1176" s="155"/>
      <c r="F1176" s="155"/>
      <c r="G1176" s="155"/>
      <c r="H1176" s="155"/>
      <c r="I1176" s="155"/>
      <c r="J1176" s="155"/>
      <c r="K1176" s="155"/>
      <c r="L1176" s="155"/>
      <c r="M1176" s="155"/>
      <c r="N1176" s="155"/>
      <c r="O1176" s="155"/>
      <c r="P1176" s="155"/>
      <c r="Q1176" s="155"/>
      <c r="R1176" s="155"/>
      <c r="S1176" s="155"/>
      <c r="T1176" s="155"/>
      <c r="U1176" s="155"/>
      <c r="V1176" s="155"/>
      <c r="W1176" s="155"/>
      <c r="GL1176" s="155"/>
      <c r="GM1176" s="155"/>
      <c r="GN1176" s="155"/>
      <c r="GO1176" s="155"/>
      <c r="GP1176" s="155"/>
      <c r="GQ1176" s="155"/>
      <c r="GR1176" s="155"/>
      <c r="GS1176" s="155"/>
      <c r="GT1176" s="155"/>
      <c r="GU1176" s="155"/>
      <c r="GV1176" s="155"/>
      <c r="GW1176" s="155"/>
      <c r="GX1176" s="155"/>
      <c r="GY1176" s="155"/>
      <c r="GZ1176" s="155"/>
      <c r="HA1176" s="155"/>
      <c r="HB1176" s="155"/>
      <c r="HC1176" s="155"/>
      <c r="HD1176" s="155"/>
      <c r="HE1176" s="155"/>
    </row>
    <row r="1177" spans="2:213" s="156" customFormat="1" hidden="1">
      <c r="B1177" s="155"/>
      <c r="C1177" s="155"/>
      <c r="D1177" s="155"/>
      <c r="E1177" s="155"/>
      <c r="F1177" s="155"/>
      <c r="G1177" s="155"/>
      <c r="H1177" s="155"/>
      <c r="I1177" s="155"/>
      <c r="J1177" s="155"/>
      <c r="K1177" s="155"/>
      <c r="L1177" s="155"/>
      <c r="M1177" s="155"/>
      <c r="N1177" s="155"/>
      <c r="O1177" s="155"/>
      <c r="P1177" s="155"/>
      <c r="Q1177" s="155"/>
      <c r="R1177" s="155"/>
      <c r="S1177" s="155"/>
      <c r="T1177" s="155"/>
      <c r="U1177" s="155"/>
      <c r="V1177" s="155"/>
      <c r="W1177" s="155"/>
      <c r="GL1177" s="155"/>
      <c r="GM1177" s="155"/>
      <c r="GN1177" s="155"/>
      <c r="GO1177" s="155"/>
      <c r="GP1177" s="155"/>
      <c r="GQ1177" s="155"/>
      <c r="GR1177" s="155"/>
      <c r="GS1177" s="155"/>
      <c r="GT1177" s="155"/>
      <c r="GU1177" s="155"/>
      <c r="GV1177" s="155"/>
      <c r="GW1177" s="155"/>
      <c r="GX1177" s="155"/>
      <c r="GY1177" s="155"/>
      <c r="GZ1177" s="155"/>
      <c r="HA1177" s="155"/>
      <c r="HB1177" s="155"/>
      <c r="HC1177" s="155"/>
      <c r="HD1177" s="155"/>
      <c r="HE1177" s="155"/>
    </row>
    <row r="1178" spans="2:213" s="156" customFormat="1" hidden="1">
      <c r="B1178" s="155"/>
      <c r="C1178" s="155"/>
      <c r="D1178" s="155"/>
      <c r="E1178" s="155"/>
      <c r="F1178" s="155"/>
      <c r="G1178" s="155"/>
      <c r="H1178" s="155"/>
      <c r="I1178" s="155"/>
      <c r="J1178" s="155"/>
      <c r="K1178" s="155"/>
      <c r="L1178" s="155"/>
      <c r="M1178" s="155"/>
      <c r="N1178" s="155"/>
      <c r="O1178" s="155"/>
      <c r="P1178" s="155"/>
      <c r="Q1178" s="155"/>
      <c r="R1178" s="155"/>
      <c r="S1178" s="155"/>
      <c r="T1178" s="155"/>
      <c r="U1178" s="155"/>
      <c r="V1178" s="155"/>
      <c r="W1178" s="155"/>
      <c r="GL1178" s="155"/>
      <c r="GM1178" s="155"/>
      <c r="GN1178" s="155"/>
      <c r="GO1178" s="155"/>
      <c r="GP1178" s="155"/>
      <c r="GQ1178" s="155"/>
      <c r="GR1178" s="155"/>
      <c r="GS1178" s="155"/>
      <c r="GT1178" s="155"/>
      <c r="GU1178" s="155"/>
      <c r="GV1178" s="155"/>
      <c r="GW1178" s="155"/>
      <c r="GX1178" s="155"/>
      <c r="GY1178" s="155"/>
      <c r="GZ1178" s="155"/>
      <c r="HA1178" s="155"/>
      <c r="HB1178" s="155"/>
      <c r="HC1178" s="155"/>
      <c r="HD1178" s="155"/>
      <c r="HE1178" s="155"/>
    </row>
    <row r="1179" spans="2:213" s="156" customFormat="1" hidden="1">
      <c r="B1179" s="155"/>
      <c r="C1179" s="155"/>
      <c r="D1179" s="155"/>
      <c r="E1179" s="155"/>
      <c r="F1179" s="155"/>
      <c r="G1179" s="155"/>
      <c r="H1179" s="155"/>
      <c r="I1179" s="155"/>
      <c r="J1179" s="155"/>
      <c r="K1179" s="155"/>
      <c r="L1179" s="155"/>
      <c r="M1179" s="155"/>
      <c r="N1179" s="155"/>
      <c r="O1179" s="155"/>
      <c r="P1179" s="155"/>
      <c r="Q1179" s="155"/>
      <c r="R1179" s="155"/>
      <c r="S1179" s="155"/>
      <c r="T1179" s="155"/>
      <c r="U1179" s="155"/>
      <c r="V1179" s="155"/>
      <c r="W1179" s="155"/>
      <c r="GL1179" s="155"/>
      <c r="GM1179" s="155"/>
      <c r="GN1179" s="155"/>
      <c r="GO1179" s="155"/>
      <c r="GP1179" s="155"/>
      <c r="GQ1179" s="155"/>
      <c r="GR1179" s="155"/>
      <c r="GS1179" s="155"/>
      <c r="GT1179" s="155"/>
      <c r="GU1179" s="155"/>
      <c r="GV1179" s="155"/>
      <c r="GW1179" s="155"/>
      <c r="GX1179" s="155"/>
      <c r="GY1179" s="155"/>
      <c r="GZ1179" s="155"/>
      <c r="HA1179" s="155"/>
      <c r="HB1179" s="155"/>
      <c r="HC1179" s="155"/>
      <c r="HD1179" s="155"/>
      <c r="HE1179" s="155"/>
    </row>
    <row r="1180" spans="2:213" s="156" customFormat="1" hidden="1">
      <c r="B1180" s="155"/>
      <c r="C1180" s="155"/>
      <c r="D1180" s="155"/>
      <c r="E1180" s="155"/>
      <c r="F1180" s="155"/>
      <c r="G1180" s="155"/>
      <c r="H1180" s="155"/>
      <c r="I1180" s="155"/>
      <c r="J1180" s="155"/>
      <c r="K1180" s="155"/>
      <c r="L1180" s="155"/>
      <c r="M1180" s="155"/>
      <c r="N1180" s="155"/>
      <c r="O1180" s="155"/>
      <c r="P1180" s="155"/>
      <c r="Q1180" s="155"/>
      <c r="R1180" s="155"/>
      <c r="S1180" s="155"/>
      <c r="T1180" s="155"/>
      <c r="U1180" s="155"/>
      <c r="V1180" s="155"/>
      <c r="W1180" s="155"/>
      <c r="GL1180" s="155"/>
      <c r="GM1180" s="155"/>
      <c r="GN1180" s="155"/>
      <c r="GO1180" s="155"/>
      <c r="GP1180" s="155"/>
      <c r="GQ1180" s="155"/>
      <c r="GR1180" s="155"/>
      <c r="GS1180" s="155"/>
      <c r="GT1180" s="155"/>
      <c r="GU1180" s="155"/>
      <c r="GV1180" s="155"/>
      <c r="GW1180" s="155"/>
      <c r="GX1180" s="155"/>
      <c r="GY1180" s="155"/>
      <c r="GZ1180" s="155"/>
      <c r="HA1180" s="155"/>
      <c r="HB1180" s="155"/>
      <c r="HC1180" s="155"/>
      <c r="HD1180" s="155"/>
      <c r="HE1180" s="155"/>
    </row>
    <row r="1181" spans="2:213" s="156" customFormat="1" hidden="1">
      <c r="B1181" s="155"/>
      <c r="C1181" s="155"/>
      <c r="D1181" s="155"/>
      <c r="E1181" s="155"/>
      <c r="F1181" s="155"/>
      <c r="G1181" s="155"/>
      <c r="H1181" s="155"/>
      <c r="I1181" s="155"/>
      <c r="J1181" s="155"/>
      <c r="K1181" s="155"/>
      <c r="L1181" s="155"/>
      <c r="M1181" s="155"/>
      <c r="N1181" s="155"/>
      <c r="O1181" s="155"/>
      <c r="P1181" s="155"/>
      <c r="Q1181" s="155"/>
      <c r="R1181" s="155"/>
      <c r="S1181" s="155"/>
      <c r="T1181" s="155"/>
      <c r="U1181" s="155"/>
      <c r="V1181" s="155"/>
      <c r="W1181" s="155"/>
      <c r="GL1181" s="155"/>
      <c r="GM1181" s="155"/>
      <c r="GN1181" s="155"/>
      <c r="GO1181" s="155"/>
      <c r="GP1181" s="155"/>
      <c r="GQ1181" s="155"/>
      <c r="GR1181" s="155"/>
      <c r="GS1181" s="155"/>
      <c r="GT1181" s="155"/>
      <c r="GU1181" s="155"/>
      <c r="GV1181" s="155"/>
      <c r="GW1181" s="155"/>
      <c r="GX1181" s="155"/>
      <c r="GY1181" s="155"/>
      <c r="GZ1181" s="155"/>
      <c r="HA1181" s="155"/>
      <c r="HB1181" s="155"/>
      <c r="HC1181" s="155"/>
      <c r="HD1181" s="155"/>
      <c r="HE1181" s="155"/>
    </row>
    <row r="1182" spans="2:213" s="156" customFormat="1" hidden="1">
      <c r="B1182" s="155"/>
      <c r="C1182" s="155"/>
      <c r="D1182" s="155"/>
      <c r="E1182" s="155"/>
      <c r="F1182" s="155"/>
      <c r="G1182" s="155"/>
      <c r="H1182" s="155"/>
      <c r="I1182" s="155"/>
      <c r="J1182" s="155"/>
      <c r="K1182" s="155"/>
      <c r="L1182" s="155"/>
      <c r="M1182" s="155"/>
      <c r="N1182" s="155"/>
      <c r="O1182" s="155"/>
      <c r="P1182" s="155"/>
      <c r="Q1182" s="155"/>
      <c r="R1182" s="155"/>
      <c r="S1182" s="155"/>
      <c r="T1182" s="155"/>
      <c r="U1182" s="155"/>
      <c r="V1182" s="155"/>
      <c r="W1182" s="155"/>
      <c r="GL1182" s="155"/>
      <c r="GM1182" s="155"/>
      <c r="GN1182" s="155"/>
      <c r="GO1182" s="155"/>
      <c r="GP1182" s="155"/>
      <c r="GQ1182" s="155"/>
      <c r="GR1182" s="155"/>
      <c r="GS1182" s="155"/>
      <c r="GT1182" s="155"/>
      <c r="GU1182" s="155"/>
      <c r="GV1182" s="155"/>
      <c r="GW1182" s="155"/>
      <c r="GX1182" s="155"/>
      <c r="GY1182" s="155"/>
      <c r="GZ1182" s="155"/>
      <c r="HA1182" s="155"/>
      <c r="HB1182" s="155"/>
      <c r="HC1182" s="155"/>
      <c r="HD1182" s="155"/>
      <c r="HE1182" s="155"/>
    </row>
    <row r="1183" spans="2:213" s="156" customFormat="1" hidden="1">
      <c r="B1183" s="155"/>
      <c r="C1183" s="155"/>
      <c r="D1183" s="155"/>
      <c r="E1183" s="155"/>
      <c r="F1183" s="155"/>
      <c r="G1183" s="155"/>
      <c r="H1183" s="155"/>
      <c r="I1183" s="155"/>
      <c r="J1183" s="155"/>
      <c r="K1183" s="155"/>
      <c r="L1183" s="155"/>
      <c r="M1183" s="155"/>
      <c r="N1183" s="155"/>
      <c r="O1183" s="155"/>
      <c r="P1183" s="155"/>
      <c r="Q1183" s="155"/>
      <c r="R1183" s="155"/>
      <c r="S1183" s="155"/>
      <c r="T1183" s="155"/>
      <c r="U1183" s="155"/>
      <c r="V1183" s="155"/>
      <c r="W1183" s="155"/>
      <c r="GL1183" s="155"/>
      <c r="GM1183" s="155"/>
      <c r="GN1183" s="155"/>
      <c r="GO1183" s="155"/>
      <c r="GP1183" s="155"/>
      <c r="GQ1183" s="155"/>
      <c r="GR1183" s="155"/>
      <c r="GS1183" s="155"/>
      <c r="GT1183" s="155"/>
      <c r="GU1183" s="155"/>
      <c r="GV1183" s="155"/>
      <c r="GW1183" s="155"/>
      <c r="GX1183" s="155"/>
      <c r="GY1183" s="155"/>
      <c r="GZ1183" s="155"/>
      <c r="HA1183" s="155"/>
      <c r="HB1183" s="155"/>
      <c r="HC1183" s="155"/>
      <c r="HD1183" s="155"/>
      <c r="HE1183" s="155"/>
    </row>
    <row r="1184" spans="2:213" s="156" customFormat="1" hidden="1">
      <c r="B1184" s="155"/>
      <c r="C1184" s="155"/>
      <c r="D1184" s="155"/>
      <c r="E1184" s="155"/>
      <c r="F1184" s="155"/>
      <c r="G1184" s="155"/>
      <c r="H1184" s="155"/>
      <c r="I1184" s="155"/>
      <c r="J1184" s="155"/>
      <c r="K1184" s="155"/>
      <c r="L1184" s="155"/>
      <c r="M1184" s="155"/>
      <c r="N1184" s="155"/>
      <c r="O1184" s="155"/>
      <c r="P1184" s="155"/>
      <c r="Q1184" s="155"/>
      <c r="R1184" s="155"/>
      <c r="S1184" s="155"/>
      <c r="T1184" s="155"/>
      <c r="U1184" s="155"/>
      <c r="V1184" s="155"/>
      <c r="W1184" s="155"/>
      <c r="GL1184" s="155"/>
      <c r="GM1184" s="155"/>
      <c r="GN1184" s="155"/>
      <c r="GO1184" s="155"/>
      <c r="GP1184" s="155"/>
      <c r="GQ1184" s="155"/>
      <c r="GR1184" s="155"/>
      <c r="GS1184" s="155"/>
      <c r="GT1184" s="155"/>
      <c r="GU1184" s="155"/>
      <c r="GV1184" s="155"/>
      <c r="GW1184" s="155"/>
      <c r="GX1184" s="155"/>
      <c r="GY1184" s="155"/>
      <c r="GZ1184" s="155"/>
      <c r="HA1184" s="155"/>
      <c r="HB1184" s="155"/>
      <c r="HC1184" s="155"/>
      <c r="HD1184" s="155"/>
      <c r="HE1184" s="155"/>
    </row>
    <row r="1185" spans="2:213" s="156" customFormat="1" hidden="1">
      <c r="B1185" s="155"/>
      <c r="C1185" s="155"/>
      <c r="D1185" s="155"/>
      <c r="E1185" s="155"/>
      <c r="F1185" s="155"/>
      <c r="G1185" s="155"/>
      <c r="H1185" s="155"/>
      <c r="I1185" s="155"/>
      <c r="J1185" s="155"/>
      <c r="K1185" s="155"/>
      <c r="L1185" s="155"/>
      <c r="M1185" s="155"/>
      <c r="N1185" s="155"/>
      <c r="O1185" s="155"/>
      <c r="P1185" s="155"/>
      <c r="Q1185" s="155"/>
      <c r="R1185" s="155"/>
      <c r="S1185" s="155"/>
      <c r="T1185" s="155"/>
      <c r="U1185" s="155"/>
      <c r="V1185" s="155"/>
      <c r="W1185" s="155"/>
      <c r="GL1185" s="155"/>
      <c r="GM1185" s="155"/>
      <c r="GN1185" s="155"/>
      <c r="GO1185" s="155"/>
      <c r="GP1185" s="155"/>
      <c r="GQ1185" s="155"/>
      <c r="GR1185" s="155"/>
      <c r="GS1185" s="155"/>
      <c r="GT1185" s="155"/>
      <c r="GU1185" s="155"/>
      <c r="GV1185" s="155"/>
      <c r="GW1185" s="155"/>
      <c r="GX1185" s="155"/>
      <c r="GY1185" s="155"/>
      <c r="GZ1185" s="155"/>
      <c r="HA1185" s="155"/>
      <c r="HB1185" s="155"/>
      <c r="HC1185" s="155"/>
      <c r="HD1185" s="155"/>
      <c r="HE1185" s="155"/>
    </row>
    <row r="1186" spans="2:213" s="156" customFormat="1" hidden="1">
      <c r="B1186" s="155"/>
      <c r="C1186" s="155"/>
      <c r="D1186" s="155"/>
      <c r="E1186" s="155"/>
      <c r="F1186" s="155"/>
      <c r="G1186" s="155"/>
      <c r="H1186" s="155"/>
      <c r="I1186" s="155"/>
      <c r="J1186" s="155"/>
      <c r="K1186" s="155"/>
      <c r="L1186" s="155"/>
      <c r="M1186" s="155"/>
      <c r="N1186" s="155"/>
      <c r="O1186" s="155"/>
      <c r="P1186" s="155"/>
      <c r="Q1186" s="155"/>
      <c r="R1186" s="155"/>
      <c r="S1186" s="155"/>
      <c r="T1186" s="155"/>
      <c r="U1186" s="155"/>
      <c r="V1186" s="155"/>
      <c r="W1186" s="155"/>
      <c r="GL1186" s="155"/>
      <c r="GM1186" s="155"/>
      <c r="GN1186" s="155"/>
      <c r="GO1186" s="155"/>
      <c r="GP1186" s="155"/>
      <c r="GQ1186" s="155"/>
      <c r="GR1186" s="155"/>
      <c r="GS1186" s="155"/>
      <c r="GT1186" s="155"/>
      <c r="GU1186" s="155"/>
      <c r="GV1186" s="155"/>
      <c r="GW1186" s="155"/>
      <c r="GX1186" s="155"/>
      <c r="GY1186" s="155"/>
      <c r="GZ1186" s="155"/>
      <c r="HA1186" s="155"/>
      <c r="HB1186" s="155"/>
      <c r="HC1186" s="155"/>
      <c r="HD1186" s="155"/>
      <c r="HE1186" s="155"/>
    </row>
    <row r="1187" spans="2:213" s="156" customFormat="1" hidden="1">
      <c r="B1187" s="155"/>
      <c r="C1187" s="155"/>
      <c r="D1187" s="155"/>
      <c r="E1187" s="155"/>
      <c r="F1187" s="155"/>
      <c r="G1187" s="155"/>
      <c r="H1187" s="155"/>
      <c r="I1187" s="155"/>
      <c r="J1187" s="155"/>
      <c r="K1187" s="155"/>
      <c r="L1187" s="155"/>
      <c r="M1187" s="155"/>
      <c r="N1187" s="155"/>
      <c r="O1187" s="155"/>
      <c r="P1187" s="155"/>
      <c r="Q1187" s="155"/>
      <c r="R1187" s="155"/>
      <c r="S1187" s="155"/>
      <c r="T1187" s="155"/>
      <c r="U1187" s="155"/>
      <c r="V1187" s="155"/>
      <c r="W1187" s="155"/>
      <c r="GL1187" s="155"/>
      <c r="GM1187" s="155"/>
      <c r="GN1187" s="155"/>
      <c r="GO1187" s="155"/>
      <c r="GP1187" s="155"/>
      <c r="GQ1187" s="155"/>
      <c r="GR1187" s="155"/>
      <c r="GS1187" s="155"/>
      <c r="GT1187" s="155"/>
      <c r="GU1187" s="155"/>
      <c r="GV1187" s="155"/>
      <c r="GW1187" s="155"/>
      <c r="GX1187" s="155"/>
      <c r="GY1187" s="155"/>
      <c r="GZ1187" s="155"/>
      <c r="HA1187" s="155"/>
      <c r="HB1187" s="155"/>
      <c r="HC1187" s="155"/>
      <c r="HD1187" s="155"/>
      <c r="HE1187" s="155"/>
    </row>
    <row r="1188" spans="2:213" s="156" customFormat="1" hidden="1">
      <c r="B1188" s="155"/>
      <c r="C1188" s="155"/>
      <c r="D1188" s="155"/>
      <c r="E1188" s="155"/>
      <c r="F1188" s="155"/>
      <c r="G1188" s="155"/>
      <c r="H1188" s="155"/>
      <c r="I1188" s="155"/>
      <c r="J1188" s="155"/>
      <c r="K1188" s="155"/>
      <c r="L1188" s="155"/>
      <c r="M1188" s="155"/>
      <c r="N1188" s="155"/>
      <c r="O1188" s="155"/>
      <c r="P1188" s="155"/>
      <c r="Q1188" s="155"/>
      <c r="R1188" s="155"/>
      <c r="S1188" s="155"/>
      <c r="T1188" s="155"/>
      <c r="U1188" s="155"/>
      <c r="V1188" s="155"/>
      <c r="W1188" s="155"/>
      <c r="GL1188" s="155"/>
      <c r="GM1188" s="155"/>
      <c r="GN1188" s="155"/>
      <c r="GO1188" s="155"/>
      <c r="GP1188" s="155"/>
      <c r="GQ1188" s="155"/>
      <c r="GR1188" s="155"/>
      <c r="GS1188" s="155"/>
      <c r="GT1188" s="155"/>
      <c r="GU1188" s="155"/>
      <c r="GV1188" s="155"/>
      <c r="GW1188" s="155"/>
      <c r="GX1188" s="155"/>
      <c r="GY1188" s="155"/>
      <c r="GZ1188" s="155"/>
      <c r="HA1188" s="155"/>
      <c r="HB1188" s="155"/>
      <c r="HC1188" s="155"/>
      <c r="HD1188" s="155"/>
      <c r="HE1188" s="155"/>
    </row>
    <row r="1189" spans="2:213" s="156" customFormat="1" hidden="1">
      <c r="B1189" s="155"/>
      <c r="C1189" s="155"/>
      <c r="D1189" s="155"/>
      <c r="E1189" s="155"/>
      <c r="F1189" s="155"/>
      <c r="G1189" s="155"/>
      <c r="H1189" s="155"/>
      <c r="I1189" s="155"/>
      <c r="J1189" s="155"/>
      <c r="K1189" s="155"/>
      <c r="L1189" s="155"/>
      <c r="M1189" s="155"/>
      <c r="N1189" s="155"/>
      <c r="O1189" s="155"/>
      <c r="P1189" s="155"/>
      <c r="Q1189" s="155"/>
      <c r="R1189" s="155"/>
      <c r="S1189" s="155"/>
      <c r="T1189" s="155"/>
      <c r="U1189" s="155"/>
      <c r="V1189" s="155"/>
      <c r="W1189" s="155"/>
      <c r="GL1189" s="155"/>
      <c r="GM1189" s="155"/>
      <c r="GN1189" s="155"/>
      <c r="GO1189" s="155"/>
      <c r="GP1189" s="155"/>
      <c r="GQ1189" s="155"/>
      <c r="GR1189" s="155"/>
      <c r="GS1189" s="155"/>
      <c r="GT1189" s="155"/>
      <c r="GU1189" s="155"/>
      <c r="GV1189" s="155"/>
      <c r="GW1189" s="155"/>
      <c r="GX1189" s="155"/>
      <c r="GY1189" s="155"/>
      <c r="GZ1189" s="155"/>
      <c r="HA1189" s="155"/>
      <c r="HB1189" s="155"/>
      <c r="HC1189" s="155"/>
      <c r="HD1189" s="155"/>
      <c r="HE1189" s="155"/>
    </row>
    <row r="1190" spans="2:213" s="156" customFormat="1" hidden="1">
      <c r="B1190" s="155"/>
      <c r="C1190" s="155"/>
      <c r="D1190" s="155"/>
      <c r="E1190" s="155"/>
      <c r="F1190" s="155"/>
      <c r="G1190" s="155"/>
      <c r="H1190" s="155"/>
      <c r="I1190" s="155"/>
      <c r="J1190" s="155"/>
      <c r="K1190" s="155"/>
      <c r="L1190" s="155"/>
      <c r="M1190" s="155"/>
      <c r="N1190" s="155"/>
      <c r="O1190" s="155"/>
      <c r="P1190" s="155"/>
      <c r="Q1190" s="155"/>
      <c r="R1190" s="155"/>
      <c r="S1190" s="155"/>
      <c r="T1190" s="155"/>
      <c r="U1190" s="155"/>
      <c r="V1190" s="155"/>
      <c r="W1190" s="155"/>
      <c r="GL1190" s="155"/>
      <c r="GM1190" s="155"/>
      <c r="GN1190" s="155"/>
      <c r="GO1190" s="155"/>
      <c r="GP1190" s="155"/>
      <c r="GQ1190" s="155"/>
      <c r="GR1190" s="155"/>
      <c r="GS1190" s="155"/>
      <c r="GT1190" s="155"/>
      <c r="GU1190" s="155"/>
      <c r="GV1190" s="155"/>
      <c r="GW1190" s="155"/>
      <c r="GX1190" s="155"/>
      <c r="GY1190" s="155"/>
      <c r="GZ1190" s="155"/>
      <c r="HA1190" s="155"/>
      <c r="HB1190" s="155"/>
      <c r="HC1190" s="155"/>
      <c r="HD1190" s="155"/>
      <c r="HE1190" s="155"/>
    </row>
    <row r="1191" spans="2:213" s="156" customFormat="1" hidden="1">
      <c r="B1191" s="155"/>
      <c r="C1191" s="155"/>
      <c r="D1191" s="155"/>
      <c r="E1191" s="155"/>
      <c r="F1191" s="155"/>
      <c r="G1191" s="155"/>
      <c r="H1191" s="155"/>
      <c r="I1191" s="155"/>
      <c r="J1191" s="155"/>
      <c r="K1191" s="155"/>
      <c r="L1191" s="155"/>
      <c r="M1191" s="155"/>
      <c r="N1191" s="155"/>
      <c r="O1191" s="155"/>
      <c r="P1191" s="155"/>
      <c r="Q1191" s="155"/>
      <c r="R1191" s="155"/>
      <c r="S1191" s="155"/>
      <c r="T1191" s="155"/>
      <c r="U1191" s="155"/>
      <c r="V1191" s="155"/>
      <c r="W1191" s="155"/>
      <c r="GL1191" s="155"/>
      <c r="GM1191" s="155"/>
      <c r="GN1191" s="155"/>
      <c r="GO1191" s="155"/>
      <c r="GP1191" s="155"/>
      <c r="GQ1191" s="155"/>
      <c r="GR1191" s="155"/>
      <c r="GS1191" s="155"/>
      <c r="GT1191" s="155"/>
      <c r="GU1191" s="155"/>
      <c r="GV1191" s="155"/>
      <c r="GW1191" s="155"/>
      <c r="GX1191" s="155"/>
      <c r="GY1191" s="155"/>
      <c r="GZ1191" s="155"/>
      <c r="HA1191" s="155"/>
      <c r="HB1191" s="155"/>
      <c r="HC1191" s="155"/>
      <c r="HD1191" s="155"/>
      <c r="HE1191" s="155"/>
    </row>
    <row r="1192" spans="2:213" s="156" customFormat="1" hidden="1">
      <c r="B1192" s="155"/>
      <c r="C1192" s="155"/>
      <c r="D1192" s="155"/>
      <c r="E1192" s="155"/>
      <c r="F1192" s="155"/>
      <c r="G1192" s="155"/>
      <c r="H1192" s="155"/>
      <c r="I1192" s="155"/>
      <c r="J1192" s="155"/>
      <c r="K1192" s="155"/>
      <c r="L1192" s="155"/>
      <c r="M1192" s="155"/>
      <c r="N1192" s="155"/>
      <c r="O1192" s="155"/>
      <c r="P1192" s="155"/>
      <c r="Q1192" s="155"/>
      <c r="R1192" s="155"/>
      <c r="S1192" s="155"/>
      <c r="T1192" s="155"/>
      <c r="U1192" s="155"/>
      <c r="V1192" s="155"/>
      <c r="W1192" s="155"/>
      <c r="GL1192" s="155"/>
      <c r="GM1192" s="155"/>
      <c r="GN1192" s="155"/>
      <c r="GO1192" s="155"/>
      <c r="GP1192" s="155"/>
      <c r="GQ1192" s="155"/>
      <c r="GR1192" s="155"/>
      <c r="GS1192" s="155"/>
      <c r="GT1192" s="155"/>
      <c r="GU1192" s="155"/>
      <c r="GV1192" s="155"/>
      <c r="GW1192" s="155"/>
      <c r="GX1192" s="155"/>
      <c r="GY1192" s="155"/>
      <c r="GZ1192" s="155"/>
      <c r="HA1192" s="155"/>
      <c r="HB1192" s="155"/>
      <c r="HC1192" s="155"/>
      <c r="HD1192" s="155"/>
      <c r="HE1192" s="155"/>
    </row>
    <row r="1193" spans="2:213" s="156" customFormat="1" hidden="1">
      <c r="B1193" s="155"/>
      <c r="C1193" s="155"/>
      <c r="D1193" s="155"/>
      <c r="E1193" s="155"/>
      <c r="F1193" s="155"/>
      <c r="G1193" s="155"/>
      <c r="H1193" s="155"/>
      <c r="I1193" s="155"/>
      <c r="J1193" s="155"/>
      <c r="K1193" s="155"/>
      <c r="L1193" s="155"/>
      <c r="M1193" s="155"/>
      <c r="N1193" s="155"/>
      <c r="O1193" s="155"/>
      <c r="P1193" s="155"/>
      <c r="Q1193" s="155"/>
      <c r="R1193" s="155"/>
      <c r="S1193" s="155"/>
      <c r="T1193" s="155"/>
      <c r="U1193" s="155"/>
      <c r="V1193" s="155"/>
      <c r="W1193" s="155"/>
      <c r="GL1193" s="155"/>
      <c r="GM1193" s="155"/>
      <c r="GN1193" s="155"/>
      <c r="GO1193" s="155"/>
      <c r="GP1193" s="155"/>
      <c r="GQ1193" s="155"/>
      <c r="GR1193" s="155"/>
      <c r="GS1193" s="155"/>
      <c r="GT1193" s="155"/>
      <c r="GU1193" s="155"/>
      <c r="GV1193" s="155"/>
      <c r="GW1193" s="155"/>
      <c r="GX1193" s="155"/>
      <c r="GY1193" s="155"/>
      <c r="GZ1193" s="155"/>
      <c r="HA1193" s="155"/>
      <c r="HB1193" s="155"/>
      <c r="HC1193" s="155"/>
      <c r="HD1193" s="155"/>
      <c r="HE1193" s="155"/>
    </row>
    <row r="1194" spans="2:213" s="156" customFormat="1" hidden="1">
      <c r="B1194" s="155"/>
      <c r="C1194" s="155"/>
      <c r="D1194" s="155"/>
      <c r="E1194" s="155"/>
      <c r="F1194" s="155"/>
      <c r="G1194" s="155"/>
      <c r="H1194" s="155"/>
      <c r="I1194" s="155"/>
      <c r="J1194" s="155"/>
      <c r="K1194" s="155"/>
      <c r="L1194" s="155"/>
      <c r="M1194" s="155"/>
      <c r="N1194" s="155"/>
      <c r="O1194" s="155"/>
      <c r="P1194" s="155"/>
      <c r="Q1194" s="155"/>
      <c r="R1194" s="155"/>
      <c r="S1194" s="155"/>
      <c r="T1194" s="155"/>
      <c r="U1194" s="155"/>
      <c r="V1194" s="155"/>
      <c r="W1194" s="155"/>
      <c r="GL1194" s="155"/>
      <c r="GM1194" s="155"/>
      <c r="GN1194" s="155"/>
      <c r="GO1194" s="155"/>
      <c r="GP1194" s="155"/>
      <c r="GQ1194" s="155"/>
      <c r="GR1194" s="155"/>
      <c r="GS1194" s="155"/>
      <c r="GT1194" s="155"/>
      <c r="GU1194" s="155"/>
      <c r="GV1194" s="155"/>
      <c r="GW1194" s="155"/>
      <c r="GX1194" s="155"/>
      <c r="GY1194" s="155"/>
      <c r="GZ1194" s="155"/>
      <c r="HA1194" s="155"/>
      <c r="HB1194" s="155"/>
      <c r="HC1194" s="155"/>
      <c r="HD1194" s="155"/>
      <c r="HE1194" s="155"/>
    </row>
    <row r="1195" spans="2:213" s="156" customFormat="1" hidden="1">
      <c r="B1195" s="155"/>
      <c r="C1195" s="155"/>
      <c r="D1195" s="155"/>
      <c r="E1195" s="155"/>
      <c r="F1195" s="155"/>
      <c r="G1195" s="155"/>
      <c r="H1195" s="155"/>
      <c r="I1195" s="155"/>
      <c r="J1195" s="155"/>
      <c r="K1195" s="155"/>
      <c r="L1195" s="155"/>
      <c r="M1195" s="155"/>
      <c r="N1195" s="155"/>
      <c r="O1195" s="155"/>
      <c r="P1195" s="155"/>
      <c r="Q1195" s="155"/>
      <c r="R1195" s="155"/>
      <c r="S1195" s="155"/>
      <c r="T1195" s="155"/>
      <c r="U1195" s="155"/>
      <c r="V1195" s="155"/>
      <c r="W1195" s="155"/>
      <c r="GL1195" s="155"/>
      <c r="GM1195" s="155"/>
      <c r="GN1195" s="155"/>
      <c r="GO1195" s="155"/>
      <c r="GP1195" s="155"/>
      <c r="GQ1195" s="155"/>
      <c r="GR1195" s="155"/>
      <c r="GS1195" s="155"/>
      <c r="GT1195" s="155"/>
      <c r="GU1195" s="155"/>
      <c r="GV1195" s="155"/>
      <c r="GW1195" s="155"/>
      <c r="GX1195" s="155"/>
      <c r="GY1195" s="155"/>
      <c r="GZ1195" s="155"/>
      <c r="HA1195" s="155"/>
      <c r="HB1195" s="155"/>
      <c r="HC1195" s="155"/>
      <c r="HD1195" s="155"/>
      <c r="HE1195" s="155"/>
    </row>
    <row r="1196" spans="2:213" s="156" customFormat="1" hidden="1">
      <c r="B1196" s="155"/>
      <c r="C1196" s="155"/>
      <c r="D1196" s="155"/>
      <c r="E1196" s="155"/>
      <c r="F1196" s="155"/>
      <c r="G1196" s="155"/>
      <c r="H1196" s="155"/>
      <c r="I1196" s="155"/>
      <c r="J1196" s="155"/>
      <c r="K1196" s="155"/>
      <c r="L1196" s="155"/>
      <c r="M1196" s="155"/>
      <c r="N1196" s="155"/>
      <c r="O1196" s="155"/>
      <c r="P1196" s="155"/>
      <c r="Q1196" s="155"/>
      <c r="R1196" s="155"/>
      <c r="S1196" s="155"/>
      <c r="T1196" s="155"/>
      <c r="U1196" s="155"/>
      <c r="V1196" s="155"/>
      <c r="W1196" s="155"/>
      <c r="GL1196" s="155"/>
      <c r="GM1196" s="155"/>
      <c r="GN1196" s="155"/>
      <c r="GO1196" s="155"/>
      <c r="GP1196" s="155"/>
      <c r="GQ1196" s="155"/>
      <c r="GR1196" s="155"/>
      <c r="GS1196" s="155"/>
      <c r="GT1196" s="155"/>
      <c r="GU1196" s="155"/>
      <c r="GV1196" s="155"/>
      <c r="GW1196" s="155"/>
      <c r="GX1196" s="155"/>
      <c r="GY1196" s="155"/>
      <c r="GZ1196" s="155"/>
      <c r="HA1196" s="155"/>
      <c r="HB1196" s="155"/>
      <c r="HC1196" s="155"/>
      <c r="HD1196" s="155"/>
      <c r="HE1196" s="155"/>
    </row>
    <row r="1197" spans="2:213" s="156" customFormat="1" hidden="1">
      <c r="B1197" s="155"/>
      <c r="C1197" s="155"/>
      <c r="D1197" s="155"/>
      <c r="E1197" s="155"/>
      <c r="F1197" s="155"/>
      <c r="G1197" s="155"/>
      <c r="H1197" s="155"/>
      <c r="I1197" s="155"/>
      <c r="J1197" s="155"/>
      <c r="K1197" s="155"/>
      <c r="L1197" s="155"/>
      <c r="M1197" s="155"/>
      <c r="N1197" s="155"/>
      <c r="O1197" s="155"/>
      <c r="P1197" s="155"/>
      <c r="Q1197" s="155"/>
      <c r="R1197" s="155"/>
      <c r="S1197" s="155"/>
      <c r="T1197" s="155"/>
      <c r="U1197" s="155"/>
      <c r="V1197" s="155"/>
      <c r="W1197" s="155"/>
      <c r="GL1197" s="155"/>
      <c r="GM1197" s="155"/>
      <c r="GN1197" s="155"/>
      <c r="GO1197" s="155"/>
      <c r="GP1197" s="155"/>
      <c r="GQ1197" s="155"/>
      <c r="GR1197" s="155"/>
      <c r="GS1197" s="155"/>
      <c r="GT1197" s="155"/>
      <c r="GU1197" s="155"/>
      <c r="GV1197" s="155"/>
      <c r="GW1197" s="155"/>
      <c r="GX1197" s="155"/>
      <c r="GY1197" s="155"/>
      <c r="GZ1197" s="155"/>
      <c r="HA1197" s="155"/>
      <c r="HB1197" s="155"/>
      <c r="HC1197" s="155"/>
      <c r="HD1197" s="155"/>
      <c r="HE1197" s="155"/>
    </row>
    <row r="1198" spans="2:213" s="156" customFormat="1" hidden="1">
      <c r="B1198" s="155"/>
      <c r="C1198" s="155"/>
      <c r="D1198" s="155"/>
      <c r="E1198" s="155"/>
      <c r="F1198" s="155"/>
      <c r="G1198" s="155"/>
      <c r="H1198" s="155"/>
      <c r="I1198" s="155"/>
      <c r="J1198" s="155"/>
      <c r="K1198" s="155"/>
      <c r="L1198" s="155"/>
      <c r="M1198" s="155"/>
      <c r="N1198" s="155"/>
      <c r="O1198" s="155"/>
      <c r="P1198" s="155"/>
      <c r="Q1198" s="155"/>
      <c r="R1198" s="155"/>
      <c r="S1198" s="155"/>
      <c r="T1198" s="155"/>
      <c r="U1198" s="155"/>
      <c r="V1198" s="155"/>
      <c r="W1198" s="155"/>
      <c r="GL1198" s="155"/>
      <c r="GM1198" s="155"/>
      <c r="GN1198" s="155"/>
      <c r="GO1198" s="155"/>
      <c r="GP1198" s="155"/>
      <c r="GQ1198" s="155"/>
      <c r="GR1198" s="155"/>
      <c r="GS1198" s="155"/>
      <c r="GT1198" s="155"/>
      <c r="GU1198" s="155"/>
      <c r="GV1198" s="155"/>
      <c r="GW1198" s="155"/>
      <c r="GX1198" s="155"/>
      <c r="GY1198" s="155"/>
      <c r="GZ1198" s="155"/>
      <c r="HA1198" s="155"/>
      <c r="HB1198" s="155"/>
      <c r="HC1198" s="155"/>
      <c r="HD1198" s="155"/>
      <c r="HE1198" s="155"/>
    </row>
    <row r="1199" spans="2:213" s="156" customFormat="1" hidden="1">
      <c r="B1199" s="155"/>
      <c r="C1199" s="155"/>
      <c r="D1199" s="155"/>
      <c r="E1199" s="155"/>
      <c r="F1199" s="155"/>
      <c r="G1199" s="155"/>
      <c r="H1199" s="155"/>
      <c r="I1199" s="155"/>
      <c r="J1199" s="155"/>
      <c r="K1199" s="155"/>
      <c r="L1199" s="155"/>
      <c r="M1199" s="155"/>
      <c r="N1199" s="155"/>
      <c r="O1199" s="155"/>
      <c r="P1199" s="155"/>
      <c r="Q1199" s="155"/>
      <c r="R1199" s="155"/>
      <c r="S1199" s="155"/>
      <c r="T1199" s="155"/>
      <c r="U1199" s="155"/>
      <c r="V1199" s="155"/>
      <c r="W1199" s="155"/>
      <c r="GL1199" s="155"/>
      <c r="GM1199" s="155"/>
      <c r="GN1199" s="155"/>
      <c r="GO1199" s="155"/>
      <c r="GP1199" s="155"/>
      <c r="GQ1199" s="155"/>
      <c r="GR1199" s="155"/>
      <c r="GS1199" s="155"/>
      <c r="GT1199" s="155"/>
      <c r="GU1199" s="155"/>
      <c r="GV1199" s="155"/>
      <c r="GW1199" s="155"/>
      <c r="GX1199" s="155"/>
      <c r="GY1199" s="155"/>
      <c r="GZ1199" s="155"/>
      <c r="HA1199" s="155"/>
      <c r="HB1199" s="155"/>
      <c r="HC1199" s="155"/>
      <c r="HD1199" s="155"/>
      <c r="HE1199" s="155"/>
    </row>
    <row r="1200" spans="2:213" s="156" customFormat="1" hidden="1">
      <c r="B1200" s="155"/>
      <c r="C1200" s="155"/>
      <c r="D1200" s="155"/>
      <c r="E1200" s="155"/>
      <c r="F1200" s="155"/>
      <c r="G1200" s="155"/>
      <c r="H1200" s="155"/>
      <c r="I1200" s="155"/>
      <c r="J1200" s="155"/>
      <c r="K1200" s="155"/>
      <c r="L1200" s="155"/>
      <c r="M1200" s="155"/>
      <c r="N1200" s="155"/>
      <c r="O1200" s="155"/>
      <c r="P1200" s="155"/>
      <c r="Q1200" s="155"/>
      <c r="R1200" s="155"/>
      <c r="S1200" s="155"/>
      <c r="T1200" s="155"/>
      <c r="U1200" s="155"/>
      <c r="V1200" s="155"/>
      <c r="W1200" s="155"/>
      <c r="GL1200" s="155"/>
      <c r="GM1200" s="155"/>
      <c r="GN1200" s="155"/>
      <c r="GO1200" s="155"/>
      <c r="GP1200" s="155"/>
      <c r="GQ1200" s="155"/>
      <c r="GR1200" s="155"/>
      <c r="GS1200" s="155"/>
      <c r="GT1200" s="155"/>
      <c r="GU1200" s="155"/>
      <c r="GV1200" s="155"/>
      <c r="GW1200" s="155"/>
      <c r="GX1200" s="155"/>
      <c r="GY1200" s="155"/>
      <c r="GZ1200" s="155"/>
      <c r="HA1200" s="155"/>
      <c r="HB1200" s="155"/>
      <c r="HC1200" s="155"/>
      <c r="HD1200" s="155"/>
      <c r="HE1200" s="155"/>
    </row>
    <row r="1201" spans="2:213" s="156" customFormat="1" hidden="1">
      <c r="B1201" s="155"/>
      <c r="C1201" s="155"/>
      <c r="D1201" s="155"/>
      <c r="E1201" s="155"/>
      <c r="F1201" s="155"/>
      <c r="G1201" s="155"/>
      <c r="H1201" s="155"/>
      <c r="I1201" s="155"/>
      <c r="J1201" s="155"/>
      <c r="K1201" s="155"/>
      <c r="L1201" s="155"/>
      <c r="M1201" s="155"/>
      <c r="N1201" s="155"/>
      <c r="O1201" s="155"/>
      <c r="P1201" s="155"/>
      <c r="Q1201" s="155"/>
      <c r="R1201" s="155"/>
      <c r="S1201" s="155"/>
      <c r="T1201" s="155"/>
      <c r="U1201" s="155"/>
      <c r="V1201" s="155"/>
      <c r="W1201" s="155"/>
      <c r="GL1201" s="155"/>
      <c r="GM1201" s="155"/>
      <c r="GN1201" s="155"/>
      <c r="GO1201" s="155"/>
      <c r="GP1201" s="155"/>
      <c r="GQ1201" s="155"/>
      <c r="GR1201" s="155"/>
      <c r="GS1201" s="155"/>
      <c r="GT1201" s="155"/>
      <c r="GU1201" s="155"/>
      <c r="GV1201" s="155"/>
      <c r="GW1201" s="155"/>
      <c r="GX1201" s="155"/>
      <c r="GY1201" s="155"/>
      <c r="GZ1201" s="155"/>
      <c r="HA1201" s="155"/>
      <c r="HB1201" s="155"/>
      <c r="HC1201" s="155"/>
      <c r="HD1201" s="155"/>
      <c r="HE1201" s="155"/>
    </row>
    <row r="1202" spans="2:213" s="156" customFormat="1" hidden="1">
      <c r="B1202" s="155"/>
      <c r="C1202" s="155"/>
      <c r="D1202" s="155"/>
      <c r="E1202" s="155"/>
      <c r="F1202" s="155"/>
      <c r="G1202" s="155"/>
      <c r="H1202" s="155"/>
      <c r="I1202" s="155"/>
      <c r="J1202" s="155"/>
      <c r="K1202" s="155"/>
      <c r="L1202" s="155"/>
      <c r="M1202" s="155"/>
      <c r="N1202" s="155"/>
      <c r="O1202" s="155"/>
      <c r="P1202" s="155"/>
      <c r="Q1202" s="155"/>
      <c r="R1202" s="155"/>
      <c r="S1202" s="155"/>
      <c r="T1202" s="155"/>
      <c r="U1202" s="155"/>
      <c r="V1202" s="155"/>
      <c r="W1202" s="155"/>
      <c r="GL1202" s="155"/>
      <c r="GM1202" s="155"/>
      <c r="GN1202" s="155"/>
      <c r="GO1202" s="155"/>
      <c r="GP1202" s="155"/>
      <c r="GQ1202" s="155"/>
      <c r="GR1202" s="155"/>
      <c r="GS1202" s="155"/>
      <c r="GT1202" s="155"/>
      <c r="GU1202" s="155"/>
      <c r="GV1202" s="155"/>
      <c r="GW1202" s="155"/>
      <c r="GX1202" s="155"/>
      <c r="GY1202" s="155"/>
      <c r="GZ1202" s="155"/>
      <c r="HA1202" s="155"/>
      <c r="HB1202" s="155"/>
      <c r="HC1202" s="155"/>
      <c r="HD1202" s="155"/>
      <c r="HE1202" s="155"/>
    </row>
    <row r="1203" spans="2:213" s="156" customFormat="1" hidden="1">
      <c r="B1203" s="155"/>
      <c r="C1203" s="155"/>
      <c r="D1203" s="155"/>
      <c r="E1203" s="155"/>
      <c r="F1203" s="155"/>
      <c r="G1203" s="155"/>
      <c r="H1203" s="155"/>
      <c r="I1203" s="155"/>
      <c r="J1203" s="155"/>
      <c r="K1203" s="155"/>
      <c r="L1203" s="155"/>
      <c r="M1203" s="155"/>
      <c r="N1203" s="155"/>
      <c r="O1203" s="155"/>
      <c r="P1203" s="155"/>
      <c r="Q1203" s="155"/>
      <c r="R1203" s="155"/>
      <c r="S1203" s="155"/>
      <c r="T1203" s="155"/>
      <c r="U1203" s="155"/>
      <c r="V1203" s="155"/>
      <c r="W1203" s="155"/>
      <c r="GL1203" s="155"/>
      <c r="GM1203" s="155"/>
      <c r="GN1203" s="155"/>
      <c r="GO1203" s="155"/>
      <c r="GP1203" s="155"/>
      <c r="GQ1203" s="155"/>
      <c r="GR1203" s="155"/>
      <c r="GS1203" s="155"/>
      <c r="GT1203" s="155"/>
      <c r="GU1203" s="155"/>
      <c r="GV1203" s="155"/>
      <c r="GW1203" s="155"/>
      <c r="GX1203" s="155"/>
      <c r="GY1203" s="155"/>
      <c r="GZ1203" s="155"/>
      <c r="HA1203" s="155"/>
      <c r="HB1203" s="155"/>
      <c r="HC1203" s="155"/>
      <c r="HD1203" s="155"/>
      <c r="HE1203" s="155"/>
    </row>
    <row r="1204" spans="2:213" s="156" customFormat="1" hidden="1">
      <c r="B1204" s="155"/>
      <c r="C1204" s="155"/>
      <c r="D1204" s="155"/>
      <c r="E1204" s="155"/>
      <c r="F1204" s="155"/>
      <c r="G1204" s="155"/>
      <c r="H1204" s="155"/>
      <c r="I1204" s="155"/>
      <c r="J1204" s="155"/>
      <c r="K1204" s="155"/>
      <c r="L1204" s="155"/>
      <c r="M1204" s="155"/>
      <c r="N1204" s="155"/>
      <c r="O1204" s="155"/>
      <c r="P1204" s="155"/>
      <c r="Q1204" s="155"/>
      <c r="R1204" s="155"/>
      <c r="S1204" s="155"/>
      <c r="T1204" s="155"/>
      <c r="U1204" s="155"/>
      <c r="V1204" s="155"/>
      <c r="W1204" s="155"/>
      <c r="GL1204" s="155"/>
      <c r="GM1204" s="155"/>
      <c r="GN1204" s="155"/>
      <c r="GO1204" s="155"/>
      <c r="GP1204" s="155"/>
      <c r="GQ1204" s="155"/>
      <c r="GR1204" s="155"/>
      <c r="GS1204" s="155"/>
      <c r="GT1204" s="155"/>
      <c r="GU1204" s="155"/>
      <c r="GV1204" s="155"/>
      <c r="GW1204" s="155"/>
      <c r="GX1204" s="155"/>
      <c r="GY1204" s="155"/>
      <c r="GZ1204" s="155"/>
      <c r="HA1204" s="155"/>
      <c r="HB1204" s="155"/>
      <c r="HC1204" s="155"/>
      <c r="HD1204" s="155"/>
      <c r="HE1204" s="155"/>
    </row>
    <row r="1205" spans="2:213" s="156" customFormat="1" hidden="1">
      <c r="B1205" s="155"/>
      <c r="C1205" s="155"/>
      <c r="D1205" s="155"/>
      <c r="E1205" s="155"/>
      <c r="F1205" s="155"/>
      <c r="G1205" s="155"/>
      <c r="H1205" s="155"/>
      <c r="I1205" s="155"/>
      <c r="J1205" s="155"/>
      <c r="K1205" s="155"/>
      <c r="L1205" s="155"/>
      <c r="M1205" s="155"/>
      <c r="N1205" s="155"/>
      <c r="O1205" s="155"/>
      <c r="P1205" s="155"/>
      <c r="Q1205" s="155"/>
      <c r="R1205" s="155"/>
      <c r="S1205" s="155"/>
      <c r="T1205" s="155"/>
      <c r="U1205" s="155"/>
      <c r="V1205" s="155"/>
      <c r="W1205" s="155"/>
      <c r="GL1205" s="155"/>
      <c r="GM1205" s="155"/>
      <c r="GN1205" s="155"/>
      <c r="GO1205" s="155"/>
      <c r="GP1205" s="155"/>
      <c r="GQ1205" s="155"/>
      <c r="GR1205" s="155"/>
      <c r="GS1205" s="155"/>
      <c r="GT1205" s="155"/>
      <c r="GU1205" s="155"/>
      <c r="GV1205" s="155"/>
      <c r="GW1205" s="155"/>
      <c r="GX1205" s="155"/>
      <c r="GY1205" s="155"/>
      <c r="GZ1205" s="155"/>
      <c r="HA1205" s="155"/>
      <c r="HB1205" s="155"/>
      <c r="HC1205" s="155"/>
      <c r="HD1205" s="155"/>
      <c r="HE1205" s="155"/>
    </row>
    <row r="1206" spans="2:213" s="156" customFormat="1" hidden="1">
      <c r="B1206" s="155"/>
      <c r="C1206" s="155"/>
      <c r="D1206" s="155"/>
      <c r="E1206" s="155"/>
      <c r="F1206" s="155"/>
      <c r="G1206" s="155"/>
      <c r="H1206" s="155"/>
      <c r="I1206" s="155"/>
      <c r="J1206" s="155"/>
      <c r="K1206" s="155"/>
      <c r="L1206" s="155"/>
      <c r="M1206" s="155"/>
      <c r="N1206" s="155"/>
      <c r="O1206" s="155"/>
      <c r="P1206" s="155"/>
      <c r="Q1206" s="155"/>
      <c r="R1206" s="155"/>
      <c r="S1206" s="155"/>
      <c r="T1206" s="155"/>
      <c r="U1206" s="155"/>
      <c r="V1206" s="155"/>
      <c r="W1206" s="155"/>
      <c r="GL1206" s="155"/>
      <c r="GM1206" s="155"/>
      <c r="GN1206" s="155"/>
      <c r="GO1206" s="155"/>
      <c r="GP1206" s="155"/>
      <c r="GQ1206" s="155"/>
      <c r="GR1206" s="155"/>
      <c r="GS1206" s="155"/>
      <c r="GT1206" s="155"/>
      <c r="GU1206" s="155"/>
      <c r="GV1206" s="155"/>
      <c r="GW1206" s="155"/>
      <c r="GX1206" s="155"/>
      <c r="GY1206" s="155"/>
      <c r="GZ1206" s="155"/>
      <c r="HA1206" s="155"/>
      <c r="HB1206" s="155"/>
      <c r="HC1206" s="155"/>
      <c r="HD1206" s="155"/>
      <c r="HE1206" s="155"/>
    </row>
    <row r="1207" spans="2:213" s="156" customFormat="1" hidden="1">
      <c r="B1207" s="155"/>
      <c r="C1207" s="155"/>
      <c r="D1207" s="155"/>
      <c r="E1207" s="155"/>
      <c r="F1207" s="155"/>
      <c r="G1207" s="155"/>
      <c r="H1207" s="155"/>
      <c r="I1207" s="155"/>
      <c r="J1207" s="155"/>
      <c r="K1207" s="155"/>
      <c r="L1207" s="155"/>
      <c r="M1207" s="155"/>
      <c r="N1207" s="155"/>
      <c r="O1207" s="155"/>
      <c r="P1207" s="155"/>
      <c r="Q1207" s="155"/>
      <c r="R1207" s="155"/>
      <c r="S1207" s="155"/>
      <c r="T1207" s="155"/>
      <c r="U1207" s="155"/>
      <c r="V1207" s="155"/>
      <c r="W1207" s="155"/>
      <c r="GL1207" s="155"/>
      <c r="GM1207" s="155"/>
      <c r="GN1207" s="155"/>
      <c r="GO1207" s="155"/>
      <c r="GP1207" s="155"/>
      <c r="GQ1207" s="155"/>
      <c r="GR1207" s="155"/>
      <c r="GS1207" s="155"/>
      <c r="GT1207" s="155"/>
      <c r="GU1207" s="155"/>
      <c r="GV1207" s="155"/>
      <c r="GW1207" s="155"/>
      <c r="GX1207" s="155"/>
      <c r="GY1207" s="155"/>
      <c r="GZ1207" s="155"/>
      <c r="HA1207" s="155"/>
      <c r="HB1207" s="155"/>
      <c r="HC1207" s="155"/>
      <c r="HD1207" s="155"/>
      <c r="HE1207" s="155"/>
    </row>
    <row r="1208" spans="2:213" s="156" customFormat="1" hidden="1">
      <c r="B1208" s="155"/>
      <c r="C1208" s="155"/>
      <c r="D1208" s="155"/>
      <c r="E1208" s="155"/>
      <c r="F1208" s="155"/>
      <c r="G1208" s="155"/>
      <c r="H1208" s="155"/>
      <c r="I1208" s="155"/>
      <c r="J1208" s="155"/>
      <c r="K1208" s="155"/>
      <c r="L1208" s="155"/>
      <c r="M1208" s="155"/>
      <c r="N1208" s="155"/>
      <c r="O1208" s="155"/>
      <c r="P1208" s="155"/>
      <c r="Q1208" s="155"/>
      <c r="R1208" s="155"/>
      <c r="S1208" s="155"/>
      <c r="T1208" s="155"/>
      <c r="U1208" s="155"/>
      <c r="V1208" s="155"/>
      <c r="W1208" s="155"/>
      <c r="GL1208" s="155"/>
      <c r="GM1208" s="155"/>
      <c r="GN1208" s="155"/>
      <c r="GO1208" s="155"/>
      <c r="GP1208" s="155"/>
      <c r="GQ1208" s="155"/>
      <c r="GR1208" s="155"/>
      <c r="GS1208" s="155"/>
      <c r="GT1208" s="155"/>
      <c r="GU1208" s="155"/>
      <c r="GV1208" s="155"/>
      <c r="GW1208" s="155"/>
      <c r="GX1208" s="155"/>
      <c r="GY1208" s="155"/>
      <c r="GZ1208" s="155"/>
      <c r="HA1208" s="155"/>
      <c r="HB1208" s="155"/>
      <c r="HC1208" s="155"/>
      <c r="HD1208" s="155"/>
      <c r="HE1208" s="155"/>
    </row>
    <row r="1209" spans="2:213" s="156" customFormat="1" hidden="1">
      <c r="B1209" s="155"/>
      <c r="C1209" s="155"/>
      <c r="D1209" s="155"/>
      <c r="E1209" s="155"/>
      <c r="F1209" s="155"/>
      <c r="G1209" s="155"/>
      <c r="H1209" s="155"/>
      <c r="I1209" s="155"/>
      <c r="J1209" s="155"/>
      <c r="K1209" s="155"/>
      <c r="L1209" s="155"/>
      <c r="M1209" s="155"/>
      <c r="N1209" s="155"/>
      <c r="O1209" s="155"/>
      <c r="P1209" s="155"/>
      <c r="Q1209" s="155"/>
      <c r="R1209" s="155"/>
      <c r="S1209" s="155"/>
      <c r="T1209" s="155"/>
      <c r="U1209" s="155"/>
      <c r="V1209" s="155"/>
      <c r="W1209" s="155"/>
      <c r="GL1209" s="155"/>
      <c r="GM1209" s="155"/>
      <c r="GN1209" s="155"/>
      <c r="GO1209" s="155"/>
      <c r="GP1209" s="155"/>
      <c r="GQ1209" s="155"/>
      <c r="GR1209" s="155"/>
      <c r="GS1209" s="155"/>
      <c r="GT1209" s="155"/>
      <c r="GU1209" s="155"/>
      <c r="GV1209" s="155"/>
      <c r="GW1209" s="155"/>
      <c r="GX1209" s="155"/>
      <c r="GY1209" s="155"/>
      <c r="GZ1209" s="155"/>
      <c r="HA1209" s="155"/>
      <c r="HB1209" s="155"/>
      <c r="HC1209" s="155"/>
      <c r="HD1209" s="155"/>
      <c r="HE1209" s="155"/>
    </row>
    <row r="1210" spans="2:213" s="156" customFormat="1" hidden="1">
      <c r="B1210" s="155"/>
      <c r="C1210" s="155"/>
      <c r="D1210" s="155"/>
      <c r="E1210" s="155"/>
      <c r="F1210" s="155"/>
      <c r="G1210" s="155"/>
      <c r="H1210" s="155"/>
      <c r="I1210" s="155"/>
      <c r="J1210" s="155"/>
      <c r="K1210" s="155"/>
      <c r="L1210" s="155"/>
      <c r="M1210" s="155"/>
      <c r="N1210" s="155"/>
      <c r="O1210" s="155"/>
      <c r="P1210" s="155"/>
      <c r="Q1210" s="155"/>
      <c r="R1210" s="155"/>
      <c r="S1210" s="155"/>
      <c r="T1210" s="155"/>
      <c r="U1210" s="155"/>
      <c r="V1210" s="155"/>
      <c r="W1210" s="155"/>
      <c r="GL1210" s="155"/>
      <c r="GM1210" s="155"/>
      <c r="GN1210" s="155"/>
      <c r="GO1210" s="155"/>
      <c r="GP1210" s="155"/>
      <c r="GQ1210" s="155"/>
      <c r="GR1210" s="155"/>
      <c r="GS1210" s="155"/>
      <c r="GT1210" s="155"/>
      <c r="GU1210" s="155"/>
      <c r="GV1210" s="155"/>
      <c r="GW1210" s="155"/>
      <c r="GX1210" s="155"/>
      <c r="GY1210" s="155"/>
      <c r="GZ1210" s="155"/>
      <c r="HA1210" s="155"/>
      <c r="HB1210" s="155"/>
      <c r="HC1210" s="155"/>
      <c r="HD1210" s="155"/>
      <c r="HE1210" s="155"/>
    </row>
    <row r="1211" spans="2:213" s="156" customFormat="1" hidden="1">
      <c r="B1211" s="155"/>
      <c r="C1211" s="155"/>
      <c r="D1211" s="155"/>
      <c r="E1211" s="155"/>
      <c r="F1211" s="155"/>
      <c r="G1211" s="155"/>
      <c r="H1211" s="155"/>
      <c r="I1211" s="155"/>
      <c r="J1211" s="155"/>
      <c r="K1211" s="155"/>
      <c r="L1211" s="155"/>
      <c r="M1211" s="155"/>
      <c r="N1211" s="155"/>
      <c r="O1211" s="155"/>
      <c r="P1211" s="155"/>
      <c r="Q1211" s="155"/>
      <c r="R1211" s="155"/>
      <c r="S1211" s="155"/>
      <c r="T1211" s="155"/>
      <c r="U1211" s="155"/>
      <c r="V1211" s="155"/>
      <c r="W1211" s="155"/>
      <c r="GL1211" s="155"/>
      <c r="GM1211" s="155"/>
      <c r="GN1211" s="155"/>
      <c r="GO1211" s="155"/>
      <c r="GP1211" s="155"/>
      <c r="GQ1211" s="155"/>
      <c r="GR1211" s="155"/>
      <c r="GS1211" s="155"/>
      <c r="GT1211" s="155"/>
      <c r="GU1211" s="155"/>
      <c r="GV1211" s="155"/>
      <c r="GW1211" s="155"/>
      <c r="GX1211" s="155"/>
      <c r="GY1211" s="155"/>
      <c r="GZ1211" s="155"/>
      <c r="HA1211" s="155"/>
      <c r="HB1211" s="155"/>
      <c r="HC1211" s="155"/>
      <c r="HD1211" s="155"/>
      <c r="HE1211" s="155"/>
    </row>
    <row r="1212" spans="2:213" s="156" customFormat="1" hidden="1">
      <c r="B1212" s="155"/>
      <c r="C1212" s="155"/>
      <c r="D1212" s="155"/>
      <c r="E1212" s="155"/>
      <c r="F1212" s="155"/>
      <c r="G1212" s="155"/>
      <c r="H1212" s="155"/>
      <c r="I1212" s="155"/>
      <c r="J1212" s="155"/>
      <c r="K1212" s="155"/>
      <c r="L1212" s="155"/>
      <c r="M1212" s="155"/>
      <c r="N1212" s="155"/>
      <c r="O1212" s="155"/>
      <c r="P1212" s="155"/>
      <c r="Q1212" s="155"/>
      <c r="R1212" s="155"/>
      <c r="S1212" s="155"/>
      <c r="T1212" s="155"/>
      <c r="U1212" s="155"/>
      <c r="V1212" s="155"/>
      <c r="W1212" s="155"/>
      <c r="GL1212" s="155"/>
      <c r="GM1212" s="155"/>
      <c r="GN1212" s="155"/>
      <c r="GO1212" s="155"/>
      <c r="GP1212" s="155"/>
      <c r="GQ1212" s="155"/>
      <c r="GR1212" s="155"/>
      <c r="GS1212" s="155"/>
      <c r="GT1212" s="155"/>
      <c r="GU1212" s="155"/>
      <c r="GV1212" s="155"/>
      <c r="GW1212" s="155"/>
      <c r="GX1212" s="155"/>
      <c r="GY1212" s="155"/>
      <c r="GZ1212" s="155"/>
      <c r="HA1212" s="155"/>
      <c r="HB1212" s="155"/>
      <c r="HC1212" s="155"/>
      <c r="HD1212" s="155"/>
      <c r="HE1212" s="155"/>
    </row>
    <row r="1213" spans="2:213" s="156" customFormat="1" hidden="1">
      <c r="B1213" s="155"/>
      <c r="C1213" s="155"/>
      <c r="D1213" s="155"/>
      <c r="E1213" s="155"/>
      <c r="F1213" s="155"/>
      <c r="G1213" s="155"/>
      <c r="H1213" s="155"/>
      <c r="I1213" s="155"/>
      <c r="J1213" s="155"/>
      <c r="K1213" s="155"/>
      <c r="L1213" s="155"/>
      <c r="M1213" s="155"/>
      <c r="N1213" s="155"/>
      <c r="O1213" s="155"/>
      <c r="P1213" s="155"/>
      <c r="Q1213" s="155"/>
      <c r="R1213" s="155"/>
      <c r="S1213" s="155"/>
      <c r="T1213" s="155"/>
      <c r="U1213" s="155"/>
      <c r="V1213" s="155"/>
      <c r="W1213" s="155"/>
      <c r="GL1213" s="155"/>
      <c r="GM1213" s="155"/>
      <c r="GN1213" s="155"/>
      <c r="GO1213" s="155"/>
      <c r="GP1213" s="155"/>
      <c r="GQ1213" s="155"/>
      <c r="GR1213" s="155"/>
      <c r="GS1213" s="155"/>
      <c r="GT1213" s="155"/>
      <c r="GU1213" s="155"/>
      <c r="GV1213" s="155"/>
      <c r="GW1213" s="155"/>
      <c r="GX1213" s="155"/>
      <c r="GY1213" s="155"/>
      <c r="GZ1213" s="155"/>
      <c r="HA1213" s="155"/>
      <c r="HB1213" s="155"/>
      <c r="HC1213" s="155"/>
      <c r="HD1213" s="155"/>
      <c r="HE1213" s="155"/>
    </row>
    <row r="1214" spans="2:213" s="156" customFormat="1" hidden="1">
      <c r="B1214" s="155"/>
      <c r="C1214" s="155"/>
      <c r="D1214" s="155"/>
      <c r="E1214" s="155"/>
      <c r="F1214" s="155"/>
      <c r="G1214" s="155"/>
      <c r="H1214" s="155"/>
      <c r="I1214" s="155"/>
      <c r="J1214" s="155"/>
      <c r="K1214" s="155"/>
      <c r="L1214" s="155"/>
      <c r="M1214" s="155"/>
      <c r="N1214" s="155"/>
      <c r="O1214" s="155"/>
      <c r="P1214" s="155"/>
      <c r="Q1214" s="155"/>
      <c r="R1214" s="155"/>
      <c r="S1214" s="155"/>
      <c r="T1214" s="155"/>
      <c r="U1214" s="155"/>
      <c r="V1214" s="155"/>
      <c r="W1214" s="155"/>
      <c r="GL1214" s="155"/>
      <c r="GM1214" s="155"/>
      <c r="GN1214" s="155"/>
      <c r="GO1214" s="155"/>
      <c r="GP1214" s="155"/>
      <c r="GQ1214" s="155"/>
      <c r="GR1214" s="155"/>
      <c r="GS1214" s="155"/>
      <c r="GT1214" s="155"/>
      <c r="GU1214" s="155"/>
      <c r="GV1214" s="155"/>
      <c r="GW1214" s="155"/>
      <c r="GX1214" s="155"/>
      <c r="GY1214" s="155"/>
      <c r="GZ1214" s="155"/>
      <c r="HA1214" s="155"/>
      <c r="HB1214" s="155"/>
      <c r="HC1214" s="155"/>
      <c r="HD1214" s="155"/>
      <c r="HE1214" s="155"/>
    </row>
    <row r="1215" spans="2:213" s="156" customFormat="1" hidden="1">
      <c r="B1215" s="155"/>
      <c r="C1215" s="155"/>
      <c r="D1215" s="155"/>
      <c r="E1215" s="155"/>
      <c r="F1215" s="155"/>
      <c r="G1215" s="155"/>
      <c r="H1215" s="155"/>
      <c r="I1215" s="155"/>
      <c r="J1215" s="155"/>
      <c r="K1215" s="155"/>
      <c r="L1215" s="155"/>
      <c r="M1215" s="155"/>
      <c r="N1215" s="155"/>
      <c r="O1215" s="155"/>
      <c r="P1215" s="155"/>
      <c r="Q1215" s="155"/>
      <c r="R1215" s="155"/>
      <c r="S1215" s="155"/>
      <c r="T1215" s="155"/>
      <c r="U1215" s="155"/>
      <c r="V1215" s="155"/>
      <c r="W1215" s="155"/>
      <c r="GL1215" s="155"/>
      <c r="GM1215" s="155"/>
      <c r="GN1215" s="155"/>
      <c r="GO1215" s="155"/>
      <c r="GP1215" s="155"/>
      <c r="GQ1215" s="155"/>
      <c r="GR1215" s="155"/>
      <c r="GS1215" s="155"/>
      <c r="GT1215" s="155"/>
      <c r="GU1215" s="155"/>
      <c r="GV1215" s="155"/>
      <c r="GW1215" s="155"/>
      <c r="GX1215" s="155"/>
      <c r="GY1215" s="155"/>
      <c r="GZ1215" s="155"/>
      <c r="HA1215" s="155"/>
      <c r="HB1215" s="155"/>
      <c r="HC1215" s="155"/>
      <c r="HD1215" s="155"/>
      <c r="HE1215" s="155"/>
    </row>
    <row r="1216" spans="2:213" s="156" customFormat="1" hidden="1">
      <c r="B1216" s="155"/>
      <c r="C1216" s="155"/>
      <c r="D1216" s="155"/>
      <c r="E1216" s="155"/>
      <c r="F1216" s="155"/>
      <c r="G1216" s="155"/>
      <c r="H1216" s="155"/>
      <c r="I1216" s="155"/>
      <c r="J1216" s="155"/>
      <c r="K1216" s="155"/>
      <c r="L1216" s="155"/>
      <c r="M1216" s="155"/>
      <c r="N1216" s="155"/>
      <c r="O1216" s="155"/>
      <c r="P1216" s="155"/>
      <c r="Q1216" s="155"/>
      <c r="R1216" s="155"/>
      <c r="S1216" s="155"/>
      <c r="T1216" s="155"/>
      <c r="U1216" s="155"/>
      <c r="V1216" s="155"/>
      <c r="W1216" s="155"/>
      <c r="GL1216" s="155"/>
      <c r="GM1216" s="155"/>
      <c r="GN1216" s="155"/>
      <c r="GO1216" s="155"/>
      <c r="GP1216" s="155"/>
      <c r="GQ1216" s="155"/>
      <c r="GR1216" s="155"/>
      <c r="GS1216" s="155"/>
      <c r="GT1216" s="155"/>
      <c r="GU1216" s="155"/>
      <c r="GV1216" s="155"/>
      <c r="GW1216" s="155"/>
      <c r="GX1216" s="155"/>
      <c r="GY1216" s="155"/>
      <c r="GZ1216" s="155"/>
      <c r="HA1216" s="155"/>
      <c r="HB1216" s="155"/>
      <c r="HC1216" s="155"/>
      <c r="HD1216" s="155"/>
      <c r="HE1216" s="155"/>
    </row>
    <row r="1217" spans="2:213" s="156" customFormat="1" hidden="1">
      <c r="B1217" s="155"/>
      <c r="C1217" s="155"/>
      <c r="D1217" s="155"/>
      <c r="E1217" s="155"/>
      <c r="F1217" s="155"/>
      <c r="G1217" s="155"/>
      <c r="H1217" s="155"/>
      <c r="I1217" s="155"/>
      <c r="J1217" s="155"/>
      <c r="K1217" s="155"/>
      <c r="L1217" s="155"/>
      <c r="M1217" s="155"/>
      <c r="N1217" s="155"/>
      <c r="O1217" s="155"/>
      <c r="P1217" s="155"/>
      <c r="Q1217" s="155"/>
      <c r="R1217" s="155"/>
      <c r="S1217" s="155"/>
      <c r="T1217" s="155"/>
      <c r="U1217" s="155"/>
      <c r="V1217" s="155"/>
      <c r="W1217" s="155"/>
      <c r="GL1217" s="155"/>
      <c r="GM1217" s="155"/>
      <c r="GN1217" s="155"/>
      <c r="GO1217" s="155"/>
      <c r="GP1217" s="155"/>
      <c r="GQ1217" s="155"/>
      <c r="GR1217" s="155"/>
      <c r="GS1217" s="155"/>
      <c r="GT1217" s="155"/>
      <c r="GU1217" s="155"/>
      <c r="GV1217" s="155"/>
      <c r="GW1217" s="155"/>
      <c r="GX1217" s="155"/>
      <c r="GY1217" s="155"/>
      <c r="GZ1217" s="155"/>
      <c r="HA1217" s="155"/>
      <c r="HB1217" s="155"/>
      <c r="HC1217" s="155"/>
      <c r="HD1217" s="155"/>
      <c r="HE1217" s="155"/>
    </row>
    <row r="1218" spans="2:213" s="156" customFormat="1" hidden="1">
      <c r="B1218" s="155"/>
      <c r="C1218" s="155"/>
      <c r="D1218" s="155"/>
      <c r="E1218" s="155"/>
      <c r="F1218" s="155"/>
      <c r="G1218" s="155"/>
      <c r="H1218" s="155"/>
      <c r="I1218" s="155"/>
      <c r="J1218" s="155"/>
      <c r="K1218" s="155"/>
      <c r="L1218" s="155"/>
      <c r="M1218" s="155"/>
      <c r="N1218" s="155"/>
      <c r="O1218" s="155"/>
      <c r="P1218" s="155"/>
      <c r="Q1218" s="155"/>
      <c r="R1218" s="155"/>
      <c r="S1218" s="155"/>
      <c r="T1218" s="155"/>
      <c r="U1218" s="155"/>
      <c r="V1218" s="155"/>
      <c r="W1218" s="155"/>
      <c r="GL1218" s="155"/>
      <c r="GM1218" s="155"/>
      <c r="GN1218" s="155"/>
      <c r="GO1218" s="155"/>
      <c r="GP1218" s="155"/>
      <c r="GQ1218" s="155"/>
      <c r="GR1218" s="155"/>
      <c r="GS1218" s="155"/>
      <c r="GT1218" s="155"/>
      <c r="GU1218" s="155"/>
      <c r="GV1218" s="155"/>
      <c r="GW1218" s="155"/>
      <c r="GX1218" s="155"/>
      <c r="GY1218" s="155"/>
      <c r="GZ1218" s="155"/>
      <c r="HA1218" s="155"/>
      <c r="HB1218" s="155"/>
      <c r="HC1218" s="155"/>
      <c r="HD1218" s="155"/>
      <c r="HE1218" s="155"/>
    </row>
    <row r="1219" spans="2:213" s="156" customFormat="1" hidden="1">
      <c r="B1219" s="155"/>
      <c r="C1219" s="155"/>
      <c r="D1219" s="155"/>
      <c r="E1219" s="155"/>
      <c r="F1219" s="155"/>
      <c r="G1219" s="155"/>
      <c r="H1219" s="155"/>
      <c r="I1219" s="155"/>
      <c r="J1219" s="155"/>
      <c r="K1219" s="155"/>
      <c r="L1219" s="155"/>
      <c r="M1219" s="155"/>
      <c r="N1219" s="155"/>
      <c r="O1219" s="155"/>
      <c r="P1219" s="155"/>
      <c r="Q1219" s="155"/>
      <c r="R1219" s="155"/>
      <c r="S1219" s="155"/>
      <c r="T1219" s="155"/>
      <c r="U1219" s="155"/>
      <c r="V1219" s="155"/>
      <c r="W1219" s="155"/>
      <c r="GL1219" s="155"/>
      <c r="GM1219" s="155"/>
      <c r="GN1219" s="155"/>
      <c r="GO1219" s="155"/>
      <c r="GP1219" s="155"/>
      <c r="GQ1219" s="155"/>
      <c r="GR1219" s="155"/>
      <c r="GS1219" s="155"/>
      <c r="GT1219" s="155"/>
      <c r="GU1219" s="155"/>
      <c r="GV1219" s="155"/>
      <c r="GW1219" s="155"/>
      <c r="GX1219" s="155"/>
      <c r="GY1219" s="155"/>
      <c r="GZ1219" s="155"/>
      <c r="HA1219" s="155"/>
      <c r="HB1219" s="155"/>
      <c r="HC1219" s="155"/>
      <c r="HD1219" s="155"/>
      <c r="HE1219" s="155"/>
    </row>
    <row r="1220" spans="2:213" s="156" customFormat="1" hidden="1">
      <c r="B1220" s="155"/>
      <c r="C1220" s="155"/>
      <c r="D1220" s="155"/>
      <c r="E1220" s="155"/>
      <c r="F1220" s="155"/>
      <c r="G1220" s="155"/>
      <c r="H1220" s="155"/>
      <c r="I1220" s="155"/>
      <c r="J1220" s="155"/>
      <c r="K1220" s="155"/>
      <c r="L1220" s="155"/>
      <c r="M1220" s="155"/>
      <c r="N1220" s="155"/>
      <c r="O1220" s="155"/>
      <c r="P1220" s="155"/>
      <c r="Q1220" s="155"/>
      <c r="R1220" s="155"/>
      <c r="S1220" s="155"/>
      <c r="T1220" s="155"/>
      <c r="U1220" s="155"/>
      <c r="V1220" s="155"/>
      <c r="W1220" s="155"/>
      <c r="GL1220" s="155"/>
      <c r="GM1220" s="155"/>
      <c r="GN1220" s="155"/>
      <c r="GO1220" s="155"/>
      <c r="GP1220" s="155"/>
      <c r="GQ1220" s="155"/>
      <c r="GR1220" s="155"/>
      <c r="GS1220" s="155"/>
      <c r="GT1220" s="155"/>
      <c r="GU1220" s="155"/>
      <c r="GV1220" s="155"/>
      <c r="GW1220" s="155"/>
      <c r="GX1220" s="155"/>
      <c r="GY1220" s="155"/>
      <c r="GZ1220" s="155"/>
      <c r="HA1220" s="155"/>
      <c r="HB1220" s="155"/>
      <c r="HC1220" s="155"/>
      <c r="HD1220" s="155"/>
      <c r="HE1220" s="155"/>
    </row>
    <row r="1221" spans="2:213" s="156" customFormat="1" hidden="1">
      <c r="B1221" s="155"/>
      <c r="C1221" s="155"/>
      <c r="D1221" s="155"/>
      <c r="E1221" s="155"/>
      <c r="F1221" s="155"/>
      <c r="G1221" s="155"/>
      <c r="H1221" s="155"/>
      <c r="I1221" s="155"/>
      <c r="J1221" s="155"/>
      <c r="K1221" s="155"/>
      <c r="L1221" s="155"/>
      <c r="M1221" s="155"/>
      <c r="N1221" s="155"/>
      <c r="O1221" s="155"/>
      <c r="P1221" s="155"/>
      <c r="Q1221" s="155"/>
      <c r="R1221" s="155"/>
      <c r="S1221" s="155"/>
      <c r="T1221" s="155"/>
      <c r="U1221" s="155"/>
      <c r="V1221" s="155"/>
      <c r="W1221" s="155"/>
      <c r="GL1221" s="155"/>
      <c r="GM1221" s="155"/>
      <c r="GN1221" s="155"/>
      <c r="GO1221" s="155"/>
      <c r="GP1221" s="155"/>
      <c r="GQ1221" s="155"/>
      <c r="GR1221" s="155"/>
      <c r="GS1221" s="155"/>
      <c r="GT1221" s="155"/>
      <c r="GU1221" s="155"/>
      <c r="GV1221" s="155"/>
      <c r="GW1221" s="155"/>
      <c r="GX1221" s="155"/>
      <c r="GY1221" s="155"/>
      <c r="GZ1221" s="155"/>
      <c r="HA1221" s="155"/>
      <c r="HB1221" s="155"/>
      <c r="HC1221" s="155"/>
      <c r="HD1221" s="155"/>
      <c r="HE1221" s="155"/>
    </row>
    <row r="1222" spans="2:213" s="156" customFormat="1" hidden="1">
      <c r="B1222" s="155"/>
      <c r="C1222" s="155"/>
      <c r="D1222" s="155"/>
      <c r="E1222" s="155"/>
      <c r="F1222" s="155"/>
      <c r="G1222" s="155"/>
      <c r="H1222" s="155"/>
      <c r="I1222" s="155"/>
      <c r="J1222" s="155"/>
      <c r="K1222" s="155"/>
      <c r="L1222" s="155"/>
      <c r="M1222" s="155"/>
      <c r="N1222" s="155"/>
      <c r="O1222" s="155"/>
      <c r="P1222" s="155"/>
      <c r="Q1222" s="155"/>
      <c r="R1222" s="155"/>
      <c r="S1222" s="155"/>
      <c r="T1222" s="155"/>
      <c r="U1222" s="155"/>
      <c r="V1222" s="155"/>
      <c r="W1222" s="155"/>
      <c r="GL1222" s="155"/>
      <c r="GM1222" s="155"/>
      <c r="GN1222" s="155"/>
      <c r="GO1222" s="155"/>
      <c r="GP1222" s="155"/>
      <c r="GQ1222" s="155"/>
      <c r="GR1222" s="155"/>
      <c r="GS1222" s="155"/>
      <c r="GT1222" s="155"/>
      <c r="GU1222" s="155"/>
      <c r="GV1222" s="155"/>
      <c r="GW1222" s="155"/>
      <c r="GX1222" s="155"/>
      <c r="GY1222" s="155"/>
      <c r="GZ1222" s="155"/>
      <c r="HA1222" s="155"/>
      <c r="HB1222" s="155"/>
      <c r="HC1222" s="155"/>
      <c r="HD1222" s="155"/>
      <c r="HE1222" s="155"/>
    </row>
    <row r="1223" spans="2:213" s="156" customFormat="1" hidden="1">
      <c r="B1223" s="155"/>
      <c r="C1223" s="155"/>
      <c r="D1223" s="155"/>
      <c r="E1223" s="155"/>
      <c r="F1223" s="155"/>
      <c r="G1223" s="155"/>
      <c r="H1223" s="155"/>
      <c r="I1223" s="155"/>
      <c r="J1223" s="155"/>
      <c r="K1223" s="155"/>
      <c r="L1223" s="155"/>
      <c r="M1223" s="155"/>
      <c r="N1223" s="155"/>
      <c r="O1223" s="155"/>
      <c r="P1223" s="155"/>
      <c r="Q1223" s="155"/>
      <c r="R1223" s="155"/>
      <c r="S1223" s="155"/>
      <c r="T1223" s="155"/>
      <c r="U1223" s="155"/>
      <c r="V1223" s="155"/>
      <c r="W1223" s="155"/>
      <c r="GL1223" s="155"/>
      <c r="GM1223" s="155"/>
      <c r="GN1223" s="155"/>
      <c r="GO1223" s="155"/>
      <c r="GP1223" s="155"/>
      <c r="GQ1223" s="155"/>
      <c r="GR1223" s="155"/>
      <c r="GS1223" s="155"/>
      <c r="GT1223" s="155"/>
      <c r="GU1223" s="155"/>
      <c r="GV1223" s="155"/>
      <c r="GW1223" s="155"/>
      <c r="GX1223" s="155"/>
      <c r="GY1223" s="155"/>
      <c r="GZ1223" s="155"/>
      <c r="HA1223" s="155"/>
      <c r="HB1223" s="155"/>
      <c r="HC1223" s="155"/>
      <c r="HD1223" s="155"/>
      <c r="HE1223" s="155"/>
    </row>
    <row r="1224" spans="2:213" s="156" customFormat="1" hidden="1">
      <c r="B1224" s="155"/>
      <c r="C1224" s="155"/>
      <c r="D1224" s="155"/>
      <c r="E1224" s="155"/>
      <c r="F1224" s="155"/>
      <c r="G1224" s="155"/>
      <c r="H1224" s="155"/>
      <c r="I1224" s="155"/>
      <c r="J1224" s="155"/>
      <c r="K1224" s="155"/>
      <c r="L1224" s="155"/>
      <c r="M1224" s="155"/>
      <c r="N1224" s="155"/>
      <c r="O1224" s="155"/>
      <c r="P1224" s="155"/>
      <c r="Q1224" s="155"/>
      <c r="R1224" s="155"/>
      <c r="S1224" s="155"/>
      <c r="T1224" s="155"/>
      <c r="U1224" s="155"/>
      <c r="V1224" s="155"/>
      <c r="W1224" s="155"/>
      <c r="GL1224" s="155"/>
      <c r="GM1224" s="155"/>
      <c r="GN1224" s="155"/>
      <c r="GO1224" s="155"/>
      <c r="GP1224" s="155"/>
      <c r="GQ1224" s="155"/>
      <c r="GR1224" s="155"/>
      <c r="GS1224" s="155"/>
      <c r="GT1224" s="155"/>
      <c r="GU1224" s="155"/>
      <c r="GV1224" s="155"/>
      <c r="GW1224" s="155"/>
      <c r="GX1224" s="155"/>
      <c r="GY1224" s="155"/>
      <c r="GZ1224" s="155"/>
      <c r="HA1224" s="155"/>
      <c r="HB1224" s="155"/>
      <c r="HC1224" s="155"/>
      <c r="HD1224" s="155"/>
      <c r="HE1224" s="155"/>
    </row>
    <row r="1225" spans="2:213" s="156" customFormat="1" hidden="1">
      <c r="B1225" s="155"/>
      <c r="C1225" s="155"/>
      <c r="D1225" s="155"/>
      <c r="E1225" s="155"/>
      <c r="F1225" s="155"/>
      <c r="G1225" s="155"/>
      <c r="H1225" s="155"/>
      <c r="I1225" s="155"/>
      <c r="J1225" s="155"/>
      <c r="K1225" s="155"/>
      <c r="L1225" s="155"/>
      <c r="M1225" s="155"/>
      <c r="N1225" s="155"/>
      <c r="O1225" s="155"/>
      <c r="P1225" s="155"/>
      <c r="Q1225" s="155"/>
      <c r="R1225" s="155"/>
      <c r="S1225" s="155"/>
      <c r="T1225" s="155"/>
      <c r="U1225" s="155"/>
      <c r="V1225" s="155"/>
      <c r="W1225" s="155"/>
      <c r="GL1225" s="155"/>
      <c r="GM1225" s="155"/>
      <c r="GN1225" s="155"/>
      <c r="GO1225" s="155"/>
      <c r="GP1225" s="155"/>
      <c r="GQ1225" s="155"/>
      <c r="GR1225" s="155"/>
      <c r="GS1225" s="155"/>
      <c r="GT1225" s="155"/>
      <c r="GU1225" s="155"/>
      <c r="GV1225" s="155"/>
      <c r="GW1225" s="155"/>
      <c r="GX1225" s="155"/>
      <c r="GY1225" s="155"/>
      <c r="GZ1225" s="155"/>
      <c r="HA1225" s="155"/>
      <c r="HB1225" s="155"/>
      <c r="HC1225" s="155"/>
      <c r="HD1225" s="155"/>
      <c r="HE1225" s="155"/>
    </row>
    <row r="1226" spans="2:213" s="156" customFormat="1" hidden="1">
      <c r="B1226" s="155"/>
      <c r="C1226" s="155"/>
      <c r="D1226" s="155"/>
      <c r="E1226" s="155"/>
      <c r="F1226" s="155"/>
      <c r="G1226" s="155"/>
      <c r="H1226" s="155"/>
      <c r="I1226" s="155"/>
      <c r="J1226" s="155"/>
      <c r="K1226" s="155"/>
      <c r="L1226" s="155"/>
      <c r="M1226" s="155"/>
      <c r="N1226" s="155"/>
      <c r="O1226" s="155"/>
      <c r="P1226" s="155"/>
      <c r="Q1226" s="155"/>
      <c r="R1226" s="155"/>
      <c r="S1226" s="155"/>
      <c r="T1226" s="155"/>
      <c r="U1226" s="155"/>
      <c r="V1226" s="155"/>
      <c r="W1226" s="155"/>
      <c r="GL1226" s="155"/>
      <c r="GM1226" s="155"/>
      <c r="GN1226" s="155"/>
      <c r="GO1226" s="155"/>
      <c r="GP1226" s="155"/>
      <c r="GQ1226" s="155"/>
      <c r="GR1226" s="155"/>
      <c r="GS1226" s="155"/>
      <c r="GT1226" s="155"/>
      <c r="GU1226" s="155"/>
      <c r="GV1226" s="155"/>
      <c r="GW1226" s="155"/>
      <c r="GX1226" s="155"/>
      <c r="GY1226" s="155"/>
      <c r="GZ1226" s="155"/>
      <c r="HA1226" s="155"/>
      <c r="HB1226" s="155"/>
      <c r="HC1226" s="155"/>
      <c r="HD1226" s="155"/>
      <c r="HE1226" s="155"/>
    </row>
    <row r="1227" spans="2:213" s="156" customFormat="1" hidden="1">
      <c r="B1227" s="155"/>
      <c r="C1227" s="155"/>
      <c r="D1227" s="155"/>
      <c r="E1227" s="155"/>
      <c r="F1227" s="155"/>
      <c r="G1227" s="155"/>
      <c r="H1227" s="155"/>
      <c r="I1227" s="155"/>
      <c r="J1227" s="155"/>
      <c r="K1227" s="155"/>
      <c r="L1227" s="155"/>
      <c r="M1227" s="155"/>
      <c r="N1227" s="155"/>
      <c r="O1227" s="155"/>
      <c r="P1227" s="155"/>
      <c r="Q1227" s="155"/>
      <c r="R1227" s="155"/>
      <c r="S1227" s="155"/>
      <c r="T1227" s="155"/>
      <c r="U1227" s="155"/>
      <c r="V1227" s="155"/>
      <c r="W1227" s="155"/>
      <c r="GL1227" s="155"/>
      <c r="GM1227" s="155"/>
      <c r="GN1227" s="155"/>
      <c r="GO1227" s="155"/>
      <c r="GP1227" s="155"/>
      <c r="GQ1227" s="155"/>
      <c r="GR1227" s="155"/>
      <c r="GS1227" s="155"/>
      <c r="GT1227" s="155"/>
      <c r="GU1227" s="155"/>
      <c r="GV1227" s="155"/>
      <c r="GW1227" s="155"/>
      <c r="GX1227" s="155"/>
      <c r="GY1227" s="155"/>
      <c r="GZ1227" s="155"/>
      <c r="HA1227" s="155"/>
      <c r="HB1227" s="155"/>
      <c r="HC1227" s="155"/>
      <c r="HD1227" s="155"/>
      <c r="HE1227" s="155"/>
    </row>
    <row r="1228" spans="2:213" s="156" customFormat="1" hidden="1">
      <c r="B1228" s="155"/>
      <c r="C1228" s="155"/>
      <c r="D1228" s="155"/>
      <c r="E1228" s="155"/>
      <c r="F1228" s="155"/>
      <c r="G1228" s="155"/>
      <c r="H1228" s="155"/>
      <c r="I1228" s="155"/>
      <c r="J1228" s="155"/>
      <c r="K1228" s="155"/>
      <c r="L1228" s="155"/>
      <c r="M1228" s="155"/>
      <c r="N1228" s="155"/>
      <c r="O1228" s="155"/>
      <c r="P1228" s="155"/>
      <c r="Q1228" s="155"/>
      <c r="R1228" s="155"/>
      <c r="S1228" s="155"/>
      <c r="T1228" s="155"/>
      <c r="U1228" s="155"/>
      <c r="V1228" s="155"/>
      <c r="W1228" s="155"/>
      <c r="GL1228" s="155"/>
      <c r="GM1228" s="155"/>
      <c r="GN1228" s="155"/>
      <c r="GO1228" s="155"/>
      <c r="GP1228" s="155"/>
      <c r="GQ1228" s="155"/>
      <c r="GR1228" s="155"/>
      <c r="GS1228" s="155"/>
      <c r="GT1228" s="155"/>
      <c r="GU1228" s="155"/>
      <c r="GV1228" s="155"/>
      <c r="GW1228" s="155"/>
      <c r="GX1228" s="155"/>
      <c r="GY1228" s="155"/>
      <c r="GZ1228" s="155"/>
      <c r="HA1228" s="155"/>
      <c r="HB1228" s="155"/>
      <c r="HC1228" s="155"/>
      <c r="HD1228" s="155"/>
      <c r="HE1228" s="155"/>
    </row>
    <row r="1229" spans="2:213" s="156" customFormat="1" hidden="1">
      <c r="B1229" s="155"/>
      <c r="C1229" s="155"/>
      <c r="D1229" s="155"/>
      <c r="E1229" s="155"/>
      <c r="F1229" s="155"/>
      <c r="G1229" s="155"/>
      <c r="H1229" s="155"/>
      <c r="I1229" s="155"/>
      <c r="J1229" s="155"/>
      <c r="K1229" s="155"/>
      <c r="L1229" s="155"/>
      <c r="M1229" s="155"/>
      <c r="N1229" s="155"/>
      <c r="O1229" s="155"/>
      <c r="P1229" s="155"/>
      <c r="Q1229" s="155"/>
      <c r="R1229" s="155"/>
      <c r="S1229" s="155"/>
      <c r="T1229" s="155"/>
      <c r="U1229" s="155"/>
      <c r="V1229" s="155"/>
      <c r="W1229" s="155"/>
      <c r="GL1229" s="155"/>
      <c r="GM1229" s="155"/>
      <c r="GN1229" s="155"/>
      <c r="GO1229" s="155"/>
      <c r="GP1229" s="155"/>
      <c r="GQ1229" s="155"/>
      <c r="GR1229" s="155"/>
      <c r="GS1229" s="155"/>
      <c r="GT1229" s="155"/>
      <c r="GU1229" s="155"/>
      <c r="GV1229" s="155"/>
      <c r="GW1229" s="155"/>
      <c r="GX1229" s="155"/>
      <c r="GY1229" s="155"/>
      <c r="GZ1229" s="155"/>
      <c r="HA1229" s="155"/>
      <c r="HB1229" s="155"/>
      <c r="HC1229" s="155"/>
      <c r="HD1229" s="155"/>
      <c r="HE1229" s="155"/>
    </row>
    <row r="1230" spans="2:213" s="156" customFormat="1" hidden="1">
      <c r="B1230" s="155"/>
      <c r="C1230" s="155"/>
      <c r="D1230" s="155"/>
      <c r="E1230" s="155"/>
      <c r="F1230" s="155"/>
      <c r="G1230" s="155"/>
      <c r="H1230" s="155"/>
      <c r="I1230" s="155"/>
      <c r="J1230" s="155"/>
      <c r="K1230" s="155"/>
      <c r="L1230" s="155"/>
      <c r="M1230" s="155"/>
      <c r="N1230" s="155"/>
      <c r="O1230" s="155"/>
      <c r="P1230" s="155"/>
      <c r="Q1230" s="155"/>
      <c r="R1230" s="155"/>
      <c r="S1230" s="155"/>
      <c r="T1230" s="155"/>
      <c r="U1230" s="155"/>
      <c r="V1230" s="155"/>
      <c r="W1230" s="155"/>
      <c r="GL1230" s="155"/>
      <c r="GM1230" s="155"/>
      <c r="GN1230" s="155"/>
      <c r="GO1230" s="155"/>
      <c r="GP1230" s="155"/>
      <c r="GQ1230" s="155"/>
      <c r="GR1230" s="155"/>
      <c r="GS1230" s="155"/>
      <c r="GT1230" s="155"/>
      <c r="GU1230" s="155"/>
      <c r="GV1230" s="155"/>
      <c r="GW1230" s="155"/>
      <c r="GX1230" s="155"/>
      <c r="GY1230" s="155"/>
      <c r="GZ1230" s="155"/>
      <c r="HA1230" s="155"/>
      <c r="HB1230" s="155"/>
      <c r="HC1230" s="155"/>
      <c r="HD1230" s="155"/>
      <c r="HE1230" s="155"/>
    </row>
    <row r="1231" spans="2:213" s="156" customFormat="1" hidden="1">
      <c r="B1231" s="155"/>
      <c r="C1231" s="155"/>
      <c r="D1231" s="155"/>
      <c r="E1231" s="155"/>
      <c r="F1231" s="155"/>
      <c r="G1231" s="155"/>
      <c r="H1231" s="155"/>
      <c r="I1231" s="155"/>
      <c r="J1231" s="155"/>
      <c r="K1231" s="155"/>
      <c r="L1231" s="155"/>
      <c r="M1231" s="155"/>
      <c r="N1231" s="155"/>
      <c r="O1231" s="155"/>
      <c r="P1231" s="155"/>
      <c r="Q1231" s="155"/>
      <c r="R1231" s="155"/>
      <c r="S1231" s="155"/>
      <c r="T1231" s="155"/>
      <c r="U1231" s="155"/>
      <c r="V1231" s="155"/>
      <c r="W1231" s="155"/>
      <c r="GL1231" s="155"/>
      <c r="GM1231" s="155"/>
      <c r="GN1231" s="155"/>
      <c r="GO1231" s="155"/>
      <c r="GP1231" s="155"/>
      <c r="GQ1231" s="155"/>
      <c r="GR1231" s="155"/>
      <c r="GS1231" s="155"/>
      <c r="GT1231" s="155"/>
      <c r="GU1231" s="155"/>
      <c r="GV1231" s="155"/>
      <c r="GW1231" s="155"/>
      <c r="GX1231" s="155"/>
      <c r="GY1231" s="155"/>
      <c r="GZ1231" s="155"/>
      <c r="HA1231" s="155"/>
      <c r="HB1231" s="155"/>
      <c r="HC1231" s="155"/>
      <c r="HD1231" s="155"/>
      <c r="HE1231" s="155"/>
    </row>
    <row r="1232" spans="2:213" s="156" customFormat="1" hidden="1">
      <c r="B1232" s="155"/>
      <c r="C1232" s="155"/>
      <c r="D1232" s="155"/>
      <c r="E1232" s="155"/>
      <c r="F1232" s="155"/>
      <c r="G1232" s="155"/>
      <c r="H1232" s="155"/>
      <c r="I1232" s="155"/>
      <c r="J1232" s="155"/>
      <c r="K1232" s="155"/>
      <c r="L1232" s="155"/>
      <c r="M1232" s="155"/>
      <c r="N1232" s="155"/>
      <c r="O1232" s="155"/>
      <c r="P1232" s="155"/>
      <c r="Q1232" s="155"/>
      <c r="R1232" s="155"/>
      <c r="S1232" s="155"/>
      <c r="T1232" s="155"/>
      <c r="U1232" s="155"/>
      <c r="V1232" s="155"/>
      <c r="W1232" s="155"/>
      <c r="GL1232" s="155"/>
      <c r="GM1232" s="155"/>
      <c r="GN1232" s="155"/>
      <c r="GO1232" s="155"/>
      <c r="GP1232" s="155"/>
      <c r="GQ1232" s="155"/>
      <c r="GR1232" s="155"/>
      <c r="GS1232" s="155"/>
      <c r="GT1232" s="155"/>
      <c r="GU1232" s="155"/>
      <c r="GV1232" s="155"/>
      <c r="GW1232" s="155"/>
      <c r="GX1232" s="155"/>
      <c r="GY1232" s="155"/>
      <c r="GZ1232" s="155"/>
      <c r="HA1232" s="155"/>
      <c r="HB1232" s="155"/>
      <c r="HC1232" s="155"/>
      <c r="HD1232" s="155"/>
      <c r="HE1232" s="155"/>
    </row>
    <row r="1233" spans="2:213" s="156" customFormat="1" hidden="1">
      <c r="B1233" s="155"/>
      <c r="C1233" s="155"/>
      <c r="D1233" s="155"/>
      <c r="E1233" s="155"/>
      <c r="F1233" s="155"/>
      <c r="G1233" s="155"/>
      <c r="H1233" s="155"/>
      <c r="I1233" s="155"/>
      <c r="J1233" s="155"/>
      <c r="K1233" s="155"/>
      <c r="L1233" s="155"/>
      <c r="M1233" s="155"/>
      <c r="N1233" s="155"/>
      <c r="O1233" s="155"/>
      <c r="P1233" s="155"/>
      <c r="Q1233" s="155"/>
      <c r="R1233" s="155"/>
      <c r="S1233" s="155"/>
      <c r="T1233" s="155"/>
      <c r="U1233" s="155"/>
      <c r="V1233" s="155"/>
      <c r="W1233" s="155"/>
      <c r="GL1233" s="155"/>
      <c r="GM1233" s="155"/>
      <c r="GN1233" s="155"/>
      <c r="GO1233" s="155"/>
      <c r="GP1233" s="155"/>
      <c r="GQ1233" s="155"/>
      <c r="GR1233" s="155"/>
      <c r="GS1233" s="155"/>
      <c r="GT1233" s="155"/>
      <c r="GU1233" s="155"/>
      <c r="GV1233" s="155"/>
      <c r="GW1233" s="155"/>
      <c r="GX1233" s="155"/>
      <c r="GY1233" s="155"/>
      <c r="GZ1233" s="155"/>
      <c r="HA1233" s="155"/>
      <c r="HB1233" s="155"/>
      <c r="HC1233" s="155"/>
      <c r="HD1233" s="155"/>
      <c r="HE1233" s="155"/>
    </row>
    <row r="1234" spans="2:213" s="156" customFormat="1" hidden="1">
      <c r="B1234" s="155"/>
      <c r="C1234" s="155"/>
      <c r="D1234" s="155"/>
      <c r="E1234" s="155"/>
      <c r="F1234" s="155"/>
      <c r="G1234" s="155"/>
      <c r="H1234" s="155"/>
      <c r="I1234" s="155"/>
      <c r="J1234" s="155"/>
      <c r="K1234" s="155"/>
      <c r="L1234" s="155"/>
      <c r="M1234" s="155"/>
      <c r="N1234" s="155"/>
      <c r="O1234" s="155"/>
      <c r="P1234" s="155"/>
      <c r="Q1234" s="155"/>
      <c r="R1234" s="155"/>
      <c r="S1234" s="155"/>
      <c r="T1234" s="155"/>
      <c r="U1234" s="155"/>
      <c r="V1234" s="155"/>
      <c r="W1234" s="155"/>
      <c r="GL1234" s="155"/>
      <c r="GM1234" s="155"/>
      <c r="GN1234" s="155"/>
      <c r="GO1234" s="155"/>
      <c r="GP1234" s="155"/>
      <c r="GQ1234" s="155"/>
      <c r="GR1234" s="155"/>
      <c r="GS1234" s="155"/>
      <c r="GT1234" s="155"/>
      <c r="GU1234" s="155"/>
      <c r="GV1234" s="155"/>
      <c r="GW1234" s="155"/>
      <c r="GX1234" s="155"/>
      <c r="GY1234" s="155"/>
      <c r="GZ1234" s="155"/>
      <c r="HA1234" s="155"/>
      <c r="HB1234" s="155"/>
      <c r="HC1234" s="155"/>
      <c r="HD1234" s="155"/>
      <c r="HE1234" s="155"/>
    </row>
    <row r="1235" spans="2:213" s="156" customFormat="1" hidden="1">
      <c r="B1235" s="155"/>
      <c r="C1235" s="155"/>
      <c r="D1235" s="155"/>
      <c r="E1235" s="155"/>
      <c r="F1235" s="155"/>
      <c r="G1235" s="155"/>
      <c r="H1235" s="155"/>
      <c r="I1235" s="155"/>
      <c r="J1235" s="155"/>
      <c r="K1235" s="155"/>
      <c r="L1235" s="155"/>
      <c r="M1235" s="155"/>
      <c r="N1235" s="155"/>
      <c r="O1235" s="155"/>
      <c r="P1235" s="155"/>
      <c r="Q1235" s="155"/>
      <c r="R1235" s="155"/>
      <c r="S1235" s="155"/>
      <c r="T1235" s="155"/>
      <c r="U1235" s="155"/>
      <c r="V1235" s="155"/>
      <c r="W1235" s="155"/>
      <c r="GL1235" s="155"/>
      <c r="GM1235" s="155"/>
      <c r="GN1235" s="155"/>
      <c r="GO1235" s="155"/>
      <c r="GP1235" s="155"/>
      <c r="GQ1235" s="155"/>
      <c r="GR1235" s="155"/>
      <c r="GS1235" s="155"/>
      <c r="GT1235" s="155"/>
      <c r="GU1235" s="155"/>
      <c r="GV1235" s="155"/>
      <c r="GW1235" s="155"/>
      <c r="GX1235" s="155"/>
      <c r="GY1235" s="155"/>
      <c r="GZ1235" s="155"/>
      <c r="HA1235" s="155"/>
      <c r="HB1235" s="155"/>
      <c r="HC1235" s="155"/>
      <c r="HD1235" s="155"/>
      <c r="HE1235" s="155"/>
    </row>
    <row r="1236" spans="2:213" s="156" customFormat="1" hidden="1">
      <c r="B1236" s="155"/>
      <c r="C1236" s="155"/>
      <c r="D1236" s="155"/>
      <c r="E1236" s="155"/>
      <c r="F1236" s="155"/>
      <c r="G1236" s="155"/>
      <c r="H1236" s="155"/>
      <c r="I1236" s="155"/>
      <c r="J1236" s="155"/>
      <c r="K1236" s="155"/>
      <c r="L1236" s="155"/>
      <c r="M1236" s="155"/>
      <c r="N1236" s="155"/>
      <c r="O1236" s="155"/>
      <c r="P1236" s="155"/>
      <c r="Q1236" s="155"/>
      <c r="R1236" s="155"/>
      <c r="S1236" s="155"/>
      <c r="T1236" s="155"/>
      <c r="U1236" s="155"/>
      <c r="V1236" s="155"/>
      <c r="W1236" s="155"/>
      <c r="GL1236" s="155"/>
      <c r="GM1236" s="155"/>
      <c r="GN1236" s="155"/>
      <c r="GO1236" s="155"/>
      <c r="GP1236" s="155"/>
      <c r="GQ1236" s="155"/>
      <c r="GR1236" s="155"/>
      <c r="GS1236" s="155"/>
      <c r="GT1236" s="155"/>
      <c r="GU1236" s="155"/>
      <c r="GV1236" s="155"/>
      <c r="GW1236" s="155"/>
      <c r="GX1236" s="155"/>
      <c r="GY1236" s="155"/>
      <c r="GZ1236" s="155"/>
      <c r="HA1236" s="155"/>
      <c r="HB1236" s="155"/>
      <c r="HC1236" s="155"/>
      <c r="HD1236" s="155"/>
      <c r="HE1236" s="155"/>
    </row>
    <row r="1237" spans="2:213" s="156" customFormat="1" hidden="1">
      <c r="B1237" s="155"/>
      <c r="C1237" s="155"/>
      <c r="D1237" s="155"/>
      <c r="E1237" s="155"/>
      <c r="F1237" s="155"/>
      <c r="G1237" s="155"/>
      <c r="H1237" s="155"/>
      <c r="I1237" s="155"/>
      <c r="J1237" s="155"/>
      <c r="K1237" s="155"/>
      <c r="L1237" s="155"/>
      <c r="M1237" s="155"/>
      <c r="N1237" s="155"/>
      <c r="O1237" s="155"/>
      <c r="P1237" s="155"/>
      <c r="Q1237" s="155"/>
      <c r="R1237" s="155"/>
      <c r="S1237" s="155"/>
      <c r="T1237" s="155"/>
      <c r="U1237" s="155"/>
      <c r="V1237" s="155"/>
      <c r="W1237" s="155"/>
      <c r="GL1237" s="155"/>
      <c r="GM1237" s="155"/>
      <c r="GN1237" s="155"/>
      <c r="GO1237" s="155"/>
      <c r="GP1237" s="155"/>
      <c r="GQ1237" s="155"/>
      <c r="GR1237" s="155"/>
      <c r="GS1237" s="155"/>
      <c r="GT1237" s="155"/>
      <c r="GU1237" s="155"/>
      <c r="GV1237" s="155"/>
      <c r="GW1237" s="155"/>
      <c r="GX1237" s="155"/>
      <c r="GY1237" s="155"/>
      <c r="GZ1237" s="155"/>
      <c r="HA1237" s="155"/>
      <c r="HB1237" s="155"/>
      <c r="HC1237" s="155"/>
      <c r="HD1237" s="155"/>
      <c r="HE1237" s="155"/>
    </row>
    <row r="1238" spans="2:213" s="156" customFormat="1" hidden="1">
      <c r="B1238" s="155"/>
      <c r="C1238" s="155"/>
      <c r="D1238" s="155"/>
      <c r="E1238" s="155"/>
      <c r="F1238" s="155"/>
      <c r="G1238" s="155"/>
      <c r="H1238" s="155"/>
      <c r="I1238" s="155"/>
      <c r="J1238" s="155"/>
      <c r="K1238" s="155"/>
      <c r="L1238" s="155"/>
      <c r="M1238" s="155"/>
      <c r="N1238" s="155"/>
      <c r="O1238" s="155"/>
      <c r="P1238" s="155"/>
      <c r="Q1238" s="155"/>
      <c r="R1238" s="155"/>
      <c r="S1238" s="155"/>
      <c r="T1238" s="155"/>
      <c r="U1238" s="155"/>
      <c r="V1238" s="155"/>
      <c r="W1238" s="155"/>
      <c r="GL1238" s="155"/>
      <c r="GM1238" s="155"/>
      <c r="GN1238" s="155"/>
      <c r="GO1238" s="155"/>
      <c r="GP1238" s="155"/>
      <c r="GQ1238" s="155"/>
      <c r="GR1238" s="155"/>
      <c r="GS1238" s="155"/>
      <c r="GT1238" s="155"/>
      <c r="GU1238" s="155"/>
      <c r="GV1238" s="155"/>
      <c r="GW1238" s="155"/>
      <c r="GX1238" s="155"/>
      <c r="GY1238" s="155"/>
      <c r="GZ1238" s="155"/>
      <c r="HA1238" s="155"/>
      <c r="HB1238" s="155"/>
      <c r="HC1238" s="155"/>
      <c r="HD1238" s="155"/>
      <c r="HE1238" s="155"/>
    </row>
    <row r="1239" spans="2:213" s="156" customFormat="1" hidden="1">
      <c r="B1239" s="155"/>
      <c r="C1239" s="155"/>
      <c r="D1239" s="155"/>
      <c r="E1239" s="155"/>
      <c r="F1239" s="155"/>
      <c r="G1239" s="155"/>
      <c r="H1239" s="155"/>
      <c r="I1239" s="155"/>
      <c r="J1239" s="155"/>
      <c r="K1239" s="155"/>
      <c r="L1239" s="155"/>
      <c r="M1239" s="155"/>
      <c r="N1239" s="155"/>
      <c r="O1239" s="155"/>
      <c r="P1239" s="155"/>
      <c r="Q1239" s="155"/>
      <c r="R1239" s="155"/>
      <c r="S1239" s="155"/>
      <c r="T1239" s="155"/>
      <c r="U1239" s="155"/>
      <c r="V1239" s="155"/>
      <c r="W1239" s="155"/>
      <c r="GL1239" s="155"/>
      <c r="GM1239" s="155"/>
      <c r="GN1239" s="155"/>
      <c r="GO1239" s="155"/>
      <c r="GP1239" s="155"/>
      <c r="GQ1239" s="155"/>
      <c r="GR1239" s="155"/>
      <c r="GS1239" s="155"/>
      <c r="GT1239" s="155"/>
      <c r="GU1239" s="155"/>
      <c r="GV1239" s="155"/>
      <c r="GW1239" s="155"/>
      <c r="GX1239" s="155"/>
      <c r="GY1239" s="155"/>
      <c r="GZ1239" s="155"/>
      <c r="HA1239" s="155"/>
      <c r="HB1239" s="155"/>
      <c r="HC1239" s="155"/>
      <c r="HD1239" s="155"/>
      <c r="HE1239" s="155"/>
    </row>
    <row r="1240" spans="2:213" s="156" customFormat="1" hidden="1">
      <c r="B1240" s="155"/>
      <c r="C1240" s="155"/>
      <c r="D1240" s="155"/>
      <c r="E1240" s="155"/>
      <c r="F1240" s="155"/>
      <c r="G1240" s="155"/>
      <c r="H1240" s="155"/>
      <c r="I1240" s="155"/>
      <c r="J1240" s="155"/>
      <c r="K1240" s="155"/>
      <c r="L1240" s="155"/>
      <c r="M1240" s="155"/>
      <c r="N1240" s="155"/>
      <c r="O1240" s="155"/>
      <c r="P1240" s="155"/>
      <c r="Q1240" s="155"/>
      <c r="R1240" s="155"/>
      <c r="S1240" s="155"/>
      <c r="T1240" s="155"/>
      <c r="U1240" s="155"/>
      <c r="V1240" s="155"/>
      <c r="W1240" s="155"/>
      <c r="GL1240" s="155"/>
      <c r="GM1240" s="155"/>
      <c r="GN1240" s="155"/>
      <c r="GO1240" s="155"/>
      <c r="GP1240" s="155"/>
      <c r="GQ1240" s="155"/>
      <c r="GR1240" s="155"/>
      <c r="GS1240" s="155"/>
      <c r="GT1240" s="155"/>
      <c r="GU1240" s="155"/>
      <c r="GV1240" s="155"/>
      <c r="GW1240" s="155"/>
      <c r="GX1240" s="155"/>
      <c r="GY1240" s="155"/>
      <c r="GZ1240" s="155"/>
      <c r="HA1240" s="155"/>
      <c r="HB1240" s="155"/>
      <c r="HC1240" s="155"/>
      <c r="HD1240" s="155"/>
      <c r="HE1240" s="155"/>
    </row>
    <row r="1241" spans="2:213" s="156" customFormat="1" hidden="1">
      <c r="B1241" s="155"/>
      <c r="C1241" s="155"/>
      <c r="D1241" s="155"/>
      <c r="E1241" s="155"/>
      <c r="F1241" s="155"/>
      <c r="G1241" s="155"/>
      <c r="H1241" s="155"/>
      <c r="I1241" s="155"/>
      <c r="J1241" s="155"/>
      <c r="K1241" s="155"/>
      <c r="L1241" s="155"/>
      <c r="M1241" s="155"/>
      <c r="N1241" s="155"/>
      <c r="O1241" s="155"/>
      <c r="P1241" s="155"/>
      <c r="Q1241" s="155"/>
      <c r="R1241" s="155"/>
      <c r="S1241" s="155"/>
      <c r="T1241" s="155"/>
      <c r="U1241" s="155"/>
      <c r="V1241" s="155"/>
      <c r="W1241" s="155"/>
      <c r="GL1241" s="155"/>
      <c r="GM1241" s="155"/>
      <c r="GN1241" s="155"/>
      <c r="GO1241" s="155"/>
      <c r="GP1241" s="155"/>
      <c r="GQ1241" s="155"/>
      <c r="GR1241" s="155"/>
      <c r="GS1241" s="155"/>
      <c r="GT1241" s="155"/>
      <c r="GU1241" s="155"/>
      <c r="GV1241" s="155"/>
      <c r="GW1241" s="155"/>
      <c r="GX1241" s="155"/>
      <c r="GY1241" s="155"/>
      <c r="GZ1241" s="155"/>
      <c r="HA1241" s="155"/>
      <c r="HB1241" s="155"/>
      <c r="HC1241" s="155"/>
      <c r="HD1241" s="155"/>
      <c r="HE1241" s="155"/>
    </row>
    <row r="1242" spans="2:213" s="156" customFormat="1" hidden="1">
      <c r="B1242" s="155"/>
      <c r="C1242" s="155"/>
      <c r="D1242" s="155"/>
      <c r="E1242" s="155"/>
      <c r="F1242" s="155"/>
      <c r="G1242" s="155"/>
      <c r="H1242" s="155"/>
      <c r="I1242" s="155"/>
      <c r="J1242" s="155"/>
      <c r="K1242" s="155"/>
      <c r="L1242" s="155"/>
      <c r="M1242" s="155"/>
      <c r="N1242" s="155"/>
      <c r="O1242" s="155"/>
      <c r="P1242" s="155"/>
      <c r="Q1242" s="155"/>
      <c r="R1242" s="155"/>
      <c r="S1242" s="155"/>
      <c r="T1242" s="155"/>
      <c r="U1242" s="155"/>
      <c r="V1242" s="155"/>
      <c r="W1242" s="155"/>
      <c r="GL1242" s="155"/>
      <c r="GM1242" s="155"/>
      <c r="GN1242" s="155"/>
      <c r="GO1242" s="155"/>
      <c r="GP1242" s="155"/>
      <c r="GQ1242" s="155"/>
      <c r="GR1242" s="155"/>
      <c r="GS1242" s="155"/>
      <c r="GT1242" s="155"/>
      <c r="GU1242" s="155"/>
      <c r="GV1242" s="155"/>
      <c r="GW1242" s="155"/>
      <c r="GX1242" s="155"/>
      <c r="GY1242" s="155"/>
      <c r="GZ1242" s="155"/>
      <c r="HA1242" s="155"/>
      <c r="HB1242" s="155"/>
      <c r="HC1242" s="155"/>
      <c r="HD1242" s="155"/>
      <c r="HE1242" s="155"/>
    </row>
    <row r="1243" spans="2:213" s="156" customFormat="1" hidden="1">
      <c r="B1243" s="155"/>
      <c r="C1243" s="155"/>
      <c r="D1243" s="155"/>
      <c r="E1243" s="155"/>
      <c r="F1243" s="155"/>
      <c r="G1243" s="155"/>
      <c r="H1243" s="155"/>
      <c r="I1243" s="155"/>
      <c r="J1243" s="155"/>
      <c r="K1243" s="155"/>
      <c r="L1243" s="155"/>
      <c r="M1243" s="155"/>
      <c r="N1243" s="155"/>
      <c r="O1243" s="155"/>
      <c r="P1243" s="155"/>
      <c r="Q1243" s="155"/>
      <c r="R1243" s="155"/>
      <c r="S1243" s="155"/>
      <c r="T1243" s="155"/>
      <c r="U1243" s="155"/>
      <c r="V1243" s="155"/>
      <c r="W1243" s="155"/>
      <c r="GL1243" s="155"/>
      <c r="GM1243" s="155"/>
      <c r="GN1243" s="155"/>
      <c r="GO1243" s="155"/>
      <c r="GP1243" s="155"/>
      <c r="GQ1243" s="155"/>
      <c r="GR1243" s="155"/>
      <c r="GS1243" s="155"/>
      <c r="GT1243" s="155"/>
      <c r="GU1243" s="155"/>
      <c r="GV1243" s="155"/>
      <c r="GW1243" s="155"/>
      <c r="GX1243" s="155"/>
      <c r="GY1243" s="155"/>
      <c r="GZ1243" s="155"/>
      <c r="HA1243" s="155"/>
      <c r="HB1243" s="155"/>
      <c r="HC1243" s="155"/>
      <c r="HD1243" s="155"/>
      <c r="HE1243" s="155"/>
    </row>
    <row r="1244" spans="2:213" s="156" customFormat="1" hidden="1">
      <c r="B1244" s="155"/>
      <c r="C1244" s="155"/>
      <c r="D1244" s="155"/>
      <c r="E1244" s="155"/>
      <c r="F1244" s="155"/>
      <c r="G1244" s="155"/>
      <c r="H1244" s="155"/>
      <c r="I1244" s="155"/>
      <c r="J1244" s="155"/>
      <c r="K1244" s="155"/>
      <c r="L1244" s="155"/>
      <c r="M1244" s="155"/>
      <c r="N1244" s="155"/>
      <c r="O1244" s="155"/>
      <c r="P1244" s="155"/>
      <c r="Q1244" s="155"/>
      <c r="R1244" s="155"/>
      <c r="S1244" s="155"/>
      <c r="T1244" s="155"/>
      <c r="U1244" s="155"/>
      <c r="V1244" s="155"/>
      <c r="W1244" s="155"/>
      <c r="GL1244" s="155"/>
      <c r="GM1244" s="155"/>
      <c r="GN1244" s="155"/>
      <c r="GO1244" s="155"/>
      <c r="GP1244" s="155"/>
      <c r="GQ1244" s="155"/>
      <c r="GR1244" s="155"/>
      <c r="GS1244" s="155"/>
      <c r="GT1244" s="155"/>
      <c r="GU1244" s="155"/>
      <c r="GV1244" s="155"/>
      <c r="GW1244" s="155"/>
      <c r="GX1244" s="155"/>
      <c r="GY1244" s="155"/>
      <c r="GZ1244" s="155"/>
      <c r="HA1244" s="155"/>
      <c r="HB1244" s="155"/>
      <c r="HC1244" s="155"/>
      <c r="HD1244" s="155"/>
      <c r="HE1244" s="155"/>
    </row>
    <row r="1245" spans="2:213" s="156" customFormat="1" hidden="1">
      <c r="B1245" s="155"/>
      <c r="C1245" s="155"/>
      <c r="D1245" s="155"/>
      <c r="E1245" s="155"/>
      <c r="F1245" s="155"/>
      <c r="G1245" s="155"/>
      <c r="H1245" s="155"/>
      <c r="I1245" s="155"/>
      <c r="J1245" s="155"/>
      <c r="K1245" s="155"/>
      <c r="L1245" s="155"/>
      <c r="M1245" s="155"/>
      <c r="N1245" s="155"/>
      <c r="O1245" s="155"/>
      <c r="P1245" s="155"/>
      <c r="Q1245" s="155"/>
      <c r="R1245" s="155"/>
      <c r="S1245" s="155"/>
      <c r="T1245" s="155"/>
      <c r="U1245" s="155"/>
      <c r="V1245" s="155"/>
      <c r="W1245" s="155"/>
      <c r="GL1245" s="155"/>
      <c r="GM1245" s="155"/>
      <c r="GN1245" s="155"/>
      <c r="GO1245" s="155"/>
      <c r="GP1245" s="155"/>
      <c r="GQ1245" s="155"/>
      <c r="GR1245" s="155"/>
      <c r="GS1245" s="155"/>
      <c r="GT1245" s="155"/>
      <c r="GU1245" s="155"/>
      <c r="GV1245" s="155"/>
      <c r="GW1245" s="155"/>
      <c r="GX1245" s="155"/>
      <c r="GY1245" s="155"/>
      <c r="GZ1245" s="155"/>
      <c r="HA1245" s="155"/>
      <c r="HB1245" s="155"/>
      <c r="HC1245" s="155"/>
      <c r="HD1245" s="155"/>
      <c r="HE1245" s="155"/>
    </row>
    <row r="1246" spans="2:213" s="156" customFormat="1" hidden="1">
      <c r="B1246" s="155"/>
      <c r="C1246" s="155"/>
      <c r="D1246" s="155"/>
      <c r="E1246" s="155"/>
      <c r="F1246" s="155"/>
      <c r="G1246" s="155"/>
      <c r="H1246" s="155"/>
      <c r="I1246" s="155"/>
      <c r="J1246" s="155"/>
      <c r="K1246" s="155"/>
      <c r="L1246" s="155"/>
      <c r="M1246" s="155"/>
      <c r="N1246" s="155"/>
      <c r="O1246" s="155"/>
      <c r="P1246" s="155"/>
      <c r="Q1246" s="155"/>
      <c r="R1246" s="155"/>
      <c r="S1246" s="155"/>
      <c r="T1246" s="155"/>
      <c r="U1246" s="155"/>
      <c r="V1246" s="155"/>
      <c r="W1246" s="155"/>
      <c r="GL1246" s="155"/>
      <c r="GM1246" s="155"/>
      <c r="GN1246" s="155"/>
      <c r="GO1246" s="155"/>
      <c r="GP1246" s="155"/>
      <c r="GQ1246" s="155"/>
      <c r="GR1246" s="155"/>
      <c r="GS1246" s="155"/>
      <c r="GT1246" s="155"/>
      <c r="GU1246" s="155"/>
      <c r="GV1246" s="155"/>
      <c r="GW1246" s="155"/>
      <c r="GX1246" s="155"/>
      <c r="GY1246" s="155"/>
      <c r="GZ1246" s="155"/>
      <c r="HA1246" s="155"/>
      <c r="HB1246" s="155"/>
      <c r="HC1246" s="155"/>
      <c r="HD1246" s="155"/>
      <c r="HE1246" s="155"/>
    </row>
    <row r="1247" spans="2:213" s="156" customFormat="1" hidden="1">
      <c r="B1247" s="155"/>
      <c r="C1247" s="155"/>
      <c r="D1247" s="155"/>
      <c r="E1247" s="155"/>
      <c r="F1247" s="155"/>
      <c r="G1247" s="155"/>
      <c r="H1247" s="155"/>
      <c r="I1247" s="155"/>
      <c r="J1247" s="155"/>
      <c r="K1247" s="155"/>
      <c r="L1247" s="155"/>
      <c r="M1247" s="155"/>
      <c r="N1247" s="155"/>
      <c r="O1247" s="155"/>
      <c r="P1247" s="155"/>
      <c r="Q1247" s="155"/>
      <c r="R1247" s="155"/>
      <c r="S1247" s="155"/>
      <c r="T1247" s="155"/>
      <c r="U1247" s="155"/>
      <c r="V1247" s="155"/>
      <c r="W1247" s="155"/>
      <c r="GL1247" s="155"/>
      <c r="GM1247" s="155"/>
      <c r="GN1247" s="155"/>
      <c r="GO1247" s="155"/>
      <c r="GP1247" s="155"/>
      <c r="GQ1247" s="155"/>
      <c r="GR1247" s="155"/>
      <c r="GS1247" s="155"/>
      <c r="GT1247" s="155"/>
      <c r="GU1247" s="155"/>
      <c r="GV1247" s="155"/>
      <c r="GW1247" s="155"/>
      <c r="GX1247" s="155"/>
      <c r="GY1247" s="155"/>
      <c r="GZ1247" s="155"/>
      <c r="HA1247" s="155"/>
      <c r="HB1247" s="155"/>
      <c r="HC1247" s="155"/>
      <c r="HD1247" s="155"/>
      <c r="HE1247" s="155"/>
    </row>
    <row r="1248" spans="2:213" s="156" customFormat="1" hidden="1">
      <c r="B1248" s="155"/>
      <c r="C1248" s="155"/>
      <c r="D1248" s="155"/>
      <c r="E1248" s="155"/>
      <c r="F1248" s="155"/>
      <c r="G1248" s="155"/>
      <c r="H1248" s="155"/>
      <c r="I1248" s="155"/>
      <c r="J1248" s="155"/>
      <c r="K1248" s="155"/>
      <c r="L1248" s="155"/>
      <c r="M1248" s="155"/>
      <c r="N1248" s="155"/>
      <c r="O1248" s="155"/>
      <c r="P1248" s="155"/>
      <c r="Q1248" s="155"/>
      <c r="R1248" s="155"/>
      <c r="S1248" s="155"/>
      <c r="T1248" s="155"/>
      <c r="U1248" s="155"/>
      <c r="V1248" s="155"/>
      <c r="W1248" s="155"/>
      <c r="GL1248" s="155"/>
      <c r="GM1248" s="155"/>
      <c r="GN1248" s="155"/>
      <c r="GO1248" s="155"/>
      <c r="GP1248" s="155"/>
      <c r="GQ1248" s="155"/>
      <c r="GR1248" s="155"/>
      <c r="GS1248" s="155"/>
      <c r="GT1248" s="155"/>
      <c r="GU1248" s="155"/>
      <c r="GV1248" s="155"/>
      <c r="GW1248" s="155"/>
      <c r="GX1248" s="155"/>
      <c r="GY1248" s="155"/>
      <c r="GZ1248" s="155"/>
      <c r="HA1248" s="155"/>
      <c r="HB1248" s="155"/>
      <c r="HC1248" s="155"/>
      <c r="HD1248" s="155"/>
      <c r="HE1248" s="155"/>
    </row>
    <row r="1249" spans="2:213" s="156" customFormat="1" hidden="1">
      <c r="B1249" s="155"/>
      <c r="C1249" s="155"/>
      <c r="D1249" s="155"/>
      <c r="E1249" s="155"/>
      <c r="F1249" s="155"/>
      <c r="G1249" s="155"/>
      <c r="H1249" s="155"/>
      <c r="I1249" s="155"/>
      <c r="J1249" s="155"/>
      <c r="K1249" s="155"/>
      <c r="L1249" s="155"/>
      <c r="M1249" s="155"/>
      <c r="N1249" s="155"/>
      <c r="O1249" s="155"/>
      <c r="P1249" s="155"/>
      <c r="Q1249" s="155"/>
      <c r="R1249" s="155"/>
      <c r="S1249" s="155"/>
      <c r="T1249" s="155"/>
      <c r="U1249" s="155"/>
      <c r="V1249" s="155"/>
      <c r="W1249" s="155"/>
      <c r="GL1249" s="155"/>
      <c r="GM1249" s="155"/>
      <c r="GN1249" s="155"/>
      <c r="GO1249" s="155"/>
      <c r="GP1249" s="155"/>
      <c r="GQ1249" s="155"/>
      <c r="GR1249" s="155"/>
      <c r="GS1249" s="155"/>
      <c r="GT1249" s="155"/>
      <c r="GU1249" s="155"/>
      <c r="GV1249" s="155"/>
      <c r="GW1249" s="155"/>
      <c r="GX1249" s="155"/>
      <c r="GY1249" s="155"/>
      <c r="GZ1249" s="155"/>
      <c r="HA1249" s="155"/>
      <c r="HB1249" s="155"/>
      <c r="HC1249" s="155"/>
      <c r="HD1249" s="155"/>
      <c r="HE1249" s="155"/>
    </row>
    <row r="1250" spans="2:213" s="156" customFormat="1" hidden="1">
      <c r="B1250" s="155"/>
      <c r="C1250" s="155"/>
      <c r="D1250" s="155"/>
      <c r="E1250" s="155"/>
      <c r="F1250" s="155"/>
      <c r="G1250" s="155"/>
      <c r="H1250" s="155"/>
      <c r="I1250" s="155"/>
      <c r="J1250" s="155"/>
      <c r="K1250" s="155"/>
      <c r="L1250" s="155"/>
      <c r="M1250" s="155"/>
      <c r="N1250" s="155"/>
      <c r="O1250" s="155"/>
      <c r="P1250" s="155"/>
      <c r="Q1250" s="155"/>
      <c r="R1250" s="155"/>
      <c r="S1250" s="155"/>
      <c r="T1250" s="155"/>
      <c r="U1250" s="155"/>
      <c r="V1250" s="155"/>
      <c r="W1250" s="155"/>
      <c r="GL1250" s="155"/>
      <c r="GM1250" s="155"/>
      <c r="GN1250" s="155"/>
      <c r="GO1250" s="155"/>
      <c r="GP1250" s="155"/>
      <c r="GQ1250" s="155"/>
      <c r="GR1250" s="155"/>
      <c r="GS1250" s="155"/>
      <c r="GT1250" s="155"/>
      <c r="GU1250" s="155"/>
      <c r="GV1250" s="155"/>
      <c r="GW1250" s="155"/>
      <c r="GX1250" s="155"/>
      <c r="GY1250" s="155"/>
      <c r="GZ1250" s="155"/>
      <c r="HA1250" s="155"/>
      <c r="HB1250" s="155"/>
      <c r="HC1250" s="155"/>
      <c r="HD1250" s="155"/>
      <c r="HE1250" s="155"/>
    </row>
    <row r="1251" spans="2:213" s="156" customFormat="1" hidden="1">
      <c r="B1251" s="155"/>
      <c r="C1251" s="155"/>
      <c r="D1251" s="155"/>
      <c r="E1251" s="155"/>
      <c r="F1251" s="155"/>
      <c r="G1251" s="155"/>
      <c r="H1251" s="155"/>
      <c r="I1251" s="155"/>
      <c r="J1251" s="155"/>
      <c r="K1251" s="155"/>
      <c r="L1251" s="155"/>
      <c r="M1251" s="155"/>
      <c r="N1251" s="155"/>
      <c r="O1251" s="155"/>
      <c r="P1251" s="155"/>
      <c r="Q1251" s="155"/>
      <c r="R1251" s="155"/>
      <c r="S1251" s="155"/>
      <c r="T1251" s="155"/>
      <c r="U1251" s="155"/>
      <c r="V1251" s="155"/>
      <c r="W1251" s="155"/>
      <c r="GL1251" s="155"/>
      <c r="GM1251" s="155"/>
      <c r="GN1251" s="155"/>
      <c r="GO1251" s="155"/>
      <c r="GP1251" s="155"/>
      <c r="GQ1251" s="155"/>
      <c r="GR1251" s="155"/>
      <c r="GS1251" s="155"/>
      <c r="GT1251" s="155"/>
      <c r="GU1251" s="155"/>
      <c r="GV1251" s="155"/>
      <c r="GW1251" s="155"/>
      <c r="GX1251" s="155"/>
      <c r="GY1251" s="155"/>
      <c r="GZ1251" s="155"/>
      <c r="HA1251" s="155"/>
      <c r="HB1251" s="155"/>
      <c r="HC1251" s="155"/>
      <c r="HD1251" s="155"/>
      <c r="HE1251" s="155"/>
    </row>
    <row r="1252" spans="2:213" s="156" customFormat="1" hidden="1">
      <c r="B1252" s="155"/>
      <c r="C1252" s="155"/>
      <c r="D1252" s="155"/>
      <c r="E1252" s="155"/>
      <c r="F1252" s="155"/>
      <c r="G1252" s="155"/>
      <c r="H1252" s="155"/>
      <c r="I1252" s="155"/>
      <c r="J1252" s="155"/>
      <c r="K1252" s="155"/>
      <c r="L1252" s="155"/>
      <c r="M1252" s="155"/>
      <c r="N1252" s="155"/>
      <c r="O1252" s="155"/>
      <c r="P1252" s="155"/>
      <c r="Q1252" s="155"/>
      <c r="R1252" s="155"/>
      <c r="S1252" s="155"/>
      <c r="T1252" s="155"/>
      <c r="U1252" s="155"/>
      <c r="V1252" s="155"/>
      <c r="W1252" s="155"/>
      <c r="GL1252" s="155"/>
      <c r="GM1252" s="155"/>
      <c r="GN1252" s="155"/>
      <c r="GO1252" s="155"/>
      <c r="GP1252" s="155"/>
      <c r="GQ1252" s="155"/>
      <c r="GR1252" s="155"/>
      <c r="GS1252" s="155"/>
      <c r="GT1252" s="155"/>
      <c r="GU1252" s="155"/>
      <c r="GV1252" s="155"/>
      <c r="GW1252" s="155"/>
      <c r="GX1252" s="155"/>
      <c r="GY1252" s="155"/>
      <c r="GZ1252" s="155"/>
      <c r="HA1252" s="155"/>
      <c r="HB1252" s="155"/>
      <c r="HC1252" s="155"/>
      <c r="HD1252" s="155"/>
      <c r="HE1252" s="155"/>
    </row>
    <row r="1253" spans="2:213" s="156" customFormat="1" hidden="1">
      <c r="B1253" s="155"/>
      <c r="C1253" s="155"/>
      <c r="D1253" s="155"/>
      <c r="E1253" s="155"/>
      <c r="F1253" s="155"/>
      <c r="G1253" s="155"/>
      <c r="H1253" s="155"/>
      <c r="I1253" s="155"/>
      <c r="J1253" s="155"/>
      <c r="K1253" s="155"/>
      <c r="L1253" s="155"/>
      <c r="M1253" s="155"/>
      <c r="N1253" s="155"/>
      <c r="O1253" s="155"/>
      <c r="P1253" s="155"/>
      <c r="Q1253" s="155"/>
      <c r="R1253" s="155"/>
      <c r="S1253" s="155"/>
      <c r="T1253" s="155"/>
      <c r="U1253" s="155"/>
      <c r="V1253" s="155"/>
      <c r="W1253" s="155"/>
      <c r="GL1253" s="155"/>
      <c r="GM1253" s="155"/>
      <c r="GN1253" s="155"/>
      <c r="GO1253" s="155"/>
      <c r="GP1253" s="155"/>
      <c r="GQ1253" s="155"/>
      <c r="GR1253" s="155"/>
      <c r="GS1253" s="155"/>
      <c r="GT1253" s="155"/>
      <c r="GU1253" s="155"/>
      <c r="GV1253" s="155"/>
      <c r="GW1253" s="155"/>
      <c r="GX1253" s="155"/>
      <c r="GY1253" s="155"/>
      <c r="GZ1253" s="155"/>
      <c r="HA1253" s="155"/>
      <c r="HB1253" s="155"/>
      <c r="HC1253" s="155"/>
      <c r="HD1253" s="155"/>
      <c r="HE1253" s="155"/>
    </row>
    <row r="1254" spans="2:213" s="156" customFormat="1" hidden="1">
      <c r="B1254" s="155"/>
      <c r="C1254" s="155"/>
      <c r="D1254" s="155"/>
      <c r="E1254" s="155"/>
      <c r="F1254" s="155"/>
      <c r="G1254" s="155"/>
      <c r="H1254" s="155"/>
      <c r="I1254" s="155"/>
      <c r="J1254" s="155"/>
      <c r="K1254" s="155"/>
      <c r="L1254" s="155"/>
      <c r="M1254" s="155"/>
      <c r="N1254" s="155"/>
      <c r="O1254" s="155"/>
      <c r="P1254" s="155"/>
      <c r="Q1254" s="155"/>
      <c r="R1254" s="155"/>
      <c r="S1254" s="155"/>
      <c r="T1254" s="155"/>
      <c r="U1254" s="155"/>
      <c r="V1254" s="155"/>
      <c r="W1254" s="155"/>
      <c r="GL1254" s="155"/>
      <c r="GM1254" s="155"/>
      <c r="GN1254" s="155"/>
      <c r="GO1254" s="155"/>
      <c r="GP1254" s="155"/>
      <c r="GQ1254" s="155"/>
      <c r="GR1254" s="155"/>
      <c r="GS1254" s="155"/>
      <c r="GT1254" s="155"/>
      <c r="GU1254" s="155"/>
      <c r="GV1254" s="155"/>
      <c r="GW1254" s="155"/>
      <c r="GX1254" s="155"/>
      <c r="GY1254" s="155"/>
      <c r="GZ1254" s="155"/>
      <c r="HA1254" s="155"/>
      <c r="HB1254" s="155"/>
      <c r="HC1254" s="155"/>
      <c r="HD1254" s="155"/>
      <c r="HE1254" s="155"/>
    </row>
    <row r="1255" spans="2:213" s="156" customFormat="1" hidden="1">
      <c r="B1255" s="155"/>
      <c r="C1255" s="155"/>
      <c r="D1255" s="155"/>
      <c r="E1255" s="155"/>
      <c r="F1255" s="155"/>
      <c r="G1255" s="155"/>
      <c r="H1255" s="155"/>
      <c r="I1255" s="155"/>
      <c r="J1255" s="155"/>
      <c r="K1255" s="155"/>
      <c r="L1255" s="155"/>
      <c r="M1255" s="155"/>
      <c r="N1255" s="155"/>
      <c r="O1255" s="155"/>
      <c r="P1255" s="155"/>
      <c r="Q1255" s="155"/>
      <c r="R1255" s="155"/>
      <c r="S1255" s="155"/>
      <c r="T1255" s="155"/>
      <c r="U1255" s="155"/>
      <c r="V1255" s="155"/>
      <c r="W1255" s="155"/>
      <c r="GL1255" s="155"/>
      <c r="GM1255" s="155"/>
      <c r="GN1255" s="155"/>
      <c r="GO1255" s="155"/>
      <c r="GP1255" s="155"/>
      <c r="GQ1255" s="155"/>
      <c r="GR1255" s="155"/>
      <c r="GS1255" s="155"/>
      <c r="GT1255" s="155"/>
      <c r="GU1255" s="155"/>
      <c r="GV1255" s="155"/>
      <c r="GW1255" s="155"/>
      <c r="GX1255" s="155"/>
      <c r="GY1255" s="155"/>
      <c r="GZ1255" s="155"/>
      <c r="HA1255" s="155"/>
      <c r="HB1255" s="155"/>
      <c r="HC1255" s="155"/>
      <c r="HD1255" s="155"/>
      <c r="HE1255" s="155"/>
    </row>
    <row r="1256" spans="2:213" s="156" customFormat="1" hidden="1">
      <c r="B1256" s="155"/>
      <c r="C1256" s="155"/>
      <c r="D1256" s="155"/>
      <c r="E1256" s="155"/>
      <c r="F1256" s="155"/>
      <c r="G1256" s="155"/>
      <c r="H1256" s="155"/>
      <c r="I1256" s="155"/>
      <c r="J1256" s="155"/>
      <c r="K1256" s="155"/>
      <c r="L1256" s="155"/>
      <c r="M1256" s="155"/>
      <c r="N1256" s="155"/>
      <c r="O1256" s="155"/>
      <c r="P1256" s="155"/>
      <c r="Q1256" s="155"/>
      <c r="R1256" s="155"/>
      <c r="S1256" s="155"/>
      <c r="T1256" s="155"/>
      <c r="U1256" s="155"/>
      <c r="V1256" s="155"/>
      <c r="W1256" s="155"/>
      <c r="GL1256" s="155"/>
      <c r="GM1256" s="155"/>
      <c r="GN1256" s="155"/>
      <c r="GO1256" s="155"/>
      <c r="GP1256" s="155"/>
      <c r="GQ1256" s="155"/>
      <c r="GR1256" s="155"/>
      <c r="GS1256" s="155"/>
      <c r="GT1256" s="155"/>
      <c r="GU1256" s="155"/>
      <c r="GV1256" s="155"/>
      <c r="GW1256" s="155"/>
      <c r="GX1256" s="155"/>
      <c r="GY1256" s="155"/>
      <c r="GZ1256" s="155"/>
      <c r="HA1256" s="155"/>
      <c r="HB1256" s="155"/>
      <c r="HC1256" s="155"/>
      <c r="HD1256" s="155"/>
      <c r="HE1256" s="155"/>
    </row>
    <row r="1257" spans="2:213" s="156" customFormat="1" hidden="1">
      <c r="B1257" s="155"/>
      <c r="C1257" s="155"/>
      <c r="D1257" s="155"/>
      <c r="E1257" s="155"/>
      <c r="F1257" s="155"/>
      <c r="G1257" s="155"/>
      <c r="H1257" s="155"/>
      <c r="I1257" s="155"/>
      <c r="J1257" s="155"/>
      <c r="K1257" s="155"/>
      <c r="L1257" s="155"/>
      <c r="M1257" s="155"/>
      <c r="N1257" s="155"/>
      <c r="O1257" s="155"/>
      <c r="P1257" s="155"/>
      <c r="Q1257" s="155"/>
      <c r="R1257" s="155"/>
      <c r="S1257" s="155"/>
      <c r="T1257" s="155"/>
      <c r="U1257" s="155"/>
      <c r="V1257" s="155"/>
      <c r="W1257" s="155"/>
      <c r="GL1257" s="155"/>
      <c r="GM1257" s="155"/>
      <c r="GN1257" s="155"/>
      <c r="GO1257" s="155"/>
      <c r="GP1257" s="155"/>
      <c r="GQ1257" s="155"/>
      <c r="GR1257" s="155"/>
      <c r="GS1257" s="155"/>
      <c r="GT1257" s="155"/>
      <c r="GU1257" s="155"/>
      <c r="GV1257" s="155"/>
      <c r="GW1257" s="155"/>
      <c r="GX1257" s="155"/>
      <c r="GY1257" s="155"/>
      <c r="GZ1257" s="155"/>
      <c r="HA1257" s="155"/>
      <c r="HB1257" s="155"/>
      <c r="HC1257" s="155"/>
      <c r="HD1257" s="155"/>
      <c r="HE1257" s="155"/>
    </row>
    <row r="1258" spans="2:213" s="156" customFormat="1" hidden="1">
      <c r="B1258" s="155"/>
      <c r="C1258" s="155"/>
      <c r="D1258" s="155"/>
      <c r="E1258" s="155"/>
      <c r="F1258" s="155"/>
      <c r="G1258" s="155"/>
      <c r="H1258" s="155"/>
      <c r="I1258" s="155"/>
      <c r="J1258" s="155"/>
      <c r="K1258" s="155"/>
      <c r="L1258" s="155"/>
      <c r="M1258" s="155"/>
      <c r="N1258" s="155"/>
      <c r="O1258" s="155"/>
      <c r="P1258" s="155"/>
      <c r="Q1258" s="155"/>
      <c r="R1258" s="155"/>
      <c r="S1258" s="155"/>
      <c r="T1258" s="155"/>
      <c r="U1258" s="155"/>
      <c r="V1258" s="155"/>
      <c r="W1258" s="155"/>
      <c r="GL1258" s="155"/>
      <c r="GM1258" s="155"/>
      <c r="GN1258" s="155"/>
      <c r="GO1258" s="155"/>
      <c r="GP1258" s="155"/>
      <c r="GQ1258" s="155"/>
      <c r="GR1258" s="155"/>
      <c r="GS1258" s="155"/>
      <c r="GT1258" s="155"/>
      <c r="GU1258" s="155"/>
      <c r="GV1258" s="155"/>
      <c r="GW1258" s="155"/>
      <c r="GX1258" s="155"/>
      <c r="GY1258" s="155"/>
      <c r="GZ1258" s="155"/>
      <c r="HA1258" s="155"/>
      <c r="HB1258" s="155"/>
      <c r="HC1258" s="155"/>
      <c r="HD1258" s="155"/>
      <c r="HE1258" s="155"/>
    </row>
    <row r="1259" spans="2:213" s="156" customFormat="1" hidden="1">
      <c r="B1259" s="155"/>
      <c r="C1259" s="155"/>
      <c r="D1259" s="155"/>
      <c r="E1259" s="155"/>
      <c r="F1259" s="155"/>
      <c r="G1259" s="155"/>
      <c r="H1259" s="155"/>
      <c r="I1259" s="155"/>
      <c r="J1259" s="155"/>
      <c r="K1259" s="155"/>
      <c r="L1259" s="155"/>
      <c r="M1259" s="155"/>
      <c r="N1259" s="155"/>
      <c r="O1259" s="155"/>
      <c r="P1259" s="155"/>
      <c r="Q1259" s="155"/>
      <c r="R1259" s="155"/>
      <c r="S1259" s="155"/>
      <c r="T1259" s="155"/>
      <c r="U1259" s="155"/>
      <c r="V1259" s="155"/>
      <c r="W1259" s="155"/>
      <c r="GL1259" s="155"/>
      <c r="GM1259" s="155"/>
      <c r="GN1259" s="155"/>
      <c r="GO1259" s="155"/>
      <c r="GP1259" s="155"/>
      <c r="GQ1259" s="155"/>
      <c r="GR1259" s="155"/>
      <c r="GS1259" s="155"/>
      <c r="GT1259" s="155"/>
      <c r="GU1259" s="155"/>
      <c r="GV1259" s="155"/>
      <c r="GW1259" s="155"/>
      <c r="GX1259" s="155"/>
      <c r="GY1259" s="155"/>
      <c r="GZ1259" s="155"/>
      <c r="HA1259" s="155"/>
      <c r="HB1259" s="155"/>
      <c r="HC1259" s="155"/>
      <c r="HD1259" s="155"/>
      <c r="HE1259" s="155"/>
    </row>
    <row r="1260" spans="2:213" s="156" customFormat="1" hidden="1">
      <c r="B1260" s="155"/>
      <c r="C1260" s="155"/>
      <c r="D1260" s="155"/>
      <c r="E1260" s="155"/>
      <c r="F1260" s="155"/>
      <c r="G1260" s="155"/>
      <c r="H1260" s="155"/>
      <c r="I1260" s="155"/>
      <c r="J1260" s="155"/>
      <c r="K1260" s="155"/>
      <c r="L1260" s="155"/>
      <c r="M1260" s="155"/>
      <c r="N1260" s="155"/>
      <c r="O1260" s="155"/>
      <c r="P1260" s="155"/>
      <c r="Q1260" s="155"/>
      <c r="R1260" s="155"/>
      <c r="S1260" s="155"/>
      <c r="T1260" s="155"/>
      <c r="U1260" s="155"/>
      <c r="V1260" s="155"/>
      <c r="W1260" s="155"/>
      <c r="GL1260" s="155"/>
      <c r="GM1260" s="155"/>
      <c r="GN1260" s="155"/>
      <c r="GO1260" s="155"/>
      <c r="GP1260" s="155"/>
      <c r="GQ1260" s="155"/>
      <c r="GR1260" s="155"/>
      <c r="GS1260" s="155"/>
      <c r="GT1260" s="155"/>
      <c r="GU1260" s="155"/>
      <c r="GV1260" s="155"/>
      <c r="GW1260" s="155"/>
      <c r="GX1260" s="155"/>
      <c r="GY1260" s="155"/>
      <c r="GZ1260" s="155"/>
      <c r="HA1260" s="155"/>
      <c r="HB1260" s="155"/>
      <c r="HC1260" s="155"/>
      <c r="HD1260" s="155"/>
      <c r="HE1260" s="155"/>
    </row>
    <row r="1261" spans="2:213" s="156" customFormat="1" hidden="1">
      <c r="B1261" s="155"/>
      <c r="C1261" s="155"/>
      <c r="D1261" s="155"/>
      <c r="E1261" s="155"/>
      <c r="F1261" s="155"/>
      <c r="G1261" s="155"/>
      <c r="H1261" s="155"/>
      <c r="I1261" s="155"/>
      <c r="J1261" s="155"/>
      <c r="K1261" s="155"/>
      <c r="L1261" s="155"/>
      <c r="M1261" s="155"/>
      <c r="N1261" s="155"/>
      <c r="O1261" s="155"/>
      <c r="P1261" s="155"/>
      <c r="Q1261" s="155"/>
      <c r="R1261" s="155"/>
      <c r="S1261" s="155"/>
      <c r="T1261" s="155"/>
      <c r="U1261" s="155"/>
      <c r="V1261" s="155"/>
      <c r="W1261" s="155"/>
      <c r="GL1261" s="155"/>
      <c r="GM1261" s="155"/>
      <c r="GN1261" s="155"/>
      <c r="GO1261" s="155"/>
      <c r="GP1261" s="155"/>
      <c r="GQ1261" s="155"/>
      <c r="GR1261" s="155"/>
      <c r="GS1261" s="155"/>
      <c r="GT1261" s="155"/>
      <c r="GU1261" s="155"/>
      <c r="GV1261" s="155"/>
      <c r="GW1261" s="155"/>
      <c r="GX1261" s="155"/>
      <c r="GY1261" s="155"/>
      <c r="GZ1261" s="155"/>
      <c r="HA1261" s="155"/>
      <c r="HB1261" s="155"/>
      <c r="HC1261" s="155"/>
      <c r="HD1261" s="155"/>
      <c r="HE1261" s="155"/>
    </row>
    <row r="1262" spans="2:213" s="156" customFormat="1" hidden="1">
      <c r="B1262" s="155"/>
      <c r="C1262" s="155"/>
      <c r="D1262" s="155"/>
      <c r="E1262" s="155"/>
      <c r="F1262" s="155"/>
      <c r="G1262" s="155"/>
      <c r="H1262" s="155"/>
      <c r="I1262" s="155"/>
      <c r="J1262" s="155"/>
      <c r="K1262" s="155"/>
      <c r="L1262" s="155"/>
      <c r="M1262" s="155"/>
      <c r="N1262" s="155"/>
      <c r="O1262" s="155"/>
      <c r="P1262" s="155"/>
      <c r="Q1262" s="155"/>
      <c r="R1262" s="155"/>
      <c r="S1262" s="155"/>
      <c r="T1262" s="155"/>
      <c r="U1262" s="155"/>
      <c r="V1262" s="155"/>
      <c r="W1262" s="155"/>
      <c r="GL1262" s="155"/>
      <c r="GM1262" s="155"/>
      <c r="GN1262" s="155"/>
      <c r="GO1262" s="155"/>
      <c r="GP1262" s="155"/>
      <c r="GQ1262" s="155"/>
      <c r="GR1262" s="155"/>
      <c r="GS1262" s="155"/>
      <c r="GT1262" s="155"/>
      <c r="GU1262" s="155"/>
      <c r="GV1262" s="155"/>
      <c r="GW1262" s="155"/>
      <c r="GX1262" s="155"/>
      <c r="GY1262" s="155"/>
      <c r="GZ1262" s="155"/>
      <c r="HA1262" s="155"/>
      <c r="HB1262" s="155"/>
      <c r="HC1262" s="155"/>
      <c r="HD1262" s="155"/>
      <c r="HE1262" s="155"/>
    </row>
    <row r="1263" spans="2:213" s="156" customFormat="1" hidden="1">
      <c r="B1263" s="155"/>
      <c r="C1263" s="155"/>
      <c r="D1263" s="155"/>
      <c r="E1263" s="155"/>
      <c r="F1263" s="155"/>
      <c r="G1263" s="155"/>
      <c r="H1263" s="155"/>
      <c r="I1263" s="155"/>
      <c r="J1263" s="155"/>
      <c r="K1263" s="155"/>
      <c r="L1263" s="155"/>
      <c r="M1263" s="155"/>
      <c r="N1263" s="155"/>
      <c r="O1263" s="155"/>
      <c r="P1263" s="155"/>
      <c r="Q1263" s="155"/>
      <c r="R1263" s="155"/>
      <c r="S1263" s="155"/>
      <c r="T1263" s="155"/>
      <c r="U1263" s="155"/>
      <c r="V1263" s="155"/>
      <c r="W1263" s="155"/>
      <c r="GL1263" s="155"/>
      <c r="GM1263" s="155"/>
      <c r="GN1263" s="155"/>
      <c r="GO1263" s="155"/>
      <c r="GP1263" s="155"/>
      <c r="GQ1263" s="155"/>
      <c r="GR1263" s="155"/>
      <c r="GS1263" s="155"/>
      <c r="GT1263" s="155"/>
      <c r="GU1263" s="155"/>
      <c r="GV1263" s="155"/>
      <c r="GW1263" s="155"/>
      <c r="GX1263" s="155"/>
      <c r="GY1263" s="155"/>
      <c r="GZ1263" s="155"/>
      <c r="HA1263" s="155"/>
      <c r="HB1263" s="155"/>
      <c r="HC1263" s="155"/>
      <c r="HD1263" s="155"/>
      <c r="HE1263" s="155"/>
    </row>
    <row r="1264" spans="2:213" s="156" customFormat="1" hidden="1">
      <c r="B1264" s="155"/>
      <c r="C1264" s="155"/>
      <c r="D1264" s="155"/>
      <c r="E1264" s="155"/>
      <c r="F1264" s="155"/>
      <c r="G1264" s="155"/>
      <c r="H1264" s="155"/>
      <c r="I1264" s="155"/>
      <c r="J1264" s="155"/>
      <c r="K1264" s="155"/>
      <c r="L1264" s="155"/>
      <c r="M1264" s="155"/>
      <c r="N1264" s="155"/>
      <c r="O1264" s="155"/>
      <c r="P1264" s="155"/>
      <c r="Q1264" s="155"/>
      <c r="R1264" s="155"/>
      <c r="S1264" s="155"/>
      <c r="T1264" s="155"/>
      <c r="U1264" s="155"/>
      <c r="V1264" s="155"/>
      <c r="W1264" s="155"/>
      <c r="GL1264" s="155"/>
      <c r="GM1264" s="155"/>
      <c r="GN1264" s="155"/>
      <c r="GO1264" s="155"/>
      <c r="GP1264" s="155"/>
      <c r="GQ1264" s="155"/>
      <c r="GR1264" s="155"/>
      <c r="GS1264" s="155"/>
      <c r="GT1264" s="155"/>
      <c r="GU1264" s="155"/>
      <c r="GV1264" s="155"/>
      <c r="GW1264" s="155"/>
      <c r="GX1264" s="155"/>
      <c r="GY1264" s="155"/>
      <c r="GZ1264" s="155"/>
      <c r="HA1264" s="155"/>
      <c r="HB1264" s="155"/>
      <c r="HC1264" s="155"/>
      <c r="HD1264" s="155"/>
      <c r="HE1264" s="155"/>
    </row>
    <row r="1265" spans="2:213" s="156" customFormat="1" hidden="1">
      <c r="B1265" s="155"/>
      <c r="C1265" s="155"/>
      <c r="D1265" s="155"/>
      <c r="E1265" s="155"/>
      <c r="F1265" s="155"/>
      <c r="G1265" s="155"/>
      <c r="H1265" s="155"/>
      <c r="I1265" s="155"/>
      <c r="J1265" s="155"/>
      <c r="K1265" s="155"/>
      <c r="L1265" s="155"/>
      <c r="M1265" s="155"/>
      <c r="N1265" s="155"/>
      <c r="O1265" s="155"/>
      <c r="P1265" s="155"/>
      <c r="Q1265" s="155"/>
      <c r="R1265" s="155"/>
      <c r="S1265" s="155"/>
      <c r="T1265" s="155"/>
      <c r="U1265" s="155"/>
      <c r="V1265" s="155"/>
      <c r="W1265" s="155"/>
      <c r="GL1265" s="155"/>
      <c r="GM1265" s="155"/>
      <c r="GN1265" s="155"/>
      <c r="GO1265" s="155"/>
      <c r="GP1265" s="155"/>
      <c r="GQ1265" s="155"/>
      <c r="GR1265" s="155"/>
      <c r="GS1265" s="155"/>
      <c r="GT1265" s="155"/>
      <c r="GU1265" s="155"/>
      <c r="GV1265" s="155"/>
      <c r="GW1265" s="155"/>
      <c r="GX1265" s="155"/>
      <c r="GY1265" s="155"/>
      <c r="GZ1265" s="155"/>
      <c r="HA1265" s="155"/>
      <c r="HB1265" s="155"/>
      <c r="HC1265" s="155"/>
      <c r="HD1265" s="155"/>
      <c r="HE1265" s="155"/>
    </row>
    <row r="1266" spans="2:213" s="156" customFormat="1" hidden="1">
      <c r="B1266" s="155"/>
      <c r="C1266" s="155"/>
      <c r="D1266" s="155"/>
      <c r="E1266" s="155"/>
      <c r="F1266" s="155"/>
      <c r="G1266" s="155"/>
      <c r="H1266" s="155"/>
      <c r="I1266" s="155"/>
      <c r="J1266" s="155"/>
      <c r="K1266" s="155"/>
      <c r="L1266" s="155"/>
      <c r="M1266" s="155"/>
      <c r="N1266" s="155"/>
      <c r="O1266" s="155"/>
      <c r="P1266" s="155"/>
      <c r="Q1266" s="155"/>
      <c r="R1266" s="155"/>
      <c r="S1266" s="155"/>
      <c r="T1266" s="155"/>
      <c r="U1266" s="155"/>
      <c r="V1266" s="155"/>
      <c r="W1266" s="155"/>
      <c r="GL1266" s="155"/>
      <c r="GM1266" s="155"/>
      <c r="GN1266" s="155"/>
      <c r="GO1266" s="155"/>
      <c r="GP1266" s="155"/>
      <c r="GQ1266" s="155"/>
      <c r="GR1266" s="155"/>
      <c r="GS1266" s="155"/>
      <c r="GT1266" s="155"/>
      <c r="GU1266" s="155"/>
      <c r="GV1266" s="155"/>
      <c r="GW1266" s="155"/>
      <c r="GX1266" s="155"/>
      <c r="GY1266" s="155"/>
      <c r="GZ1266" s="155"/>
      <c r="HA1266" s="155"/>
      <c r="HB1266" s="155"/>
      <c r="HC1266" s="155"/>
      <c r="HD1266" s="155"/>
      <c r="HE1266" s="155"/>
    </row>
    <row r="1267" spans="2:213" s="156" customFormat="1" hidden="1">
      <c r="B1267" s="155"/>
      <c r="C1267" s="155"/>
      <c r="D1267" s="155"/>
      <c r="E1267" s="155"/>
      <c r="F1267" s="155"/>
      <c r="G1267" s="155"/>
      <c r="H1267" s="155"/>
      <c r="I1267" s="155"/>
      <c r="J1267" s="155"/>
      <c r="K1267" s="155"/>
      <c r="L1267" s="155"/>
      <c r="M1267" s="155"/>
      <c r="N1267" s="155"/>
      <c r="O1267" s="155"/>
      <c r="P1267" s="155"/>
      <c r="Q1267" s="155"/>
      <c r="R1267" s="155"/>
      <c r="S1267" s="155"/>
      <c r="T1267" s="155"/>
      <c r="U1267" s="155"/>
      <c r="V1267" s="155"/>
      <c r="W1267" s="155"/>
      <c r="GL1267" s="155"/>
      <c r="GM1267" s="155"/>
      <c r="GN1267" s="155"/>
      <c r="GO1267" s="155"/>
      <c r="GP1267" s="155"/>
      <c r="GQ1267" s="155"/>
      <c r="GR1267" s="155"/>
      <c r="GS1267" s="155"/>
      <c r="GT1267" s="155"/>
      <c r="GU1267" s="155"/>
      <c r="GV1267" s="155"/>
      <c r="GW1267" s="155"/>
      <c r="GX1267" s="155"/>
      <c r="GY1267" s="155"/>
      <c r="GZ1267" s="155"/>
      <c r="HA1267" s="155"/>
      <c r="HB1267" s="155"/>
      <c r="HC1267" s="155"/>
      <c r="HD1267" s="155"/>
      <c r="HE1267" s="155"/>
    </row>
    <row r="1268" spans="2:213" s="156" customFormat="1" hidden="1">
      <c r="B1268" s="155"/>
      <c r="C1268" s="155"/>
      <c r="D1268" s="155"/>
      <c r="E1268" s="155"/>
      <c r="F1268" s="155"/>
      <c r="G1268" s="155"/>
      <c r="H1268" s="155"/>
      <c r="I1268" s="155"/>
      <c r="J1268" s="155"/>
      <c r="K1268" s="155"/>
      <c r="L1268" s="155"/>
      <c r="M1268" s="155"/>
      <c r="N1268" s="155"/>
      <c r="O1268" s="155"/>
      <c r="P1268" s="155"/>
      <c r="Q1268" s="155"/>
      <c r="R1268" s="155"/>
      <c r="S1268" s="155"/>
      <c r="T1268" s="155"/>
      <c r="U1268" s="155"/>
      <c r="V1268" s="155"/>
      <c r="W1268" s="155"/>
      <c r="GL1268" s="155"/>
      <c r="GM1268" s="155"/>
      <c r="GN1268" s="155"/>
      <c r="GO1268" s="155"/>
      <c r="GP1268" s="155"/>
      <c r="GQ1268" s="155"/>
      <c r="GR1268" s="155"/>
      <c r="GS1268" s="155"/>
      <c r="GT1268" s="155"/>
      <c r="GU1268" s="155"/>
      <c r="GV1268" s="155"/>
      <c r="GW1268" s="155"/>
      <c r="GX1268" s="155"/>
      <c r="GY1268" s="155"/>
      <c r="GZ1268" s="155"/>
      <c r="HA1268" s="155"/>
      <c r="HB1268" s="155"/>
      <c r="HC1268" s="155"/>
      <c r="HD1268" s="155"/>
      <c r="HE1268" s="155"/>
    </row>
    <row r="1269" spans="2:213" s="156" customFormat="1" hidden="1">
      <c r="B1269" s="155"/>
      <c r="C1269" s="155"/>
      <c r="D1269" s="155"/>
      <c r="E1269" s="155"/>
      <c r="F1269" s="155"/>
      <c r="G1269" s="155"/>
      <c r="H1269" s="155"/>
      <c r="I1269" s="155"/>
      <c r="J1269" s="155"/>
      <c r="K1269" s="155"/>
      <c r="L1269" s="155"/>
      <c r="M1269" s="155"/>
      <c r="N1269" s="155"/>
      <c r="O1269" s="155"/>
      <c r="P1269" s="155"/>
      <c r="Q1269" s="155"/>
      <c r="R1269" s="155"/>
      <c r="S1269" s="155"/>
      <c r="T1269" s="155"/>
      <c r="U1269" s="155"/>
      <c r="V1269" s="155"/>
      <c r="W1269" s="155"/>
      <c r="GL1269" s="155"/>
      <c r="GM1269" s="155"/>
      <c r="GN1269" s="155"/>
      <c r="GO1269" s="155"/>
      <c r="GP1269" s="155"/>
      <c r="GQ1269" s="155"/>
      <c r="GR1269" s="155"/>
      <c r="GS1269" s="155"/>
      <c r="GT1269" s="155"/>
      <c r="GU1269" s="155"/>
      <c r="GV1269" s="155"/>
      <c r="GW1269" s="155"/>
      <c r="GX1269" s="155"/>
      <c r="GY1269" s="155"/>
      <c r="GZ1269" s="155"/>
      <c r="HA1269" s="155"/>
      <c r="HB1269" s="155"/>
      <c r="HC1269" s="155"/>
      <c r="HD1269" s="155"/>
      <c r="HE1269" s="155"/>
    </row>
    <row r="1270" spans="2:213" s="156" customFormat="1" hidden="1">
      <c r="B1270" s="155"/>
      <c r="C1270" s="155"/>
      <c r="D1270" s="155"/>
      <c r="E1270" s="155"/>
      <c r="F1270" s="155"/>
      <c r="G1270" s="155"/>
      <c r="H1270" s="155"/>
      <c r="I1270" s="155"/>
      <c r="J1270" s="155"/>
      <c r="K1270" s="155"/>
      <c r="L1270" s="155"/>
      <c r="M1270" s="155"/>
      <c r="N1270" s="155"/>
      <c r="O1270" s="155"/>
      <c r="P1270" s="155"/>
      <c r="Q1270" s="155"/>
      <c r="R1270" s="155"/>
      <c r="S1270" s="155"/>
      <c r="T1270" s="155"/>
      <c r="U1270" s="155"/>
      <c r="V1270" s="155"/>
      <c r="W1270" s="155"/>
      <c r="GL1270" s="155"/>
      <c r="GM1270" s="155"/>
      <c r="GN1270" s="155"/>
      <c r="GO1270" s="155"/>
      <c r="GP1270" s="155"/>
      <c r="GQ1270" s="155"/>
      <c r="GR1270" s="155"/>
      <c r="GS1270" s="155"/>
      <c r="GT1270" s="155"/>
      <c r="GU1270" s="155"/>
      <c r="GV1270" s="155"/>
      <c r="GW1270" s="155"/>
      <c r="GX1270" s="155"/>
      <c r="GY1270" s="155"/>
      <c r="GZ1270" s="155"/>
      <c r="HA1270" s="155"/>
      <c r="HB1270" s="155"/>
      <c r="HC1270" s="155"/>
      <c r="HD1270" s="155"/>
      <c r="HE1270" s="155"/>
    </row>
    <row r="1271" spans="2:213" s="156" customFormat="1" hidden="1">
      <c r="B1271" s="155"/>
      <c r="C1271" s="155"/>
      <c r="D1271" s="155"/>
      <c r="E1271" s="155"/>
      <c r="F1271" s="155"/>
      <c r="G1271" s="155"/>
      <c r="H1271" s="155"/>
      <c r="I1271" s="155"/>
      <c r="J1271" s="155"/>
      <c r="K1271" s="155"/>
      <c r="L1271" s="155"/>
      <c r="M1271" s="155"/>
      <c r="N1271" s="155"/>
      <c r="O1271" s="155"/>
      <c r="P1271" s="155"/>
      <c r="Q1271" s="155"/>
      <c r="R1271" s="155"/>
      <c r="S1271" s="155"/>
      <c r="T1271" s="155"/>
      <c r="U1271" s="155"/>
      <c r="V1271" s="155"/>
      <c r="W1271" s="155"/>
      <c r="GL1271" s="155"/>
      <c r="GM1271" s="155"/>
      <c r="GN1271" s="155"/>
      <c r="GO1271" s="155"/>
      <c r="GP1271" s="155"/>
      <c r="GQ1271" s="155"/>
      <c r="GR1271" s="155"/>
      <c r="GS1271" s="155"/>
      <c r="GT1271" s="155"/>
      <c r="GU1271" s="155"/>
      <c r="GV1271" s="155"/>
      <c r="GW1271" s="155"/>
      <c r="GX1271" s="155"/>
      <c r="GY1271" s="155"/>
      <c r="GZ1271" s="155"/>
      <c r="HA1271" s="155"/>
      <c r="HB1271" s="155"/>
      <c r="HC1271" s="155"/>
      <c r="HD1271" s="155"/>
      <c r="HE1271" s="155"/>
    </row>
    <row r="1272" spans="2:213" s="156" customFormat="1" hidden="1">
      <c r="B1272" s="155"/>
      <c r="C1272" s="155"/>
      <c r="D1272" s="155"/>
      <c r="E1272" s="155"/>
      <c r="F1272" s="155"/>
      <c r="G1272" s="155"/>
      <c r="H1272" s="155"/>
      <c r="I1272" s="155"/>
      <c r="J1272" s="155"/>
      <c r="K1272" s="155"/>
      <c r="L1272" s="155"/>
      <c r="M1272" s="155"/>
      <c r="N1272" s="155"/>
      <c r="O1272" s="155"/>
      <c r="P1272" s="155"/>
      <c r="Q1272" s="155"/>
      <c r="R1272" s="155"/>
      <c r="S1272" s="155"/>
      <c r="T1272" s="155"/>
      <c r="U1272" s="155"/>
      <c r="V1272" s="155"/>
      <c r="W1272" s="155"/>
      <c r="GL1272" s="155"/>
      <c r="GM1272" s="155"/>
      <c r="GN1272" s="155"/>
      <c r="GO1272" s="155"/>
      <c r="GP1272" s="155"/>
      <c r="GQ1272" s="155"/>
      <c r="GR1272" s="155"/>
      <c r="GS1272" s="155"/>
      <c r="GT1272" s="155"/>
      <c r="GU1272" s="155"/>
      <c r="GV1272" s="155"/>
      <c r="GW1272" s="155"/>
      <c r="GX1272" s="155"/>
      <c r="GY1272" s="155"/>
      <c r="GZ1272" s="155"/>
      <c r="HA1272" s="155"/>
      <c r="HB1272" s="155"/>
      <c r="HC1272" s="155"/>
      <c r="HD1272" s="155"/>
      <c r="HE1272" s="155"/>
    </row>
    <row r="1273" spans="2:213" s="156" customFormat="1" hidden="1">
      <c r="B1273" s="155"/>
      <c r="C1273" s="155"/>
      <c r="D1273" s="155"/>
      <c r="E1273" s="155"/>
      <c r="F1273" s="155"/>
      <c r="G1273" s="155"/>
      <c r="H1273" s="155"/>
      <c r="I1273" s="155"/>
      <c r="J1273" s="155"/>
      <c r="K1273" s="155"/>
      <c r="L1273" s="155"/>
      <c r="M1273" s="155"/>
      <c r="N1273" s="155"/>
      <c r="O1273" s="155"/>
      <c r="P1273" s="155"/>
      <c r="Q1273" s="155"/>
      <c r="R1273" s="155"/>
      <c r="S1273" s="155"/>
      <c r="T1273" s="155"/>
      <c r="U1273" s="155"/>
      <c r="V1273" s="155"/>
      <c r="W1273" s="155"/>
      <c r="GL1273" s="155"/>
      <c r="GM1273" s="155"/>
      <c r="GN1273" s="155"/>
      <c r="GO1273" s="155"/>
      <c r="GP1273" s="155"/>
      <c r="GQ1273" s="155"/>
      <c r="GR1273" s="155"/>
      <c r="GS1273" s="155"/>
      <c r="GT1273" s="155"/>
      <c r="GU1273" s="155"/>
      <c r="GV1273" s="155"/>
      <c r="GW1273" s="155"/>
      <c r="GX1273" s="155"/>
      <c r="GY1273" s="155"/>
      <c r="GZ1273" s="155"/>
      <c r="HA1273" s="155"/>
      <c r="HB1273" s="155"/>
      <c r="HC1273" s="155"/>
      <c r="HD1273" s="155"/>
      <c r="HE1273" s="155"/>
    </row>
    <row r="1274" spans="2:213" s="156" customFormat="1" hidden="1">
      <c r="B1274" s="155"/>
      <c r="C1274" s="155"/>
      <c r="D1274" s="155"/>
      <c r="E1274" s="155"/>
      <c r="F1274" s="155"/>
      <c r="G1274" s="155"/>
      <c r="H1274" s="155"/>
      <c r="I1274" s="155"/>
      <c r="J1274" s="155"/>
      <c r="K1274" s="155"/>
      <c r="L1274" s="155"/>
      <c r="M1274" s="155"/>
      <c r="N1274" s="155"/>
      <c r="O1274" s="155"/>
      <c r="P1274" s="155"/>
      <c r="Q1274" s="155"/>
      <c r="R1274" s="155"/>
      <c r="S1274" s="155"/>
      <c r="T1274" s="155"/>
      <c r="U1274" s="155"/>
      <c r="V1274" s="155"/>
      <c r="W1274" s="155"/>
      <c r="GL1274" s="155"/>
      <c r="GM1274" s="155"/>
      <c r="GN1274" s="155"/>
      <c r="GO1274" s="155"/>
      <c r="GP1274" s="155"/>
      <c r="GQ1274" s="155"/>
      <c r="GR1274" s="155"/>
      <c r="GS1274" s="155"/>
      <c r="GT1274" s="155"/>
      <c r="GU1274" s="155"/>
      <c r="GV1274" s="155"/>
      <c r="GW1274" s="155"/>
      <c r="GX1274" s="155"/>
      <c r="GY1274" s="155"/>
      <c r="GZ1274" s="155"/>
      <c r="HA1274" s="155"/>
      <c r="HB1274" s="155"/>
      <c r="HC1274" s="155"/>
      <c r="HD1274" s="155"/>
      <c r="HE1274" s="155"/>
    </row>
    <row r="1275" spans="2:213" s="156" customFormat="1" hidden="1">
      <c r="B1275" s="155"/>
      <c r="C1275" s="155"/>
      <c r="D1275" s="155"/>
      <c r="E1275" s="155"/>
      <c r="F1275" s="155"/>
      <c r="G1275" s="155"/>
      <c r="H1275" s="155"/>
      <c r="I1275" s="155"/>
      <c r="J1275" s="155"/>
      <c r="K1275" s="155"/>
      <c r="L1275" s="155"/>
      <c r="M1275" s="155"/>
      <c r="N1275" s="155"/>
      <c r="O1275" s="155"/>
      <c r="P1275" s="155"/>
      <c r="Q1275" s="155"/>
      <c r="R1275" s="155"/>
      <c r="S1275" s="155"/>
      <c r="T1275" s="155"/>
      <c r="U1275" s="155"/>
      <c r="V1275" s="155"/>
      <c r="W1275" s="155"/>
      <c r="GL1275" s="155"/>
      <c r="GM1275" s="155"/>
      <c r="GN1275" s="155"/>
      <c r="GO1275" s="155"/>
      <c r="GP1275" s="155"/>
      <c r="GQ1275" s="155"/>
      <c r="GR1275" s="155"/>
      <c r="GS1275" s="155"/>
      <c r="GT1275" s="155"/>
      <c r="GU1275" s="155"/>
      <c r="GV1275" s="155"/>
      <c r="GW1275" s="155"/>
      <c r="GX1275" s="155"/>
      <c r="GY1275" s="155"/>
      <c r="GZ1275" s="155"/>
      <c r="HA1275" s="155"/>
      <c r="HB1275" s="155"/>
      <c r="HC1275" s="155"/>
      <c r="HD1275" s="155"/>
      <c r="HE1275" s="155"/>
    </row>
    <row r="1276" spans="2:213" s="156" customFormat="1" hidden="1">
      <c r="B1276" s="155"/>
      <c r="C1276" s="155"/>
      <c r="D1276" s="155"/>
      <c r="E1276" s="155"/>
      <c r="F1276" s="155"/>
      <c r="G1276" s="155"/>
      <c r="H1276" s="155"/>
      <c r="I1276" s="155"/>
      <c r="J1276" s="155"/>
      <c r="K1276" s="155"/>
      <c r="L1276" s="155"/>
      <c r="M1276" s="155"/>
      <c r="N1276" s="155"/>
      <c r="O1276" s="155"/>
      <c r="P1276" s="155"/>
      <c r="Q1276" s="155"/>
      <c r="R1276" s="155"/>
      <c r="S1276" s="155"/>
      <c r="T1276" s="155"/>
      <c r="U1276" s="155"/>
      <c r="V1276" s="155"/>
      <c r="W1276" s="155"/>
      <c r="GL1276" s="155"/>
      <c r="GM1276" s="155"/>
      <c r="GN1276" s="155"/>
      <c r="GO1276" s="155"/>
      <c r="GP1276" s="155"/>
      <c r="GQ1276" s="155"/>
      <c r="GR1276" s="155"/>
      <c r="GS1276" s="155"/>
      <c r="GT1276" s="155"/>
      <c r="GU1276" s="155"/>
      <c r="GV1276" s="155"/>
      <c r="GW1276" s="155"/>
      <c r="GX1276" s="155"/>
      <c r="GY1276" s="155"/>
      <c r="GZ1276" s="155"/>
      <c r="HA1276" s="155"/>
      <c r="HB1276" s="155"/>
      <c r="HC1276" s="155"/>
      <c r="HD1276" s="155"/>
      <c r="HE1276" s="155"/>
    </row>
    <row r="1277" spans="2:213" s="156" customFormat="1" hidden="1">
      <c r="B1277" s="155"/>
      <c r="C1277" s="155"/>
      <c r="D1277" s="155"/>
      <c r="E1277" s="155"/>
      <c r="F1277" s="155"/>
      <c r="G1277" s="155"/>
      <c r="H1277" s="155"/>
      <c r="I1277" s="155"/>
      <c r="J1277" s="155"/>
      <c r="K1277" s="155"/>
      <c r="L1277" s="155"/>
      <c r="M1277" s="155"/>
      <c r="N1277" s="155"/>
      <c r="O1277" s="155"/>
      <c r="P1277" s="155"/>
      <c r="Q1277" s="155"/>
      <c r="R1277" s="155"/>
      <c r="S1277" s="155"/>
      <c r="T1277" s="155"/>
      <c r="U1277" s="155"/>
      <c r="V1277" s="155"/>
      <c r="W1277" s="155"/>
      <c r="GL1277" s="155"/>
      <c r="GM1277" s="155"/>
      <c r="GN1277" s="155"/>
      <c r="GO1277" s="155"/>
      <c r="GP1277" s="155"/>
      <c r="GQ1277" s="155"/>
      <c r="GR1277" s="155"/>
      <c r="GS1277" s="155"/>
      <c r="GT1277" s="155"/>
      <c r="GU1277" s="155"/>
      <c r="GV1277" s="155"/>
      <c r="GW1277" s="155"/>
      <c r="GX1277" s="155"/>
      <c r="GY1277" s="155"/>
      <c r="GZ1277" s="155"/>
      <c r="HA1277" s="155"/>
      <c r="HB1277" s="155"/>
      <c r="HC1277" s="155"/>
      <c r="HD1277" s="155"/>
      <c r="HE1277" s="155"/>
    </row>
    <row r="1278" spans="2:213" s="156" customFormat="1" hidden="1">
      <c r="B1278" s="155"/>
      <c r="C1278" s="155"/>
      <c r="D1278" s="155"/>
      <c r="E1278" s="155"/>
      <c r="F1278" s="155"/>
      <c r="G1278" s="155"/>
      <c r="H1278" s="155"/>
      <c r="I1278" s="155"/>
      <c r="J1278" s="155"/>
      <c r="K1278" s="155"/>
      <c r="L1278" s="155"/>
      <c r="M1278" s="155"/>
      <c r="N1278" s="155"/>
      <c r="O1278" s="155"/>
      <c r="P1278" s="155"/>
      <c r="Q1278" s="155"/>
      <c r="R1278" s="155"/>
      <c r="S1278" s="155"/>
      <c r="T1278" s="155"/>
      <c r="U1278" s="155"/>
      <c r="V1278" s="155"/>
      <c r="W1278" s="155"/>
      <c r="GL1278" s="155"/>
      <c r="GM1278" s="155"/>
      <c r="GN1278" s="155"/>
      <c r="GO1278" s="155"/>
      <c r="GP1278" s="155"/>
      <c r="GQ1278" s="155"/>
      <c r="GR1278" s="155"/>
      <c r="GS1278" s="155"/>
      <c r="GT1278" s="155"/>
      <c r="GU1278" s="155"/>
      <c r="GV1278" s="155"/>
      <c r="GW1278" s="155"/>
      <c r="GX1278" s="155"/>
      <c r="GY1278" s="155"/>
      <c r="GZ1278" s="155"/>
      <c r="HA1278" s="155"/>
      <c r="HB1278" s="155"/>
      <c r="HC1278" s="155"/>
      <c r="HD1278" s="155"/>
      <c r="HE1278" s="155"/>
    </row>
    <row r="1279" spans="2:213" s="156" customFormat="1" hidden="1">
      <c r="B1279" s="155"/>
      <c r="C1279" s="155"/>
      <c r="D1279" s="155"/>
      <c r="E1279" s="155"/>
      <c r="F1279" s="155"/>
      <c r="G1279" s="155"/>
      <c r="H1279" s="155"/>
      <c r="I1279" s="155"/>
      <c r="J1279" s="155"/>
      <c r="K1279" s="155"/>
      <c r="L1279" s="155"/>
      <c r="M1279" s="155"/>
      <c r="N1279" s="155"/>
      <c r="O1279" s="155"/>
      <c r="P1279" s="155"/>
      <c r="Q1279" s="155"/>
      <c r="R1279" s="155"/>
      <c r="S1279" s="155"/>
      <c r="T1279" s="155"/>
      <c r="U1279" s="155"/>
      <c r="V1279" s="155"/>
      <c r="W1279" s="155"/>
      <c r="GL1279" s="155"/>
      <c r="GM1279" s="155"/>
      <c r="GN1279" s="155"/>
      <c r="GO1279" s="155"/>
      <c r="GP1279" s="155"/>
      <c r="GQ1279" s="155"/>
      <c r="GR1279" s="155"/>
      <c r="GS1279" s="155"/>
      <c r="GT1279" s="155"/>
      <c r="GU1279" s="155"/>
      <c r="GV1279" s="155"/>
      <c r="GW1279" s="155"/>
      <c r="GX1279" s="155"/>
      <c r="GY1279" s="155"/>
      <c r="GZ1279" s="155"/>
      <c r="HA1279" s="155"/>
      <c r="HB1279" s="155"/>
      <c r="HC1279" s="155"/>
      <c r="HD1279" s="155"/>
      <c r="HE1279" s="155"/>
    </row>
    <row r="1280" spans="2:213" s="156" customFormat="1" hidden="1">
      <c r="B1280" s="155"/>
      <c r="C1280" s="155"/>
      <c r="D1280" s="155"/>
      <c r="E1280" s="155"/>
      <c r="F1280" s="155"/>
      <c r="G1280" s="155"/>
      <c r="H1280" s="155"/>
      <c r="I1280" s="155"/>
      <c r="J1280" s="155"/>
      <c r="K1280" s="155"/>
      <c r="L1280" s="155"/>
      <c r="M1280" s="155"/>
      <c r="N1280" s="155"/>
      <c r="O1280" s="155"/>
      <c r="P1280" s="155"/>
      <c r="Q1280" s="155"/>
      <c r="R1280" s="155"/>
      <c r="S1280" s="155"/>
      <c r="T1280" s="155"/>
      <c r="U1280" s="155"/>
      <c r="V1280" s="155"/>
      <c r="W1280" s="155"/>
      <c r="GL1280" s="155"/>
      <c r="GM1280" s="155"/>
      <c r="GN1280" s="155"/>
      <c r="GO1280" s="155"/>
      <c r="GP1280" s="155"/>
      <c r="GQ1280" s="155"/>
      <c r="GR1280" s="155"/>
      <c r="GS1280" s="155"/>
      <c r="GT1280" s="155"/>
      <c r="GU1280" s="155"/>
      <c r="GV1280" s="155"/>
      <c r="GW1280" s="155"/>
      <c r="GX1280" s="155"/>
      <c r="GY1280" s="155"/>
      <c r="GZ1280" s="155"/>
      <c r="HA1280" s="155"/>
      <c r="HB1280" s="155"/>
      <c r="HC1280" s="155"/>
      <c r="HD1280" s="155"/>
      <c r="HE1280" s="155"/>
    </row>
    <row r="1281" spans="2:213" s="156" customFormat="1" hidden="1">
      <c r="B1281" s="155"/>
      <c r="C1281" s="155"/>
      <c r="D1281" s="155"/>
      <c r="E1281" s="155"/>
      <c r="F1281" s="155"/>
      <c r="G1281" s="155"/>
      <c r="H1281" s="155"/>
      <c r="I1281" s="155"/>
      <c r="J1281" s="155"/>
      <c r="K1281" s="155"/>
      <c r="L1281" s="155"/>
      <c r="M1281" s="155"/>
      <c r="N1281" s="155"/>
      <c r="O1281" s="155"/>
      <c r="P1281" s="155"/>
      <c r="Q1281" s="155"/>
      <c r="R1281" s="155"/>
      <c r="S1281" s="155"/>
      <c r="T1281" s="155"/>
      <c r="U1281" s="155"/>
      <c r="V1281" s="155"/>
      <c r="W1281" s="155"/>
      <c r="GL1281" s="155"/>
      <c r="GM1281" s="155"/>
      <c r="GN1281" s="155"/>
      <c r="GO1281" s="155"/>
      <c r="GP1281" s="155"/>
      <c r="GQ1281" s="155"/>
      <c r="GR1281" s="155"/>
      <c r="GS1281" s="155"/>
      <c r="GT1281" s="155"/>
      <c r="GU1281" s="155"/>
      <c r="GV1281" s="155"/>
      <c r="GW1281" s="155"/>
      <c r="GX1281" s="155"/>
      <c r="GY1281" s="155"/>
      <c r="GZ1281" s="155"/>
      <c r="HA1281" s="155"/>
      <c r="HB1281" s="155"/>
      <c r="HC1281" s="155"/>
      <c r="HD1281" s="155"/>
      <c r="HE1281" s="155"/>
    </row>
    <row r="1282" spans="2:213" s="156" customFormat="1" hidden="1">
      <c r="B1282" s="155"/>
      <c r="C1282" s="155"/>
      <c r="D1282" s="155"/>
      <c r="E1282" s="155"/>
      <c r="F1282" s="155"/>
      <c r="G1282" s="155"/>
      <c r="H1282" s="155"/>
      <c r="I1282" s="155"/>
      <c r="J1282" s="155"/>
      <c r="K1282" s="155"/>
      <c r="L1282" s="155"/>
      <c r="M1282" s="155"/>
      <c r="N1282" s="155"/>
      <c r="O1282" s="155"/>
      <c r="P1282" s="155"/>
      <c r="Q1282" s="155"/>
      <c r="R1282" s="155"/>
      <c r="S1282" s="155"/>
      <c r="T1282" s="155"/>
      <c r="U1282" s="155"/>
      <c r="V1282" s="155"/>
      <c r="W1282" s="155"/>
      <c r="GL1282" s="155"/>
      <c r="GM1282" s="155"/>
      <c r="GN1282" s="155"/>
      <c r="GO1282" s="155"/>
      <c r="GP1282" s="155"/>
      <c r="GQ1282" s="155"/>
      <c r="GR1282" s="155"/>
      <c r="GS1282" s="155"/>
      <c r="GT1282" s="155"/>
      <c r="GU1282" s="155"/>
      <c r="GV1282" s="155"/>
      <c r="GW1282" s="155"/>
      <c r="GX1282" s="155"/>
      <c r="GY1282" s="155"/>
      <c r="GZ1282" s="155"/>
      <c r="HA1282" s="155"/>
      <c r="HB1282" s="155"/>
      <c r="HC1282" s="155"/>
      <c r="HD1282" s="155"/>
      <c r="HE1282" s="155"/>
    </row>
    <row r="1283" spans="2:213" s="156" customFormat="1" hidden="1">
      <c r="B1283" s="155"/>
      <c r="C1283" s="155"/>
      <c r="D1283" s="155"/>
      <c r="E1283" s="155"/>
      <c r="F1283" s="155"/>
      <c r="G1283" s="155"/>
      <c r="H1283" s="155"/>
      <c r="I1283" s="155"/>
      <c r="J1283" s="155"/>
      <c r="K1283" s="155"/>
      <c r="L1283" s="155"/>
      <c r="M1283" s="155"/>
      <c r="N1283" s="155"/>
      <c r="O1283" s="155"/>
      <c r="P1283" s="155"/>
      <c r="Q1283" s="155"/>
      <c r="R1283" s="155"/>
      <c r="S1283" s="155"/>
      <c r="T1283" s="155"/>
      <c r="U1283" s="155"/>
      <c r="V1283" s="155"/>
      <c r="W1283" s="155"/>
      <c r="GL1283" s="155"/>
      <c r="GM1283" s="155"/>
      <c r="GN1283" s="155"/>
      <c r="GO1283" s="155"/>
      <c r="GP1283" s="155"/>
      <c r="GQ1283" s="155"/>
      <c r="GR1283" s="155"/>
      <c r="GS1283" s="155"/>
      <c r="GT1283" s="155"/>
      <c r="GU1283" s="155"/>
      <c r="GV1283" s="155"/>
      <c r="GW1283" s="155"/>
      <c r="GX1283" s="155"/>
      <c r="GY1283" s="155"/>
      <c r="GZ1283" s="155"/>
      <c r="HA1283" s="155"/>
      <c r="HB1283" s="155"/>
      <c r="HC1283" s="155"/>
      <c r="HD1283" s="155"/>
      <c r="HE1283" s="155"/>
    </row>
    <row r="1284" spans="2:213" s="156" customFormat="1" hidden="1">
      <c r="B1284" s="155"/>
      <c r="C1284" s="155"/>
      <c r="D1284" s="155"/>
      <c r="E1284" s="155"/>
      <c r="F1284" s="155"/>
      <c r="G1284" s="155"/>
      <c r="H1284" s="155"/>
      <c r="I1284" s="155"/>
      <c r="J1284" s="155"/>
      <c r="K1284" s="155"/>
      <c r="L1284" s="155"/>
      <c r="M1284" s="155"/>
      <c r="N1284" s="155"/>
      <c r="O1284" s="155"/>
      <c r="P1284" s="155"/>
      <c r="Q1284" s="155"/>
      <c r="R1284" s="155"/>
      <c r="S1284" s="155"/>
      <c r="T1284" s="155"/>
      <c r="U1284" s="155"/>
      <c r="V1284" s="155"/>
      <c r="W1284" s="155"/>
      <c r="GL1284" s="155"/>
      <c r="GM1284" s="155"/>
      <c r="GN1284" s="155"/>
      <c r="GO1284" s="155"/>
      <c r="GP1284" s="155"/>
      <c r="GQ1284" s="155"/>
      <c r="GR1284" s="155"/>
      <c r="GS1284" s="155"/>
      <c r="GT1284" s="155"/>
      <c r="GU1284" s="155"/>
      <c r="GV1284" s="155"/>
      <c r="GW1284" s="155"/>
      <c r="GX1284" s="155"/>
      <c r="GY1284" s="155"/>
      <c r="GZ1284" s="155"/>
      <c r="HA1284" s="155"/>
      <c r="HB1284" s="155"/>
      <c r="HC1284" s="155"/>
      <c r="HD1284" s="155"/>
      <c r="HE1284" s="155"/>
    </row>
    <row r="1285" spans="2:213" s="156" customFormat="1" hidden="1">
      <c r="B1285" s="155"/>
      <c r="C1285" s="155"/>
      <c r="D1285" s="155"/>
      <c r="E1285" s="155"/>
      <c r="F1285" s="155"/>
      <c r="G1285" s="155"/>
      <c r="H1285" s="155"/>
      <c r="I1285" s="155"/>
      <c r="J1285" s="155"/>
      <c r="K1285" s="155"/>
      <c r="L1285" s="155"/>
      <c r="M1285" s="155"/>
      <c r="N1285" s="155"/>
      <c r="O1285" s="155"/>
      <c r="P1285" s="155"/>
      <c r="Q1285" s="155"/>
      <c r="R1285" s="155"/>
      <c r="S1285" s="155"/>
      <c r="T1285" s="155"/>
      <c r="U1285" s="155"/>
      <c r="V1285" s="155"/>
      <c r="W1285" s="155"/>
      <c r="GL1285" s="155"/>
      <c r="GM1285" s="155"/>
      <c r="GN1285" s="155"/>
      <c r="GO1285" s="155"/>
      <c r="GP1285" s="155"/>
      <c r="GQ1285" s="155"/>
      <c r="GR1285" s="155"/>
      <c r="GS1285" s="155"/>
      <c r="GT1285" s="155"/>
      <c r="GU1285" s="155"/>
      <c r="GV1285" s="155"/>
      <c r="GW1285" s="155"/>
      <c r="GX1285" s="155"/>
      <c r="GY1285" s="155"/>
      <c r="GZ1285" s="155"/>
      <c r="HA1285" s="155"/>
      <c r="HB1285" s="155"/>
      <c r="HC1285" s="155"/>
      <c r="HD1285" s="155"/>
      <c r="HE1285" s="155"/>
    </row>
    <row r="1286" spans="2:213" s="156" customFormat="1" hidden="1">
      <c r="B1286" s="155"/>
      <c r="C1286" s="155"/>
      <c r="D1286" s="155"/>
      <c r="E1286" s="155"/>
      <c r="F1286" s="155"/>
      <c r="G1286" s="155"/>
      <c r="H1286" s="155"/>
      <c r="I1286" s="155"/>
      <c r="J1286" s="155"/>
      <c r="K1286" s="155"/>
      <c r="L1286" s="155"/>
      <c r="M1286" s="155"/>
      <c r="N1286" s="155"/>
      <c r="O1286" s="155"/>
      <c r="P1286" s="155"/>
      <c r="Q1286" s="155"/>
      <c r="R1286" s="155"/>
      <c r="S1286" s="155"/>
      <c r="T1286" s="155"/>
      <c r="U1286" s="155"/>
      <c r="V1286" s="155"/>
      <c r="W1286" s="155"/>
      <c r="GL1286" s="155"/>
      <c r="GM1286" s="155"/>
      <c r="GN1286" s="155"/>
      <c r="GO1286" s="155"/>
      <c r="GP1286" s="155"/>
      <c r="GQ1286" s="155"/>
      <c r="GR1286" s="155"/>
      <c r="GS1286" s="155"/>
      <c r="GT1286" s="155"/>
      <c r="GU1286" s="155"/>
      <c r="GV1286" s="155"/>
      <c r="GW1286" s="155"/>
      <c r="GX1286" s="155"/>
      <c r="GY1286" s="155"/>
      <c r="GZ1286" s="155"/>
      <c r="HA1286" s="155"/>
      <c r="HB1286" s="155"/>
      <c r="HC1286" s="155"/>
      <c r="HD1286" s="155"/>
      <c r="HE1286" s="155"/>
    </row>
    <row r="1287" spans="2:213" s="156" customFormat="1" hidden="1">
      <c r="B1287" s="155"/>
      <c r="C1287" s="155"/>
      <c r="D1287" s="155"/>
      <c r="E1287" s="155"/>
      <c r="F1287" s="155"/>
      <c r="G1287" s="155"/>
      <c r="H1287" s="155"/>
      <c r="I1287" s="155"/>
      <c r="J1287" s="155"/>
      <c r="K1287" s="155"/>
      <c r="L1287" s="155"/>
      <c r="M1287" s="155"/>
      <c r="N1287" s="155"/>
      <c r="O1287" s="155"/>
      <c r="P1287" s="155"/>
      <c r="Q1287" s="155"/>
      <c r="R1287" s="155"/>
      <c r="S1287" s="155"/>
      <c r="T1287" s="155"/>
      <c r="U1287" s="155"/>
      <c r="V1287" s="155"/>
      <c r="W1287" s="155"/>
      <c r="GL1287" s="155"/>
      <c r="GM1287" s="155"/>
      <c r="GN1287" s="155"/>
      <c r="GO1287" s="155"/>
      <c r="GP1287" s="155"/>
      <c r="GQ1287" s="155"/>
      <c r="GR1287" s="155"/>
      <c r="GS1287" s="155"/>
      <c r="GT1287" s="155"/>
      <c r="GU1287" s="155"/>
      <c r="GV1287" s="155"/>
      <c r="GW1287" s="155"/>
      <c r="GX1287" s="155"/>
      <c r="GY1287" s="155"/>
      <c r="GZ1287" s="155"/>
      <c r="HA1287" s="155"/>
      <c r="HB1287" s="155"/>
      <c r="HC1287" s="155"/>
      <c r="HD1287" s="155"/>
      <c r="HE1287" s="155"/>
    </row>
    <row r="1288" spans="2:213" s="156" customFormat="1" hidden="1">
      <c r="B1288" s="155"/>
      <c r="C1288" s="155"/>
      <c r="D1288" s="155"/>
      <c r="E1288" s="155"/>
      <c r="F1288" s="155"/>
      <c r="G1288" s="155"/>
      <c r="H1288" s="155"/>
      <c r="I1288" s="155"/>
      <c r="J1288" s="155"/>
      <c r="K1288" s="155"/>
      <c r="L1288" s="155"/>
      <c r="M1288" s="155"/>
      <c r="N1288" s="155"/>
      <c r="O1288" s="155"/>
      <c r="P1288" s="155"/>
      <c r="Q1288" s="155"/>
      <c r="R1288" s="155"/>
      <c r="S1288" s="155"/>
      <c r="T1288" s="155"/>
      <c r="U1288" s="155"/>
      <c r="V1288" s="155"/>
      <c r="W1288" s="155"/>
      <c r="GL1288" s="155"/>
      <c r="GM1288" s="155"/>
      <c r="GN1288" s="155"/>
      <c r="GO1288" s="155"/>
      <c r="GP1288" s="155"/>
      <c r="GQ1288" s="155"/>
      <c r="GR1288" s="155"/>
      <c r="GS1288" s="155"/>
      <c r="GT1288" s="155"/>
      <c r="GU1288" s="155"/>
      <c r="GV1288" s="155"/>
      <c r="GW1288" s="155"/>
      <c r="GX1288" s="155"/>
      <c r="GY1288" s="155"/>
      <c r="GZ1288" s="155"/>
      <c r="HA1288" s="155"/>
      <c r="HB1288" s="155"/>
      <c r="HC1288" s="155"/>
      <c r="HD1288" s="155"/>
      <c r="HE1288" s="155"/>
    </row>
    <row r="1289" spans="2:213" s="156" customFormat="1" hidden="1">
      <c r="B1289" s="155"/>
      <c r="C1289" s="155"/>
      <c r="D1289" s="155"/>
      <c r="E1289" s="155"/>
      <c r="F1289" s="155"/>
      <c r="G1289" s="155"/>
      <c r="H1289" s="155"/>
      <c r="I1289" s="155"/>
      <c r="J1289" s="155"/>
      <c r="K1289" s="155"/>
      <c r="L1289" s="155"/>
      <c r="M1289" s="155"/>
      <c r="N1289" s="155"/>
      <c r="O1289" s="155"/>
      <c r="P1289" s="155"/>
      <c r="Q1289" s="155"/>
      <c r="R1289" s="155"/>
      <c r="S1289" s="155"/>
      <c r="T1289" s="155"/>
      <c r="U1289" s="155"/>
      <c r="V1289" s="155"/>
      <c r="W1289" s="155"/>
      <c r="GL1289" s="155"/>
      <c r="GM1289" s="155"/>
      <c r="GN1289" s="155"/>
      <c r="GO1289" s="155"/>
      <c r="GP1289" s="155"/>
      <c r="GQ1289" s="155"/>
      <c r="GR1289" s="155"/>
      <c r="GS1289" s="155"/>
      <c r="GT1289" s="155"/>
      <c r="GU1289" s="155"/>
      <c r="GV1289" s="155"/>
      <c r="GW1289" s="155"/>
      <c r="GX1289" s="155"/>
      <c r="GY1289" s="155"/>
      <c r="GZ1289" s="155"/>
      <c r="HA1289" s="155"/>
      <c r="HB1289" s="155"/>
      <c r="HC1289" s="155"/>
      <c r="HD1289" s="155"/>
      <c r="HE1289" s="155"/>
    </row>
    <row r="1290" spans="2:213" s="156" customFormat="1" hidden="1">
      <c r="B1290" s="155"/>
      <c r="C1290" s="155"/>
      <c r="D1290" s="155"/>
      <c r="E1290" s="155"/>
      <c r="F1290" s="155"/>
      <c r="G1290" s="155"/>
      <c r="H1290" s="155"/>
      <c r="I1290" s="155"/>
      <c r="J1290" s="155"/>
      <c r="K1290" s="155"/>
      <c r="L1290" s="155"/>
      <c r="M1290" s="155"/>
      <c r="N1290" s="155"/>
      <c r="O1290" s="155"/>
      <c r="P1290" s="155"/>
      <c r="Q1290" s="155"/>
      <c r="R1290" s="155"/>
      <c r="S1290" s="155"/>
      <c r="T1290" s="155"/>
      <c r="U1290" s="155"/>
      <c r="V1290" s="155"/>
      <c r="W1290" s="155"/>
      <c r="GL1290" s="155"/>
      <c r="GM1290" s="155"/>
      <c r="GN1290" s="155"/>
      <c r="GO1290" s="155"/>
      <c r="GP1290" s="155"/>
      <c r="GQ1290" s="155"/>
      <c r="GR1290" s="155"/>
      <c r="GS1290" s="155"/>
      <c r="GT1290" s="155"/>
      <c r="GU1290" s="155"/>
      <c r="GV1290" s="155"/>
      <c r="GW1290" s="155"/>
      <c r="GX1290" s="155"/>
      <c r="GY1290" s="155"/>
      <c r="GZ1290" s="155"/>
      <c r="HA1290" s="155"/>
      <c r="HB1290" s="155"/>
      <c r="HC1290" s="155"/>
      <c r="HD1290" s="155"/>
      <c r="HE1290" s="155"/>
    </row>
    <row r="1291" spans="2:213" s="156" customFormat="1" hidden="1">
      <c r="B1291" s="155"/>
      <c r="C1291" s="155"/>
      <c r="D1291" s="155"/>
      <c r="E1291" s="155"/>
      <c r="F1291" s="155"/>
      <c r="G1291" s="155"/>
      <c r="H1291" s="155"/>
      <c r="I1291" s="155"/>
      <c r="J1291" s="155"/>
      <c r="K1291" s="155"/>
      <c r="L1291" s="155"/>
      <c r="M1291" s="155"/>
      <c r="N1291" s="155"/>
      <c r="O1291" s="155"/>
      <c r="P1291" s="155"/>
      <c r="Q1291" s="155"/>
      <c r="R1291" s="155"/>
      <c r="S1291" s="155"/>
      <c r="T1291" s="155"/>
      <c r="U1291" s="155"/>
      <c r="V1291" s="155"/>
      <c r="W1291" s="155"/>
      <c r="GL1291" s="155"/>
      <c r="GM1291" s="155"/>
      <c r="GN1291" s="155"/>
      <c r="GO1291" s="155"/>
      <c r="GP1291" s="155"/>
      <c r="GQ1291" s="155"/>
      <c r="GR1291" s="155"/>
      <c r="GS1291" s="155"/>
      <c r="GT1291" s="155"/>
      <c r="GU1291" s="155"/>
      <c r="GV1291" s="155"/>
      <c r="GW1291" s="155"/>
      <c r="GX1291" s="155"/>
      <c r="GY1291" s="155"/>
      <c r="GZ1291" s="155"/>
      <c r="HA1291" s="155"/>
      <c r="HB1291" s="155"/>
      <c r="HC1291" s="155"/>
      <c r="HD1291" s="155"/>
      <c r="HE1291" s="155"/>
    </row>
    <row r="1292" spans="2:213" s="156" customFormat="1" hidden="1">
      <c r="B1292" s="155"/>
      <c r="C1292" s="155"/>
      <c r="D1292" s="155"/>
      <c r="E1292" s="155"/>
      <c r="F1292" s="155"/>
      <c r="G1292" s="155"/>
      <c r="H1292" s="155"/>
      <c r="I1292" s="155"/>
      <c r="J1292" s="155"/>
      <c r="K1292" s="155"/>
      <c r="L1292" s="155"/>
      <c r="M1292" s="155"/>
      <c r="N1292" s="155"/>
      <c r="O1292" s="155"/>
      <c r="P1292" s="155"/>
      <c r="Q1292" s="155"/>
      <c r="R1292" s="155"/>
      <c r="S1292" s="155"/>
      <c r="T1292" s="155"/>
      <c r="U1292" s="155"/>
      <c r="V1292" s="155"/>
      <c r="W1292" s="155"/>
      <c r="GL1292" s="155"/>
      <c r="GM1292" s="155"/>
      <c r="GN1292" s="155"/>
      <c r="GO1292" s="155"/>
      <c r="GP1292" s="155"/>
      <c r="GQ1292" s="155"/>
      <c r="GR1292" s="155"/>
      <c r="GS1292" s="155"/>
      <c r="GT1292" s="155"/>
      <c r="GU1292" s="155"/>
      <c r="GV1292" s="155"/>
      <c r="GW1292" s="155"/>
      <c r="GX1292" s="155"/>
      <c r="GY1292" s="155"/>
      <c r="GZ1292" s="155"/>
      <c r="HA1292" s="155"/>
      <c r="HB1292" s="155"/>
      <c r="HC1292" s="155"/>
      <c r="HD1292" s="155"/>
      <c r="HE1292" s="155"/>
    </row>
    <row r="1293" spans="2:213" s="156" customFormat="1" hidden="1">
      <c r="B1293" s="155"/>
      <c r="C1293" s="155"/>
      <c r="D1293" s="155"/>
      <c r="E1293" s="155"/>
      <c r="F1293" s="155"/>
      <c r="G1293" s="155"/>
      <c r="H1293" s="155"/>
      <c r="I1293" s="155"/>
      <c r="J1293" s="155"/>
      <c r="K1293" s="155"/>
      <c r="L1293" s="155"/>
      <c r="M1293" s="155"/>
      <c r="N1293" s="155"/>
      <c r="O1293" s="155"/>
      <c r="P1293" s="155"/>
      <c r="Q1293" s="155"/>
      <c r="R1293" s="155"/>
      <c r="S1293" s="155"/>
      <c r="T1293" s="155"/>
      <c r="U1293" s="155"/>
      <c r="V1293" s="155"/>
      <c r="W1293" s="155"/>
      <c r="GL1293" s="155"/>
      <c r="GM1293" s="155"/>
      <c r="GN1293" s="155"/>
      <c r="GO1293" s="155"/>
      <c r="GP1293" s="155"/>
      <c r="GQ1293" s="155"/>
      <c r="GR1293" s="155"/>
      <c r="GS1293" s="155"/>
      <c r="GT1293" s="155"/>
      <c r="GU1293" s="155"/>
      <c r="GV1293" s="155"/>
      <c r="GW1293" s="155"/>
      <c r="GX1293" s="155"/>
      <c r="GY1293" s="155"/>
      <c r="GZ1293" s="155"/>
      <c r="HA1293" s="155"/>
      <c r="HB1293" s="155"/>
      <c r="HC1293" s="155"/>
      <c r="HD1293" s="155"/>
      <c r="HE1293" s="155"/>
    </row>
    <row r="1294" spans="2:213" s="156" customFormat="1" hidden="1">
      <c r="B1294" s="155"/>
      <c r="C1294" s="155"/>
      <c r="D1294" s="155"/>
      <c r="E1294" s="155"/>
      <c r="F1294" s="155"/>
      <c r="G1294" s="155"/>
      <c r="H1294" s="155"/>
      <c r="I1294" s="155"/>
      <c r="J1294" s="155"/>
      <c r="K1294" s="155"/>
      <c r="L1294" s="155"/>
      <c r="M1294" s="155"/>
      <c r="N1294" s="155"/>
      <c r="O1294" s="155"/>
      <c r="P1294" s="155"/>
      <c r="Q1294" s="155"/>
      <c r="R1294" s="155"/>
      <c r="S1294" s="155"/>
      <c r="T1294" s="155"/>
      <c r="U1294" s="155"/>
      <c r="V1294" s="155"/>
      <c r="W1294" s="155"/>
      <c r="GL1294" s="155"/>
      <c r="GM1294" s="155"/>
      <c r="GN1294" s="155"/>
      <c r="GO1294" s="155"/>
      <c r="GP1294" s="155"/>
      <c r="GQ1294" s="155"/>
      <c r="GR1294" s="155"/>
      <c r="GS1294" s="155"/>
      <c r="GT1294" s="155"/>
      <c r="GU1294" s="155"/>
      <c r="GV1294" s="155"/>
      <c r="GW1294" s="155"/>
      <c r="GX1294" s="155"/>
      <c r="GY1294" s="155"/>
      <c r="GZ1294" s="155"/>
      <c r="HA1294" s="155"/>
      <c r="HB1294" s="155"/>
      <c r="HC1294" s="155"/>
      <c r="HD1294" s="155"/>
      <c r="HE1294" s="155"/>
    </row>
    <row r="1295" spans="2:213" s="156" customFormat="1" hidden="1">
      <c r="B1295" s="155"/>
      <c r="C1295" s="155"/>
      <c r="D1295" s="155"/>
      <c r="E1295" s="155"/>
      <c r="F1295" s="155"/>
      <c r="G1295" s="155"/>
      <c r="H1295" s="155"/>
      <c r="I1295" s="155"/>
      <c r="J1295" s="155"/>
      <c r="K1295" s="155"/>
      <c r="L1295" s="155"/>
      <c r="M1295" s="155"/>
      <c r="N1295" s="155"/>
      <c r="O1295" s="155"/>
      <c r="P1295" s="155"/>
      <c r="Q1295" s="155"/>
      <c r="R1295" s="155"/>
      <c r="S1295" s="155"/>
      <c r="T1295" s="155"/>
      <c r="U1295" s="155"/>
      <c r="V1295" s="155"/>
      <c r="W1295" s="155"/>
      <c r="GL1295" s="155"/>
      <c r="GM1295" s="155"/>
      <c r="GN1295" s="155"/>
      <c r="GO1295" s="155"/>
      <c r="GP1295" s="155"/>
      <c r="GQ1295" s="155"/>
      <c r="GR1295" s="155"/>
      <c r="GS1295" s="155"/>
      <c r="GT1295" s="155"/>
      <c r="GU1295" s="155"/>
      <c r="GV1295" s="155"/>
      <c r="GW1295" s="155"/>
      <c r="GX1295" s="155"/>
      <c r="GY1295" s="155"/>
      <c r="GZ1295" s="155"/>
      <c r="HA1295" s="155"/>
      <c r="HB1295" s="155"/>
      <c r="HC1295" s="155"/>
      <c r="HD1295" s="155"/>
      <c r="HE1295" s="155"/>
    </row>
    <row r="1296" spans="2:213" s="156" customFormat="1" hidden="1">
      <c r="B1296" s="155"/>
      <c r="C1296" s="155"/>
      <c r="D1296" s="155"/>
      <c r="E1296" s="155"/>
      <c r="F1296" s="155"/>
      <c r="G1296" s="155"/>
      <c r="H1296" s="155"/>
      <c r="I1296" s="155"/>
      <c r="J1296" s="155"/>
      <c r="K1296" s="155"/>
      <c r="L1296" s="155"/>
      <c r="M1296" s="155"/>
      <c r="N1296" s="155"/>
      <c r="O1296" s="155"/>
      <c r="P1296" s="155"/>
      <c r="Q1296" s="155"/>
      <c r="R1296" s="155"/>
      <c r="S1296" s="155"/>
      <c r="T1296" s="155"/>
      <c r="U1296" s="155"/>
      <c r="V1296" s="155"/>
      <c r="W1296" s="155"/>
      <c r="GL1296" s="155"/>
      <c r="GM1296" s="155"/>
      <c r="GN1296" s="155"/>
      <c r="GO1296" s="155"/>
      <c r="GP1296" s="155"/>
      <c r="GQ1296" s="155"/>
      <c r="GR1296" s="155"/>
      <c r="GS1296" s="155"/>
      <c r="GT1296" s="155"/>
      <c r="GU1296" s="155"/>
      <c r="GV1296" s="155"/>
      <c r="GW1296" s="155"/>
      <c r="GX1296" s="155"/>
      <c r="GY1296" s="155"/>
      <c r="GZ1296" s="155"/>
      <c r="HA1296" s="155"/>
      <c r="HB1296" s="155"/>
      <c r="HC1296" s="155"/>
      <c r="HD1296" s="155"/>
      <c r="HE1296" s="155"/>
    </row>
    <row r="1297" spans="2:213" s="156" customFormat="1" hidden="1">
      <c r="B1297" s="155"/>
      <c r="C1297" s="155"/>
      <c r="D1297" s="155"/>
      <c r="E1297" s="155"/>
      <c r="F1297" s="155"/>
      <c r="G1297" s="155"/>
      <c r="H1297" s="155"/>
      <c r="I1297" s="155"/>
      <c r="J1297" s="155"/>
      <c r="K1297" s="155"/>
      <c r="L1297" s="155"/>
      <c r="M1297" s="155"/>
      <c r="N1297" s="155"/>
      <c r="O1297" s="155"/>
      <c r="P1297" s="155"/>
      <c r="Q1297" s="155"/>
      <c r="R1297" s="155"/>
      <c r="S1297" s="155"/>
      <c r="T1297" s="155"/>
      <c r="U1297" s="155"/>
      <c r="V1297" s="155"/>
      <c r="W1297" s="155"/>
      <c r="GL1297" s="155"/>
      <c r="GM1297" s="155"/>
      <c r="GN1297" s="155"/>
      <c r="GO1297" s="155"/>
      <c r="GP1297" s="155"/>
      <c r="GQ1297" s="155"/>
      <c r="GR1297" s="155"/>
      <c r="GS1297" s="155"/>
      <c r="GT1297" s="155"/>
      <c r="GU1297" s="155"/>
      <c r="GV1297" s="155"/>
      <c r="GW1297" s="155"/>
      <c r="GX1297" s="155"/>
      <c r="GY1297" s="155"/>
      <c r="GZ1297" s="155"/>
      <c r="HA1297" s="155"/>
      <c r="HB1297" s="155"/>
      <c r="HC1297" s="155"/>
      <c r="HD1297" s="155"/>
      <c r="HE1297" s="155"/>
    </row>
    <row r="1298" spans="2:213" s="156" customFormat="1" hidden="1">
      <c r="B1298" s="155"/>
      <c r="C1298" s="155"/>
      <c r="D1298" s="155"/>
      <c r="E1298" s="155"/>
      <c r="F1298" s="155"/>
      <c r="G1298" s="155"/>
      <c r="H1298" s="155"/>
      <c r="I1298" s="155"/>
      <c r="J1298" s="155"/>
      <c r="K1298" s="155"/>
      <c r="L1298" s="155"/>
      <c r="M1298" s="155"/>
      <c r="N1298" s="155"/>
      <c r="O1298" s="155"/>
      <c r="P1298" s="155"/>
      <c r="Q1298" s="155"/>
      <c r="R1298" s="155"/>
      <c r="S1298" s="155"/>
      <c r="T1298" s="155"/>
      <c r="U1298" s="155"/>
      <c r="V1298" s="155"/>
      <c r="W1298" s="155"/>
      <c r="GL1298" s="155"/>
      <c r="GM1298" s="155"/>
      <c r="GN1298" s="155"/>
      <c r="GO1298" s="155"/>
      <c r="GP1298" s="155"/>
      <c r="GQ1298" s="155"/>
      <c r="GR1298" s="155"/>
      <c r="GS1298" s="155"/>
      <c r="GT1298" s="155"/>
      <c r="GU1298" s="155"/>
      <c r="GV1298" s="155"/>
      <c r="GW1298" s="155"/>
      <c r="GX1298" s="155"/>
      <c r="GY1298" s="155"/>
      <c r="GZ1298" s="155"/>
      <c r="HA1298" s="155"/>
      <c r="HB1298" s="155"/>
      <c r="HC1298" s="155"/>
      <c r="HD1298" s="155"/>
      <c r="HE1298" s="155"/>
    </row>
    <row r="1299" spans="2:213" s="156" customFormat="1" hidden="1">
      <c r="B1299" s="155"/>
      <c r="C1299" s="155"/>
      <c r="D1299" s="155"/>
      <c r="E1299" s="155"/>
      <c r="F1299" s="155"/>
      <c r="G1299" s="155"/>
      <c r="H1299" s="155"/>
      <c r="I1299" s="155"/>
      <c r="J1299" s="155"/>
      <c r="K1299" s="155"/>
      <c r="L1299" s="155"/>
      <c r="M1299" s="155"/>
      <c r="N1299" s="155"/>
      <c r="O1299" s="155"/>
      <c r="P1299" s="155"/>
      <c r="Q1299" s="155"/>
      <c r="R1299" s="155"/>
      <c r="S1299" s="155"/>
      <c r="T1299" s="155"/>
      <c r="U1299" s="155"/>
      <c r="V1299" s="155"/>
      <c r="W1299" s="155"/>
      <c r="GL1299" s="155"/>
      <c r="GM1299" s="155"/>
      <c r="GN1299" s="155"/>
      <c r="GO1299" s="155"/>
      <c r="GP1299" s="155"/>
      <c r="GQ1299" s="155"/>
      <c r="GR1299" s="155"/>
      <c r="GS1299" s="155"/>
      <c r="GT1299" s="155"/>
      <c r="GU1299" s="155"/>
      <c r="GV1299" s="155"/>
      <c r="GW1299" s="155"/>
      <c r="GX1299" s="155"/>
      <c r="GY1299" s="155"/>
      <c r="GZ1299" s="155"/>
      <c r="HA1299" s="155"/>
      <c r="HB1299" s="155"/>
      <c r="HC1299" s="155"/>
      <c r="HD1299" s="155"/>
      <c r="HE1299" s="155"/>
    </row>
    <row r="1300" spans="2:213" s="156" customFormat="1" hidden="1">
      <c r="B1300" s="155"/>
      <c r="C1300" s="155"/>
      <c r="D1300" s="155"/>
      <c r="E1300" s="155"/>
      <c r="F1300" s="155"/>
      <c r="G1300" s="155"/>
      <c r="H1300" s="155"/>
      <c r="I1300" s="155"/>
      <c r="J1300" s="155"/>
      <c r="K1300" s="155"/>
      <c r="L1300" s="155"/>
      <c r="M1300" s="155"/>
      <c r="N1300" s="155"/>
      <c r="O1300" s="155"/>
      <c r="P1300" s="155"/>
      <c r="Q1300" s="155"/>
      <c r="R1300" s="155"/>
      <c r="S1300" s="155"/>
      <c r="T1300" s="155"/>
      <c r="U1300" s="155"/>
      <c r="V1300" s="155"/>
      <c r="W1300" s="155"/>
      <c r="GL1300" s="155"/>
      <c r="GM1300" s="155"/>
      <c r="GN1300" s="155"/>
      <c r="GO1300" s="155"/>
      <c r="GP1300" s="155"/>
      <c r="GQ1300" s="155"/>
      <c r="GR1300" s="155"/>
      <c r="GS1300" s="155"/>
      <c r="GT1300" s="155"/>
      <c r="GU1300" s="155"/>
      <c r="GV1300" s="155"/>
      <c r="GW1300" s="155"/>
      <c r="GX1300" s="155"/>
      <c r="GY1300" s="155"/>
      <c r="GZ1300" s="155"/>
      <c r="HA1300" s="155"/>
      <c r="HB1300" s="155"/>
      <c r="HC1300" s="155"/>
      <c r="HD1300" s="155"/>
      <c r="HE1300" s="155"/>
    </row>
    <row r="1301" spans="2:213" s="156" customFormat="1" hidden="1">
      <c r="B1301" s="155"/>
      <c r="C1301" s="155"/>
      <c r="D1301" s="155"/>
      <c r="E1301" s="155"/>
      <c r="F1301" s="155"/>
      <c r="G1301" s="155"/>
      <c r="H1301" s="155"/>
      <c r="I1301" s="155"/>
      <c r="J1301" s="155"/>
      <c r="K1301" s="155"/>
      <c r="L1301" s="155"/>
      <c r="M1301" s="155"/>
      <c r="N1301" s="155"/>
      <c r="O1301" s="155"/>
      <c r="P1301" s="155"/>
      <c r="Q1301" s="155"/>
      <c r="R1301" s="155"/>
      <c r="S1301" s="155"/>
      <c r="T1301" s="155"/>
      <c r="U1301" s="155"/>
      <c r="V1301" s="155"/>
      <c r="W1301" s="155"/>
      <c r="GL1301" s="155"/>
      <c r="GM1301" s="155"/>
      <c r="GN1301" s="155"/>
      <c r="GO1301" s="155"/>
      <c r="GP1301" s="155"/>
      <c r="GQ1301" s="155"/>
      <c r="GR1301" s="155"/>
      <c r="GS1301" s="155"/>
      <c r="GT1301" s="155"/>
      <c r="GU1301" s="155"/>
      <c r="GV1301" s="155"/>
      <c r="GW1301" s="155"/>
      <c r="GX1301" s="155"/>
      <c r="GY1301" s="155"/>
      <c r="GZ1301" s="155"/>
      <c r="HA1301" s="155"/>
      <c r="HB1301" s="155"/>
      <c r="HC1301" s="155"/>
      <c r="HD1301" s="155"/>
      <c r="HE1301" s="155"/>
    </row>
    <row r="1302" spans="2:213" s="156" customFormat="1" hidden="1">
      <c r="B1302" s="155"/>
      <c r="C1302" s="155"/>
      <c r="D1302" s="155"/>
      <c r="E1302" s="155"/>
      <c r="F1302" s="155"/>
      <c r="G1302" s="155"/>
      <c r="H1302" s="155"/>
      <c r="I1302" s="155"/>
      <c r="J1302" s="155"/>
      <c r="K1302" s="155"/>
      <c r="L1302" s="155"/>
      <c r="M1302" s="155"/>
      <c r="N1302" s="155"/>
      <c r="O1302" s="155"/>
      <c r="P1302" s="155"/>
      <c r="Q1302" s="155"/>
      <c r="R1302" s="155"/>
      <c r="S1302" s="155"/>
      <c r="T1302" s="155"/>
      <c r="U1302" s="155"/>
      <c r="V1302" s="155"/>
      <c r="W1302" s="155"/>
      <c r="GL1302" s="155"/>
      <c r="GM1302" s="155"/>
      <c r="GN1302" s="155"/>
      <c r="GO1302" s="155"/>
      <c r="GP1302" s="155"/>
      <c r="GQ1302" s="155"/>
      <c r="GR1302" s="155"/>
      <c r="GS1302" s="155"/>
      <c r="GT1302" s="155"/>
      <c r="GU1302" s="155"/>
      <c r="GV1302" s="155"/>
      <c r="GW1302" s="155"/>
      <c r="GX1302" s="155"/>
      <c r="GY1302" s="155"/>
      <c r="GZ1302" s="155"/>
      <c r="HA1302" s="155"/>
      <c r="HB1302" s="155"/>
      <c r="HC1302" s="155"/>
      <c r="HD1302" s="155"/>
      <c r="HE1302" s="155"/>
    </row>
    <row r="1303" spans="2:213" s="156" customFormat="1" hidden="1">
      <c r="B1303" s="155"/>
      <c r="C1303" s="155"/>
      <c r="D1303" s="155"/>
      <c r="E1303" s="155"/>
      <c r="F1303" s="155"/>
      <c r="G1303" s="155"/>
      <c r="H1303" s="155"/>
      <c r="I1303" s="155"/>
      <c r="J1303" s="155"/>
      <c r="K1303" s="155"/>
      <c r="L1303" s="155"/>
      <c r="M1303" s="155"/>
      <c r="N1303" s="155"/>
      <c r="O1303" s="155"/>
      <c r="P1303" s="155"/>
      <c r="Q1303" s="155"/>
      <c r="R1303" s="155"/>
      <c r="S1303" s="155"/>
      <c r="T1303" s="155"/>
      <c r="U1303" s="155"/>
      <c r="V1303" s="155"/>
      <c r="W1303" s="155"/>
      <c r="GL1303" s="155"/>
      <c r="GM1303" s="155"/>
      <c r="GN1303" s="155"/>
      <c r="GO1303" s="155"/>
      <c r="GP1303" s="155"/>
      <c r="GQ1303" s="155"/>
      <c r="GR1303" s="155"/>
      <c r="GS1303" s="155"/>
      <c r="GT1303" s="155"/>
      <c r="GU1303" s="155"/>
      <c r="GV1303" s="155"/>
      <c r="GW1303" s="155"/>
      <c r="GX1303" s="155"/>
      <c r="GY1303" s="155"/>
      <c r="GZ1303" s="155"/>
      <c r="HA1303" s="155"/>
      <c r="HB1303" s="155"/>
      <c r="HC1303" s="155"/>
      <c r="HD1303" s="155"/>
      <c r="HE1303" s="155"/>
    </row>
    <row r="1304" spans="2:213" s="156" customFormat="1" hidden="1">
      <c r="B1304" s="155"/>
      <c r="C1304" s="155"/>
      <c r="D1304" s="155"/>
      <c r="E1304" s="155"/>
      <c r="F1304" s="155"/>
      <c r="G1304" s="155"/>
      <c r="H1304" s="155"/>
      <c r="I1304" s="155"/>
      <c r="J1304" s="155"/>
      <c r="K1304" s="155"/>
      <c r="L1304" s="155"/>
      <c r="M1304" s="155"/>
      <c r="N1304" s="155"/>
      <c r="O1304" s="155"/>
      <c r="P1304" s="155"/>
      <c r="Q1304" s="155"/>
      <c r="R1304" s="155"/>
      <c r="S1304" s="155"/>
      <c r="T1304" s="155"/>
      <c r="U1304" s="155"/>
      <c r="V1304" s="155"/>
      <c r="W1304" s="155"/>
      <c r="GL1304" s="155"/>
      <c r="GM1304" s="155"/>
      <c r="GN1304" s="155"/>
      <c r="GO1304" s="155"/>
      <c r="GP1304" s="155"/>
      <c r="GQ1304" s="155"/>
      <c r="GR1304" s="155"/>
      <c r="GS1304" s="155"/>
      <c r="GT1304" s="155"/>
      <c r="GU1304" s="155"/>
      <c r="GV1304" s="155"/>
      <c r="GW1304" s="155"/>
      <c r="GX1304" s="155"/>
      <c r="GY1304" s="155"/>
      <c r="GZ1304" s="155"/>
      <c r="HA1304" s="155"/>
      <c r="HB1304" s="155"/>
      <c r="HC1304" s="155"/>
      <c r="HD1304" s="155"/>
      <c r="HE1304" s="155"/>
    </row>
    <row r="1305" spans="2:213" s="156" customFormat="1" hidden="1">
      <c r="B1305" s="155"/>
      <c r="C1305" s="155"/>
      <c r="D1305" s="155"/>
      <c r="E1305" s="155"/>
      <c r="F1305" s="155"/>
      <c r="G1305" s="155"/>
      <c r="H1305" s="155"/>
      <c r="I1305" s="155"/>
      <c r="J1305" s="155"/>
      <c r="K1305" s="155"/>
      <c r="L1305" s="155"/>
      <c r="M1305" s="155"/>
      <c r="N1305" s="155"/>
      <c r="O1305" s="155"/>
      <c r="P1305" s="155"/>
      <c r="Q1305" s="155"/>
      <c r="R1305" s="155"/>
      <c r="S1305" s="155"/>
      <c r="T1305" s="155"/>
      <c r="U1305" s="155"/>
      <c r="V1305" s="155"/>
      <c r="W1305" s="155"/>
      <c r="GL1305" s="155"/>
      <c r="GM1305" s="155"/>
      <c r="GN1305" s="155"/>
      <c r="GO1305" s="155"/>
      <c r="GP1305" s="155"/>
      <c r="GQ1305" s="155"/>
      <c r="GR1305" s="155"/>
      <c r="GS1305" s="155"/>
      <c r="GT1305" s="155"/>
      <c r="GU1305" s="155"/>
      <c r="GV1305" s="155"/>
      <c r="GW1305" s="155"/>
      <c r="GX1305" s="155"/>
      <c r="GY1305" s="155"/>
      <c r="GZ1305" s="155"/>
      <c r="HA1305" s="155"/>
      <c r="HB1305" s="155"/>
      <c r="HC1305" s="155"/>
      <c r="HD1305" s="155"/>
      <c r="HE1305" s="155"/>
    </row>
    <row r="1306" spans="2:213" s="156" customFormat="1" hidden="1">
      <c r="B1306" s="155"/>
      <c r="C1306" s="155"/>
      <c r="D1306" s="155"/>
      <c r="E1306" s="155"/>
      <c r="F1306" s="155"/>
      <c r="G1306" s="155"/>
      <c r="H1306" s="155"/>
      <c r="I1306" s="155"/>
      <c r="J1306" s="155"/>
      <c r="K1306" s="155"/>
      <c r="L1306" s="155"/>
      <c r="M1306" s="155"/>
      <c r="N1306" s="155"/>
      <c r="O1306" s="155"/>
      <c r="P1306" s="155"/>
      <c r="Q1306" s="155"/>
      <c r="R1306" s="155"/>
      <c r="S1306" s="155"/>
      <c r="T1306" s="155"/>
      <c r="U1306" s="155"/>
      <c r="V1306" s="155"/>
      <c r="W1306" s="155"/>
      <c r="GL1306" s="155"/>
      <c r="GM1306" s="155"/>
      <c r="GN1306" s="155"/>
      <c r="GO1306" s="155"/>
      <c r="GP1306" s="155"/>
      <c r="GQ1306" s="155"/>
      <c r="GR1306" s="155"/>
      <c r="GS1306" s="155"/>
      <c r="GT1306" s="155"/>
      <c r="GU1306" s="155"/>
      <c r="GV1306" s="155"/>
      <c r="GW1306" s="155"/>
      <c r="GX1306" s="155"/>
      <c r="GY1306" s="155"/>
      <c r="GZ1306" s="155"/>
      <c r="HA1306" s="155"/>
      <c r="HB1306" s="155"/>
      <c r="HC1306" s="155"/>
      <c r="HD1306" s="155"/>
      <c r="HE1306" s="155"/>
    </row>
    <row r="1307" spans="2:213" s="156" customFormat="1" hidden="1">
      <c r="B1307" s="155"/>
      <c r="C1307" s="155"/>
      <c r="D1307" s="155"/>
      <c r="E1307" s="155"/>
      <c r="F1307" s="155"/>
      <c r="G1307" s="155"/>
      <c r="H1307" s="155"/>
      <c r="I1307" s="155"/>
      <c r="J1307" s="155"/>
      <c r="K1307" s="155"/>
      <c r="L1307" s="155"/>
      <c r="M1307" s="155"/>
      <c r="N1307" s="155"/>
      <c r="O1307" s="155"/>
      <c r="P1307" s="155"/>
      <c r="Q1307" s="155"/>
      <c r="R1307" s="155"/>
      <c r="S1307" s="155"/>
      <c r="T1307" s="155"/>
      <c r="U1307" s="155"/>
      <c r="V1307" s="155"/>
      <c r="W1307" s="155"/>
      <c r="GL1307" s="155"/>
      <c r="GM1307" s="155"/>
      <c r="GN1307" s="155"/>
      <c r="GO1307" s="155"/>
      <c r="GP1307" s="155"/>
      <c r="GQ1307" s="155"/>
      <c r="GR1307" s="155"/>
      <c r="GS1307" s="155"/>
      <c r="GT1307" s="155"/>
      <c r="GU1307" s="155"/>
      <c r="GV1307" s="155"/>
      <c r="GW1307" s="155"/>
      <c r="GX1307" s="155"/>
      <c r="GY1307" s="155"/>
      <c r="GZ1307" s="155"/>
      <c r="HA1307" s="155"/>
      <c r="HB1307" s="155"/>
      <c r="HC1307" s="155"/>
      <c r="HD1307" s="155"/>
      <c r="HE1307" s="155"/>
    </row>
    <row r="1308" spans="2:213" s="156" customFormat="1" hidden="1">
      <c r="B1308" s="155"/>
      <c r="C1308" s="155"/>
      <c r="D1308" s="155"/>
      <c r="E1308" s="155"/>
      <c r="F1308" s="155"/>
      <c r="G1308" s="155"/>
      <c r="H1308" s="155"/>
      <c r="I1308" s="155"/>
      <c r="J1308" s="155"/>
      <c r="K1308" s="155"/>
      <c r="L1308" s="155"/>
      <c r="M1308" s="155"/>
      <c r="N1308" s="155"/>
      <c r="O1308" s="155"/>
      <c r="P1308" s="155"/>
      <c r="Q1308" s="155"/>
      <c r="R1308" s="155"/>
      <c r="S1308" s="155"/>
      <c r="T1308" s="155"/>
      <c r="U1308" s="155"/>
      <c r="V1308" s="155"/>
      <c r="W1308" s="155"/>
      <c r="GL1308" s="155"/>
      <c r="GM1308" s="155"/>
      <c r="GN1308" s="155"/>
      <c r="GO1308" s="155"/>
      <c r="GP1308" s="155"/>
      <c r="GQ1308" s="155"/>
      <c r="GR1308" s="155"/>
      <c r="GS1308" s="155"/>
      <c r="GT1308" s="155"/>
      <c r="GU1308" s="155"/>
      <c r="GV1308" s="155"/>
      <c r="GW1308" s="155"/>
      <c r="GX1308" s="155"/>
      <c r="GY1308" s="155"/>
      <c r="GZ1308" s="155"/>
      <c r="HA1308" s="155"/>
      <c r="HB1308" s="155"/>
      <c r="HC1308" s="155"/>
      <c r="HD1308" s="155"/>
      <c r="HE1308" s="155"/>
    </row>
    <row r="1309" spans="2:213" s="156" customFormat="1" hidden="1">
      <c r="B1309" s="155"/>
      <c r="C1309" s="155"/>
      <c r="D1309" s="155"/>
      <c r="E1309" s="155"/>
      <c r="F1309" s="155"/>
      <c r="G1309" s="155"/>
      <c r="H1309" s="155"/>
      <c r="I1309" s="155"/>
      <c r="J1309" s="155"/>
      <c r="K1309" s="155"/>
      <c r="L1309" s="155"/>
      <c r="M1309" s="155"/>
      <c r="N1309" s="155"/>
      <c r="O1309" s="155"/>
      <c r="P1309" s="155"/>
      <c r="Q1309" s="155"/>
      <c r="R1309" s="155"/>
      <c r="S1309" s="155"/>
      <c r="T1309" s="155"/>
      <c r="U1309" s="155"/>
      <c r="V1309" s="155"/>
      <c r="W1309" s="155"/>
      <c r="GL1309" s="155"/>
      <c r="GM1309" s="155"/>
      <c r="GN1309" s="155"/>
      <c r="GO1309" s="155"/>
      <c r="GP1309" s="155"/>
      <c r="GQ1309" s="155"/>
      <c r="GR1309" s="155"/>
      <c r="GS1309" s="155"/>
      <c r="GT1309" s="155"/>
      <c r="GU1309" s="155"/>
      <c r="GV1309" s="155"/>
      <c r="GW1309" s="155"/>
      <c r="GX1309" s="155"/>
      <c r="GY1309" s="155"/>
      <c r="GZ1309" s="155"/>
      <c r="HA1309" s="155"/>
      <c r="HB1309" s="155"/>
      <c r="HC1309" s="155"/>
      <c r="HD1309" s="155"/>
      <c r="HE1309" s="155"/>
    </row>
    <row r="1310" spans="2:213" s="156" customFormat="1" hidden="1">
      <c r="B1310" s="155"/>
      <c r="C1310" s="155"/>
      <c r="D1310" s="155"/>
      <c r="E1310" s="155"/>
      <c r="F1310" s="155"/>
      <c r="G1310" s="155"/>
      <c r="H1310" s="155"/>
      <c r="I1310" s="155"/>
      <c r="J1310" s="155"/>
      <c r="K1310" s="155"/>
      <c r="L1310" s="155"/>
      <c r="M1310" s="155"/>
      <c r="N1310" s="155"/>
      <c r="O1310" s="155"/>
      <c r="P1310" s="155"/>
      <c r="Q1310" s="155"/>
      <c r="R1310" s="155"/>
      <c r="S1310" s="155"/>
      <c r="T1310" s="155"/>
      <c r="U1310" s="155"/>
      <c r="V1310" s="155"/>
      <c r="W1310" s="155"/>
      <c r="GL1310" s="155"/>
      <c r="GM1310" s="155"/>
      <c r="GN1310" s="155"/>
      <c r="GO1310" s="155"/>
      <c r="GP1310" s="155"/>
      <c r="GQ1310" s="155"/>
      <c r="GR1310" s="155"/>
      <c r="GS1310" s="155"/>
      <c r="GT1310" s="155"/>
      <c r="GU1310" s="155"/>
      <c r="GV1310" s="155"/>
      <c r="GW1310" s="155"/>
      <c r="GX1310" s="155"/>
      <c r="GY1310" s="155"/>
      <c r="GZ1310" s="155"/>
      <c r="HA1310" s="155"/>
      <c r="HB1310" s="155"/>
      <c r="HC1310" s="155"/>
      <c r="HD1310" s="155"/>
      <c r="HE1310" s="155"/>
    </row>
    <row r="1311" spans="2:213" s="156" customFormat="1" hidden="1">
      <c r="B1311" s="155"/>
      <c r="C1311" s="155"/>
      <c r="D1311" s="155"/>
      <c r="E1311" s="155"/>
      <c r="F1311" s="155"/>
      <c r="G1311" s="155"/>
      <c r="H1311" s="155"/>
      <c r="I1311" s="155"/>
      <c r="J1311" s="155"/>
      <c r="K1311" s="155"/>
      <c r="L1311" s="155"/>
      <c r="M1311" s="155"/>
      <c r="N1311" s="155"/>
      <c r="O1311" s="155"/>
      <c r="P1311" s="155"/>
      <c r="Q1311" s="155"/>
      <c r="R1311" s="155"/>
      <c r="S1311" s="155"/>
      <c r="T1311" s="155"/>
      <c r="U1311" s="155"/>
      <c r="V1311" s="155"/>
      <c r="W1311" s="155"/>
      <c r="GL1311" s="155"/>
      <c r="GM1311" s="155"/>
      <c r="GN1311" s="155"/>
      <c r="GO1311" s="155"/>
      <c r="GP1311" s="155"/>
      <c r="GQ1311" s="155"/>
      <c r="GR1311" s="155"/>
      <c r="GS1311" s="155"/>
      <c r="GT1311" s="155"/>
      <c r="GU1311" s="155"/>
      <c r="GV1311" s="155"/>
      <c r="GW1311" s="155"/>
      <c r="GX1311" s="155"/>
      <c r="GY1311" s="155"/>
      <c r="GZ1311" s="155"/>
      <c r="HA1311" s="155"/>
      <c r="HB1311" s="155"/>
      <c r="HC1311" s="155"/>
      <c r="HD1311" s="155"/>
      <c r="HE1311" s="155"/>
    </row>
    <row r="1312" spans="2:213" s="156" customFormat="1" hidden="1">
      <c r="B1312" s="155"/>
      <c r="C1312" s="155"/>
      <c r="D1312" s="155"/>
      <c r="E1312" s="155"/>
      <c r="F1312" s="155"/>
      <c r="G1312" s="155"/>
      <c r="H1312" s="155"/>
      <c r="I1312" s="155"/>
      <c r="J1312" s="155"/>
      <c r="K1312" s="155"/>
      <c r="L1312" s="155"/>
      <c r="M1312" s="155"/>
      <c r="N1312" s="155"/>
      <c r="O1312" s="155"/>
      <c r="P1312" s="155"/>
      <c r="Q1312" s="155"/>
      <c r="R1312" s="155"/>
      <c r="S1312" s="155"/>
      <c r="T1312" s="155"/>
      <c r="U1312" s="155"/>
      <c r="V1312" s="155"/>
      <c r="W1312" s="155"/>
      <c r="GL1312" s="155"/>
      <c r="GM1312" s="155"/>
      <c r="GN1312" s="155"/>
      <c r="GO1312" s="155"/>
      <c r="GP1312" s="155"/>
      <c r="GQ1312" s="155"/>
      <c r="GR1312" s="155"/>
      <c r="GS1312" s="155"/>
      <c r="GT1312" s="155"/>
      <c r="GU1312" s="155"/>
      <c r="GV1312" s="155"/>
      <c r="GW1312" s="155"/>
      <c r="GX1312" s="155"/>
      <c r="GY1312" s="155"/>
      <c r="GZ1312" s="155"/>
      <c r="HA1312" s="155"/>
      <c r="HB1312" s="155"/>
      <c r="HC1312" s="155"/>
      <c r="HD1312" s="155"/>
      <c r="HE1312" s="155"/>
    </row>
    <row r="1313" spans="2:213" s="156" customFormat="1" hidden="1">
      <c r="B1313" s="155"/>
      <c r="C1313" s="155"/>
      <c r="D1313" s="155"/>
      <c r="E1313" s="155"/>
      <c r="F1313" s="155"/>
      <c r="G1313" s="155"/>
      <c r="H1313" s="155"/>
      <c r="I1313" s="155"/>
      <c r="J1313" s="155"/>
      <c r="K1313" s="155"/>
      <c r="L1313" s="155"/>
      <c r="M1313" s="155"/>
      <c r="N1313" s="155"/>
      <c r="O1313" s="155"/>
      <c r="P1313" s="155"/>
      <c r="Q1313" s="155"/>
      <c r="R1313" s="155"/>
      <c r="S1313" s="155"/>
      <c r="T1313" s="155"/>
      <c r="U1313" s="155"/>
      <c r="V1313" s="155"/>
      <c r="W1313" s="155"/>
      <c r="GL1313" s="155"/>
      <c r="GM1313" s="155"/>
      <c r="GN1313" s="155"/>
      <c r="GO1313" s="155"/>
      <c r="GP1313" s="155"/>
      <c r="GQ1313" s="155"/>
      <c r="GR1313" s="155"/>
      <c r="GS1313" s="155"/>
      <c r="GT1313" s="155"/>
      <c r="GU1313" s="155"/>
      <c r="GV1313" s="155"/>
      <c r="GW1313" s="155"/>
      <c r="GX1313" s="155"/>
      <c r="GY1313" s="155"/>
      <c r="GZ1313" s="155"/>
      <c r="HA1313" s="155"/>
      <c r="HB1313" s="155"/>
      <c r="HC1313" s="155"/>
      <c r="HD1313" s="155"/>
      <c r="HE1313" s="155"/>
    </row>
    <row r="1314" spans="2:213" s="156" customFormat="1" hidden="1">
      <c r="B1314" s="155"/>
      <c r="C1314" s="155"/>
      <c r="D1314" s="155"/>
      <c r="E1314" s="155"/>
      <c r="F1314" s="155"/>
      <c r="G1314" s="155"/>
      <c r="H1314" s="155"/>
      <c r="I1314" s="155"/>
      <c r="J1314" s="155"/>
      <c r="K1314" s="155"/>
      <c r="L1314" s="155"/>
      <c r="M1314" s="155"/>
      <c r="N1314" s="155"/>
      <c r="O1314" s="155"/>
      <c r="P1314" s="155"/>
      <c r="Q1314" s="155"/>
      <c r="R1314" s="155"/>
      <c r="S1314" s="155"/>
      <c r="T1314" s="155"/>
      <c r="U1314" s="155"/>
      <c r="V1314" s="155"/>
      <c r="W1314" s="155"/>
      <c r="GL1314" s="155"/>
      <c r="GM1314" s="155"/>
      <c r="GN1314" s="155"/>
      <c r="GO1314" s="155"/>
      <c r="GP1314" s="155"/>
      <c r="GQ1314" s="155"/>
      <c r="GR1314" s="155"/>
      <c r="GS1314" s="155"/>
      <c r="GT1314" s="155"/>
      <c r="GU1314" s="155"/>
      <c r="GV1314" s="155"/>
      <c r="GW1314" s="155"/>
      <c r="GX1314" s="155"/>
      <c r="GY1314" s="155"/>
      <c r="GZ1314" s="155"/>
      <c r="HA1314" s="155"/>
      <c r="HB1314" s="155"/>
      <c r="HC1314" s="155"/>
      <c r="HD1314" s="155"/>
      <c r="HE1314" s="155"/>
    </row>
    <row r="1315" spans="2:213" s="156" customFormat="1" hidden="1">
      <c r="B1315" s="155"/>
      <c r="C1315" s="155"/>
      <c r="D1315" s="155"/>
      <c r="E1315" s="155"/>
      <c r="F1315" s="155"/>
      <c r="G1315" s="155"/>
      <c r="H1315" s="155"/>
      <c r="I1315" s="155"/>
      <c r="J1315" s="155"/>
      <c r="K1315" s="155"/>
      <c r="L1315" s="155"/>
      <c r="M1315" s="155"/>
      <c r="N1315" s="155"/>
      <c r="O1315" s="155"/>
      <c r="P1315" s="155"/>
      <c r="Q1315" s="155"/>
      <c r="R1315" s="155"/>
      <c r="S1315" s="155"/>
      <c r="T1315" s="155"/>
      <c r="U1315" s="155"/>
      <c r="V1315" s="155"/>
      <c r="W1315" s="155"/>
      <c r="GL1315" s="155"/>
      <c r="GM1315" s="155"/>
      <c r="GN1315" s="155"/>
      <c r="GO1315" s="155"/>
      <c r="GP1315" s="155"/>
      <c r="GQ1315" s="155"/>
      <c r="GR1315" s="155"/>
      <c r="GS1315" s="155"/>
      <c r="GT1315" s="155"/>
      <c r="GU1315" s="155"/>
      <c r="GV1315" s="155"/>
      <c r="GW1315" s="155"/>
      <c r="GX1315" s="155"/>
      <c r="GY1315" s="155"/>
      <c r="GZ1315" s="155"/>
      <c r="HA1315" s="155"/>
      <c r="HB1315" s="155"/>
      <c r="HC1315" s="155"/>
      <c r="HD1315" s="155"/>
      <c r="HE1315" s="155"/>
    </row>
    <row r="1316" spans="2:213" s="156" customFormat="1" hidden="1">
      <c r="B1316" s="155"/>
      <c r="C1316" s="155"/>
      <c r="D1316" s="155"/>
      <c r="E1316" s="155"/>
      <c r="F1316" s="155"/>
      <c r="G1316" s="155"/>
      <c r="H1316" s="155"/>
      <c r="I1316" s="155"/>
      <c r="J1316" s="155"/>
      <c r="K1316" s="155"/>
      <c r="L1316" s="155"/>
      <c r="M1316" s="155"/>
      <c r="N1316" s="155"/>
      <c r="O1316" s="155"/>
      <c r="P1316" s="155"/>
      <c r="Q1316" s="155"/>
      <c r="R1316" s="155"/>
      <c r="S1316" s="155"/>
      <c r="T1316" s="155"/>
      <c r="U1316" s="155"/>
      <c r="V1316" s="155"/>
      <c r="W1316" s="155"/>
      <c r="GL1316" s="155"/>
      <c r="GM1316" s="155"/>
      <c r="GN1316" s="155"/>
      <c r="GO1316" s="155"/>
      <c r="GP1316" s="155"/>
      <c r="GQ1316" s="155"/>
      <c r="GR1316" s="155"/>
      <c r="GS1316" s="155"/>
      <c r="GT1316" s="155"/>
      <c r="GU1316" s="155"/>
      <c r="GV1316" s="155"/>
      <c r="GW1316" s="155"/>
      <c r="GX1316" s="155"/>
      <c r="GY1316" s="155"/>
      <c r="GZ1316" s="155"/>
      <c r="HA1316" s="155"/>
      <c r="HB1316" s="155"/>
      <c r="HC1316" s="155"/>
      <c r="HD1316" s="155"/>
      <c r="HE1316" s="155"/>
    </row>
    <row r="1317" spans="2:213" s="156" customFormat="1" hidden="1">
      <c r="B1317" s="155"/>
      <c r="C1317" s="155"/>
      <c r="D1317" s="155"/>
      <c r="E1317" s="155"/>
      <c r="F1317" s="155"/>
      <c r="G1317" s="155"/>
      <c r="H1317" s="155"/>
      <c r="I1317" s="155"/>
      <c r="J1317" s="155"/>
      <c r="K1317" s="155"/>
      <c r="L1317" s="155"/>
      <c r="M1317" s="155"/>
      <c r="N1317" s="155"/>
      <c r="O1317" s="155"/>
      <c r="P1317" s="155"/>
      <c r="Q1317" s="155"/>
      <c r="R1317" s="155"/>
      <c r="S1317" s="155"/>
      <c r="T1317" s="155"/>
      <c r="U1317" s="155"/>
      <c r="V1317" s="155"/>
      <c r="W1317" s="155"/>
      <c r="GL1317" s="155"/>
      <c r="GM1317" s="155"/>
      <c r="GN1317" s="155"/>
      <c r="GO1317" s="155"/>
      <c r="GP1317" s="155"/>
      <c r="GQ1317" s="155"/>
      <c r="GR1317" s="155"/>
      <c r="GS1317" s="155"/>
      <c r="GT1317" s="155"/>
      <c r="GU1317" s="155"/>
      <c r="GV1317" s="155"/>
      <c r="GW1317" s="155"/>
      <c r="GX1317" s="155"/>
      <c r="GY1317" s="155"/>
      <c r="GZ1317" s="155"/>
      <c r="HA1317" s="155"/>
      <c r="HB1317" s="155"/>
      <c r="HC1317" s="155"/>
      <c r="HD1317" s="155"/>
      <c r="HE1317" s="155"/>
    </row>
    <row r="1318" spans="2:213" s="156" customFormat="1" hidden="1">
      <c r="B1318" s="155"/>
      <c r="C1318" s="155"/>
      <c r="D1318" s="155"/>
      <c r="E1318" s="155"/>
      <c r="F1318" s="155"/>
      <c r="G1318" s="155"/>
      <c r="H1318" s="155"/>
      <c r="I1318" s="155"/>
      <c r="J1318" s="155"/>
      <c r="K1318" s="155"/>
      <c r="L1318" s="155"/>
      <c r="M1318" s="155"/>
      <c r="N1318" s="155"/>
      <c r="O1318" s="155"/>
      <c r="P1318" s="155"/>
      <c r="Q1318" s="155"/>
      <c r="R1318" s="155"/>
      <c r="S1318" s="155"/>
      <c r="T1318" s="155"/>
      <c r="U1318" s="155"/>
      <c r="V1318" s="155"/>
      <c r="W1318" s="155"/>
      <c r="GL1318" s="155"/>
      <c r="GM1318" s="155"/>
      <c r="GN1318" s="155"/>
      <c r="GO1318" s="155"/>
      <c r="GP1318" s="155"/>
      <c r="GQ1318" s="155"/>
      <c r="GR1318" s="155"/>
      <c r="GS1318" s="155"/>
      <c r="GT1318" s="155"/>
      <c r="GU1318" s="155"/>
      <c r="GV1318" s="155"/>
      <c r="GW1318" s="155"/>
      <c r="GX1318" s="155"/>
      <c r="GY1318" s="155"/>
      <c r="GZ1318" s="155"/>
      <c r="HA1318" s="155"/>
      <c r="HB1318" s="155"/>
      <c r="HC1318" s="155"/>
      <c r="HD1318" s="155"/>
      <c r="HE1318" s="155"/>
    </row>
    <row r="1319" spans="2:213" s="156" customFormat="1" hidden="1">
      <c r="B1319" s="155"/>
      <c r="C1319" s="155"/>
      <c r="D1319" s="155"/>
      <c r="E1319" s="155"/>
      <c r="F1319" s="155"/>
      <c r="G1319" s="155"/>
      <c r="H1319" s="155"/>
      <c r="I1319" s="155"/>
      <c r="J1319" s="155"/>
      <c r="K1319" s="155"/>
      <c r="L1319" s="155"/>
      <c r="M1319" s="155"/>
      <c r="N1319" s="155"/>
      <c r="O1319" s="155"/>
      <c r="P1319" s="155"/>
      <c r="Q1319" s="155"/>
      <c r="R1319" s="155"/>
      <c r="S1319" s="155"/>
      <c r="T1319" s="155"/>
      <c r="U1319" s="155"/>
      <c r="V1319" s="155"/>
      <c r="W1319" s="155"/>
      <c r="GL1319" s="155"/>
      <c r="GM1319" s="155"/>
      <c r="GN1319" s="155"/>
      <c r="GO1319" s="155"/>
      <c r="GP1319" s="155"/>
      <c r="GQ1319" s="155"/>
      <c r="GR1319" s="155"/>
      <c r="GS1319" s="155"/>
      <c r="GT1319" s="155"/>
      <c r="GU1319" s="155"/>
      <c r="GV1319" s="155"/>
      <c r="GW1319" s="155"/>
      <c r="GX1319" s="155"/>
      <c r="GY1319" s="155"/>
      <c r="GZ1319" s="155"/>
      <c r="HA1319" s="155"/>
      <c r="HB1319" s="155"/>
      <c r="HC1319" s="155"/>
      <c r="HD1319" s="155"/>
      <c r="HE1319" s="155"/>
    </row>
    <row r="1320" spans="2:213" s="156" customFormat="1" hidden="1">
      <c r="B1320" s="155"/>
      <c r="C1320" s="155"/>
      <c r="D1320" s="155"/>
      <c r="E1320" s="155"/>
      <c r="F1320" s="155"/>
      <c r="G1320" s="155"/>
      <c r="H1320" s="155"/>
      <c r="I1320" s="155"/>
      <c r="J1320" s="155"/>
      <c r="K1320" s="155"/>
      <c r="L1320" s="155"/>
      <c r="M1320" s="155"/>
      <c r="N1320" s="155"/>
      <c r="O1320" s="155"/>
      <c r="P1320" s="155"/>
      <c r="Q1320" s="155"/>
      <c r="R1320" s="155"/>
      <c r="S1320" s="155"/>
      <c r="T1320" s="155"/>
      <c r="U1320" s="155"/>
      <c r="V1320" s="155"/>
      <c r="W1320" s="155"/>
      <c r="GL1320" s="155"/>
      <c r="GM1320" s="155"/>
      <c r="GN1320" s="155"/>
      <c r="GO1320" s="155"/>
      <c r="GP1320" s="155"/>
      <c r="GQ1320" s="155"/>
      <c r="GR1320" s="155"/>
      <c r="GS1320" s="155"/>
      <c r="GT1320" s="155"/>
      <c r="GU1320" s="155"/>
      <c r="GV1320" s="155"/>
      <c r="GW1320" s="155"/>
      <c r="GX1320" s="155"/>
      <c r="GY1320" s="155"/>
      <c r="GZ1320" s="155"/>
      <c r="HA1320" s="155"/>
      <c r="HB1320" s="155"/>
      <c r="HC1320" s="155"/>
      <c r="HD1320" s="155"/>
      <c r="HE1320" s="155"/>
    </row>
    <row r="1321" spans="2:213" s="156" customFormat="1" hidden="1">
      <c r="B1321" s="155"/>
      <c r="C1321" s="155"/>
      <c r="D1321" s="155"/>
      <c r="E1321" s="155"/>
      <c r="F1321" s="155"/>
      <c r="G1321" s="155"/>
      <c r="H1321" s="155"/>
      <c r="I1321" s="155"/>
      <c r="J1321" s="155"/>
      <c r="K1321" s="155"/>
      <c r="L1321" s="155"/>
      <c r="M1321" s="155"/>
      <c r="N1321" s="155"/>
      <c r="O1321" s="155"/>
      <c r="P1321" s="155"/>
      <c r="Q1321" s="155"/>
      <c r="R1321" s="155"/>
      <c r="S1321" s="155"/>
      <c r="T1321" s="155"/>
      <c r="U1321" s="155"/>
      <c r="V1321" s="155"/>
      <c r="W1321" s="155"/>
      <c r="GL1321" s="155"/>
      <c r="GM1321" s="155"/>
      <c r="GN1321" s="155"/>
      <c r="GO1321" s="155"/>
      <c r="GP1321" s="155"/>
      <c r="GQ1321" s="155"/>
      <c r="GR1321" s="155"/>
      <c r="GS1321" s="155"/>
      <c r="GT1321" s="155"/>
      <c r="GU1321" s="155"/>
      <c r="GV1321" s="155"/>
      <c r="GW1321" s="155"/>
      <c r="GX1321" s="155"/>
      <c r="GY1321" s="155"/>
      <c r="GZ1321" s="155"/>
      <c r="HA1321" s="155"/>
      <c r="HB1321" s="155"/>
      <c r="HC1321" s="155"/>
      <c r="HD1321" s="155"/>
      <c r="HE1321" s="155"/>
    </row>
    <row r="1322" spans="2:213" s="156" customFormat="1" hidden="1">
      <c r="B1322" s="155"/>
      <c r="C1322" s="155"/>
      <c r="D1322" s="155"/>
      <c r="E1322" s="155"/>
      <c r="F1322" s="155"/>
      <c r="G1322" s="155"/>
      <c r="H1322" s="155"/>
      <c r="I1322" s="155"/>
      <c r="J1322" s="155"/>
      <c r="K1322" s="155"/>
      <c r="L1322" s="155"/>
      <c r="M1322" s="155"/>
      <c r="N1322" s="155"/>
      <c r="O1322" s="155"/>
      <c r="P1322" s="155"/>
      <c r="Q1322" s="155"/>
      <c r="R1322" s="155"/>
      <c r="S1322" s="155"/>
      <c r="T1322" s="155"/>
      <c r="U1322" s="155"/>
      <c r="V1322" s="155"/>
      <c r="W1322" s="155"/>
      <c r="GL1322" s="155"/>
      <c r="GM1322" s="155"/>
      <c r="GN1322" s="155"/>
      <c r="GO1322" s="155"/>
      <c r="GP1322" s="155"/>
      <c r="GQ1322" s="155"/>
      <c r="GR1322" s="155"/>
      <c r="GS1322" s="155"/>
      <c r="GT1322" s="155"/>
      <c r="GU1322" s="155"/>
      <c r="GV1322" s="155"/>
      <c r="GW1322" s="155"/>
      <c r="GX1322" s="155"/>
      <c r="GY1322" s="155"/>
      <c r="GZ1322" s="155"/>
      <c r="HA1322" s="155"/>
      <c r="HB1322" s="155"/>
      <c r="HC1322" s="155"/>
      <c r="HD1322" s="155"/>
      <c r="HE1322" s="155"/>
    </row>
    <row r="1323" spans="2:213" s="156" customFormat="1" hidden="1">
      <c r="B1323" s="155"/>
      <c r="C1323" s="155"/>
      <c r="D1323" s="155"/>
      <c r="E1323" s="155"/>
      <c r="F1323" s="155"/>
      <c r="G1323" s="155"/>
      <c r="H1323" s="155"/>
      <c r="I1323" s="155"/>
      <c r="J1323" s="155"/>
      <c r="K1323" s="155"/>
      <c r="L1323" s="155"/>
      <c r="M1323" s="155"/>
      <c r="N1323" s="155"/>
      <c r="O1323" s="155"/>
      <c r="P1323" s="155"/>
      <c r="Q1323" s="155"/>
      <c r="R1323" s="155"/>
      <c r="S1323" s="155"/>
      <c r="T1323" s="155"/>
      <c r="U1323" s="155"/>
      <c r="V1323" s="155"/>
      <c r="W1323" s="155"/>
      <c r="GL1323" s="155"/>
      <c r="GM1323" s="155"/>
      <c r="GN1323" s="155"/>
      <c r="GO1323" s="155"/>
      <c r="GP1323" s="155"/>
      <c r="GQ1323" s="155"/>
      <c r="GR1323" s="155"/>
      <c r="GS1323" s="155"/>
      <c r="GT1323" s="155"/>
      <c r="GU1323" s="155"/>
      <c r="GV1323" s="155"/>
      <c r="GW1323" s="155"/>
      <c r="GX1323" s="155"/>
      <c r="GY1323" s="155"/>
      <c r="GZ1323" s="155"/>
      <c r="HA1323" s="155"/>
      <c r="HB1323" s="155"/>
      <c r="HC1323" s="155"/>
      <c r="HD1323" s="155"/>
      <c r="HE1323" s="155"/>
    </row>
    <row r="1324" spans="2:213" s="156" customFormat="1" hidden="1">
      <c r="B1324" s="155"/>
      <c r="C1324" s="155"/>
      <c r="D1324" s="155"/>
      <c r="E1324" s="155"/>
      <c r="F1324" s="155"/>
      <c r="G1324" s="155"/>
      <c r="H1324" s="155"/>
      <c r="I1324" s="155"/>
      <c r="J1324" s="155"/>
      <c r="K1324" s="155"/>
      <c r="L1324" s="155"/>
      <c r="M1324" s="155"/>
      <c r="N1324" s="155"/>
      <c r="O1324" s="155"/>
      <c r="P1324" s="155"/>
      <c r="Q1324" s="155"/>
      <c r="R1324" s="155"/>
      <c r="S1324" s="155"/>
      <c r="T1324" s="155"/>
      <c r="U1324" s="155"/>
      <c r="V1324" s="155"/>
      <c r="W1324" s="155"/>
      <c r="GL1324" s="155"/>
      <c r="GM1324" s="155"/>
      <c r="GN1324" s="155"/>
      <c r="GO1324" s="155"/>
      <c r="GP1324" s="155"/>
      <c r="GQ1324" s="155"/>
      <c r="GR1324" s="155"/>
      <c r="GS1324" s="155"/>
      <c r="GT1324" s="155"/>
      <c r="GU1324" s="155"/>
      <c r="GV1324" s="155"/>
      <c r="GW1324" s="155"/>
      <c r="GX1324" s="155"/>
      <c r="GY1324" s="155"/>
      <c r="GZ1324" s="155"/>
      <c r="HA1324" s="155"/>
      <c r="HB1324" s="155"/>
      <c r="HC1324" s="155"/>
      <c r="HD1324" s="155"/>
      <c r="HE1324" s="155"/>
    </row>
    <row r="1325" spans="2:213" s="156" customFormat="1" hidden="1">
      <c r="B1325" s="155"/>
      <c r="C1325" s="155"/>
      <c r="D1325" s="155"/>
      <c r="E1325" s="155"/>
      <c r="F1325" s="155"/>
      <c r="G1325" s="155"/>
      <c r="H1325" s="155"/>
      <c r="I1325" s="155"/>
      <c r="J1325" s="155"/>
      <c r="K1325" s="155"/>
      <c r="L1325" s="155"/>
      <c r="M1325" s="155"/>
      <c r="N1325" s="155"/>
      <c r="O1325" s="155"/>
      <c r="P1325" s="155"/>
      <c r="Q1325" s="155"/>
      <c r="R1325" s="155"/>
      <c r="S1325" s="155"/>
      <c r="T1325" s="155"/>
      <c r="U1325" s="155"/>
      <c r="V1325" s="155"/>
      <c r="W1325" s="155"/>
      <c r="GL1325" s="155"/>
      <c r="GM1325" s="155"/>
      <c r="GN1325" s="155"/>
      <c r="GO1325" s="155"/>
      <c r="GP1325" s="155"/>
      <c r="GQ1325" s="155"/>
      <c r="GR1325" s="155"/>
      <c r="GS1325" s="155"/>
      <c r="GT1325" s="155"/>
      <c r="GU1325" s="155"/>
      <c r="GV1325" s="155"/>
      <c r="GW1325" s="155"/>
      <c r="GX1325" s="155"/>
      <c r="GY1325" s="155"/>
      <c r="GZ1325" s="155"/>
      <c r="HA1325" s="155"/>
      <c r="HB1325" s="155"/>
      <c r="HC1325" s="155"/>
      <c r="HD1325" s="155"/>
      <c r="HE1325" s="155"/>
    </row>
    <row r="1326" spans="2:213" s="156" customFormat="1" hidden="1">
      <c r="B1326" s="155"/>
      <c r="C1326" s="155"/>
      <c r="D1326" s="155"/>
      <c r="E1326" s="155"/>
      <c r="F1326" s="155"/>
      <c r="G1326" s="155"/>
      <c r="H1326" s="155"/>
      <c r="I1326" s="155"/>
      <c r="J1326" s="155"/>
      <c r="K1326" s="155"/>
      <c r="L1326" s="155"/>
      <c r="M1326" s="155"/>
      <c r="N1326" s="155"/>
      <c r="O1326" s="155"/>
      <c r="P1326" s="155"/>
      <c r="Q1326" s="155"/>
      <c r="R1326" s="155"/>
      <c r="S1326" s="155"/>
      <c r="T1326" s="155"/>
      <c r="U1326" s="155"/>
      <c r="V1326" s="155"/>
      <c r="W1326" s="155"/>
      <c r="GL1326" s="155"/>
      <c r="GM1326" s="155"/>
      <c r="GN1326" s="155"/>
      <c r="GO1326" s="155"/>
      <c r="GP1326" s="155"/>
      <c r="GQ1326" s="155"/>
      <c r="GR1326" s="155"/>
      <c r="GS1326" s="155"/>
      <c r="GT1326" s="155"/>
      <c r="GU1326" s="155"/>
      <c r="GV1326" s="155"/>
      <c r="GW1326" s="155"/>
      <c r="GX1326" s="155"/>
      <c r="GY1326" s="155"/>
      <c r="GZ1326" s="155"/>
      <c r="HA1326" s="155"/>
      <c r="HB1326" s="155"/>
      <c r="HC1326" s="155"/>
      <c r="HD1326" s="155"/>
      <c r="HE1326" s="155"/>
    </row>
    <row r="1327" spans="2:213" s="156" customFormat="1" hidden="1">
      <c r="B1327" s="155"/>
      <c r="C1327" s="155"/>
      <c r="D1327" s="155"/>
      <c r="E1327" s="155"/>
      <c r="F1327" s="155"/>
      <c r="G1327" s="155"/>
      <c r="H1327" s="155"/>
      <c r="I1327" s="155"/>
      <c r="J1327" s="155"/>
      <c r="K1327" s="155"/>
      <c r="L1327" s="155"/>
      <c r="M1327" s="155"/>
      <c r="N1327" s="155"/>
      <c r="O1327" s="155"/>
      <c r="P1327" s="155"/>
      <c r="Q1327" s="155"/>
      <c r="R1327" s="155"/>
      <c r="S1327" s="155"/>
      <c r="T1327" s="155"/>
      <c r="U1327" s="155"/>
      <c r="V1327" s="155"/>
      <c r="W1327" s="155"/>
      <c r="GL1327" s="155"/>
      <c r="GM1327" s="155"/>
      <c r="GN1327" s="155"/>
      <c r="GO1327" s="155"/>
      <c r="GP1327" s="155"/>
      <c r="GQ1327" s="155"/>
      <c r="GR1327" s="155"/>
      <c r="GS1327" s="155"/>
      <c r="GT1327" s="155"/>
      <c r="GU1327" s="155"/>
      <c r="GV1327" s="155"/>
      <c r="GW1327" s="155"/>
      <c r="GX1327" s="155"/>
      <c r="GY1327" s="155"/>
      <c r="GZ1327" s="155"/>
      <c r="HA1327" s="155"/>
      <c r="HB1327" s="155"/>
      <c r="HC1327" s="155"/>
      <c r="HD1327" s="155"/>
      <c r="HE1327" s="155"/>
    </row>
    <row r="1328" spans="2:213" s="156" customFormat="1" hidden="1">
      <c r="B1328" s="155"/>
      <c r="C1328" s="155"/>
      <c r="D1328" s="155"/>
      <c r="E1328" s="155"/>
      <c r="F1328" s="155"/>
      <c r="G1328" s="155"/>
      <c r="H1328" s="155"/>
      <c r="I1328" s="155"/>
      <c r="J1328" s="155"/>
      <c r="K1328" s="155"/>
      <c r="L1328" s="155"/>
      <c r="M1328" s="155"/>
      <c r="N1328" s="155"/>
      <c r="O1328" s="155"/>
      <c r="P1328" s="155"/>
      <c r="Q1328" s="155"/>
      <c r="R1328" s="155"/>
      <c r="S1328" s="155"/>
      <c r="T1328" s="155"/>
      <c r="U1328" s="155"/>
      <c r="V1328" s="155"/>
      <c r="W1328" s="155"/>
      <c r="GL1328" s="155"/>
      <c r="GM1328" s="155"/>
      <c r="GN1328" s="155"/>
      <c r="GO1328" s="155"/>
      <c r="GP1328" s="155"/>
      <c r="GQ1328" s="155"/>
      <c r="GR1328" s="155"/>
      <c r="GS1328" s="155"/>
      <c r="GT1328" s="155"/>
      <c r="GU1328" s="155"/>
      <c r="GV1328" s="155"/>
      <c r="GW1328" s="155"/>
      <c r="GX1328" s="155"/>
      <c r="GY1328" s="155"/>
      <c r="GZ1328" s="155"/>
      <c r="HA1328" s="155"/>
      <c r="HB1328" s="155"/>
      <c r="HC1328" s="155"/>
      <c r="HD1328" s="155"/>
      <c r="HE1328" s="155"/>
    </row>
    <row r="1329" spans="2:213" s="156" customFormat="1" hidden="1">
      <c r="B1329" s="155"/>
      <c r="C1329" s="155"/>
      <c r="D1329" s="155"/>
      <c r="E1329" s="155"/>
      <c r="F1329" s="155"/>
      <c r="G1329" s="155"/>
      <c r="H1329" s="155"/>
      <c r="I1329" s="155"/>
      <c r="J1329" s="155"/>
      <c r="K1329" s="155"/>
      <c r="L1329" s="155"/>
      <c r="M1329" s="155"/>
      <c r="N1329" s="155"/>
      <c r="O1329" s="155"/>
      <c r="P1329" s="155"/>
      <c r="Q1329" s="155"/>
      <c r="R1329" s="155"/>
      <c r="S1329" s="155"/>
      <c r="T1329" s="155"/>
      <c r="U1329" s="155"/>
      <c r="V1329" s="155"/>
      <c r="W1329" s="155"/>
      <c r="GL1329" s="155"/>
      <c r="GM1329" s="155"/>
      <c r="GN1329" s="155"/>
      <c r="GO1329" s="155"/>
      <c r="GP1329" s="155"/>
      <c r="GQ1329" s="155"/>
      <c r="GR1329" s="155"/>
      <c r="GS1329" s="155"/>
      <c r="GT1329" s="155"/>
      <c r="GU1329" s="155"/>
      <c r="GV1329" s="155"/>
      <c r="GW1329" s="155"/>
      <c r="GX1329" s="155"/>
      <c r="GY1329" s="155"/>
      <c r="GZ1329" s="155"/>
      <c r="HA1329" s="155"/>
      <c r="HB1329" s="155"/>
      <c r="HC1329" s="155"/>
      <c r="HD1329" s="155"/>
      <c r="HE1329" s="155"/>
    </row>
    <row r="1330" spans="2:213" s="156" customFormat="1" hidden="1">
      <c r="B1330" s="155"/>
      <c r="C1330" s="155"/>
      <c r="D1330" s="155"/>
      <c r="E1330" s="155"/>
      <c r="F1330" s="155"/>
      <c r="G1330" s="155"/>
      <c r="H1330" s="155"/>
      <c r="I1330" s="155"/>
      <c r="J1330" s="155"/>
      <c r="K1330" s="155"/>
      <c r="L1330" s="155"/>
      <c r="M1330" s="155"/>
      <c r="N1330" s="155"/>
      <c r="O1330" s="155"/>
      <c r="P1330" s="155"/>
      <c r="Q1330" s="155"/>
      <c r="R1330" s="155"/>
      <c r="S1330" s="155"/>
      <c r="T1330" s="155"/>
      <c r="U1330" s="155"/>
      <c r="V1330" s="155"/>
      <c r="W1330" s="155"/>
      <c r="GL1330" s="155"/>
      <c r="GM1330" s="155"/>
      <c r="GN1330" s="155"/>
      <c r="GO1330" s="155"/>
      <c r="GP1330" s="155"/>
      <c r="GQ1330" s="155"/>
      <c r="GR1330" s="155"/>
      <c r="GS1330" s="155"/>
      <c r="GT1330" s="155"/>
      <c r="GU1330" s="155"/>
      <c r="GV1330" s="155"/>
      <c r="GW1330" s="155"/>
      <c r="GX1330" s="155"/>
      <c r="GY1330" s="155"/>
      <c r="GZ1330" s="155"/>
      <c r="HA1330" s="155"/>
      <c r="HB1330" s="155"/>
      <c r="HC1330" s="155"/>
      <c r="HD1330" s="155"/>
      <c r="HE1330" s="155"/>
    </row>
    <row r="1331" spans="2:213" s="156" customFormat="1" hidden="1">
      <c r="B1331" s="155"/>
      <c r="C1331" s="155"/>
      <c r="D1331" s="155"/>
      <c r="E1331" s="155"/>
      <c r="F1331" s="155"/>
      <c r="G1331" s="155"/>
      <c r="H1331" s="155"/>
      <c r="I1331" s="155"/>
      <c r="J1331" s="155"/>
      <c r="K1331" s="155"/>
      <c r="L1331" s="155"/>
      <c r="M1331" s="155"/>
      <c r="N1331" s="155"/>
      <c r="O1331" s="155"/>
      <c r="P1331" s="155"/>
      <c r="Q1331" s="155"/>
      <c r="R1331" s="155"/>
      <c r="S1331" s="155"/>
      <c r="T1331" s="155"/>
      <c r="U1331" s="155"/>
      <c r="V1331" s="155"/>
      <c r="W1331" s="155"/>
      <c r="GL1331" s="155"/>
      <c r="GM1331" s="155"/>
      <c r="GN1331" s="155"/>
      <c r="GO1331" s="155"/>
      <c r="GP1331" s="155"/>
      <c r="GQ1331" s="155"/>
      <c r="GR1331" s="155"/>
      <c r="GS1331" s="155"/>
      <c r="GT1331" s="155"/>
      <c r="GU1331" s="155"/>
      <c r="GV1331" s="155"/>
      <c r="GW1331" s="155"/>
      <c r="GX1331" s="155"/>
      <c r="GY1331" s="155"/>
      <c r="GZ1331" s="155"/>
      <c r="HA1331" s="155"/>
      <c r="HB1331" s="155"/>
      <c r="HC1331" s="155"/>
      <c r="HD1331" s="155"/>
      <c r="HE1331" s="155"/>
    </row>
    <row r="1332" spans="2:213" s="156" customFormat="1" hidden="1">
      <c r="B1332" s="155"/>
      <c r="C1332" s="155"/>
      <c r="D1332" s="155"/>
      <c r="E1332" s="155"/>
      <c r="F1332" s="155"/>
      <c r="G1332" s="155"/>
      <c r="H1332" s="155"/>
      <c r="I1332" s="155"/>
      <c r="J1332" s="155"/>
      <c r="K1332" s="155"/>
      <c r="L1332" s="155"/>
      <c r="M1332" s="155"/>
      <c r="N1332" s="155"/>
      <c r="O1332" s="155"/>
      <c r="P1332" s="155"/>
      <c r="Q1332" s="155"/>
      <c r="R1332" s="155"/>
      <c r="S1332" s="155"/>
      <c r="T1332" s="155"/>
      <c r="U1332" s="155"/>
      <c r="V1332" s="155"/>
      <c r="W1332" s="155"/>
      <c r="GL1332" s="155"/>
      <c r="GM1332" s="155"/>
      <c r="GN1332" s="155"/>
      <c r="GO1332" s="155"/>
      <c r="GP1332" s="155"/>
      <c r="GQ1332" s="155"/>
      <c r="GR1332" s="155"/>
      <c r="GS1332" s="155"/>
      <c r="GT1332" s="155"/>
      <c r="GU1332" s="155"/>
      <c r="GV1332" s="155"/>
      <c r="GW1332" s="155"/>
      <c r="GX1332" s="155"/>
      <c r="GY1332" s="155"/>
      <c r="GZ1332" s="155"/>
      <c r="HA1332" s="155"/>
      <c r="HB1332" s="155"/>
      <c r="HC1332" s="155"/>
      <c r="HD1332" s="155"/>
      <c r="HE1332" s="155"/>
    </row>
    <row r="1333" spans="2:213" s="156" customFormat="1" hidden="1">
      <c r="B1333" s="155"/>
      <c r="C1333" s="155"/>
      <c r="D1333" s="155"/>
      <c r="E1333" s="155"/>
      <c r="F1333" s="155"/>
      <c r="G1333" s="155"/>
      <c r="H1333" s="155"/>
      <c r="I1333" s="155"/>
      <c r="J1333" s="155"/>
      <c r="K1333" s="155"/>
      <c r="L1333" s="155"/>
      <c r="M1333" s="155"/>
      <c r="N1333" s="155"/>
      <c r="O1333" s="155"/>
      <c r="P1333" s="155"/>
      <c r="Q1333" s="155"/>
      <c r="R1333" s="155"/>
      <c r="S1333" s="155"/>
      <c r="T1333" s="155"/>
      <c r="U1333" s="155"/>
      <c r="V1333" s="155"/>
      <c r="W1333" s="155"/>
      <c r="GL1333" s="155"/>
      <c r="GM1333" s="155"/>
      <c r="GN1333" s="155"/>
      <c r="GO1333" s="155"/>
      <c r="GP1333" s="155"/>
      <c r="GQ1333" s="155"/>
      <c r="GR1333" s="155"/>
      <c r="GS1333" s="155"/>
      <c r="GT1333" s="155"/>
      <c r="GU1333" s="155"/>
      <c r="GV1333" s="155"/>
      <c r="GW1333" s="155"/>
      <c r="GX1333" s="155"/>
      <c r="GY1333" s="155"/>
      <c r="GZ1333" s="155"/>
      <c r="HA1333" s="155"/>
      <c r="HB1333" s="155"/>
      <c r="HC1333" s="155"/>
      <c r="HD1333" s="155"/>
      <c r="HE1333" s="155"/>
    </row>
    <row r="1334" spans="2:213" s="156" customFormat="1" hidden="1">
      <c r="B1334" s="155"/>
      <c r="C1334" s="155"/>
      <c r="D1334" s="155"/>
      <c r="E1334" s="155"/>
      <c r="F1334" s="155"/>
      <c r="G1334" s="155"/>
      <c r="H1334" s="155"/>
      <c r="I1334" s="155"/>
      <c r="J1334" s="155"/>
      <c r="K1334" s="155"/>
      <c r="L1334" s="155"/>
      <c r="M1334" s="155"/>
      <c r="N1334" s="155"/>
      <c r="O1334" s="155"/>
      <c r="P1334" s="155"/>
      <c r="Q1334" s="155"/>
      <c r="R1334" s="155"/>
      <c r="S1334" s="155"/>
      <c r="T1334" s="155"/>
      <c r="U1334" s="155"/>
      <c r="V1334" s="155"/>
      <c r="W1334" s="155"/>
      <c r="GL1334" s="155"/>
      <c r="GM1334" s="155"/>
      <c r="GN1334" s="155"/>
      <c r="GO1334" s="155"/>
      <c r="GP1334" s="155"/>
      <c r="GQ1334" s="155"/>
      <c r="GR1334" s="155"/>
      <c r="GS1334" s="155"/>
      <c r="GT1334" s="155"/>
      <c r="GU1334" s="155"/>
      <c r="GV1334" s="155"/>
      <c r="GW1334" s="155"/>
      <c r="GX1334" s="155"/>
      <c r="GY1334" s="155"/>
      <c r="GZ1334" s="155"/>
      <c r="HA1334" s="155"/>
      <c r="HB1334" s="155"/>
      <c r="HC1334" s="155"/>
      <c r="HD1334" s="155"/>
      <c r="HE1334" s="155"/>
    </row>
    <row r="1335" spans="2:213" s="156" customFormat="1" hidden="1">
      <c r="B1335" s="155"/>
      <c r="C1335" s="155"/>
      <c r="D1335" s="155"/>
      <c r="E1335" s="155"/>
      <c r="F1335" s="155"/>
      <c r="G1335" s="155"/>
      <c r="H1335" s="155"/>
      <c r="I1335" s="155"/>
      <c r="J1335" s="155"/>
      <c r="K1335" s="155"/>
      <c r="L1335" s="155"/>
      <c r="M1335" s="155"/>
      <c r="N1335" s="155"/>
      <c r="O1335" s="155"/>
      <c r="P1335" s="155"/>
      <c r="Q1335" s="155"/>
      <c r="R1335" s="155"/>
      <c r="S1335" s="155"/>
      <c r="T1335" s="155"/>
      <c r="U1335" s="155"/>
      <c r="V1335" s="155"/>
      <c r="W1335" s="155"/>
      <c r="GL1335" s="155"/>
      <c r="GM1335" s="155"/>
      <c r="GN1335" s="155"/>
      <c r="GO1335" s="155"/>
      <c r="GP1335" s="155"/>
      <c r="GQ1335" s="155"/>
      <c r="GR1335" s="155"/>
      <c r="GS1335" s="155"/>
      <c r="GT1335" s="155"/>
      <c r="GU1335" s="155"/>
      <c r="GV1335" s="155"/>
      <c r="GW1335" s="155"/>
      <c r="GX1335" s="155"/>
      <c r="GY1335" s="155"/>
      <c r="GZ1335" s="155"/>
      <c r="HA1335" s="155"/>
      <c r="HB1335" s="155"/>
      <c r="HC1335" s="155"/>
      <c r="HD1335" s="155"/>
      <c r="HE1335" s="155"/>
    </row>
    <row r="1336" spans="2:213" s="156" customFormat="1" hidden="1">
      <c r="B1336" s="155"/>
      <c r="C1336" s="155"/>
      <c r="D1336" s="155"/>
      <c r="E1336" s="155"/>
      <c r="F1336" s="155"/>
      <c r="G1336" s="155"/>
      <c r="H1336" s="155"/>
      <c r="I1336" s="155"/>
      <c r="J1336" s="155"/>
      <c r="K1336" s="155"/>
      <c r="L1336" s="155"/>
      <c r="M1336" s="155"/>
      <c r="N1336" s="155"/>
      <c r="O1336" s="155"/>
      <c r="P1336" s="155"/>
      <c r="Q1336" s="155"/>
      <c r="R1336" s="155"/>
      <c r="S1336" s="155"/>
      <c r="T1336" s="155"/>
      <c r="U1336" s="155"/>
      <c r="V1336" s="155"/>
      <c r="W1336" s="155"/>
      <c r="GL1336" s="155"/>
      <c r="GM1336" s="155"/>
      <c r="GN1336" s="155"/>
      <c r="GO1336" s="155"/>
      <c r="GP1336" s="155"/>
      <c r="GQ1336" s="155"/>
      <c r="GR1336" s="155"/>
      <c r="GS1336" s="155"/>
      <c r="GT1336" s="155"/>
      <c r="GU1336" s="155"/>
      <c r="GV1336" s="155"/>
      <c r="GW1336" s="155"/>
      <c r="GX1336" s="155"/>
      <c r="GY1336" s="155"/>
      <c r="GZ1336" s="155"/>
      <c r="HA1336" s="155"/>
      <c r="HB1336" s="155"/>
      <c r="HC1336" s="155"/>
      <c r="HD1336" s="155"/>
      <c r="HE1336" s="155"/>
    </row>
    <row r="1337" spans="2:213" s="156" customFormat="1" hidden="1">
      <c r="B1337" s="155"/>
      <c r="C1337" s="155"/>
      <c r="D1337" s="155"/>
      <c r="E1337" s="155"/>
      <c r="F1337" s="155"/>
      <c r="G1337" s="155"/>
      <c r="H1337" s="155"/>
      <c r="I1337" s="155"/>
      <c r="J1337" s="155"/>
      <c r="K1337" s="155"/>
      <c r="L1337" s="155"/>
      <c r="M1337" s="155"/>
      <c r="N1337" s="155"/>
      <c r="O1337" s="155"/>
      <c r="P1337" s="155"/>
      <c r="Q1337" s="155"/>
      <c r="R1337" s="155"/>
      <c r="S1337" s="155"/>
      <c r="T1337" s="155"/>
      <c r="U1337" s="155"/>
      <c r="V1337" s="155"/>
      <c r="W1337" s="155"/>
      <c r="GL1337" s="155"/>
      <c r="GM1337" s="155"/>
      <c r="GN1337" s="155"/>
      <c r="GO1337" s="155"/>
      <c r="GP1337" s="155"/>
      <c r="GQ1337" s="155"/>
      <c r="GR1337" s="155"/>
      <c r="GS1337" s="155"/>
      <c r="GT1337" s="155"/>
      <c r="GU1337" s="155"/>
      <c r="GV1337" s="155"/>
      <c r="GW1337" s="155"/>
      <c r="GX1337" s="155"/>
      <c r="GY1337" s="155"/>
      <c r="GZ1337" s="155"/>
      <c r="HA1337" s="155"/>
      <c r="HB1337" s="155"/>
      <c r="HC1337" s="155"/>
      <c r="HD1337" s="155"/>
      <c r="HE1337" s="155"/>
    </row>
    <row r="1338" spans="2:213" s="156" customFormat="1" hidden="1">
      <c r="B1338" s="155"/>
      <c r="C1338" s="155"/>
      <c r="D1338" s="155"/>
      <c r="E1338" s="155"/>
      <c r="F1338" s="155"/>
      <c r="G1338" s="155"/>
      <c r="H1338" s="155"/>
      <c r="I1338" s="155"/>
      <c r="J1338" s="155"/>
      <c r="K1338" s="155"/>
      <c r="L1338" s="155"/>
      <c r="M1338" s="155"/>
      <c r="N1338" s="155"/>
      <c r="O1338" s="155"/>
      <c r="P1338" s="155"/>
      <c r="Q1338" s="155"/>
      <c r="R1338" s="155"/>
      <c r="S1338" s="155"/>
      <c r="T1338" s="155"/>
      <c r="U1338" s="155"/>
      <c r="V1338" s="155"/>
      <c r="W1338" s="155"/>
      <c r="GL1338" s="155"/>
      <c r="GM1338" s="155"/>
      <c r="GN1338" s="155"/>
      <c r="GO1338" s="155"/>
      <c r="GP1338" s="155"/>
      <c r="GQ1338" s="155"/>
      <c r="GR1338" s="155"/>
      <c r="GS1338" s="155"/>
      <c r="GT1338" s="155"/>
      <c r="GU1338" s="155"/>
      <c r="GV1338" s="155"/>
      <c r="GW1338" s="155"/>
      <c r="GX1338" s="155"/>
      <c r="GY1338" s="155"/>
      <c r="GZ1338" s="155"/>
      <c r="HA1338" s="155"/>
      <c r="HB1338" s="155"/>
      <c r="HC1338" s="155"/>
      <c r="HD1338" s="155"/>
      <c r="HE1338" s="155"/>
    </row>
    <row r="1339" spans="2:213" s="156" customFormat="1" hidden="1">
      <c r="B1339" s="155"/>
      <c r="C1339" s="155"/>
      <c r="D1339" s="155"/>
      <c r="E1339" s="155"/>
      <c r="F1339" s="155"/>
      <c r="G1339" s="155"/>
      <c r="H1339" s="155"/>
      <c r="I1339" s="155"/>
      <c r="J1339" s="155"/>
      <c r="K1339" s="155"/>
      <c r="L1339" s="155"/>
      <c r="M1339" s="155"/>
      <c r="N1339" s="155"/>
      <c r="O1339" s="155"/>
      <c r="P1339" s="155"/>
      <c r="Q1339" s="155"/>
      <c r="R1339" s="155"/>
      <c r="S1339" s="155"/>
      <c r="T1339" s="155"/>
      <c r="U1339" s="155"/>
      <c r="V1339" s="155"/>
      <c r="W1339" s="155"/>
      <c r="GL1339" s="155"/>
      <c r="GM1339" s="155"/>
      <c r="GN1339" s="155"/>
      <c r="GO1339" s="155"/>
      <c r="GP1339" s="155"/>
      <c r="GQ1339" s="155"/>
      <c r="GR1339" s="155"/>
      <c r="GS1339" s="155"/>
      <c r="GT1339" s="155"/>
      <c r="GU1339" s="155"/>
      <c r="GV1339" s="155"/>
      <c r="GW1339" s="155"/>
      <c r="GX1339" s="155"/>
      <c r="GY1339" s="155"/>
      <c r="GZ1339" s="155"/>
      <c r="HA1339" s="155"/>
      <c r="HB1339" s="155"/>
      <c r="HC1339" s="155"/>
      <c r="HD1339" s="155"/>
      <c r="HE1339" s="155"/>
    </row>
    <row r="1340" spans="2:213" s="156" customFormat="1" hidden="1">
      <c r="B1340" s="155"/>
      <c r="C1340" s="155"/>
      <c r="D1340" s="155"/>
      <c r="E1340" s="155"/>
      <c r="F1340" s="155"/>
      <c r="G1340" s="155"/>
      <c r="H1340" s="155"/>
      <c r="I1340" s="155"/>
      <c r="J1340" s="155"/>
      <c r="K1340" s="155"/>
      <c r="L1340" s="155"/>
      <c r="M1340" s="155"/>
      <c r="N1340" s="155"/>
      <c r="O1340" s="155"/>
      <c r="P1340" s="155"/>
      <c r="Q1340" s="155"/>
      <c r="R1340" s="155"/>
      <c r="S1340" s="155"/>
      <c r="T1340" s="155"/>
      <c r="U1340" s="155"/>
      <c r="V1340" s="155"/>
      <c r="W1340" s="155"/>
      <c r="GL1340" s="155"/>
      <c r="GM1340" s="155"/>
      <c r="GN1340" s="155"/>
      <c r="GO1340" s="155"/>
      <c r="GP1340" s="155"/>
      <c r="GQ1340" s="155"/>
      <c r="GR1340" s="155"/>
      <c r="GS1340" s="155"/>
      <c r="GT1340" s="155"/>
      <c r="GU1340" s="155"/>
      <c r="GV1340" s="155"/>
      <c r="GW1340" s="155"/>
      <c r="GX1340" s="155"/>
      <c r="GY1340" s="155"/>
      <c r="GZ1340" s="155"/>
      <c r="HA1340" s="155"/>
      <c r="HB1340" s="155"/>
      <c r="HC1340" s="155"/>
      <c r="HD1340" s="155"/>
      <c r="HE1340" s="155"/>
    </row>
    <row r="1341" spans="2:213" s="156" customFormat="1" hidden="1">
      <c r="B1341" s="155"/>
      <c r="C1341" s="155"/>
      <c r="D1341" s="155"/>
      <c r="E1341" s="155"/>
      <c r="F1341" s="155"/>
      <c r="G1341" s="155"/>
      <c r="H1341" s="155"/>
      <c r="I1341" s="155"/>
      <c r="J1341" s="155"/>
      <c r="K1341" s="155"/>
      <c r="L1341" s="155"/>
      <c r="M1341" s="155"/>
      <c r="N1341" s="155"/>
      <c r="O1341" s="155"/>
      <c r="P1341" s="155"/>
      <c r="Q1341" s="155"/>
      <c r="R1341" s="155"/>
      <c r="S1341" s="155"/>
      <c r="T1341" s="155"/>
      <c r="U1341" s="155"/>
      <c r="V1341" s="155"/>
      <c r="W1341" s="155"/>
      <c r="GL1341" s="155"/>
      <c r="GM1341" s="155"/>
      <c r="GN1341" s="155"/>
      <c r="GO1341" s="155"/>
      <c r="GP1341" s="155"/>
      <c r="GQ1341" s="155"/>
      <c r="GR1341" s="155"/>
      <c r="GS1341" s="155"/>
      <c r="GT1341" s="155"/>
      <c r="GU1341" s="155"/>
      <c r="GV1341" s="155"/>
      <c r="GW1341" s="155"/>
      <c r="GX1341" s="155"/>
      <c r="GY1341" s="155"/>
      <c r="GZ1341" s="155"/>
      <c r="HA1341" s="155"/>
      <c r="HB1341" s="155"/>
      <c r="HC1341" s="155"/>
      <c r="HD1341" s="155"/>
      <c r="HE1341" s="155"/>
    </row>
    <row r="1342" spans="2:213" s="156" customFormat="1" hidden="1">
      <c r="B1342" s="155"/>
      <c r="C1342" s="155"/>
      <c r="D1342" s="155"/>
      <c r="E1342" s="155"/>
      <c r="F1342" s="155"/>
      <c r="G1342" s="155"/>
      <c r="H1342" s="155"/>
      <c r="I1342" s="155"/>
      <c r="J1342" s="155"/>
      <c r="K1342" s="155"/>
      <c r="L1342" s="155"/>
      <c r="M1342" s="155"/>
      <c r="N1342" s="155"/>
      <c r="O1342" s="155"/>
      <c r="P1342" s="155"/>
      <c r="Q1342" s="155"/>
      <c r="R1342" s="155"/>
      <c r="S1342" s="155"/>
      <c r="T1342" s="155"/>
      <c r="U1342" s="155"/>
      <c r="V1342" s="155"/>
      <c r="W1342" s="155"/>
      <c r="GL1342" s="155"/>
      <c r="GM1342" s="155"/>
      <c r="GN1342" s="155"/>
      <c r="GO1342" s="155"/>
      <c r="GP1342" s="155"/>
      <c r="GQ1342" s="155"/>
      <c r="GR1342" s="155"/>
      <c r="GS1342" s="155"/>
      <c r="GT1342" s="155"/>
      <c r="GU1342" s="155"/>
      <c r="GV1342" s="155"/>
      <c r="GW1342" s="155"/>
      <c r="GX1342" s="155"/>
      <c r="GY1342" s="155"/>
      <c r="GZ1342" s="155"/>
      <c r="HA1342" s="155"/>
      <c r="HB1342" s="155"/>
      <c r="HC1342" s="155"/>
      <c r="HD1342" s="155"/>
      <c r="HE1342" s="155"/>
    </row>
    <row r="1343" spans="2:213" s="156" customFormat="1" hidden="1">
      <c r="B1343" s="155"/>
      <c r="C1343" s="155"/>
      <c r="D1343" s="155"/>
      <c r="E1343" s="155"/>
      <c r="F1343" s="155"/>
      <c r="G1343" s="155"/>
      <c r="H1343" s="155"/>
      <c r="I1343" s="155"/>
      <c r="J1343" s="155"/>
      <c r="K1343" s="155"/>
      <c r="L1343" s="155"/>
      <c r="M1343" s="155"/>
      <c r="N1343" s="155"/>
      <c r="O1343" s="155"/>
      <c r="P1343" s="155"/>
      <c r="Q1343" s="155"/>
      <c r="R1343" s="155"/>
      <c r="S1343" s="155"/>
      <c r="T1343" s="155"/>
      <c r="U1343" s="155"/>
      <c r="V1343" s="155"/>
      <c r="W1343" s="155"/>
      <c r="GL1343" s="155"/>
      <c r="GM1343" s="155"/>
      <c r="GN1343" s="155"/>
      <c r="GO1343" s="155"/>
      <c r="GP1343" s="155"/>
      <c r="GQ1343" s="155"/>
      <c r="GR1343" s="155"/>
      <c r="GS1343" s="155"/>
      <c r="GT1343" s="155"/>
      <c r="GU1343" s="155"/>
      <c r="GV1343" s="155"/>
      <c r="GW1343" s="155"/>
      <c r="GX1343" s="155"/>
      <c r="GY1343" s="155"/>
      <c r="GZ1343" s="155"/>
      <c r="HA1343" s="155"/>
      <c r="HB1343" s="155"/>
      <c r="HC1343" s="155"/>
      <c r="HD1343" s="155"/>
      <c r="HE1343" s="155"/>
    </row>
    <row r="1344" spans="2:213" s="156" customFormat="1" hidden="1">
      <c r="B1344" s="155"/>
      <c r="C1344" s="155"/>
      <c r="D1344" s="155"/>
      <c r="E1344" s="155"/>
      <c r="F1344" s="155"/>
      <c r="G1344" s="155"/>
      <c r="H1344" s="155"/>
      <c r="I1344" s="155"/>
      <c r="J1344" s="155"/>
      <c r="K1344" s="155"/>
      <c r="L1344" s="155"/>
      <c r="M1344" s="155"/>
      <c r="N1344" s="155"/>
      <c r="O1344" s="155"/>
      <c r="P1344" s="155"/>
      <c r="Q1344" s="155"/>
      <c r="R1344" s="155"/>
      <c r="S1344" s="155"/>
      <c r="T1344" s="155"/>
      <c r="U1344" s="155"/>
      <c r="V1344" s="155"/>
      <c r="W1344" s="155"/>
      <c r="GL1344" s="155"/>
      <c r="GM1344" s="155"/>
      <c r="GN1344" s="155"/>
      <c r="GO1344" s="155"/>
      <c r="GP1344" s="155"/>
      <c r="GQ1344" s="155"/>
      <c r="GR1344" s="155"/>
      <c r="GS1344" s="155"/>
      <c r="GT1344" s="155"/>
      <c r="GU1344" s="155"/>
      <c r="GV1344" s="155"/>
      <c r="GW1344" s="155"/>
      <c r="GX1344" s="155"/>
      <c r="GY1344" s="155"/>
      <c r="GZ1344" s="155"/>
      <c r="HA1344" s="155"/>
      <c r="HB1344" s="155"/>
      <c r="HC1344" s="155"/>
      <c r="HD1344" s="155"/>
      <c r="HE1344" s="155"/>
    </row>
    <row r="1345" spans="2:213" s="156" customFormat="1" hidden="1">
      <c r="B1345" s="155"/>
      <c r="C1345" s="155"/>
      <c r="D1345" s="155"/>
      <c r="E1345" s="155"/>
      <c r="F1345" s="155"/>
      <c r="G1345" s="155"/>
      <c r="H1345" s="155"/>
      <c r="I1345" s="155"/>
      <c r="J1345" s="155"/>
      <c r="K1345" s="155"/>
      <c r="L1345" s="155"/>
      <c r="M1345" s="155"/>
      <c r="N1345" s="155"/>
      <c r="O1345" s="155"/>
      <c r="P1345" s="155"/>
      <c r="Q1345" s="155"/>
      <c r="R1345" s="155"/>
      <c r="S1345" s="155"/>
      <c r="T1345" s="155"/>
      <c r="U1345" s="155"/>
      <c r="V1345" s="155"/>
      <c r="W1345" s="155"/>
      <c r="GL1345" s="155"/>
      <c r="GM1345" s="155"/>
      <c r="GN1345" s="155"/>
      <c r="GO1345" s="155"/>
      <c r="GP1345" s="155"/>
      <c r="GQ1345" s="155"/>
      <c r="GR1345" s="155"/>
      <c r="GS1345" s="155"/>
      <c r="GT1345" s="155"/>
      <c r="GU1345" s="155"/>
      <c r="GV1345" s="155"/>
      <c r="GW1345" s="155"/>
      <c r="GX1345" s="155"/>
      <c r="GY1345" s="155"/>
      <c r="GZ1345" s="155"/>
      <c r="HA1345" s="155"/>
      <c r="HB1345" s="155"/>
      <c r="HC1345" s="155"/>
      <c r="HD1345" s="155"/>
      <c r="HE1345" s="155"/>
    </row>
    <row r="1346" spans="2:213" s="156" customFormat="1" hidden="1">
      <c r="B1346" s="155"/>
      <c r="C1346" s="155"/>
      <c r="D1346" s="155"/>
      <c r="E1346" s="155"/>
      <c r="F1346" s="155"/>
      <c r="G1346" s="155"/>
      <c r="H1346" s="155"/>
      <c r="I1346" s="155"/>
      <c r="J1346" s="155"/>
      <c r="K1346" s="155"/>
      <c r="L1346" s="155"/>
      <c r="M1346" s="155"/>
      <c r="N1346" s="155"/>
      <c r="O1346" s="155"/>
      <c r="P1346" s="155"/>
      <c r="Q1346" s="155"/>
      <c r="R1346" s="155"/>
      <c r="S1346" s="155"/>
      <c r="T1346" s="155"/>
      <c r="U1346" s="155"/>
      <c r="V1346" s="155"/>
      <c r="W1346" s="155"/>
      <c r="GL1346" s="155"/>
      <c r="GM1346" s="155"/>
      <c r="GN1346" s="155"/>
      <c r="GO1346" s="155"/>
      <c r="GP1346" s="155"/>
      <c r="GQ1346" s="155"/>
      <c r="GR1346" s="155"/>
      <c r="GS1346" s="155"/>
      <c r="GT1346" s="155"/>
      <c r="GU1346" s="155"/>
      <c r="GV1346" s="155"/>
      <c r="GW1346" s="155"/>
      <c r="GX1346" s="155"/>
      <c r="GY1346" s="155"/>
      <c r="GZ1346" s="155"/>
      <c r="HA1346" s="155"/>
      <c r="HB1346" s="155"/>
      <c r="HC1346" s="155"/>
      <c r="HD1346" s="155"/>
      <c r="HE1346" s="155"/>
    </row>
    <row r="1347" spans="2:213" s="156" customFormat="1" hidden="1">
      <c r="B1347" s="155"/>
      <c r="C1347" s="155"/>
      <c r="D1347" s="155"/>
      <c r="E1347" s="155"/>
      <c r="F1347" s="155"/>
      <c r="G1347" s="155"/>
      <c r="H1347" s="155"/>
      <c r="I1347" s="155"/>
      <c r="J1347" s="155"/>
      <c r="K1347" s="155"/>
      <c r="L1347" s="155"/>
      <c r="M1347" s="155"/>
      <c r="N1347" s="155"/>
      <c r="O1347" s="155"/>
      <c r="P1347" s="155"/>
      <c r="Q1347" s="155"/>
      <c r="R1347" s="155"/>
      <c r="S1347" s="155"/>
      <c r="T1347" s="155"/>
      <c r="U1347" s="155"/>
      <c r="V1347" s="155"/>
      <c r="W1347" s="155"/>
      <c r="GL1347" s="155"/>
      <c r="GM1347" s="155"/>
      <c r="GN1347" s="155"/>
      <c r="GO1347" s="155"/>
      <c r="GP1347" s="155"/>
      <c r="GQ1347" s="155"/>
      <c r="GR1347" s="155"/>
      <c r="GS1347" s="155"/>
      <c r="GT1347" s="155"/>
      <c r="GU1347" s="155"/>
      <c r="GV1347" s="155"/>
      <c r="GW1347" s="155"/>
      <c r="GX1347" s="155"/>
      <c r="GY1347" s="155"/>
      <c r="GZ1347" s="155"/>
      <c r="HA1347" s="155"/>
      <c r="HB1347" s="155"/>
      <c r="HC1347" s="155"/>
      <c r="HD1347" s="155"/>
      <c r="HE1347" s="155"/>
    </row>
    <row r="1348" spans="2:213" s="156" customFormat="1" hidden="1">
      <c r="B1348" s="155"/>
      <c r="C1348" s="155"/>
      <c r="D1348" s="155"/>
      <c r="E1348" s="155"/>
      <c r="F1348" s="155"/>
      <c r="G1348" s="155"/>
      <c r="H1348" s="155"/>
      <c r="I1348" s="155"/>
      <c r="J1348" s="155"/>
      <c r="K1348" s="155"/>
      <c r="L1348" s="155"/>
      <c r="M1348" s="155"/>
      <c r="N1348" s="155"/>
      <c r="O1348" s="155"/>
      <c r="P1348" s="155"/>
      <c r="Q1348" s="155"/>
      <c r="R1348" s="155"/>
      <c r="S1348" s="155"/>
      <c r="T1348" s="155"/>
      <c r="U1348" s="155"/>
      <c r="V1348" s="155"/>
      <c r="W1348" s="155"/>
      <c r="GL1348" s="155"/>
      <c r="GM1348" s="155"/>
      <c r="GN1348" s="155"/>
      <c r="GO1348" s="155"/>
      <c r="GP1348" s="155"/>
      <c r="GQ1348" s="155"/>
      <c r="GR1348" s="155"/>
      <c r="GS1348" s="155"/>
      <c r="GT1348" s="155"/>
      <c r="GU1348" s="155"/>
      <c r="GV1348" s="155"/>
      <c r="GW1348" s="155"/>
      <c r="GX1348" s="155"/>
      <c r="GY1348" s="155"/>
      <c r="GZ1348" s="155"/>
      <c r="HA1348" s="155"/>
      <c r="HB1348" s="155"/>
      <c r="HC1348" s="155"/>
      <c r="HD1348" s="155"/>
      <c r="HE1348" s="155"/>
    </row>
    <row r="1349" spans="2:213" s="156" customFormat="1" hidden="1">
      <c r="B1349" s="155"/>
      <c r="C1349" s="155"/>
      <c r="D1349" s="155"/>
      <c r="E1349" s="155"/>
      <c r="F1349" s="155"/>
      <c r="G1349" s="155"/>
      <c r="H1349" s="155"/>
      <c r="I1349" s="155"/>
      <c r="J1349" s="155"/>
      <c r="K1349" s="155"/>
      <c r="L1349" s="155"/>
      <c r="M1349" s="155"/>
      <c r="N1349" s="155"/>
      <c r="O1349" s="155"/>
      <c r="P1349" s="155"/>
      <c r="Q1349" s="155"/>
      <c r="R1349" s="155"/>
      <c r="S1349" s="155"/>
      <c r="T1349" s="155"/>
      <c r="U1349" s="155"/>
      <c r="V1349" s="155"/>
      <c r="W1349" s="155"/>
      <c r="GL1349" s="155"/>
      <c r="GM1349" s="155"/>
      <c r="GN1349" s="155"/>
      <c r="GO1349" s="155"/>
      <c r="GP1349" s="155"/>
      <c r="GQ1349" s="155"/>
      <c r="GR1349" s="155"/>
      <c r="GS1349" s="155"/>
      <c r="GT1349" s="155"/>
      <c r="GU1349" s="155"/>
      <c r="GV1349" s="155"/>
      <c r="GW1349" s="155"/>
      <c r="GX1349" s="155"/>
      <c r="GY1349" s="155"/>
      <c r="GZ1349" s="155"/>
      <c r="HA1349" s="155"/>
      <c r="HB1349" s="155"/>
      <c r="HC1349" s="155"/>
      <c r="HD1349" s="155"/>
      <c r="HE1349" s="155"/>
    </row>
    <row r="1350" spans="2:213" s="156" customFormat="1" hidden="1">
      <c r="B1350" s="155"/>
      <c r="C1350" s="155"/>
      <c r="D1350" s="155"/>
      <c r="E1350" s="155"/>
      <c r="F1350" s="155"/>
      <c r="G1350" s="155"/>
      <c r="H1350" s="155"/>
      <c r="I1350" s="155"/>
      <c r="J1350" s="155"/>
      <c r="K1350" s="155"/>
      <c r="L1350" s="155"/>
      <c r="M1350" s="155"/>
      <c r="N1350" s="155"/>
      <c r="O1350" s="155"/>
      <c r="P1350" s="155"/>
      <c r="Q1350" s="155"/>
      <c r="R1350" s="155"/>
      <c r="S1350" s="155"/>
      <c r="T1350" s="155"/>
      <c r="U1350" s="155"/>
      <c r="V1350" s="155"/>
      <c r="W1350" s="155"/>
      <c r="GL1350" s="155"/>
      <c r="GM1350" s="155"/>
      <c r="GN1350" s="155"/>
      <c r="GO1350" s="155"/>
      <c r="GP1350" s="155"/>
      <c r="GQ1350" s="155"/>
      <c r="GR1350" s="155"/>
      <c r="GS1350" s="155"/>
      <c r="GT1350" s="155"/>
      <c r="GU1350" s="155"/>
      <c r="GV1350" s="155"/>
      <c r="GW1350" s="155"/>
      <c r="GX1350" s="155"/>
      <c r="GY1350" s="155"/>
      <c r="GZ1350" s="155"/>
      <c r="HA1350" s="155"/>
      <c r="HB1350" s="155"/>
      <c r="HC1350" s="155"/>
      <c r="HD1350" s="155"/>
      <c r="HE1350" s="155"/>
    </row>
    <row r="1351" spans="2:213" s="156" customFormat="1" hidden="1">
      <c r="B1351" s="155"/>
      <c r="C1351" s="155"/>
      <c r="D1351" s="155"/>
      <c r="E1351" s="155"/>
      <c r="F1351" s="155"/>
      <c r="G1351" s="155"/>
      <c r="H1351" s="155"/>
      <c r="I1351" s="155"/>
      <c r="J1351" s="155"/>
      <c r="K1351" s="155"/>
      <c r="L1351" s="155"/>
      <c r="M1351" s="155"/>
      <c r="N1351" s="155"/>
      <c r="O1351" s="155"/>
      <c r="P1351" s="155"/>
      <c r="Q1351" s="155"/>
      <c r="R1351" s="155"/>
      <c r="S1351" s="155"/>
      <c r="T1351" s="155"/>
      <c r="U1351" s="155"/>
      <c r="V1351" s="155"/>
      <c r="W1351" s="155"/>
      <c r="GL1351" s="155"/>
      <c r="GM1351" s="155"/>
      <c r="GN1351" s="155"/>
      <c r="GO1351" s="155"/>
      <c r="GP1351" s="155"/>
      <c r="GQ1351" s="155"/>
      <c r="GR1351" s="155"/>
      <c r="GS1351" s="155"/>
      <c r="GT1351" s="155"/>
      <c r="GU1351" s="155"/>
      <c r="GV1351" s="155"/>
      <c r="GW1351" s="155"/>
      <c r="GX1351" s="155"/>
      <c r="GY1351" s="155"/>
      <c r="GZ1351" s="155"/>
      <c r="HA1351" s="155"/>
      <c r="HB1351" s="155"/>
      <c r="HC1351" s="155"/>
      <c r="HD1351" s="155"/>
      <c r="HE1351" s="155"/>
    </row>
    <row r="1352" spans="2:213" s="156" customFormat="1" hidden="1">
      <c r="B1352" s="155"/>
      <c r="C1352" s="155"/>
      <c r="D1352" s="155"/>
      <c r="E1352" s="155"/>
      <c r="F1352" s="155"/>
      <c r="G1352" s="155"/>
      <c r="H1352" s="155"/>
      <c r="I1352" s="155"/>
      <c r="J1352" s="155"/>
      <c r="K1352" s="155"/>
      <c r="L1352" s="155"/>
      <c r="M1352" s="155"/>
      <c r="N1352" s="155"/>
      <c r="O1352" s="155"/>
      <c r="P1352" s="155"/>
      <c r="Q1352" s="155"/>
      <c r="R1352" s="155"/>
      <c r="S1352" s="155"/>
      <c r="T1352" s="155"/>
      <c r="U1352" s="155"/>
      <c r="V1352" s="155"/>
      <c r="W1352" s="155"/>
      <c r="GL1352" s="155"/>
      <c r="GM1352" s="155"/>
      <c r="GN1352" s="155"/>
      <c r="GO1352" s="155"/>
      <c r="GP1352" s="155"/>
      <c r="GQ1352" s="155"/>
      <c r="GR1352" s="155"/>
      <c r="GS1352" s="155"/>
      <c r="GT1352" s="155"/>
      <c r="GU1352" s="155"/>
      <c r="GV1352" s="155"/>
      <c r="GW1352" s="155"/>
      <c r="GX1352" s="155"/>
      <c r="GY1352" s="155"/>
      <c r="GZ1352" s="155"/>
      <c r="HA1352" s="155"/>
      <c r="HB1352" s="155"/>
      <c r="HC1352" s="155"/>
      <c r="HD1352" s="155"/>
      <c r="HE1352" s="155"/>
    </row>
    <row r="1353" spans="2:213" s="156" customFormat="1" hidden="1">
      <c r="B1353" s="155"/>
      <c r="C1353" s="155"/>
      <c r="D1353" s="155"/>
      <c r="E1353" s="155"/>
      <c r="F1353" s="155"/>
      <c r="G1353" s="155"/>
      <c r="H1353" s="155"/>
      <c r="I1353" s="155"/>
      <c r="J1353" s="155"/>
      <c r="K1353" s="155"/>
      <c r="L1353" s="155"/>
      <c r="M1353" s="155"/>
      <c r="N1353" s="155"/>
      <c r="O1353" s="155"/>
      <c r="P1353" s="155"/>
      <c r="Q1353" s="155"/>
      <c r="R1353" s="155"/>
      <c r="S1353" s="155"/>
      <c r="T1353" s="155"/>
      <c r="U1353" s="155"/>
      <c r="V1353" s="155"/>
      <c r="W1353" s="155"/>
      <c r="GL1353" s="155"/>
      <c r="GM1353" s="155"/>
      <c r="GN1353" s="155"/>
      <c r="GO1353" s="155"/>
      <c r="GP1353" s="155"/>
      <c r="GQ1353" s="155"/>
      <c r="GR1353" s="155"/>
      <c r="GS1353" s="155"/>
      <c r="GT1353" s="155"/>
      <c r="GU1353" s="155"/>
      <c r="GV1353" s="155"/>
      <c r="GW1353" s="155"/>
      <c r="GX1353" s="155"/>
      <c r="GY1353" s="155"/>
      <c r="GZ1353" s="155"/>
      <c r="HA1353" s="155"/>
      <c r="HB1353" s="155"/>
      <c r="HC1353" s="155"/>
      <c r="HD1353" s="155"/>
      <c r="HE1353" s="155"/>
    </row>
    <row r="1354" spans="2:213" s="156" customFormat="1" hidden="1">
      <c r="B1354" s="155"/>
      <c r="C1354" s="155"/>
      <c r="D1354" s="155"/>
      <c r="E1354" s="155"/>
      <c r="F1354" s="155"/>
      <c r="G1354" s="155"/>
      <c r="H1354" s="155"/>
      <c r="I1354" s="155"/>
      <c r="J1354" s="155"/>
      <c r="K1354" s="155"/>
      <c r="L1354" s="155"/>
      <c r="M1354" s="155"/>
      <c r="N1354" s="155"/>
      <c r="O1354" s="155"/>
      <c r="P1354" s="155"/>
      <c r="Q1354" s="155"/>
      <c r="R1354" s="155"/>
      <c r="S1354" s="155"/>
      <c r="T1354" s="155"/>
      <c r="U1354" s="155"/>
      <c r="V1354" s="155"/>
      <c r="W1354" s="155"/>
      <c r="GL1354" s="155"/>
      <c r="GM1354" s="155"/>
      <c r="GN1354" s="155"/>
      <c r="GO1354" s="155"/>
      <c r="GP1354" s="155"/>
      <c r="GQ1354" s="155"/>
      <c r="GR1354" s="155"/>
      <c r="GS1354" s="155"/>
      <c r="GT1354" s="155"/>
      <c r="GU1354" s="155"/>
      <c r="GV1354" s="155"/>
      <c r="GW1354" s="155"/>
      <c r="GX1354" s="155"/>
      <c r="GY1354" s="155"/>
      <c r="GZ1354" s="155"/>
      <c r="HA1354" s="155"/>
      <c r="HB1354" s="155"/>
      <c r="HC1354" s="155"/>
      <c r="HD1354" s="155"/>
      <c r="HE1354" s="155"/>
    </row>
    <row r="1355" spans="2:213" s="156" customFormat="1" hidden="1">
      <c r="B1355" s="155"/>
      <c r="C1355" s="155"/>
      <c r="D1355" s="155"/>
      <c r="E1355" s="155"/>
      <c r="F1355" s="155"/>
      <c r="G1355" s="155"/>
      <c r="H1355" s="155"/>
      <c r="I1355" s="155"/>
      <c r="J1355" s="155"/>
      <c r="K1355" s="155"/>
      <c r="L1355" s="155"/>
      <c r="M1355" s="155"/>
      <c r="N1355" s="155"/>
      <c r="O1355" s="155"/>
      <c r="P1355" s="155"/>
      <c r="Q1355" s="155"/>
      <c r="R1355" s="155"/>
      <c r="S1355" s="155"/>
      <c r="T1355" s="155"/>
      <c r="U1355" s="155"/>
      <c r="V1355" s="155"/>
      <c r="W1355" s="155"/>
      <c r="GL1355" s="155"/>
      <c r="GM1355" s="155"/>
      <c r="GN1355" s="155"/>
      <c r="GO1355" s="155"/>
      <c r="GP1355" s="155"/>
      <c r="GQ1355" s="155"/>
      <c r="GR1355" s="155"/>
      <c r="GS1355" s="155"/>
      <c r="GT1355" s="155"/>
      <c r="GU1355" s="155"/>
      <c r="GV1355" s="155"/>
      <c r="GW1355" s="155"/>
      <c r="GX1355" s="155"/>
      <c r="GY1355" s="155"/>
      <c r="GZ1355" s="155"/>
      <c r="HA1355" s="155"/>
      <c r="HB1355" s="155"/>
      <c r="HC1355" s="155"/>
      <c r="HD1355" s="155"/>
      <c r="HE1355" s="155"/>
    </row>
    <row r="1356" spans="2:213" s="156" customFormat="1" hidden="1">
      <c r="B1356" s="155"/>
      <c r="C1356" s="155"/>
      <c r="D1356" s="155"/>
      <c r="E1356" s="155"/>
      <c r="F1356" s="155"/>
      <c r="G1356" s="155"/>
      <c r="H1356" s="155"/>
      <c r="I1356" s="155"/>
      <c r="J1356" s="155"/>
      <c r="K1356" s="155"/>
      <c r="L1356" s="155"/>
      <c r="M1356" s="155"/>
      <c r="N1356" s="155"/>
      <c r="O1356" s="155"/>
      <c r="P1356" s="155"/>
      <c r="Q1356" s="155"/>
      <c r="R1356" s="155"/>
      <c r="S1356" s="155"/>
      <c r="T1356" s="155"/>
      <c r="U1356" s="155"/>
      <c r="V1356" s="155"/>
      <c r="W1356" s="155"/>
      <c r="GL1356" s="155"/>
      <c r="GM1356" s="155"/>
      <c r="GN1356" s="155"/>
      <c r="GO1356" s="155"/>
      <c r="GP1356" s="155"/>
      <c r="GQ1356" s="155"/>
      <c r="GR1356" s="155"/>
      <c r="GS1356" s="155"/>
      <c r="GT1356" s="155"/>
      <c r="GU1356" s="155"/>
      <c r="GV1356" s="155"/>
      <c r="GW1356" s="155"/>
      <c r="GX1356" s="155"/>
      <c r="GY1356" s="155"/>
      <c r="GZ1356" s="155"/>
      <c r="HA1356" s="155"/>
      <c r="HB1356" s="155"/>
      <c r="HC1356" s="155"/>
      <c r="HD1356" s="155"/>
      <c r="HE1356" s="155"/>
    </row>
    <row r="1357" spans="2:213" s="156" customFormat="1" hidden="1">
      <c r="B1357" s="155"/>
      <c r="C1357" s="155"/>
      <c r="D1357" s="155"/>
      <c r="E1357" s="155"/>
      <c r="F1357" s="155"/>
      <c r="G1357" s="155"/>
      <c r="H1357" s="155"/>
      <c r="I1357" s="155"/>
      <c r="J1357" s="155"/>
      <c r="K1357" s="155"/>
      <c r="L1357" s="155"/>
      <c r="M1357" s="155"/>
      <c r="N1357" s="155"/>
      <c r="O1357" s="155"/>
      <c r="P1357" s="155"/>
      <c r="Q1357" s="155"/>
      <c r="R1357" s="155"/>
      <c r="S1357" s="155"/>
      <c r="T1357" s="155"/>
      <c r="U1357" s="155"/>
      <c r="V1357" s="155"/>
      <c r="W1357" s="155"/>
      <c r="GL1357" s="155"/>
      <c r="GM1357" s="155"/>
      <c r="GN1357" s="155"/>
      <c r="GO1357" s="155"/>
      <c r="GP1357" s="155"/>
      <c r="GQ1357" s="155"/>
      <c r="GR1357" s="155"/>
      <c r="GS1357" s="155"/>
      <c r="GT1357" s="155"/>
      <c r="GU1357" s="155"/>
      <c r="GV1357" s="155"/>
      <c r="GW1357" s="155"/>
      <c r="GX1357" s="155"/>
      <c r="GY1357" s="155"/>
      <c r="GZ1357" s="155"/>
      <c r="HA1357" s="155"/>
      <c r="HB1357" s="155"/>
      <c r="HC1357" s="155"/>
      <c r="HD1357" s="155"/>
      <c r="HE1357" s="155"/>
    </row>
    <row r="1358" spans="2:213" s="156" customFormat="1" hidden="1">
      <c r="B1358" s="155"/>
      <c r="C1358" s="155"/>
      <c r="D1358" s="155"/>
      <c r="E1358" s="155"/>
      <c r="F1358" s="155"/>
      <c r="G1358" s="155"/>
      <c r="H1358" s="155"/>
      <c r="I1358" s="155"/>
      <c r="J1358" s="155"/>
      <c r="K1358" s="155"/>
      <c r="L1358" s="155"/>
      <c r="M1358" s="155"/>
      <c r="N1358" s="155"/>
      <c r="O1358" s="155"/>
      <c r="P1358" s="155"/>
      <c r="Q1358" s="155"/>
      <c r="R1358" s="155"/>
      <c r="S1358" s="155"/>
      <c r="T1358" s="155"/>
      <c r="U1358" s="155"/>
      <c r="V1358" s="155"/>
      <c r="W1358" s="155"/>
      <c r="GL1358" s="155"/>
      <c r="GM1358" s="155"/>
      <c r="GN1358" s="155"/>
      <c r="GO1358" s="155"/>
      <c r="GP1358" s="155"/>
      <c r="GQ1358" s="155"/>
      <c r="GR1358" s="155"/>
      <c r="GS1358" s="155"/>
      <c r="GT1358" s="155"/>
      <c r="GU1358" s="155"/>
      <c r="GV1358" s="155"/>
      <c r="GW1358" s="155"/>
      <c r="GX1358" s="155"/>
      <c r="GY1358" s="155"/>
      <c r="GZ1358" s="155"/>
      <c r="HA1358" s="155"/>
      <c r="HB1358" s="155"/>
      <c r="HC1358" s="155"/>
      <c r="HD1358" s="155"/>
      <c r="HE1358" s="155"/>
    </row>
    <row r="1359" spans="2:213" s="156" customFormat="1" hidden="1">
      <c r="B1359" s="155"/>
      <c r="C1359" s="155"/>
      <c r="D1359" s="155"/>
      <c r="E1359" s="155"/>
      <c r="F1359" s="155"/>
      <c r="G1359" s="155"/>
      <c r="H1359" s="155"/>
      <c r="I1359" s="155"/>
      <c r="J1359" s="155"/>
      <c r="K1359" s="155"/>
      <c r="L1359" s="155"/>
      <c r="M1359" s="155"/>
      <c r="N1359" s="155"/>
      <c r="O1359" s="155"/>
      <c r="P1359" s="155"/>
      <c r="Q1359" s="155"/>
      <c r="R1359" s="155"/>
      <c r="S1359" s="155"/>
      <c r="T1359" s="155"/>
      <c r="U1359" s="155"/>
      <c r="V1359" s="155"/>
      <c r="W1359" s="155"/>
      <c r="GL1359" s="155"/>
      <c r="GM1359" s="155"/>
      <c r="GN1359" s="155"/>
      <c r="GO1359" s="155"/>
      <c r="GP1359" s="155"/>
      <c r="GQ1359" s="155"/>
      <c r="GR1359" s="155"/>
      <c r="GS1359" s="155"/>
      <c r="GT1359" s="155"/>
      <c r="GU1359" s="155"/>
      <c r="GV1359" s="155"/>
      <c r="GW1359" s="155"/>
      <c r="GX1359" s="155"/>
      <c r="GY1359" s="155"/>
      <c r="GZ1359" s="155"/>
      <c r="HA1359" s="155"/>
      <c r="HB1359" s="155"/>
      <c r="HC1359" s="155"/>
      <c r="HD1359" s="155"/>
      <c r="HE1359" s="155"/>
    </row>
    <row r="1360" spans="2:213" s="156" customFormat="1" hidden="1">
      <c r="B1360" s="155"/>
      <c r="C1360" s="155"/>
      <c r="D1360" s="155"/>
      <c r="E1360" s="155"/>
      <c r="F1360" s="155"/>
      <c r="G1360" s="155"/>
      <c r="H1360" s="155"/>
      <c r="I1360" s="155"/>
      <c r="J1360" s="155"/>
      <c r="K1360" s="155"/>
      <c r="L1360" s="155"/>
      <c r="M1360" s="155"/>
      <c r="N1360" s="155"/>
      <c r="O1360" s="155"/>
      <c r="P1360" s="155"/>
      <c r="Q1360" s="155"/>
      <c r="R1360" s="155"/>
      <c r="S1360" s="155"/>
      <c r="T1360" s="155"/>
      <c r="U1360" s="155"/>
      <c r="V1360" s="155"/>
      <c r="W1360" s="155"/>
      <c r="GL1360" s="155"/>
      <c r="GM1360" s="155"/>
      <c r="GN1360" s="155"/>
      <c r="GO1360" s="155"/>
      <c r="GP1360" s="155"/>
      <c r="GQ1360" s="155"/>
      <c r="GR1360" s="155"/>
      <c r="GS1360" s="155"/>
      <c r="GT1360" s="155"/>
      <c r="GU1360" s="155"/>
      <c r="GV1360" s="155"/>
      <c r="GW1360" s="155"/>
      <c r="GX1360" s="155"/>
      <c r="GY1360" s="155"/>
      <c r="GZ1360" s="155"/>
      <c r="HA1360" s="155"/>
      <c r="HB1360" s="155"/>
      <c r="HC1360" s="155"/>
      <c r="HD1360" s="155"/>
      <c r="HE1360" s="155"/>
    </row>
    <row r="1361" spans="2:213" s="156" customFormat="1" hidden="1">
      <c r="B1361" s="155"/>
      <c r="C1361" s="155"/>
      <c r="D1361" s="155"/>
      <c r="E1361" s="155"/>
      <c r="F1361" s="155"/>
      <c r="G1361" s="155"/>
      <c r="H1361" s="155"/>
      <c r="I1361" s="155"/>
      <c r="J1361" s="155"/>
      <c r="K1361" s="155"/>
      <c r="L1361" s="155"/>
      <c r="M1361" s="155"/>
      <c r="N1361" s="155"/>
      <c r="O1361" s="155"/>
      <c r="P1361" s="155"/>
      <c r="Q1361" s="155"/>
      <c r="R1361" s="155"/>
      <c r="S1361" s="155"/>
      <c r="T1361" s="155"/>
      <c r="U1361" s="155"/>
      <c r="V1361" s="155"/>
      <c r="W1361" s="155"/>
      <c r="GL1361" s="155"/>
      <c r="GM1361" s="155"/>
      <c r="GN1361" s="155"/>
      <c r="GO1361" s="155"/>
      <c r="GP1361" s="155"/>
      <c r="GQ1361" s="155"/>
      <c r="GR1361" s="155"/>
      <c r="GS1361" s="155"/>
      <c r="GT1361" s="155"/>
      <c r="GU1361" s="155"/>
      <c r="GV1361" s="155"/>
      <c r="GW1361" s="155"/>
      <c r="GX1361" s="155"/>
      <c r="GY1361" s="155"/>
      <c r="GZ1361" s="155"/>
      <c r="HA1361" s="155"/>
      <c r="HB1361" s="155"/>
      <c r="HC1361" s="155"/>
      <c r="HD1361" s="155"/>
      <c r="HE1361" s="155"/>
    </row>
    <row r="1362" spans="2:213" s="156" customFormat="1" hidden="1">
      <c r="B1362" s="155"/>
      <c r="C1362" s="155"/>
      <c r="D1362" s="155"/>
      <c r="E1362" s="155"/>
      <c r="F1362" s="155"/>
      <c r="G1362" s="155"/>
      <c r="H1362" s="155"/>
      <c r="I1362" s="155"/>
      <c r="J1362" s="155"/>
      <c r="K1362" s="155"/>
      <c r="L1362" s="155"/>
      <c r="M1362" s="155"/>
      <c r="N1362" s="155"/>
      <c r="O1362" s="155"/>
      <c r="P1362" s="155"/>
      <c r="Q1362" s="155"/>
      <c r="R1362" s="155"/>
      <c r="S1362" s="155"/>
      <c r="T1362" s="155"/>
      <c r="U1362" s="155"/>
      <c r="V1362" s="155"/>
      <c r="W1362" s="155"/>
      <c r="GL1362" s="155"/>
      <c r="GM1362" s="155"/>
      <c r="GN1362" s="155"/>
      <c r="GO1362" s="155"/>
      <c r="GP1362" s="155"/>
      <c r="GQ1362" s="155"/>
      <c r="GR1362" s="155"/>
      <c r="GS1362" s="155"/>
      <c r="GT1362" s="155"/>
      <c r="GU1362" s="155"/>
      <c r="GV1362" s="155"/>
      <c r="GW1362" s="155"/>
      <c r="GX1362" s="155"/>
      <c r="GY1362" s="155"/>
      <c r="GZ1362" s="155"/>
      <c r="HA1362" s="155"/>
      <c r="HB1362" s="155"/>
      <c r="HC1362" s="155"/>
      <c r="HD1362" s="155"/>
      <c r="HE1362" s="155"/>
    </row>
    <row r="1363" spans="2:213" s="156" customFormat="1" hidden="1">
      <c r="B1363" s="155"/>
      <c r="C1363" s="155"/>
      <c r="D1363" s="155"/>
      <c r="E1363" s="155"/>
      <c r="F1363" s="155"/>
      <c r="G1363" s="155"/>
      <c r="H1363" s="155"/>
      <c r="I1363" s="155"/>
      <c r="J1363" s="155"/>
      <c r="K1363" s="155"/>
      <c r="L1363" s="155"/>
      <c r="M1363" s="155"/>
      <c r="N1363" s="155"/>
      <c r="O1363" s="155"/>
      <c r="P1363" s="155"/>
      <c r="Q1363" s="155"/>
      <c r="R1363" s="155"/>
      <c r="S1363" s="155"/>
      <c r="T1363" s="155"/>
      <c r="U1363" s="155"/>
      <c r="V1363" s="155"/>
      <c r="W1363" s="155"/>
      <c r="GL1363" s="155"/>
      <c r="GM1363" s="155"/>
      <c r="GN1363" s="155"/>
      <c r="GO1363" s="155"/>
      <c r="GP1363" s="155"/>
      <c r="GQ1363" s="155"/>
      <c r="GR1363" s="155"/>
      <c r="GS1363" s="155"/>
      <c r="GT1363" s="155"/>
      <c r="GU1363" s="155"/>
      <c r="GV1363" s="155"/>
      <c r="GW1363" s="155"/>
      <c r="GX1363" s="155"/>
      <c r="GY1363" s="155"/>
      <c r="GZ1363" s="155"/>
      <c r="HA1363" s="155"/>
      <c r="HB1363" s="155"/>
      <c r="HC1363" s="155"/>
      <c r="HD1363" s="155"/>
      <c r="HE1363" s="155"/>
    </row>
    <row r="1364" spans="2:213" s="156" customFormat="1" hidden="1">
      <c r="B1364" s="155"/>
      <c r="C1364" s="155"/>
      <c r="D1364" s="155"/>
      <c r="E1364" s="155"/>
      <c r="F1364" s="155"/>
      <c r="G1364" s="155"/>
      <c r="H1364" s="155"/>
      <c r="I1364" s="155"/>
      <c r="J1364" s="155"/>
      <c r="K1364" s="155"/>
      <c r="L1364" s="155"/>
      <c r="M1364" s="155"/>
      <c r="N1364" s="155"/>
      <c r="O1364" s="155"/>
      <c r="P1364" s="155"/>
      <c r="Q1364" s="155"/>
      <c r="R1364" s="155"/>
      <c r="S1364" s="155"/>
      <c r="T1364" s="155"/>
      <c r="U1364" s="155"/>
      <c r="V1364" s="155"/>
      <c r="W1364" s="155"/>
      <c r="GL1364" s="155"/>
      <c r="GM1364" s="155"/>
      <c r="GN1364" s="155"/>
      <c r="GO1364" s="155"/>
      <c r="GP1364" s="155"/>
      <c r="GQ1364" s="155"/>
      <c r="GR1364" s="155"/>
      <c r="GS1364" s="155"/>
      <c r="GT1364" s="155"/>
      <c r="GU1364" s="155"/>
      <c r="GV1364" s="155"/>
      <c r="GW1364" s="155"/>
      <c r="GX1364" s="155"/>
      <c r="GY1364" s="155"/>
      <c r="GZ1364" s="155"/>
      <c r="HA1364" s="155"/>
      <c r="HB1364" s="155"/>
      <c r="HC1364" s="155"/>
      <c r="HD1364" s="155"/>
      <c r="HE1364" s="155"/>
    </row>
    <row r="1365" spans="2:213" s="156" customFormat="1" hidden="1">
      <c r="B1365" s="155"/>
      <c r="C1365" s="155"/>
      <c r="D1365" s="155"/>
      <c r="E1365" s="155"/>
      <c r="F1365" s="155"/>
      <c r="G1365" s="155"/>
      <c r="H1365" s="155"/>
      <c r="I1365" s="155"/>
      <c r="J1365" s="155"/>
      <c r="K1365" s="155"/>
      <c r="L1365" s="155"/>
      <c r="M1365" s="155"/>
      <c r="N1365" s="155"/>
      <c r="O1365" s="155"/>
      <c r="P1365" s="155"/>
      <c r="Q1365" s="155"/>
      <c r="R1365" s="155"/>
      <c r="S1365" s="155"/>
      <c r="T1365" s="155"/>
      <c r="U1365" s="155"/>
      <c r="V1365" s="155"/>
      <c r="W1365" s="155"/>
      <c r="GL1365" s="155"/>
      <c r="GM1365" s="155"/>
      <c r="GN1365" s="155"/>
      <c r="GO1365" s="155"/>
      <c r="GP1365" s="155"/>
      <c r="GQ1365" s="155"/>
      <c r="GR1365" s="155"/>
      <c r="GS1365" s="155"/>
      <c r="GT1365" s="155"/>
      <c r="GU1365" s="155"/>
      <c r="GV1365" s="155"/>
      <c r="GW1365" s="155"/>
      <c r="GX1365" s="155"/>
      <c r="GY1365" s="155"/>
      <c r="GZ1365" s="155"/>
      <c r="HA1365" s="155"/>
      <c r="HB1365" s="155"/>
      <c r="HC1365" s="155"/>
      <c r="HD1365" s="155"/>
      <c r="HE1365" s="155"/>
    </row>
    <row r="1366" spans="2:213" s="156" customFormat="1" hidden="1">
      <c r="B1366" s="155"/>
      <c r="C1366" s="155"/>
      <c r="D1366" s="155"/>
      <c r="E1366" s="155"/>
      <c r="F1366" s="155"/>
      <c r="G1366" s="155"/>
      <c r="H1366" s="155"/>
      <c r="I1366" s="155"/>
      <c r="J1366" s="155"/>
      <c r="K1366" s="155"/>
      <c r="L1366" s="155"/>
      <c r="M1366" s="155"/>
      <c r="N1366" s="155"/>
      <c r="O1366" s="155"/>
      <c r="P1366" s="155"/>
      <c r="Q1366" s="155"/>
      <c r="R1366" s="155"/>
      <c r="S1366" s="155"/>
      <c r="T1366" s="155"/>
      <c r="U1366" s="155"/>
      <c r="V1366" s="155"/>
      <c r="W1366" s="155"/>
      <c r="GL1366" s="155"/>
      <c r="GM1366" s="155"/>
      <c r="GN1366" s="155"/>
      <c r="GO1366" s="155"/>
      <c r="GP1366" s="155"/>
      <c r="GQ1366" s="155"/>
      <c r="GR1366" s="155"/>
      <c r="GS1366" s="155"/>
      <c r="GT1366" s="155"/>
      <c r="GU1366" s="155"/>
      <c r="GV1366" s="155"/>
      <c r="GW1366" s="155"/>
      <c r="GX1366" s="155"/>
      <c r="GY1366" s="155"/>
      <c r="GZ1366" s="155"/>
      <c r="HA1366" s="155"/>
      <c r="HB1366" s="155"/>
      <c r="HC1366" s="155"/>
      <c r="HD1366" s="155"/>
      <c r="HE1366" s="155"/>
    </row>
    <row r="1367" spans="2:213" s="156" customFormat="1" hidden="1">
      <c r="B1367" s="155"/>
      <c r="C1367" s="155"/>
      <c r="D1367" s="155"/>
      <c r="E1367" s="155"/>
      <c r="F1367" s="155"/>
      <c r="G1367" s="155"/>
      <c r="H1367" s="155"/>
      <c r="I1367" s="155"/>
      <c r="J1367" s="155"/>
      <c r="K1367" s="155"/>
      <c r="L1367" s="155"/>
      <c r="M1367" s="155"/>
      <c r="N1367" s="155"/>
      <c r="O1367" s="155"/>
      <c r="P1367" s="155"/>
      <c r="Q1367" s="155"/>
      <c r="R1367" s="155"/>
      <c r="S1367" s="155"/>
      <c r="T1367" s="155"/>
      <c r="U1367" s="155"/>
      <c r="V1367" s="155"/>
      <c r="W1367" s="155"/>
      <c r="GL1367" s="155"/>
      <c r="GM1367" s="155"/>
      <c r="GN1367" s="155"/>
      <c r="GO1367" s="155"/>
      <c r="GP1367" s="155"/>
      <c r="GQ1367" s="155"/>
      <c r="GR1367" s="155"/>
      <c r="GS1367" s="155"/>
      <c r="GT1367" s="155"/>
      <c r="GU1367" s="155"/>
      <c r="GV1367" s="155"/>
      <c r="GW1367" s="155"/>
      <c r="GX1367" s="155"/>
      <c r="GY1367" s="155"/>
      <c r="GZ1367" s="155"/>
      <c r="HA1367" s="155"/>
      <c r="HB1367" s="155"/>
      <c r="HC1367" s="155"/>
      <c r="HD1367" s="155"/>
      <c r="HE1367" s="155"/>
    </row>
    <row r="1368" spans="2:213" s="156" customFormat="1" hidden="1">
      <c r="B1368" s="155"/>
      <c r="C1368" s="155"/>
      <c r="D1368" s="155"/>
      <c r="E1368" s="155"/>
      <c r="F1368" s="155"/>
      <c r="G1368" s="155"/>
      <c r="H1368" s="155"/>
      <c r="I1368" s="155"/>
      <c r="J1368" s="155"/>
      <c r="K1368" s="155"/>
      <c r="L1368" s="155"/>
      <c r="M1368" s="155"/>
      <c r="N1368" s="155"/>
      <c r="O1368" s="155"/>
      <c r="P1368" s="155"/>
      <c r="Q1368" s="155"/>
      <c r="R1368" s="155"/>
      <c r="S1368" s="155"/>
      <c r="T1368" s="155"/>
      <c r="U1368" s="155"/>
      <c r="V1368" s="155"/>
      <c r="W1368" s="155"/>
      <c r="GL1368" s="155"/>
      <c r="GM1368" s="155"/>
      <c r="GN1368" s="155"/>
      <c r="GO1368" s="155"/>
      <c r="GP1368" s="155"/>
      <c r="GQ1368" s="155"/>
      <c r="GR1368" s="155"/>
      <c r="GS1368" s="155"/>
      <c r="GT1368" s="155"/>
      <c r="GU1368" s="155"/>
      <c r="GV1368" s="155"/>
      <c r="GW1368" s="155"/>
      <c r="GX1368" s="155"/>
      <c r="GY1368" s="155"/>
      <c r="GZ1368" s="155"/>
      <c r="HA1368" s="155"/>
      <c r="HB1368" s="155"/>
      <c r="HC1368" s="155"/>
      <c r="HD1368" s="155"/>
      <c r="HE1368" s="155"/>
    </row>
    <row r="1369" spans="2:213" s="156" customFormat="1" hidden="1">
      <c r="B1369" s="155"/>
      <c r="C1369" s="155"/>
      <c r="D1369" s="155"/>
      <c r="E1369" s="155"/>
      <c r="F1369" s="155"/>
      <c r="G1369" s="155"/>
      <c r="H1369" s="155"/>
      <c r="I1369" s="155"/>
      <c r="J1369" s="155"/>
      <c r="K1369" s="155"/>
      <c r="L1369" s="155"/>
      <c r="M1369" s="155"/>
      <c r="N1369" s="155"/>
      <c r="O1369" s="155"/>
      <c r="P1369" s="155"/>
      <c r="Q1369" s="155"/>
      <c r="R1369" s="155"/>
      <c r="S1369" s="155"/>
      <c r="T1369" s="155"/>
      <c r="U1369" s="155"/>
      <c r="V1369" s="155"/>
      <c r="W1369" s="155"/>
      <c r="GL1369" s="155"/>
      <c r="GM1369" s="155"/>
      <c r="GN1369" s="155"/>
      <c r="GO1369" s="155"/>
      <c r="GP1369" s="155"/>
      <c r="GQ1369" s="155"/>
      <c r="GR1369" s="155"/>
      <c r="GS1369" s="155"/>
      <c r="GT1369" s="155"/>
      <c r="GU1369" s="155"/>
      <c r="GV1369" s="155"/>
      <c r="GW1369" s="155"/>
      <c r="GX1369" s="155"/>
      <c r="GY1369" s="155"/>
      <c r="GZ1369" s="155"/>
      <c r="HA1369" s="155"/>
      <c r="HB1369" s="155"/>
      <c r="HC1369" s="155"/>
      <c r="HD1369" s="155"/>
      <c r="HE1369" s="155"/>
    </row>
    <row r="1370" spans="2:213" s="156" customFormat="1" hidden="1">
      <c r="B1370" s="155"/>
      <c r="C1370" s="155"/>
      <c r="D1370" s="155"/>
      <c r="E1370" s="155"/>
      <c r="F1370" s="155"/>
      <c r="G1370" s="155"/>
      <c r="H1370" s="155"/>
      <c r="I1370" s="155"/>
      <c r="J1370" s="155"/>
      <c r="K1370" s="155"/>
      <c r="L1370" s="155"/>
      <c r="M1370" s="155"/>
      <c r="N1370" s="155"/>
      <c r="O1370" s="155"/>
      <c r="P1370" s="155"/>
      <c r="Q1370" s="155"/>
      <c r="R1370" s="155"/>
      <c r="S1370" s="155"/>
      <c r="T1370" s="155"/>
      <c r="U1370" s="155"/>
      <c r="V1370" s="155"/>
      <c r="W1370" s="155"/>
      <c r="GL1370" s="155"/>
      <c r="GM1370" s="155"/>
      <c r="GN1370" s="155"/>
      <c r="GO1370" s="155"/>
      <c r="GP1370" s="155"/>
      <c r="GQ1370" s="155"/>
      <c r="GR1370" s="155"/>
      <c r="GS1370" s="155"/>
      <c r="GT1370" s="155"/>
      <c r="GU1370" s="155"/>
      <c r="GV1370" s="155"/>
      <c r="GW1370" s="155"/>
      <c r="GX1370" s="155"/>
      <c r="GY1370" s="155"/>
      <c r="GZ1370" s="155"/>
      <c r="HA1370" s="155"/>
      <c r="HB1370" s="155"/>
      <c r="HC1370" s="155"/>
      <c r="HD1370" s="155"/>
      <c r="HE1370" s="155"/>
    </row>
    <row r="1371" spans="2:213" s="156" customFormat="1" hidden="1">
      <c r="B1371" s="155"/>
      <c r="C1371" s="155"/>
      <c r="D1371" s="155"/>
      <c r="E1371" s="155"/>
      <c r="F1371" s="155"/>
      <c r="G1371" s="155"/>
      <c r="H1371" s="155"/>
      <c r="I1371" s="155"/>
      <c r="J1371" s="155"/>
      <c r="K1371" s="155"/>
      <c r="L1371" s="155"/>
      <c r="M1371" s="155"/>
      <c r="N1371" s="155"/>
      <c r="O1371" s="155"/>
      <c r="P1371" s="155"/>
      <c r="Q1371" s="155"/>
      <c r="R1371" s="155"/>
      <c r="S1371" s="155"/>
      <c r="T1371" s="155"/>
      <c r="U1371" s="155"/>
      <c r="V1371" s="155"/>
      <c r="W1371" s="155"/>
      <c r="GL1371" s="155"/>
      <c r="GM1371" s="155"/>
      <c r="GN1371" s="155"/>
      <c r="GO1371" s="155"/>
      <c r="GP1371" s="155"/>
      <c r="GQ1371" s="155"/>
      <c r="GR1371" s="155"/>
      <c r="GS1371" s="155"/>
      <c r="GT1371" s="155"/>
      <c r="GU1371" s="155"/>
      <c r="GV1371" s="155"/>
      <c r="GW1371" s="155"/>
      <c r="GX1371" s="155"/>
      <c r="GY1371" s="155"/>
      <c r="GZ1371" s="155"/>
      <c r="HA1371" s="155"/>
      <c r="HB1371" s="155"/>
      <c r="HC1371" s="155"/>
      <c r="HD1371" s="155"/>
      <c r="HE1371" s="155"/>
    </row>
    <row r="1372" spans="2:213" s="156" customFormat="1" hidden="1">
      <c r="B1372" s="155"/>
      <c r="C1372" s="155"/>
      <c r="D1372" s="155"/>
      <c r="E1372" s="155"/>
      <c r="F1372" s="155"/>
      <c r="G1372" s="155"/>
      <c r="H1372" s="155"/>
      <c r="I1372" s="155"/>
      <c r="J1372" s="155"/>
      <c r="K1372" s="155"/>
      <c r="L1372" s="155"/>
      <c r="M1372" s="155"/>
      <c r="N1372" s="155"/>
      <c r="O1372" s="155"/>
      <c r="P1372" s="155"/>
      <c r="Q1372" s="155"/>
      <c r="R1372" s="155"/>
      <c r="S1372" s="155"/>
      <c r="T1372" s="155"/>
      <c r="U1372" s="155"/>
      <c r="V1372" s="155"/>
      <c r="W1372" s="155"/>
      <c r="GL1372" s="155"/>
      <c r="GM1372" s="155"/>
      <c r="GN1372" s="155"/>
      <c r="GO1372" s="155"/>
      <c r="GP1372" s="155"/>
      <c r="GQ1372" s="155"/>
      <c r="GR1372" s="155"/>
      <c r="GS1372" s="155"/>
      <c r="GT1372" s="155"/>
      <c r="GU1372" s="155"/>
      <c r="GV1372" s="155"/>
      <c r="GW1372" s="155"/>
      <c r="GX1372" s="155"/>
      <c r="GY1372" s="155"/>
      <c r="GZ1372" s="155"/>
      <c r="HA1372" s="155"/>
      <c r="HB1372" s="155"/>
      <c r="HC1372" s="155"/>
      <c r="HD1372" s="155"/>
      <c r="HE1372" s="155"/>
    </row>
    <row r="1373" spans="2:213" s="156" customFormat="1" hidden="1">
      <c r="B1373" s="155"/>
      <c r="C1373" s="155"/>
      <c r="D1373" s="155"/>
      <c r="E1373" s="155"/>
      <c r="F1373" s="155"/>
      <c r="G1373" s="155"/>
      <c r="H1373" s="155"/>
      <c r="I1373" s="155"/>
      <c r="J1373" s="155"/>
      <c r="K1373" s="155"/>
      <c r="L1373" s="155"/>
      <c r="M1373" s="155"/>
      <c r="N1373" s="155"/>
      <c r="O1373" s="155"/>
      <c r="P1373" s="155"/>
      <c r="Q1373" s="155"/>
      <c r="R1373" s="155"/>
      <c r="S1373" s="155"/>
      <c r="T1373" s="155"/>
      <c r="U1373" s="155"/>
      <c r="V1373" s="155"/>
      <c r="W1373" s="155"/>
      <c r="GL1373" s="155"/>
      <c r="GM1373" s="155"/>
      <c r="GN1373" s="155"/>
      <c r="GO1373" s="155"/>
      <c r="GP1373" s="155"/>
      <c r="GQ1373" s="155"/>
      <c r="GR1373" s="155"/>
      <c r="GS1373" s="155"/>
      <c r="GT1373" s="155"/>
      <c r="GU1373" s="155"/>
      <c r="GV1373" s="155"/>
      <c r="GW1373" s="155"/>
      <c r="GX1373" s="155"/>
      <c r="GY1373" s="155"/>
      <c r="GZ1373" s="155"/>
      <c r="HA1373" s="155"/>
      <c r="HB1373" s="155"/>
      <c r="HC1373" s="155"/>
      <c r="HD1373" s="155"/>
      <c r="HE1373" s="155"/>
    </row>
    <row r="1374" spans="2:213" s="156" customFormat="1" hidden="1">
      <c r="B1374" s="155"/>
      <c r="C1374" s="155"/>
      <c r="D1374" s="155"/>
      <c r="E1374" s="155"/>
      <c r="F1374" s="155"/>
      <c r="G1374" s="155"/>
      <c r="H1374" s="155"/>
      <c r="I1374" s="155"/>
      <c r="J1374" s="155"/>
      <c r="K1374" s="155"/>
      <c r="L1374" s="155"/>
      <c r="M1374" s="155"/>
      <c r="N1374" s="155"/>
      <c r="O1374" s="155"/>
      <c r="P1374" s="155"/>
      <c r="Q1374" s="155"/>
      <c r="R1374" s="155"/>
      <c r="S1374" s="155"/>
      <c r="T1374" s="155"/>
      <c r="U1374" s="155"/>
      <c r="V1374" s="155"/>
      <c r="W1374" s="155"/>
      <c r="GL1374" s="155"/>
      <c r="GM1374" s="155"/>
      <c r="GN1374" s="155"/>
      <c r="GO1374" s="155"/>
      <c r="GP1374" s="155"/>
      <c r="GQ1374" s="155"/>
      <c r="GR1374" s="155"/>
      <c r="GS1374" s="155"/>
      <c r="GT1374" s="155"/>
      <c r="GU1374" s="155"/>
      <c r="GV1374" s="155"/>
      <c r="GW1374" s="155"/>
      <c r="GX1374" s="155"/>
      <c r="GY1374" s="155"/>
      <c r="GZ1374" s="155"/>
      <c r="HA1374" s="155"/>
      <c r="HB1374" s="155"/>
      <c r="HC1374" s="155"/>
      <c r="HD1374" s="155"/>
      <c r="HE1374" s="155"/>
    </row>
    <row r="1375" spans="2:213" s="156" customFormat="1" hidden="1">
      <c r="B1375" s="155"/>
      <c r="C1375" s="155"/>
      <c r="D1375" s="155"/>
      <c r="E1375" s="155"/>
      <c r="F1375" s="155"/>
      <c r="G1375" s="155"/>
      <c r="H1375" s="155"/>
      <c r="I1375" s="155"/>
      <c r="J1375" s="155"/>
      <c r="K1375" s="155"/>
      <c r="L1375" s="155"/>
      <c r="M1375" s="155"/>
      <c r="N1375" s="155"/>
      <c r="O1375" s="155"/>
      <c r="P1375" s="155"/>
      <c r="Q1375" s="155"/>
      <c r="R1375" s="155"/>
      <c r="S1375" s="155"/>
      <c r="T1375" s="155"/>
      <c r="U1375" s="155"/>
      <c r="V1375" s="155"/>
      <c r="W1375" s="155"/>
      <c r="GL1375" s="155"/>
      <c r="GM1375" s="155"/>
      <c r="GN1375" s="155"/>
      <c r="GO1375" s="155"/>
      <c r="GP1375" s="155"/>
      <c r="GQ1375" s="155"/>
      <c r="GR1375" s="155"/>
      <c r="GS1375" s="155"/>
      <c r="GT1375" s="155"/>
      <c r="GU1375" s="155"/>
      <c r="GV1375" s="155"/>
      <c r="GW1375" s="155"/>
      <c r="GX1375" s="155"/>
      <c r="GY1375" s="155"/>
      <c r="GZ1375" s="155"/>
      <c r="HA1375" s="155"/>
      <c r="HB1375" s="155"/>
      <c r="HC1375" s="155"/>
      <c r="HD1375" s="155"/>
      <c r="HE1375" s="155"/>
    </row>
    <row r="1376" spans="2:213" s="156" customFormat="1" hidden="1">
      <c r="B1376" s="155"/>
      <c r="C1376" s="155"/>
      <c r="D1376" s="155"/>
      <c r="E1376" s="155"/>
      <c r="F1376" s="155"/>
      <c r="G1376" s="155"/>
      <c r="H1376" s="155"/>
      <c r="I1376" s="155"/>
      <c r="J1376" s="155"/>
      <c r="K1376" s="155"/>
      <c r="L1376" s="155"/>
      <c r="M1376" s="155"/>
      <c r="N1376" s="155"/>
      <c r="O1376" s="155"/>
      <c r="P1376" s="155"/>
      <c r="Q1376" s="155"/>
      <c r="R1376" s="155"/>
      <c r="S1376" s="155"/>
      <c r="T1376" s="155"/>
      <c r="U1376" s="155"/>
      <c r="V1376" s="155"/>
      <c r="W1376" s="155"/>
      <c r="GL1376" s="155"/>
      <c r="GM1376" s="155"/>
      <c r="GN1376" s="155"/>
      <c r="GO1376" s="155"/>
      <c r="GP1376" s="155"/>
      <c r="GQ1376" s="155"/>
      <c r="GR1376" s="155"/>
      <c r="GS1376" s="155"/>
      <c r="GT1376" s="155"/>
      <c r="GU1376" s="155"/>
      <c r="GV1376" s="155"/>
      <c r="GW1376" s="155"/>
      <c r="GX1376" s="155"/>
      <c r="GY1376" s="155"/>
      <c r="GZ1376" s="155"/>
      <c r="HA1376" s="155"/>
      <c r="HB1376" s="155"/>
      <c r="HC1376" s="155"/>
      <c r="HD1376" s="155"/>
      <c r="HE1376" s="155"/>
    </row>
    <row r="1377" spans="2:213" s="156" customFormat="1" hidden="1">
      <c r="B1377" s="155"/>
      <c r="C1377" s="155"/>
      <c r="D1377" s="155"/>
      <c r="E1377" s="155"/>
      <c r="F1377" s="155"/>
      <c r="G1377" s="155"/>
      <c r="H1377" s="155"/>
      <c r="I1377" s="155"/>
      <c r="J1377" s="155"/>
      <c r="K1377" s="155"/>
      <c r="L1377" s="155"/>
      <c r="M1377" s="155"/>
      <c r="N1377" s="155"/>
      <c r="O1377" s="155"/>
      <c r="P1377" s="155"/>
      <c r="Q1377" s="155"/>
      <c r="R1377" s="155"/>
      <c r="S1377" s="155"/>
      <c r="T1377" s="155"/>
      <c r="U1377" s="155"/>
      <c r="V1377" s="155"/>
      <c r="W1377" s="155"/>
      <c r="GL1377" s="155"/>
      <c r="GM1377" s="155"/>
      <c r="GN1377" s="155"/>
      <c r="GO1377" s="155"/>
      <c r="GP1377" s="155"/>
      <c r="GQ1377" s="155"/>
      <c r="GR1377" s="155"/>
      <c r="GS1377" s="155"/>
      <c r="GT1377" s="155"/>
      <c r="GU1377" s="155"/>
      <c r="GV1377" s="155"/>
      <c r="GW1377" s="155"/>
      <c r="GX1377" s="155"/>
      <c r="GY1377" s="155"/>
      <c r="GZ1377" s="155"/>
      <c r="HA1377" s="155"/>
      <c r="HB1377" s="155"/>
      <c r="HC1377" s="155"/>
      <c r="HD1377" s="155"/>
      <c r="HE1377" s="155"/>
    </row>
    <row r="1378" spans="2:213" s="156" customFormat="1" hidden="1">
      <c r="B1378" s="155"/>
      <c r="C1378" s="155"/>
      <c r="D1378" s="155"/>
      <c r="E1378" s="155"/>
      <c r="F1378" s="155"/>
      <c r="G1378" s="155"/>
      <c r="H1378" s="155"/>
      <c r="I1378" s="155"/>
      <c r="J1378" s="155"/>
      <c r="K1378" s="155"/>
      <c r="L1378" s="155"/>
      <c r="M1378" s="155"/>
      <c r="N1378" s="155"/>
      <c r="O1378" s="155"/>
      <c r="P1378" s="155"/>
      <c r="Q1378" s="155"/>
      <c r="R1378" s="155"/>
      <c r="S1378" s="155"/>
      <c r="T1378" s="155"/>
      <c r="U1378" s="155"/>
      <c r="V1378" s="155"/>
      <c r="W1378" s="155"/>
      <c r="GL1378" s="155"/>
      <c r="GM1378" s="155"/>
      <c r="GN1378" s="155"/>
      <c r="GO1378" s="155"/>
      <c r="GP1378" s="155"/>
      <c r="GQ1378" s="155"/>
      <c r="GR1378" s="155"/>
      <c r="GS1378" s="155"/>
      <c r="GT1378" s="155"/>
      <c r="GU1378" s="155"/>
      <c r="GV1378" s="155"/>
      <c r="GW1378" s="155"/>
      <c r="GX1378" s="155"/>
      <c r="GY1378" s="155"/>
      <c r="GZ1378" s="155"/>
      <c r="HA1378" s="155"/>
      <c r="HB1378" s="155"/>
      <c r="HC1378" s="155"/>
      <c r="HD1378" s="155"/>
      <c r="HE1378" s="155"/>
    </row>
    <row r="1379" spans="2:213" s="156" customFormat="1" hidden="1">
      <c r="B1379" s="155"/>
      <c r="C1379" s="155"/>
      <c r="D1379" s="155"/>
      <c r="E1379" s="155"/>
      <c r="F1379" s="155"/>
      <c r="G1379" s="155"/>
      <c r="H1379" s="155"/>
      <c r="I1379" s="155"/>
      <c r="J1379" s="155"/>
      <c r="K1379" s="155"/>
      <c r="L1379" s="155"/>
      <c r="M1379" s="155"/>
      <c r="N1379" s="155"/>
      <c r="O1379" s="155"/>
      <c r="P1379" s="155"/>
      <c r="Q1379" s="155"/>
      <c r="R1379" s="155"/>
      <c r="S1379" s="155"/>
      <c r="T1379" s="155"/>
      <c r="U1379" s="155"/>
      <c r="V1379" s="155"/>
      <c r="W1379" s="155"/>
      <c r="GL1379" s="155"/>
      <c r="GM1379" s="155"/>
      <c r="GN1379" s="155"/>
      <c r="GO1379" s="155"/>
      <c r="GP1379" s="155"/>
      <c r="GQ1379" s="155"/>
      <c r="GR1379" s="155"/>
      <c r="GS1379" s="155"/>
      <c r="GT1379" s="155"/>
      <c r="GU1379" s="155"/>
      <c r="GV1379" s="155"/>
      <c r="GW1379" s="155"/>
      <c r="GX1379" s="155"/>
      <c r="GY1379" s="155"/>
      <c r="GZ1379" s="155"/>
      <c r="HA1379" s="155"/>
      <c r="HB1379" s="155"/>
      <c r="HC1379" s="155"/>
      <c r="HD1379" s="155"/>
      <c r="HE1379" s="155"/>
    </row>
    <row r="1380" spans="2:213" s="156" customFormat="1" hidden="1">
      <c r="B1380" s="155"/>
      <c r="C1380" s="155"/>
      <c r="D1380" s="155"/>
      <c r="E1380" s="155"/>
      <c r="F1380" s="155"/>
      <c r="G1380" s="155"/>
      <c r="H1380" s="155"/>
      <c r="I1380" s="155"/>
      <c r="J1380" s="155"/>
      <c r="K1380" s="155"/>
      <c r="L1380" s="155"/>
      <c r="M1380" s="155"/>
      <c r="N1380" s="155"/>
      <c r="O1380" s="155"/>
      <c r="P1380" s="155"/>
      <c r="Q1380" s="155"/>
      <c r="R1380" s="155"/>
      <c r="S1380" s="155"/>
      <c r="T1380" s="155"/>
      <c r="U1380" s="155"/>
      <c r="V1380" s="155"/>
      <c r="W1380" s="155"/>
      <c r="GL1380" s="155"/>
      <c r="GM1380" s="155"/>
      <c r="GN1380" s="155"/>
      <c r="GO1380" s="155"/>
      <c r="GP1380" s="155"/>
      <c r="GQ1380" s="155"/>
      <c r="GR1380" s="155"/>
      <c r="GS1380" s="155"/>
      <c r="GT1380" s="155"/>
      <c r="GU1380" s="155"/>
      <c r="GV1380" s="155"/>
      <c r="GW1380" s="155"/>
      <c r="GX1380" s="155"/>
      <c r="GY1380" s="155"/>
      <c r="GZ1380" s="155"/>
      <c r="HA1380" s="155"/>
      <c r="HB1380" s="155"/>
      <c r="HC1380" s="155"/>
      <c r="HD1380" s="155"/>
      <c r="HE1380" s="155"/>
    </row>
    <row r="1381" spans="2:213" s="156" customFormat="1" hidden="1">
      <c r="B1381" s="155"/>
      <c r="C1381" s="155"/>
      <c r="D1381" s="155"/>
      <c r="E1381" s="155"/>
      <c r="F1381" s="155"/>
      <c r="G1381" s="155"/>
      <c r="H1381" s="155"/>
      <c r="I1381" s="155"/>
      <c r="J1381" s="155"/>
      <c r="K1381" s="155"/>
      <c r="L1381" s="155"/>
      <c r="M1381" s="155"/>
      <c r="N1381" s="155"/>
      <c r="O1381" s="155"/>
      <c r="P1381" s="155"/>
      <c r="Q1381" s="155"/>
      <c r="R1381" s="155"/>
      <c r="S1381" s="155"/>
      <c r="T1381" s="155"/>
      <c r="U1381" s="155"/>
      <c r="V1381" s="155"/>
      <c r="W1381" s="155"/>
      <c r="GL1381" s="155"/>
      <c r="GM1381" s="155"/>
      <c r="GN1381" s="155"/>
      <c r="GO1381" s="155"/>
      <c r="GP1381" s="155"/>
      <c r="GQ1381" s="155"/>
      <c r="GR1381" s="155"/>
      <c r="GS1381" s="155"/>
      <c r="GT1381" s="155"/>
      <c r="GU1381" s="155"/>
      <c r="GV1381" s="155"/>
      <c r="GW1381" s="155"/>
      <c r="GX1381" s="155"/>
      <c r="GY1381" s="155"/>
      <c r="GZ1381" s="155"/>
      <c r="HA1381" s="155"/>
      <c r="HB1381" s="155"/>
      <c r="HC1381" s="155"/>
      <c r="HD1381" s="155"/>
      <c r="HE1381" s="155"/>
    </row>
    <row r="1382" spans="2:213" s="156" customFormat="1" hidden="1">
      <c r="B1382" s="155"/>
      <c r="C1382" s="155"/>
      <c r="D1382" s="155"/>
      <c r="E1382" s="155"/>
      <c r="F1382" s="155"/>
      <c r="G1382" s="155"/>
      <c r="H1382" s="155"/>
      <c r="I1382" s="155"/>
      <c r="J1382" s="155"/>
      <c r="K1382" s="155"/>
      <c r="L1382" s="155"/>
      <c r="M1382" s="155"/>
      <c r="N1382" s="155"/>
      <c r="O1382" s="155"/>
      <c r="P1382" s="155"/>
      <c r="Q1382" s="155"/>
      <c r="R1382" s="155"/>
      <c r="S1382" s="155"/>
      <c r="T1382" s="155"/>
      <c r="U1382" s="155"/>
      <c r="V1382" s="155"/>
      <c r="W1382" s="155"/>
      <c r="GL1382" s="155"/>
      <c r="GM1382" s="155"/>
      <c r="GN1382" s="155"/>
      <c r="GO1382" s="155"/>
      <c r="GP1382" s="155"/>
      <c r="GQ1382" s="155"/>
      <c r="GR1382" s="155"/>
      <c r="GS1382" s="155"/>
      <c r="GT1382" s="155"/>
      <c r="GU1382" s="155"/>
      <c r="GV1382" s="155"/>
      <c r="GW1382" s="155"/>
      <c r="GX1382" s="155"/>
      <c r="GY1382" s="155"/>
      <c r="GZ1382" s="155"/>
      <c r="HA1382" s="155"/>
      <c r="HB1382" s="155"/>
      <c r="HC1382" s="155"/>
      <c r="HD1382" s="155"/>
      <c r="HE1382" s="155"/>
    </row>
    <row r="1383" spans="2:213" s="156" customFormat="1" hidden="1">
      <c r="B1383" s="155"/>
      <c r="C1383" s="155"/>
      <c r="D1383" s="155"/>
      <c r="E1383" s="155"/>
      <c r="F1383" s="155"/>
      <c r="G1383" s="155"/>
      <c r="H1383" s="155"/>
      <c r="I1383" s="155"/>
      <c r="J1383" s="155"/>
      <c r="K1383" s="155"/>
      <c r="L1383" s="155"/>
      <c r="M1383" s="155"/>
      <c r="N1383" s="155"/>
      <c r="O1383" s="155"/>
      <c r="P1383" s="155"/>
      <c r="Q1383" s="155"/>
      <c r="R1383" s="155"/>
      <c r="S1383" s="155"/>
      <c r="T1383" s="155"/>
      <c r="U1383" s="155"/>
      <c r="V1383" s="155"/>
      <c r="W1383" s="155"/>
      <c r="GL1383" s="155"/>
      <c r="GM1383" s="155"/>
      <c r="GN1383" s="155"/>
      <c r="GO1383" s="155"/>
      <c r="GP1383" s="155"/>
      <c r="GQ1383" s="155"/>
      <c r="GR1383" s="155"/>
      <c r="GS1383" s="155"/>
      <c r="GT1383" s="155"/>
      <c r="GU1383" s="155"/>
      <c r="GV1383" s="155"/>
      <c r="GW1383" s="155"/>
      <c r="GX1383" s="155"/>
      <c r="GY1383" s="155"/>
      <c r="GZ1383" s="155"/>
      <c r="HA1383" s="155"/>
      <c r="HB1383" s="155"/>
      <c r="HC1383" s="155"/>
      <c r="HD1383" s="155"/>
      <c r="HE1383" s="155"/>
    </row>
    <row r="1384" spans="2:213" s="156" customFormat="1" hidden="1">
      <c r="B1384" s="155"/>
      <c r="C1384" s="155"/>
      <c r="D1384" s="155"/>
      <c r="E1384" s="155"/>
      <c r="F1384" s="155"/>
      <c r="G1384" s="155"/>
      <c r="H1384" s="155"/>
      <c r="I1384" s="155"/>
      <c r="J1384" s="155"/>
      <c r="K1384" s="155"/>
      <c r="L1384" s="155"/>
      <c r="M1384" s="155"/>
      <c r="N1384" s="155"/>
      <c r="O1384" s="155"/>
      <c r="P1384" s="155"/>
      <c r="Q1384" s="155"/>
      <c r="R1384" s="155"/>
      <c r="S1384" s="155"/>
      <c r="T1384" s="155"/>
      <c r="U1384" s="155"/>
      <c r="V1384" s="155"/>
      <c r="W1384" s="155"/>
      <c r="GL1384" s="155"/>
      <c r="GM1384" s="155"/>
      <c r="GN1384" s="155"/>
      <c r="GO1384" s="155"/>
      <c r="GP1384" s="155"/>
      <c r="GQ1384" s="155"/>
      <c r="GR1384" s="155"/>
      <c r="GS1384" s="155"/>
      <c r="GT1384" s="155"/>
      <c r="GU1384" s="155"/>
      <c r="GV1384" s="155"/>
      <c r="GW1384" s="155"/>
      <c r="GX1384" s="155"/>
      <c r="GY1384" s="155"/>
      <c r="GZ1384" s="155"/>
      <c r="HA1384" s="155"/>
      <c r="HB1384" s="155"/>
      <c r="HC1384" s="155"/>
      <c r="HD1384" s="155"/>
      <c r="HE1384" s="155"/>
    </row>
    <row r="1385" spans="2:213" s="156" customFormat="1" hidden="1">
      <c r="B1385" s="155"/>
      <c r="C1385" s="155"/>
      <c r="D1385" s="155"/>
      <c r="E1385" s="155"/>
      <c r="F1385" s="155"/>
      <c r="G1385" s="155"/>
      <c r="H1385" s="155"/>
      <c r="I1385" s="155"/>
      <c r="J1385" s="155"/>
      <c r="K1385" s="155"/>
      <c r="L1385" s="155"/>
      <c r="M1385" s="155"/>
      <c r="N1385" s="155"/>
      <c r="O1385" s="155"/>
      <c r="P1385" s="155"/>
      <c r="Q1385" s="155"/>
      <c r="R1385" s="155"/>
      <c r="S1385" s="155"/>
      <c r="T1385" s="155"/>
      <c r="U1385" s="155"/>
      <c r="V1385" s="155"/>
      <c r="W1385" s="155"/>
      <c r="GL1385" s="155"/>
      <c r="GM1385" s="155"/>
      <c r="GN1385" s="155"/>
      <c r="GO1385" s="155"/>
      <c r="GP1385" s="155"/>
      <c r="GQ1385" s="155"/>
      <c r="GR1385" s="155"/>
      <c r="GS1385" s="155"/>
      <c r="GT1385" s="155"/>
      <c r="GU1385" s="155"/>
      <c r="GV1385" s="155"/>
      <c r="GW1385" s="155"/>
      <c r="GX1385" s="155"/>
      <c r="GY1385" s="155"/>
      <c r="GZ1385" s="155"/>
      <c r="HA1385" s="155"/>
      <c r="HB1385" s="155"/>
      <c r="HC1385" s="155"/>
      <c r="HD1385" s="155"/>
      <c r="HE1385" s="155"/>
    </row>
    <row r="1386" spans="2:213" s="156" customFormat="1" hidden="1">
      <c r="B1386" s="155"/>
      <c r="C1386" s="155"/>
      <c r="D1386" s="155"/>
      <c r="E1386" s="155"/>
      <c r="F1386" s="155"/>
      <c r="G1386" s="155"/>
      <c r="H1386" s="155"/>
      <c r="I1386" s="155"/>
      <c r="J1386" s="155"/>
      <c r="K1386" s="155"/>
      <c r="L1386" s="155"/>
      <c r="M1386" s="155"/>
      <c r="N1386" s="155"/>
      <c r="O1386" s="155"/>
      <c r="P1386" s="155"/>
      <c r="Q1386" s="155"/>
      <c r="R1386" s="155"/>
      <c r="S1386" s="155"/>
      <c r="T1386" s="155"/>
      <c r="U1386" s="155"/>
      <c r="V1386" s="155"/>
      <c r="W1386" s="155"/>
      <c r="GL1386" s="155"/>
      <c r="GM1386" s="155"/>
      <c r="GN1386" s="155"/>
      <c r="GO1386" s="155"/>
      <c r="GP1386" s="155"/>
      <c r="GQ1386" s="155"/>
      <c r="GR1386" s="155"/>
      <c r="GS1386" s="155"/>
      <c r="GT1386" s="155"/>
      <c r="GU1386" s="155"/>
      <c r="GV1386" s="155"/>
      <c r="GW1386" s="155"/>
      <c r="GX1386" s="155"/>
      <c r="GY1386" s="155"/>
      <c r="GZ1386" s="155"/>
      <c r="HA1386" s="155"/>
      <c r="HB1386" s="155"/>
      <c r="HC1386" s="155"/>
      <c r="HD1386" s="155"/>
      <c r="HE1386" s="155"/>
    </row>
    <row r="1387" spans="2:213" s="156" customFormat="1" hidden="1">
      <c r="B1387" s="155"/>
      <c r="C1387" s="155"/>
      <c r="D1387" s="155"/>
      <c r="E1387" s="155"/>
      <c r="F1387" s="155"/>
      <c r="G1387" s="155"/>
      <c r="H1387" s="155"/>
      <c r="I1387" s="155"/>
      <c r="J1387" s="155"/>
      <c r="K1387" s="155"/>
      <c r="L1387" s="155"/>
      <c r="M1387" s="155"/>
      <c r="N1387" s="155"/>
      <c r="O1387" s="155"/>
      <c r="P1387" s="155"/>
      <c r="Q1387" s="155"/>
      <c r="R1387" s="155"/>
      <c r="S1387" s="155"/>
      <c r="T1387" s="155"/>
      <c r="U1387" s="155"/>
      <c r="V1387" s="155"/>
      <c r="W1387" s="155"/>
      <c r="GL1387" s="155"/>
      <c r="GM1387" s="155"/>
      <c r="GN1387" s="155"/>
      <c r="GO1387" s="155"/>
      <c r="GP1387" s="155"/>
      <c r="GQ1387" s="155"/>
      <c r="GR1387" s="155"/>
      <c r="GS1387" s="155"/>
      <c r="GT1387" s="155"/>
      <c r="GU1387" s="155"/>
      <c r="GV1387" s="155"/>
      <c r="GW1387" s="155"/>
      <c r="GX1387" s="155"/>
      <c r="GY1387" s="155"/>
      <c r="GZ1387" s="155"/>
      <c r="HA1387" s="155"/>
      <c r="HB1387" s="155"/>
      <c r="HC1387" s="155"/>
      <c r="HD1387" s="155"/>
      <c r="HE1387" s="155"/>
    </row>
    <row r="1388" spans="2:213" s="156" customFormat="1" hidden="1">
      <c r="B1388" s="155"/>
      <c r="C1388" s="155"/>
      <c r="D1388" s="155"/>
      <c r="E1388" s="155"/>
      <c r="F1388" s="155"/>
      <c r="G1388" s="155"/>
      <c r="H1388" s="155"/>
      <c r="I1388" s="155"/>
      <c r="J1388" s="155"/>
      <c r="K1388" s="155"/>
      <c r="L1388" s="155"/>
      <c r="M1388" s="155"/>
      <c r="N1388" s="155"/>
      <c r="O1388" s="155"/>
      <c r="P1388" s="155"/>
      <c r="Q1388" s="155"/>
      <c r="R1388" s="155"/>
      <c r="S1388" s="155"/>
      <c r="T1388" s="155"/>
      <c r="U1388" s="155"/>
      <c r="V1388" s="155"/>
      <c r="W1388" s="155"/>
      <c r="GL1388" s="155"/>
      <c r="GM1388" s="155"/>
      <c r="GN1388" s="155"/>
      <c r="GO1388" s="155"/>
      <c r="GP1388" s="155"/>
      <c r="GQ1388" s="155"/>
      <c r="GR1388" s="155"/>
      <c r="GS1388" s="155"/>
      <c r="GT1388" s="155"/>
      <c r="GU1388" s="155"/>
      <c r="GV1388" s="155"/>
      <c r="GW1388" s="155"/>
      <c r="GX1388" s="155"/>
      <c r="GY1388" s="155"/>
      <c r="GZ1388" s="155"/>
      <c r="HA1388" s="155"/>
      <c r="HB1388" s="155"/>
      <c r="HC1388" s="155"/>
      <c r="HD1388" s="155"/>
      <c r="HE1388" s="155"/>
    </row>
    <row r="1389" spans="2:213" s="156" customFormat="1" hidden="1">
      <c r="B1389" s="155"/>
      <c r="C1389" s="155"/>
      <c r="D1389" s="155"/>
      <c r="E1389" s="155"/>
      <c r="F1389" s="155"/>
      <c r="G1389" s="155"/>
      <c r="H1389" s="155"/>
      <c r="I1389" s="155"/>
      <c r="J1389" s="155"/>
      <c r="K1389" s="155"/>
      <c r="L1389" s="155"/>
      <c r="M1389" s="155"/>
      <c r="N1389" s="155"/>
      <c r="O1389" s="155"/>
      <c r="P1389" s="155"/>
      <c r="Q1389" s="155"/>
      <c r="R1389" s="155"/>
      <c r="S1389" s="155"/>
      <c r="T1389" s="155"/>
      <c r="U1389" s="155"/>
      <c r="V1389" s="155"/>
      <c r="W1389" s="155"/>
      <c r="GL1389" s="155"/>
      <c r="GM1389" s="155"/>
      <c r="GN1389" s="155"/>
      <c r="GO1389" s="155"/>
      <c r="GP1389" s="155"/>
      <c r="GQ1389" s="155"/>
      <c r="GR1389" s="155"/>
      <c r="GS1389" s="155"/>
      <c r="GT1389" s="155"/>
      <c r="GU1389" s="155"/>
      <c r="GV1389" s="155"/>
      <c r="GW1389" s="155"/>
      <c r="GX1389" s="155"/>
      <c r="GY1389" s="155"/>
      <c r="GZ1389" s="155"/>
      <c r="HA1389" s="155"/>
      <c r="HB1389" s="155"/>
      <c r="HC1389" s="155"/>
      <c r="HD1389" s="155"/>
      <c r="HE1389" s="155"/>
    </row>
    <row r="1390" spans="2:213" s="156" customFormat="1" hidden="1">
      <c r="B1390" s="155"/>
      <c r="C1390" s="155"/>
      <c r="D1390" s="155"/>
      <c r="E1390" s="155"/>
      <c r="F1390" s="155"/>
      <c r="G1390" s="155"/>
      <c r="H1390" s="155"/>
      <c r="I1390" s="155"/>
      <c r="J1390" s="155"/>
      <c r="K1390" s="155"/>
      <c r="L1390" s="155"/>
      <c r="M1390" s="155"/>
      <c r="N1390" s="155"/>
      <c r="O1390" s="155"/>
      <c r="P1390" s="155"/>
      <c r="Q1390" s="155"/>
      <c r="R1390" s="155"/>
      <c r="S1390" s="155"/>
      <c r="T1390" s="155"/>
      <c r="U1390" s="155"/>
      <c r="V1390" s="155"/>
      <c r="W1390" s="155"/>
      <c r="GL1390" s="155"/>
      <c r="GM1390" s="155"/>
      <c r="GN1390" s="155"/>
      <c r="GO1390" s="155"/>
      <c r="GP1390" s="155"/>
      <c r="GQ1390" s="155"/>
      <c r="GR1390" s="155"/>
      <c r="GS1390" s="155"/>
      <c r="GT1390" s="155"/>
      <c r="GU1390" s="155"/>
      <c r="GV1390" s="155"/>
      <c r="GW1390" s="155"/>
      <c r="GX1390" s="155"/>
      <c r="GY1390" s="155"/>
      <c r="GZ1390" s="155"/>
      <c r="HA1390" s="155"/>
      <c r="HB1390" s="155"/>
      <c r="HC1390" s="155"/>
      <c r="HD1390" s="155"/>
      <c r="HE1390" s="155"/>
    </row>
    <row r="1391" spans="2:213" s="156" customFormat="1" hidden="1">
      <c r="B1391" s="155"/>
      <c r="C1391" s="155"/>
      <c r="D1391" s="155"/>
      <c r="E1391" s="155"/>
      <c r="F1391" s="155"/>
      <c r="G1391" s="155"/>
      <c r="H1391" s="155"/>
      <c r="I1391" s="155"/>
      <c r="J1391" s="155"/>
      <c r="K1391" s="155"/>
      <c r="L1391" s="155"/>
      <c r="M1391" s="155"/>
      <c r="N1391" s="155"/>
      <c r="O1391" s="155"/>
      <c r="P1391" s="155"/>
      <c r="Q1391" s="155"/>
      <c r="R1391" s="155"/>
      <c r="S1391" s="155"/>
      <c r="T1391" s="155"/>
      <c r="U1391" s="155"/>
      <c r="V1391" s="155"/>
      <c r="W1391" s="155"/>
      <c r="GL1391" s="155"/>
      <c r="GM1391" s="155"/>
      <c r="GN1391" s="155"/>
      <c r="GO1391" s="155"/>
      <c r="GP1391" s="155"/>
      <c r="GQ1391" s="155"/>
      <c r="GR1391" s="155"/>
      <c r="GS1391" s="155"/>
      <c r="GT1391" s="155"/>
      <c r="GU1391" s="155"/>
      <c r="GV1391" s="155"/>
      <c r="GW1391" s="155"/>
      <c r="GX1391" s="155"/>
      <c r="GY1391" s="155"/>
      <c r="GZ1391" s="155"/>
      <c r="HA1391" s="155"/>
      <c r="HB1391" s="155"/>
      <c r="HC1391" s="155"/>
      <c r="HD1391" s="155"/>
      <c r="HE1391" s="155"/>
    </row>
    <row r="1392" spans="2:213" s="156" customFormat="1" hidden="1">
      <c r="B1392" s="155"/>
      <c r="C1392" s="155"/>
      <c r="D1392" s="155"/>
      <c r="E1392" s="155"/>
      <c r="F1392" s="155"/>
      <c r="G1392" s="155"/>
      <c r="H1392" s="155"/>
      <c r="I1392" s="155"/>
      <c r="J1392" s="155"/>
      <c r="K1392" s="155"/>
      <c r="L1392" s="155"/>
      <c r="M1392" s="155"/>
      <c r="N1392" s="155"/>
      <c r="O1392" s="155"/>
      <c r="P1392" s="155"/>
      <c r="Q1392" s="155"/>
      <c r="R1392" s="155"/>
      <c r="S1392" s="155"/>
      <c r="T1392" s="155"/>
      <c r="U1392" s="155"/>
      <c r="V1392" s="155"/>
      <c r="W1392" s="155"/>
      <c r="GL1392" s="155"/>
      <c r="GM1392" s="155"/>
      <c r="GN1392" s="155"/>
      <c r="GO1392" s="155"/>
      <c r="GP1392" s="155"/>
      <c r="GQ1392" s="155"/>
      <c r="GR1392" s="155"/>
      <c r="GS1392" s="155"/>
      <c r="GT1392" s="155"/>
      <c r="GU1392" s="155"/>
      <c r="GV1392" s="155"/>
      <c r="GW1392" s="155"/>
      <c r="GX1392" s="155"/>
      <c r="GY1392" s="155"/>
      <c r="GZ1392" s="155"/>
      <c r="HA1392" s="155"/>
      <c r="HB1392" s="155"/>
      <c r="HC1392" s="155"/>
      <c r="HD1392" s="155"/>
      <c r="HE1392" s="155"/>
    </row>
    <row r="1393" spans="2:213" s="156" customFormat="1" hidden="1">
      <c r="B1393" s="155"/>
      <c r="C1393" s="155"/>
      <c r="D1393" s="155"/>
      <c r="E1393" s="155"/>
      <c r="F1393" s="155"/>
      <c r="G1393" s="155"/>
      <c r="H1393" s="155"/>
      <c r="I1393" s="155"/>
      <c r="J1393" s="155"/>
      <c r="K1393" s="155"/>
      <c r="L1393" s="155"/>
      <c r="M1393" s="155"/>
      <c r="N1393" s="155"/>
      <c r="O1393" s="155"/>
      <c r="P1393" s="155"/>
      <c r="Q1393" s="155"/>
      <c r="R1393" s="155"/>
      <c r="S1393" s="155"/>
      <c r="T1393" s="155"/>
      <c r="U1393" s="155"/>
      <c r="V1393" s="155"/>
      <c r="W1393" s="155"/>
      <c r="GL1393" s="155"/>
      <c r="GM1393" s="155"/>
      <c r="GN1393" s="155"/>
      <c r="GO1393" s="155"/>
      <c r="GP1393" s="155"/>
      <c r="GQ1393" s="155"/>
      <c r="GR1393" s="155"/>
      <c r="GS1393" s="155"/>
      <c r="GT1393" s="155"/>
      <c r="GU1393" s="155"/>
      <c r="GV1393" s="155"/>
      <c r="GW1393" s="155"/>
      <c r="GX1393" s="155"/>
      <c r="GY1393" s="155"/>
      <c r="GZ1393" s="155"/>
      <c r="HA1393" s="155"/>
      <c r="HB1393" s="155"/>
      <c r="HC1393" s="155"/>
      <c r="HD1393" s="155"/>
      <c r="HE1393" s="155"/>
    </row>
    <row r="1394" spans="2:213" s="156" customFormat="1" hidden="1">
      <c r="B1394" s="155"/>
      <c r="C1394" s="155"/>
      <c r="D1394" s="155"/>
      <c r="E1394" s="155"/>
      <c r="F1394" s="155"/>
      <c r="G1394" s="155"/>
      <c r="H1394" s="155"/>
      <c r="I1394" s="155"/>
      <c r="J1394" s="155"/>
      <c r="K1394" s="155"/>
      <c r="L1394" s="155"/>
      <c r="M1394" s="155"/>
      <c r="N1394" s="155"/>
      <c r="O1394" s="155"/>
      <c r="P1394" s="155"/>
      <c r="Q1394" s="155"/>
      <c r="R1394" s="155"/>
      <c r="S1394" s="155"/>
      <c r="T1394" s="155"/>
      <c r="U1394" s="155"/>
      <c r="V1394" s="155"/>
      <c r="W1394" s="155"/>
      <c r="GL1394" s="155"/>
      <c r="GM1394" s="155"/>
      <c r="GN1394" s="155"/>
      <c r="GO1394" s="155"/>
      <c r="GP1394" s="155"/>
      <c r="GQ1394" s="155"/>
      <c r="GR1394" s="155"/>
      <c r="GS1394" s="155"/>
      <c r="GT1394" s="155"/>
      <c r="GU1394" s="155"/>
      <c r="GV1394" s="155"/>
      <c r="GW1394" s="155"/>
      <c r="GX1394" s="155"/>
      <c r="GY1394" s="155"/>
      <c r="GZ1394" s="155"/>
      <c r="HA1394" s="155"/>
      <c r="HB1394" s="155"/>
      <c r="HC1394" s="155"/>
      <c r="HD1394" s="155"/>
      <c r="HE1394" s="155"/>
    </row>
    <row r="1395" spans="2:213" s="156" customFormat="1" hidden="1">
      <c r="B1395" s="155"/>
      <c r="C1395" s="155"/>
      <c r="D1395" s="155"/>
      <c r="E1395" s="155"/>
      <c r="F1395" s="155"/>
      <c r="G1395" s="155"/>
      <c r="H1395" s="155"/>
      <c r="I1395" s="155"/>
      <c r="J1395" s="155"/>
      <c r="K1395" s="155"/>
      <c r="L1395" s="155"/>
      <c r="M1395" s="155"/>
      <c r="N1395" s="155"/>
      <c r="O1395" s="155"/>
      <c r="P1395" s="155"/>
      <c r="Q1395" s="155"/>
      <c r="R1395" s="155"/>
      <c r="S1395" s="155"/>
      <c r="T1395" s="155"/>
      <c r="U1395" s="155"/>
      <c r="V1395" s="155"/>
      <c r="W1395" s="155"/>
      <c r="GL1395" s="155"/>
      <c r="GM1395" s="155"/>
      <c r="GN1395" s="155"/>
      <c r="GO1395" s="155"/>
      <c r="GP1395" s="155"/>
      <c r="GQ1395" s="155"/>
      <c r="GR1395" s="155"/>
      <c r="GS1395" s="155"/>
      <c r="GT1395" s="155"/>
      <c r="GU1395" s="155"/>
      <c r="GV1395" s="155"/>
      <c r="GW1395" s="155"/>
      <c r="GX1395" s="155"/>
      <c r="GY1395" s="155"/>
      <c r="GZ1395" s="155"/>
      <c r="HA1395" s="155"/>
      <c r="HB1395" s="155"/>
      <c r="HC1395" s="155"/>
      <c r="HD1395" s="155"/>
      <c r="HE1395" s="155"/>
    </row>
    <row r="1396" spans="2:213" s="156" customFormat="1" hidden="1">
      <c r="B1396" s="155"/>
      <c r="C1396" s="155"/>
      <c r="D1396" s="155"/>
      <c r="E1396" s="155"/>
      <c r="F1396" s="155"/>
      <c r="G1396" s="155"/>
      <c r="H1396" s="155"/>
      <c r="I1396" s="155"/>
      <c r="J1396" s="155"/>
      <c r="K1396" s="155"/>
      <c r="L1396" s="155"/>
      <c r="M1396" s="155"/>
      <c r="N1396" s="155"/>
      <c r="O1396" s="155"/>
      <c r="P1396" s="155"/>
      <c r="Q1396" s="155"/>
      <c r="R1396" s="155"/>
      <c r="S1396" s="155"/>
      <c r="T1396" s="155"/>
      <c r="U1396" s="155"/>
      <c r="V1396" s="155"/>
      <c r="W1396" s="155"/>
      <c r="GL1396" s="155"/>
      <c r="GM1396" s="155"/>
      <c r="GN1396" s="155"/>
      <c r="GO1396" s="155"/>
      <c r="GP1396" s="155"/>
      <c r="GQ1396" s="155"/>
      <c r="GR1396" s="155"/>
      <c r="GS1396" s="155"/>
      <c r="GT1396" s="155"/>
      <c r="GU1396" s="155"/>
      <c r="GV1396" s="155"/>
      <c r="GW1396" s="155"/>
      <c r="GX1396" s="155"/>
      <c r="GY1396" s="155"/>
      <c r="GZ1396" s="155"/>
      <c r="HA1396" s="155"/>
      <c r="HB1396" s="155"/>
      <c r="HC1396" s="155"/>
      <c r="HD1396" s="155"/>
      <c r="HE1396" s="155"/>
    </row>
    <row r="1397" spans="2:213" s="156" customFormat="1" hidden="1">
      <c r="B1397" s="155"/>
      <c r="C1397" s="155"/>
      <c r="D1397" s="155"/>
      <c r="E1397" s="155"/>
      <c r="F1397" s="155"/>
      <c r="G1397" s="155"/>
      <c r="H1397" s="155"/>
      <c r="I1397" s="155"/>
      <c r="J1397" s="155"/>
      <c r="K1397" s="155"/>
      <c r="L1397" s="155"/>
      <c r="M1397" s="155"/>
      <c r="N1397" s="155"/>
      <c r="O1397" s="155"/>
      <c r="P1397" s="155"/>
      <c r="Q1397" s="155"/>
      <c r="R1397" s="155"/>
      <c r="S1397" s="155"/>
      <c r="T1397" s="155"/>
      <c r="U1397" s="155"/>
      <c r="V1397" s="155"/>
      <c r="W1397" s="155"/>
      <c r="GL1397" s="155"/>
      <c r="GM1397" s="155"/>
      <c r="GN1397" s="155"/>
      <c r="GO1397" s="155"/>
      <c r="GP1397" s="155"/>
      <c r="GQ1397" s="155"/>
      <c r="GR1397" s="155"/>
      <c r="GS1397" s="155"/>
      <c r="GT1397" s="155"/>
      <c r="GU1397" s="155"/>
      <c r="GV1397" s="155"/>
      <c r="GW1397" s="155"/>
      <c r="GX1397" s="155"/>
      <c r="GY1397" s="155"/>
      <c r="GZ1397" s="155"/>
      <c r="HA1397" s="155"/>
      <c r="HB1397" s="155"/>
      <c r="HC1397" s="155"/>
      <c r="HD1397" s="155"/>
      <c r="HE1397" s="155"/>
    </row>
    <row r="1398" spans="2:213" s="156" customFormat="1" hidden="1">
      <c r="B1398" s="155"/>
      <c r="C1398" s="155"/>
      <c r="D1398" s="155"/>
      <c r="E1398" s="155"/>
      <c r="F1398" s="155"/>
      <c r="G1398" s="155"/>
      <c r="H1398" s="155"/>
      <c r="I1398" s="155"/>
      <c r="J1398" s="155"/>
      <c r="K1398" s="155"/>
      <c r="L1398" s="155"/>
      <c r="M1398" s="155"/>
      <c r="N1398" s="155"/>
      <c r="O1398" s="155"/>
      <c r="P1398" s="155"/>
      <c r="Q1398" s="155"/>
      <c r="R1398" s="155"/>
      <c r="S1398" s="155"/>
      <c r="T1398" s="155"/>
      <c r="U1398" s="155"/>
      <c r="V1398" s="155"/>
      <c r="W1398" s="155"/>
      <c r="GL1398" s="155"/>
      <c r="GM1398" s="155"/>
      <c r="GN1398" s="155"/>
      <c r="GO1398" s="155"/>
      <c r="GP1398" s="155"/>
      <c r="GQ1398" s="155"/>
      <c r="GR1398" s="155"/>
      <c r="GS1398" s="155"/>
      <c r="GT1398" s="155"/>
      <c r="GU1398" s="155"/>
      <c r="GV1398" s="155"/>
      <c r="GW1398" s="155"/>
      <c r="GX1398" s="155"/>
      <c r="GY1398" s="155"/>
      <c r="GZ1398" s="155"/>
      <c r="HA1398" s="155"/>
      <c r="HB1398" s="155"/>
      <c r="HC1398" s="155"/>
      <c r="HD1398" s="155"/>
      <c r="HE1398" s="155"/>
    </row>
    <row r="1399" spans="2:213" s="156" customFormat="1" hidden="1">
      <c r="B1399" s="155"/>
      <c r="C1399" s="155"/>
      <c r="D1399" s="155"/>
      <c r="E1399" s="155"/>
      <c r="F1399" s="155"/>
      <c r="G1399" s="155"/>
      <c r="H1399" s="155"/>
      <c r="I1399" s="155"/>
      <c r="J1399" s="155"/>
      <c r="K1399" s="155"/>
      <c r="L1399" s="155"/>
      <c r="M1399" s="155"/>
      <c r="N1399" s="155"/>
      <c r="O1399" s="155"/>
      <c r="P1399" s="155"/>
      <c r="Q1399" s="155"/>
      <c r="R1399" s="155"/>
      <c r="S1399" s="155"/>
      <c r="T1399" s="155"/>
      <c r="U1399" s="155"/>
      <c r="V1399" s="155"/>
      <c r="W1399" s="155"/>
      <c r="GL1399" s="155"/>
      <c r="GM1399" s="155"/>
      <c r="GN1399" s="155"/>
      <c r="GO1399" s="155"/>
      <c r="GP1399" s="155"/>
      <c r="GQ1399" s="155"/>
      <c r="GR1399" s="155"/>
      <c r="GS1399" s="155"/>
      <c r="GT1399" s="155"/>
      <c r="GU1399" s="155"/>
      <c r="GV1399" s="155"/>
      <c r="GW1399" s="155"/>
      <c r="GX1399" s="155"/>
      <c r="GY1399" s="155"/>
      <c r="GZ1399" s="155"/>
      <c r="HA1399" s="155"/>
      <c r="HB1399" s="155"/>
      <c r="HC1399" s="155"/>
      <c r="HD1399" s="155"/>
      <c r="HE1399" s="155"/>
    </row>
    <row r="1400" spans="2:213" s="156" customFormat="1" hidden="1">
      <c r="B1400" s="155"/>
      <c r="C1400" s="155"/>
      <c r="D1400" s="155"/>
      <c r="E1400" s="155"/>
      <c r="F1400" s="155"/>
      <c r="G1400" s="155"/>
      <c r="H1400" s="155"/>
      <c r="I1400" s="155"/>
      <c r="J1400" s="155"/>
      <c r="K1400" s="155"/>
      <c r="L1400" s="155"/>
      <c r="M1400" s="155"/>
      <c r="N1400" s="155"/>
      <c r="O1400" s="155"/>
      <c r="P1400" s="155"/>
      <c r="Q1400" s="155"/>
      <c r="R1400" s="155"/>
      <c r="S1400" s="155"/>
      <c r="T1400" s="155"/>
      <c r="U1400" s="155"/>
      <c r="V1400" s="155"/>
      <c r="W1400" s="155"/>
      <c r="GL1400" s="155"/>
      <c r="GM1400" s="155"/>
      <c r="GN1400" s="155"/>
      <c r="GO1400" s="155"/>
      <c r="GP1400" s="155"/>
      <c r="GQ1400" s="155"/>
      <c r="GR1400" s="155"/>
      <c r="GS1400" s="155"/>
      <c r="GT1400" s="155"/>
      <c r="GU1400" s="155"/>
      <c r="GV1400" s="155"/>
      <c r="GW1400" s="155"/>
      <c r="GX1400" s="155"/>
      <c r="GY1400" s="155"/>
      <c r="GZ1400" s="155"/>
      <c r="HA1400" s="155"/>
      <c r="HB1400" s="155"/>
      <c r="HC1400" s="155"/>
      <c r="HD1400" s="155"/>
      <c r="HE1400" s="155"/>
    </row>
    <row r="1401" spans="2:213" s="156" customFormat="1" hidden="1">
      <c r="B1401" s="155"/>
      <c r="C1401" s="155"/>
      <c r="D1401" s="155"/>
      <c r="E1401" s="155"/>
      <c r="F1401" s="155"/>
      <c r="G1401" s="155"/>
      <c r="H1401" s="155"/>
      <c r="I1401" s="155"/>
      <c r="J1401" s="155"/>
      <c r="K1401" s="155"/>
      <c r="L1401" s="155"/>
      <c r="M1401" s="155"/>
      <c r="N1401" s="155"/>
      <c r="O1401" s="155"/>
      <c r="P1401" s="155"/>
      <c r="Q1401" s="155"/>
      <c r="R1401" s="155"/>
      <c r="S1401" s="155"/>
      <c r="T1401" s="155"/>
      <c r="U1401" s="155"/>
      <c r="V1401" s="155"/>
      <c r="W1401" s="155"/>
      <c r="GL1401" s="155"/>
      <c r="GM1401" s="155"/>
      <c r="GN1401" s="155"/>
      <c r="GO1401" s="155"/>
      <c r="GP1401" s="155"/>
      <c r="GQ1401" s="155"/>
      <c r="GR1401" s="155"/>
      <c r="GS1401" s="155"/>
      <c r="GT1401" s="155"/>
      <c r="GU1401" s="155"/>
      <c r="GV1401" s="155"/>
      <c r="GW1401" s="155"/>
      <c r="GX1401" s="155"/>
      <c r="GY1401" s="155"/>
      <c r="GZ1401" s="155"/>
      <c r="HA1401" s="155"/>
      <c r="HB1401" s="155"/>
      <c r="HC1401" s="155"/>
      <c r="HD1401" s="155"/>
      <c r="HE1401" s="155"/>
    </row>
    <row r="1402" spans="2:213" s="156" customFormat="1" hidden="1">
      <c r="B1402" s="155"/>
      <c r="C1402" s="155"/>
      <c r="D1402" s="155"/>
      <c r="E1402" s="155"/>
      <c r="F1402" s="155"/>
      <c r="G1402" s="155"/>
      <c r="H1402" s="155"/>
      <c r="I1402" s="155"/>
      <c r="J1402" s="155"/>
      <c r="K1402" s="155"/>
      <c r="L1402" s="155"/>
      <c r="M1402" s="155"/>
      <c r="N1402" s="155"/>
      <c r="O1402" s="155"/>
      <c r="P1402" s="155"/>
      <c r="Q1402" s="155"/>
      <c r="R1402" s="155"/>
      <c r="S1402" s="155"/>
      <c r="T1402" s="155"/>
      <c r="U1402" s="155"/>
      <c r="V1402" s="155"/>
      <c r="W1402" s="155"/>
      <c r="GL1402" s="155"/>
      <c r="GM1402" s="155"/>
      <c r="GN1402" s="155"/>
      <c r="GO1402" s="155"/>
      <c r="GP1402" s="155"/>
      <c r="GQ1402" s="155"/>
      <c r="GR1402" s="155"/>
      <c r="GS1402" s="155"/>
      <c r="GT1402" s="155"/>
      <c r="GU1402" s="155"/>
      <c r="GV1402" s="155"/>
      <c r="GW1402" s="155"/>
      <c r="GX1402" s="155"/>
      <c r="GY1402" s="155"/>
      <c r="GZ1402" s="155"/>
      <c r="HA1402" s="155"/>
      <c r="HB1402" s="155"/>
      <c r="HC1402" s="155"/>
      <c r="HD1402" s="155"/>
      <c r="HE1402" s="155"/>
    </row>
    <row r="1403" spans="2:213" s="156" customFormat="1" hidden="1">
      <c r="B1403" s="155"/>
      <c r="C1403" s="155"/>
      <c r="D1403" s="155"/>
      <c r="E1403" s="155"/>
      <c r="F1403" s="155"/>
      <c r="G1403" s="155"/>
      <c r="H1403" s="155"/>
      <c r="I1403" s="155"/>
      <c r="J1403" s="155"/>
      <c r="K1403" s="155"/>
      <c r="L1403" s="155"/>
      <c r="M1403" s="155"/>
      <c r="N1403" s="155"/>
      <c r="O1403" s="155"/>
      <c r="P1403" s="155"/>
      <c r="Q1403" s="155"/>
      <c r="R1403" s="155"/>
      <c r="S1403" s="155"/>
      <c r="T1403" s="155"/>
      <c r="U1403" s="155"/>
      <c r="V1403" s="155"/>
      <c r="W1403" s="155"/>
      <c r="GL1403" s="155"/>
      <c r="GM1403" s="155"/>
      <c r="GN1403" s="155"/>
      <c r="GO1403" s="155"/>
      <c r="GP1403" s="155"/>
      <c r="GQ1403" s="155"/>
      <c r="GR1403" s="155"/>
      <c r="GS1403" s="155"/>
      <c r="GT1403" s="155"/>
      <c r="GU1403" s="155"/>
      <c r="GV1403" s="155"/>
      <c r="GW1403" s="155"/>
      <c r="GX1403" s="155"/>
      <c r="GY1403" s="155"/>
      <c r="GZ1403" s="155"/>
      <c r="HA1403" s="155"/>
      <c r="HB1403" s="155"/>
      <c r="HC1403" s="155"/>
      <c r="HD1403" s="155"/>
      <c r="HE1403" s="155"/>
    </row>
    <row r="1404" spans="2:213" s="156" customFormat="1" hidden="1">
      <c r="B1404" s="155"/>
      <c r="C1404" s="155"/>
      <c r="D1404" s="155"/>
      <c r="E1404" s="155"/>
      <c r="F1404" s="155"/>
      <c r="G1404" s="155"/>
      <c r="H1404" s="155"/>
      <c r="I1404" s="155"/>
      <c r="J1404" s="155"/>
      <c r="K1404" s="155"/>
      <c r="L1404" s="155"/>
      <c r="M1404" s="155"/>
      <c r="N1404" s="155"/>
      <c r="O1404" s="155"/>
      <c r="P1404" s="155"/>
      <c r="Q1404" s="155"/>
      <c r="R1404" s="155"/>
      <c r="S1404" s="155"/>
      <c r="T1404" s="155"/>
      <c r="U1404" s="155"/>
      <c r="V1404" s="155"/>
      <c r="W1404" s="155"/>
      <c r="GL1404" s="155"/>
      <c r="GM1404" s="155"/>
      <c r="GN1404" s="155"/>
      <c r="GO1404" s="155"/>
      <c r="GP1404" s="155"/>
      <c r="GQ1404" s="155"/>
      <c r="GR1404" s="155"/>
      <c r="GS1404" s="155"/>
      <c r="GT1404" s="155"/>
      <c r="GU1404" s="155"/>
      <c r="GV1404" s="155"/>
      <c r="GW1404" s="155"/>
      <c r="GX1404" s="155"/>
      <c r="GY1404" s="155"/>
      <c r="GZ1404" s="155"/>
      <c r="HA1404" s="155"/>
      <c r="HB1404" s="155"/>
      <c r="HC1404" s="155"/>
      <c r="HD1404" s="155"/>
      <c r="HE1404" s="155"/>
    </row>
    <row r="1405" spans="2:213" s="156" customFormat="1" hidden="1">
      <c r="B1405" s="155"/>
      <c r="C1405" s="155"/>
      <c r="D1405" s="155"/>
      <c r="E1405" s="155"/>
      <c r="F1405" s="155"/>
      <c r="G1405" s="155"/>
      <c r="H1405" s="155"/>
      <c r="I1405" s="155"/>
      <c r="J1405" s="155"/>
      <c r="K1405" s="155"/>
      <c r="L1405" s="155"/>
      <c r="M1405" s="155"/>
      <c r="N1405" s="155"/>
      <c r="O1405" s="155"/>
      <c r="P1405" s="155"/>
      <c r="Q1405" s="155"/>
      <c r="R1405" s="155"/>
      <c r="S1405" s="155"/>
      <c r="T1405" s="155"/>
      <c r="U1405" s="155"/>
      <c r="V1405" s="155"/>
      <c r="W1405" s="155"/>
      <c r="GL1405" s="155"/>
      <c r="GM1405" s="155"/>
      <c r="GN1405" s="155"/>
      <c r="GO1405" s="155"/>
      <c r="GP1405" s="155"/>
      <c r="GQ1405" s="155"/>
      <c r="GR1405" s="155"/>
      <c r="GS1405" s="155"/>
      <c r="GT1405" s="155"/>
      <c r="GU1405" s="155"/>
      <c r="GV1405" s="155"/>
      <c r="GW1405" s="155"/>
      <c r="GX1405" s="155"/>
      <c r="GY1405" s="155"/>
      <c r="GZ1405" s="155"/>
      <c r="HA1405" s="155"/>
      <c r="HB1405" s="155"/>
      <c r="HC1405" s="155"/>
      <c r="HD1405" s="155"/>
      <c r="HE1405" s="155"/>
    </row>
    <row r="1406" spans="2:213" s="156" customFormat="1" hidden="1">
      <c r="B1406" s="155"/>
      <c r="C1406" s="155"/>
      <c r="D1406" s="155"/>
      <c r="E1406" s="155"/>
      <c r="F1406" s="155"/>
      <c r="G1406" s="155"/>
      <c r="H1406" s="155"/>
      <c r="I1406" s="155"/>
      <c r="J1406" s="155"/>
      <c r="K1406" s="155"/>
      <c r="L1406" s="155"/>
      <c r="M1406" s="155"/>
      <c r="N1406" s="155"/>
      <c r="O1406" s="155"/>
      <c r="P1406" s="155"/>
      <c r="Q1406" s="155"/>
      <c r="R1406" s="155"/>
      <c r="S1406" s="155"/>
      <c r="T1406" s="155"/>
      <c r="U1406" s="155"/>
      <c r="V1406" s="155"/>
      <c r="W1406" s="155"/>
      <c r="GL1406" s="155"/>
      <c r="GM1406" s="155"/>
      <c r="GN1406" s="155"/>
      <c r="GO1406" s="155"/>
      <c r="GP1406" s="155"/>
      <c r="GQ1406" s="155"/>
      <c r="GR1406" s="155"/>
      <c r="GS1406" s="155"/>
      <c r="GT1406" s="155"/>
      <c r="GU1406" s="155"/>
      <c r="GV1406" s="155"/>
      <c r="GW1406" s="155"/>
      <c r="GX1406" s="155"/>
      <c r="GY1406" s="155"/>
      <c r="GZ1406" s="155"/>
      <c r="HA1406" s="155"/>
      <c r="HB1406" s="155"/>
      <c r="HC1406" s="155"/>
      <c r="HD1406" s="155"/>
      <c r="HE1406" s="155"/>
    </row>
    <row r="1407" spans="2:213" s="156" customFormat="1" hidden="1">
      <c r="B1407" s="155"/>
      <c r="C1407" s="155"/>
      <c r="D1407" s="155"/>
      <c r="E1407" s="155"/>
      <c r="F1407" s="155"/>
      <c r="G1407" s="155"/>
      <c r="H1407" s="155"/>
      <c r="I1407" s="155"/>
      <c r="J1407" s="155"/>
      <c r="K1407" s="155"/>
      <c r="L1407" s="155"/>
      <c r="M1407" s="155"/>
      <c r="N1407" s="155"/>
      <c r="O1407" s="155"/>
      <c r="P1407" s="155"/>
      <c r="Q1407" s="155"/>
      <c r="R1407" s="155"/>
      <c r="S1407" s="155"/>
      <c r="T1407" s="155"/>
      <c r="U1407" s="155"/>
      <c r="V1407" s="155"/>
      <c r="W1407" s="155"/>
      <c r="GL1407" s="155"/>
      <c r="GM1407" s="155"/>
      <c r="GN1407" s="155"/>
      <c r="GO1407" s="155"/>
      <c r="GP1407" s="155"/>
      <c r="GQ1407" s="155"/>
      <c r="GR1407" s="155"/>
      <c r="GS1407" s="155"/>
      <c r="GT1407" s="155"/>
      <c r="GU1407" s="155"/>
      <c r="GV1407" s="155"/>
      <c r="GW1407" s="155"/>
      <c r="GX1407" s="155"/>
      <c r="GY1407" s="155"/>
      <c r="GZ1407" s="155"/>
      <c r="HA1407" s="155"/>
      <c r="HB1407" s="155"/>
      <c r="HC1407" s="155"/>
      <c r="HD1407" s="155"/>
      <c r="HE1407" s="155"/>
    </row>
    <row r="1408" spans="2:213" s="156" customFormat="1" hidden="1">
      <c r="B1408" s="155"/>
      <c r="C1408" s="155"/>
      <c r="D1408" s="155"/>
      <c r="E1408" s="155"/>
      <c r="F1408" s="155"/>
      <c r="G1408" s="155"/>
      <c r="H1408" s="155"/>
      <c r="I1408" s="155"/>
      <c r="J1408" s="155"/>
      <c r="K1408" s="155"/>
      <c r="L1408" s="155"/>
      <c r="M1408" s="155"/>
      <c r="N1408" s="155"/>
      <c r="O1408" s="155"/>
      <c r="P1408" s="155"/>
      <c r="Q1408" s="155"/>
      <c r="R1408" s="155"/>
      <c r="S1408" s="155"/>
      <c r="T1408" s="155"/>
      <c r="U1408" s="155"/>
      <c r="V1408" s="155"/>
      <c r="W1408" s="155"/>
      <c r="GL1408" s="155"/>
      <c r="GM1408" s="155"/>
      <c r="GN1408" s="155"/>
      <c r="GO1408" s="155"/>
      <c r="GP1408" s="155"/>
      <c r="GQ1408" s="155"/>
      <c r="GR1408" s="155"/>
      <c r="GS1408" s="155"/>
      <c r="GT1408" s="155"/>
      <c r="GU1408" s="155"/>
      <c r="GV1408" s="155"/>
      <c r="GW1408" s="155"/>
      <c r="GX1408" s="155"/>
      <c r="GY1408" s="155"/>
      <c r="GZ1408" s="155"/>
      <c r="HA1408" s="155"/>
      <c r="HB1408" s="155"/>
      <c r="HC1408" s="155"/>
      <c r="HD1408" s="155"/>
      <c r="HE1408" s="155"/>
    </row>
    <row r="1409" spans="2:213" s="156" customFormat="1" hidden="1">
      <c r="B1409" s="155"/>
      <c r="C1409" s="155"/>
      <c r="D1409" s="155"/>
      <c r="E1409" s="155"/>
      <c r="F1409" s="155"/>
      <c r="G1409" s="155"/>
      <c r="H1409" s="155"/>
      <c r="I1409" s="155"/>
      <c r="J1409" s="155"/>
      <c r="K1409" s="155"/>
      <c r="L1409" s="155"/>
      <c r="M1409" s="155"/>
      <c r="N1409" s="155"/>
      <c r="O1409" s="155"/>
      <c r="P1409" s="155"/>
      <c r="Q1409" s="155"/>
      <c r="R1409" s="155"/>
      <c r="S1409" s="155"/>
      <c r="T1409" s="155"/>
      <c r="U1409" s="155"/>
      <c r="V1409" s="155"/>
      <c r="W1409" s="155"/>
      <c r="GL1409" s="155"/>
      <c r="GM1409" s="155"/>
      <c r="GN1409" s="155"/>
      <c r="GO1409" s="155"/>
      <c r="GP1409" s="155"/>
      <c r="GQ1409" s="155"/>
      <c r="GR1409" s="155"/>
      <c r="GS1409" s="155"/>
      <c r="GT1409" s="155"/>
      <c r="GU1409" s="155"/>
      <c r="GV1409" s="155"/>
      <c r="GW1409" s="155"/>
      <c r="GX1409" s="155"/>
      <c r="GY1409" s="155"/>
      <c r="GZ1409" s="155"/>
      <c r="HA1409" s="155"/>
      <c r="HB1409" s="155"/>
      <c r="HC1409" s="155"/>
      <c r="HD1409" s="155"/>
      <c r="HE1409" s="155"/>
    </row>
    <row r="1410" spans="2:213" s="156" customFormat="1" hidden="1">
      <c r="B1410" s="155"/>
      <c r="C1410" s="155"/>
      <c r="D1410" s="155"/>
      <c r="E1410" s="155"/>
      <c r="F1410" s="155"/>
      <c r="G1410" s="155"/>
      <c r="H1410" s="155"/>
      <c r="I1410" s="155"/>
      <c r="J1410" s="155"/>
      <c r="K1410" s="155"/>
      <c r="L1410" s="155"/>
      <c r="M1410" s="155"/>
      <c r="N1410" s="155"/>
      <c r="O1410" s="155"/>
      <c r="P1410" s="155"/>
      <c r="Q1410" s="155"/>
      <c r="R1410" s="155"/>
      <c r="S1410" s="155"/>
      <c r="T1410" s="155"/>
      <c r="U1410" s="155"/>
      <c r="V1410" s="155"/>
      <c r="W1410" s="155"/>
      <c r="GL1410" s="155"/>
      <c r="GM1410" s="155"/>
      <c r="GN1410" s="155"/>
      <c r="GO1410" s="155"/>
      <c r="GP1410" s="155"/>
      <c r="GQ1410" s="155"/>
      <c r="GR1410" s="155"/>
      <c r="GS1410" s="155"/>
      <c r="GT1410" s="155"/>
      <c r="GU1410" s="155"/>
      <c r="GV1410" s="155"/>
      <c r="GW1410" s="155"/>
      <c r="GX1410" s="155"/>
      <c r="GY1410" s="155"/>
      <c r="GZ1410" s="155"/>
      <c r="HA1410" s="155"/>
      <c r="HB1410" s="155"/>
      <c r="HC1410" s="155"/>
      <c r="HD1410" s="155"/>
      <c r="HE1410" s="155"/>
    </row>
    <row r="1411" spans="2:213" s="156" customFormat="1" hidden="1">
      <c r="B1411" s="155"/>
      <c r="C1411" s="155"/>
      <c r="D1411" s="155"/>
      <c r="E1411" s="155"/>
      <c r="F1411" s="155"/>
      <c r="G1411" s="155"/>
      <c r="H1411" s="155"/>
      <c r="I1411" s="155"/>
      <c r="J1411" s="155"/>
      <c r="K1411" s="155"/>
      <c r="L1411" s="155"/>
      <c r="M1411" s="155"/>
      <c r="N1411" s="155"/>
      <c r="O1411" s="155"/>
      <c r="P1411" s="155"/>
      <c r="Q1411" s="155"/>
      <c r="R1411" s="155"/>
      <c r="S1411" s="155"/>
      <c r="T1411" s="155"/>
      <c r="U1411" s="155"/>
      <c r="V1411" s="155"/>
      <c r="W1411" s="155"/>
      <c r="GL1411" s="155"/>
      <c r="GM1411" s="155"/>
      <c r="GN1411" s="155"/>
      <c r="GO1411" s="155"/>
      <c r="GP1411" s="155"/>
      <c r="GQ1411" s="155"/>
      <c r="GR1411" s="155"/>
      <c r="GS1411" s="155"/>
      <c r="GT1411" s="155"/>
      <c r="GU1411" s="155"/>
      <c r="GV1411" s="155"/>
      <c r="GW1411" s="155"/>
      <c r="GX1411" s="155"/>
      <c r="GY1411" s="155"/>
      <c r="GZ1411" s="155"/>
      <c r="HA1411" s="155"/>
      <c r="HB1411" s="155"/>
      <c r="HC1411" s="155"/>
      <c r="HD1411" s="155"/>
      <c r="HE1411" s="155"/>
    </row>
    <row r="1412" spans="2:213" s="156" customFormat="1" hidden="1">
      <c r="B1412" s="155"/>
      <c r="C1412" s="155"/>
      <c r="D1412" s="155"/>
      <c r="E1412" s="155"/>
      <c r="F1412" s="155"/>
      <c r="G1412" s="155"/>
      <c r="H1412" s="155"/>
      <c r="I1412" s="155"/>
      <c r="J1412" s="155"/>
      <c r="K1412" s="155"/>
      <c r="L1412" s="155"/>
      <c r="M1412" s="155"/>
      <c r="N1412" s="155"/>
      <c r="O1412" s="155"/>
      <c r="P1412" s="155"/>
      <c r="Q1412" s="155"/>
      <c r="R1412" s="155"/>
      <c r="S1412" s="155"/>
      <c r="T1412" s="155"/>
      <c r="U1412" s="155"/>
      <c r="V1412" s="155"/>
      <c r="W1412" s="155"/>
      <c r="GL1412" s="155"/>
      <c r="GM1412" s="155"/>
      <c r="GN1412" s="155"/>
      <c r="GO1412" s="155"/>
      <c r="GP1412" s="155"/>
      <c r="GQ1412" s="155"/>
      <c r="GR1412" s="155"/>
      <c r="GS1412" s="155"/>
      <c r="GT1412" s="155"/>
      <c r="GU1412" s="155"/>
      <c r="GV1412" s="155"/>
      <c r="GW1412" s="155"/>
      <c r="GX1412" s="155"/>
      <c r="GY1412" s="155"/>
      <c r="GZ1412" s="155"/>
      <c r="HA1412" s="155"/>
      <c r="HB1412" s="155"/>
      <c r="HC1412" s="155"/>
      <c r="HD1412" s="155"/>
      <c r="HE1412" s="155"/>
    </row>
    <row r="1413" spans="2:213" s="156" customFormat="1" hidden="1">
      <c r="B1413" s="155"/>
      <c r="C1413" s="155"/>
      <c r="D1413" s="155"/>
      <c r="E1413" s="155"/>
      <c r="F1413" s="155"/>
      <c r="G1413" s="155"/>
      <c r="H1413" s="155"/>
      <c r="I1413" s="155"/>
      <c r="J1413" s="155"/>
      <c r="K1413" s="155"/>
      <c r="L1413" s="155"/>
      <c r="M1413" s="155"/>
      <c r="N1413" s="155"/>
      <c r="O1413" s="155"/>
      <c r="P1413" s="155"/>
      <c r="Q1413" s="155"/>
      <c r="R1413" s="155"/>
      <c r="S1413" s="155"/>
      <c r="T1413" s="155"/>
      <c r="U1413" s="155"/>
      <c r="V1413" s="155"/>
      <c r="W1413" s="155"/>
      <c r="GL1413" s="155"/>
      <c r="GM1413" s="155"/>
      <c r="GN1413" s="155"/>
      <c r="GO1413" s="155"/>
      <c r="GP1413" s="155"/>
      <c r="GQ1413" s="155"/>
      <c r="GR1413" s="155"/>
      <c r="GS1413" s="155"/>
      <c r="GT1413" s="155"/>
      <c r="GU1413" s="155"/>
      <c r="GV1413" s="155"/>
      <c r="GW1413" s="155"/>
      <c r="GX1413" s="155"/>
      <c r="GY1413" s="155"/>
      <c r="GZ1413" s="155"/>
      <c r="HA1413" s="155"/>
      <c r="HB1413" s="155"/>
      <c r="HC1413" s="155"/>
      <c r="HD1413" s="155"/>
      <c r="HE1413" s="155"/>
    </row>
    <row r="1414" spans="2:213" s="156" customFormat="1" hidden="1">
      <c r="B1414" s="155"/>
      <c r="C1414" s="155"/>
      <c r="D1414" s="155"/>
      <c r="E1414" s="155"/>
      <c r="F1414" s="155"/>
      <c r="G1414" s="155"/>
      <c r="H1414" s="155"/>
      <c r="I1414" s="155"/>
      <c r="J1414" s="155"/>
      <c r="K1414" s="155"/>
      <c r="L1414" s="155"/>
      <c r="M1414" s="155"/>
      <c r="N1414" s="155"/>
      <c r="O1414" s="155"/>
      <c r="P1414" s="155"/>
      <c r="Q1414" s="155"/>
      <c r="R1414" s="155"/>
      <c r="S1414" s="155"/>
      <c r="T1414" s="155"/>
      <c r="U1414" s="155"/>
      <c r="V1414" s="155"/>
      <c r="W1414" s="155"/>
      <c r="GL1414" s="155"/>
      <c r="GM1414" s="155"/>
      <c r="GN1414" s="155"/>
      <c r="GO1414" s="155"/>
      <c r="GP1414" s="155"/>
      <c r="GQ1414" s="155"/>
      <c r="GR1414" s="155"/>
      <c r="GS1414" s="155"/>
      <c r="GT1414" s="155"/>
      <c r="GU1414" s="155"/>
      <c r="GV1414" s="155"/>
      <c r="GW1414" s="155"/>
      <c r="GX1414" s="155"/>
      <c r="GY1414" s="155"/>
      <c r="GZ1414" s="155"/>
      <c r="HA1414" s="155"/>
      <c r="HB1414" s="155"/>
      <c r="HC1414" s="155"/>
      <c r="HD1414" s="155"/>
      <c r="HE1414" s="155"/>
    </row>
    <row r="1415" spans="2:213" s="156" customFormat="1" hidden="1">
      <c r="B1415" s="155"/>
      <c r="C1415" s="155"/>
      <c r="D1415" s="155"/>
      <c r="E1415" s="155"/>
      <c r="F1415" s="155"/>
      <c r="G1415" s="155"/>
      <c r="H1415" s="155"/>
      <c r="I1415" s="155"/>
      <c r="J1415" s="155"/>
      <c r="K1415" s="155"/>
      <c r="L1415" s="155"/>
      <c r="M1415" s="155"/>
      <c r="N1415" s="155"/>
      <c r="O1415" s="155"/>
      <c r="P1415" s="155"/>
      <c r="Q1415" s="155"/>
      <c r="R1415" s="155"/>
      <c r="S1415" s="155"/>
      <c r="T1415" s="155"/>
      <c r="U1415" s="155"/>
      <c r="V1415" s="155"/>
      <c r="W1415" s="155"/>
      <c r="GL1415" s="155"/>
      <c r="GM1415" s="155"/>
      <c r="GN1415" s="155"/>
      <c r="GO1415" s="155"/>
      <c r="GP1415" s="155"/>
      <c r="GQ1415" s="155"/>
      <c r="GR1415" s="155"/>
      <c r="GS1415" s="155"/>
      <c r="GT1415" s="155"/>
      <c r="GU1415" s="155"/>
      <c r="GV1415" s="155"/>
      <c r="GW1415" s="155"/>
      <c r="GX1415" s="155"/>
      <c r="GY1415" s="155"/>
      <c r="GZ1415" s="155"/>
      <c r="HA1415" s="155"/>
      <c r="HB1415" s="155"/>
      <c r="HC1415" s="155"/>
      <c r="HD1415" s="155"/>
      <c r="HE1415" s="155"/>
    </row>
    <row r="1416" spans="2:213" s="156" customFormat="1" hidden="1">
      <c r="B1416" s="155"/>
      <c r="C1416" s="155"/>
      <c r="D1416" s="155"/>
      <c r="E1416" s="155"/>
      <c r="F1416" s="155"/>
      <c r="G1416" s="155"/>
      <c r="H1416" s="155"/>
      <c r="I1416" s="155"/>
      <c r="J1416" s="155"/>
      <c r="K1416" s="155"/>
      <c r="L1416" s="155"/>
      <c r="M1416" s="155"/>
      <c r="N1416" s="155"/>
      <c r="O1416" s="155"/>
      <c r="P1416" s="155"/>
      <c r="Q1416" s="155"/>
      <c r="R1416" s="155"/>
      <c r="S1416" s="155"/>
      <c r="T1416" s="155"/>
      <c r="U1416" s="155"/>
      <c r="V1416" s="155"/>
      <c r="W1416" s="155"/>
      <c r="GL1416" s="155"/>
      <c r="GM1416" s="155"/>
      <c r="GN1416" s="155"/>
      <c r="GO1416" s="155"/>
      <c r="GP1416" s="155"/>
      <c r="GQ1416" s="155"/>
      <c r="GR1416" s="155"/>
      <c r="GS1416" s="155"/>
      <c r="GT1416" s="155"/>
      <c r="GU1416" s="155"/>
      <c r="GV1416" s="155"/>
      <c r="GW1416" s="155"/>
      <c r="GX1416" s="155"/>
      <c r="GY1416" s="155"/>
      <c r="GZ1416" s="155"/>
      <c r="HA1416" s="155"/>
      <c r="HB1416" s="155"/>
      <c r="HC1416" s="155"/>
      <c r="HD1416" s="155"/>
      <c r="HE1416" s="155"/>
    </row>
    <row r="1417" spans="2:213" s="156" customFormat="1" hidden="1">
      <c r="B1417" s="155"/>
      <c r="C1417" s="155"/>
      <c r="D1417" s="155"/>
      <c r="E1417" s="155"/>
      <c r="F1417" s="155"/>
      <c r="G1417" s="155"/>
      <c r="H1417" s="155"/>
      <c r="I1417" s="155"/>
      <c r="J1417" s="155"/>
      <c r="K1417" s="155"/>
      <c r="L1417" s="155"/>
      <c r="M1417" s="155"/>
      <c r="N1417" s="155"/>
      <c r="O1417" s="155"/>
      <c r="P1417" s="155"/>
      <c r="Q1417" s="155"/>
      <c r="R1417" s="155"/>
      <c r="S1417" s="155"/>
      <c r="T1417" s="155"/>
      <c r="U1417" s="155"/>
      <c r="V1417" s="155"/>
      <c r="W1417" s="155"/>
      <c r="GL1417" s="155"/>
      <c r="GM1417" s="155"/>
      <c r="GN1417" s="155"/>
      <c r="GO1417" s="155"/>
      <c r="GP1417" s="155"/>
      <c r="GQ1417" s="155"/>
      <c r="GR1417" s="155"/>
      <c r="GS1417" s="155"/>
      <c r="GT1417" s="155"/>
      <c r="GU1417" s="155"/>
      <c r="GV1417" s="155"/>
      <c r="GW1417" s="155"/>
      <c r="GX1417" s="155"/>
      <c r="GY1417" s="155"/>
      <c r="GZ1417" s="155"/>
      <c r="HA1417" s="155"/>
      <c r="HB1417" s="155"/>
      <c r="HC1417" s="155"/>
      <c r="HD1417" s="155"/>
      <c r="HE1417" s="155"/>
    </row>
    <row r="1418" spans="2:213" s="156" customFormat="1" hidden="1">
      <c r="B1418" s="155"/>
      <c r="C1418" s="155"/>
      <c r="D1418" s="155"/>
      <c r="E1418" s="155"/>
      <c r="F1418" s="155"/>
      <c r="G1418" s="155"/>
      <c r="H1418" s="155"/>
      <c r="I1418" s="155"/>
      <c r="J1418" s="155"/>
      <c r="K1418" s="155"/>
      <c r="L1418" s="155"/>
      <c r="M1418" s="155"/>
      <c r="N1418" s="155"/>
      <c r="O1418" s="155"/>
      <c r="P1418" s="155"/>
      <c r="Q1418" s="155"/>
      <c r="R1418" s="155"/>
      <c r="S1418" s="155"/>
      <c r="T1418" s="155"/>
      <c r="U1418" s="155"/>
      <c r="V1418" s="155"/>
      <c r="W1418" s="155"/>
      <c r="GL1418" s="155"/>
      <c r="GM1418" s="155"/>
      <c r="GN1418" s="155"/>
      <c r="GO1418" s="155"/>
      <c r="GP1418" s="155"/>
      <c r="GQ1418" s="155"/>
      <c r="GR1418" s="155"/>
      <c r="GS1418" s="155"/>
      <c r="GT1418" s="155"/>
      <c r="GU1418" s="155"/>
      <c r="GV1418" s="155"/>
      <c r="GW1418" s="155"/>
      <c r="GX1418" s="155"/>
      <c r="GY1418" s="155"/>
      <c r="GZ1418" s="155"/>
      <c r="HA1418" s="155"/>
      <c r="HB1418" s="155"/>
      <c r="HC1418" s="155"/>
      <c r="HD1418" s="155"/>
      <c r="HE1418" s="155"/>
    </row>
    <row r="1419" spans="2:213" s="156" customFormat="1" hidden="1">
      <c r="B1419" s="155"/>
      <c r="C1419" s="155"/>
      <c r="D1419" s="155"/>
      <c r="E1419" s="155"/>
      <c r="F1419" s="155"/>
      <c r="G1419" s="155"/>
      <c r="H1419" s="155"/>
      <c r="I1419" s="155"/>
      <c r="J1419" s="155"/>
      <c r="K1419" s="155"/>
      <c r="L1419" s="155"/>
      <c r="M1419" s="155"/>
      <c r="N1419" s="155"/>
      <c r="O1419" s="155"/>
      <c r="P1419" s="155"/>
      <c r="Q1419" s="155"/>
      <c r="R1419" s="155"/>
      <c r="S1419" s="155"/>
      <c r="T1419" s="155"/>
      <c r="U1419" s="155"/>
      <c r="V1419" s="155"/>
      <c r="W1419" s="155"/>
      <c r="GL1419" s="155"/>
      <c r="GM1419" s="155"/>
      <c r="GN1419" s="155"/>
      <c r="GO1419" s="155"/>
      <c r="GP1419" s="155"/>
      <c r="GQ1419" s="155"/>
      <c r="GR1419" s="155"/>
      <c r="GS1419" s="155"/>
      <c r="GT1419" s="155"/>
      <c r="GU1419" s="155"/>
      <c r="GV1419" s="155"/>
      <c r="GW1419" s="155"/>
      <c r="GX1419" s="155"/>
      <c r="GY1419" s="155"/>
      <c r="GZ1419" s="155"/>
      <c r="HA1419" s="155"/>
      <c r="HB1419" s="155"/>
      <c r="HC1419" s="155"/>
      <c r="HD1419" s="155"/>
      <c r="HE1419" s="155"/>
    </row>
    <row r="1420" spans="2:213" s="156" customFormat="1" hidden="1">
      <c r="B1420" s="155"/>
      <c r="C1420" s="155"/>
      <c r="D1420" s="155"/>
      <c r="E1420" s="155"/>
      <c r="F1420" s="155"/>
      <c r="G1420" s="155"/>
      <c r="H1420" s="155"/>
      <c r="I1420" s="155"/>
      <c r="J1420" s="155"/>
      <c r="K1420" s="155"/>
      <c r="L1420" s="155"/>
      <c r="M1420" s="155"/>
      <c r="N1420" s="155"/>
      <c r="O1420" s="155"/>
      <c r="P1420" s="155"/>
      <c r="Q1420" s="155"/>
      <c r="R1420" s="155"/>
      <c r="S1420" s="155"/>
      <c r="T1420" s="155"/>
      <c r="U1420" s="155"/>
      <c r="V1420" s="155"/>
      <c r="W1420" s="155"/>
      <c r="GL1420" s="155"/>
      <c r="GM1420" s="155"/>
      <c r="GN1420" s="155"/>
      <c r="GO1420" s="155"/>
      <c r="GP1420" s="155"/>
      <c r="GQ1420" s="155"/>
      <c r="GR1420" s="155"/>
      <c r="GS1420" s="155"/>
      <c r="GT1420" s="155"/>
      <c r="GU1420" s="155"/>
      <c r="GV1420" s="155"/>
      <c r="GW1420" s="155"/>
      <c r="GX1420" s="155"/>
      <c r="GY1420" s="155"/>
      <c r="GZ1420" s="155"/>
      <c r="HA1420" s="155"/>
      <c r="HB1420" s="155"/>
      <c r="HC1420" s="155"/>
      <c r="HD1420" s="155"/>
      <c r="HE1420" s="155"/>
    </row>
    <row r="1421" spans="2:213" s="156" customFormat="1" hidden="1">
      <c r="B1421" s="155"/>
      <c r="C1421" s="155"/>
      <c r="D1421" s="155"/>
      <c r="E1421" s="155"/>
      <c r="F1421" s="155"/>
      <c r="G1421" s="155"/>
      <c r="H1421" s="155"/>
      <c r="I1421" s="155"/>
      <c r="J1421" s="155"/>
      <c r="K1421" s="155"/>
      <c r="L1421" s="155"/>
      <c r="M1421" s="155"/>
      <c r="N1421" s="155"/>
      <c r="O1421" s="155"/>
      <c r="P1421" s="155"/>
      <c r="Q1421" s="155"/>
      <c r="R1421" s="155"/>
      <c r="S1421" s="155"/>
      <c r="T1421" s="155"/>
      <c r="U1421" s="155"/>
      <c r="V1421" s="155"/>
      <c r="W1421" s="155"/>
      <c r="GL1421" s="155"/>
      <c r="GM1421" s="155"/>
      <c r="GN1421" s="155"/>
      <c r="GO1421" s="155"/>
      <c r="GP1421" s="155"/>
      <c r="GQ1421" s="155"/>
      <c r="GR1421" s="155"/>
      <c r="GS1421" s="155"/>
      <c r="GT1421" s="155"/>
      <c r="GU1421" s="155"/>
      <c r="GV1421" s="155"/>
      <c r="GW1421" s="155"/>
      <c r="GX1421" s="155"/>
      <c r="GY1421" s="155"/>
      <c r="GZ1421" s="155"/>
      <c r="HA1421" s="155"/>
      <c r="HB1421" s="155"/>
      <c r="HC1421" s="155"/>
      <c r="HD1421" s="155"/>
      <c r="HE1421" s="155"/>
    </row>
    <row r="1422" spans="2:213" s="156" customFormat="1" hidden="1">
      <c r="B1422" s="155"/>
      <c r="C1422" s="155"/>
      <c r="D1422" s="155"/>
      <c r="E1422" s="155"/>
      <c r="F1422" s="155"/>
      <c r="G1422" s="155"/>
      <c r="H1422" s="155"/>
      <c r="I1422" s="155"/>
      <c r="J1422" s="155"/>
      <c r="K1422" s="155"/>
      <c r="L1422" s="155"/>
      <c r="M1422" s="155"/>
      <c r="N1422" s="155"/>
      <c r="O1422" s="155"/>
      <c r="P1422" s="155"/>
      <c r="Q1422" s="155"/>
      <c r="R1422" s="155"/>
      <c r="S1422" s="155"/>
      <c r="T1422" s="155"/>
      <c r="U1422" s="155"/>
      <c r="V1422" s="155"/>
      <c r="W1422" s="155"/>
      <c r="GL1422" s="155"/>
      <c r="GM1422" s="155"/>
      <c r="GN1422" s="155"/>
      <c r="GO1422" s="155"/>
      <c r="GP1422" s="155"/>
      <c r="GQ1422" s="155"/>
      <c r="GR1422" s="155"/>
      <c r="GS1422" s="155"/>
      <c r="GT1422" s="155"/>
      <c r="GU1422" s="155"/>
      <c r="GV1422" s="155"/>
      <c r="GW1422" s="155"/>
      <c r="GX1422" s="155"/>
      <c r="GY1422" s="155"/>
      <c r="GZ1422" s="155"/>
      <c r="HA1422" s="155"/>
      <c r="HB1422" s="155"/>
      <c r="HC1422" s="155"/>
      <c r="HD1422" s="155"/>
      <c r="HE1422" s="155"/>
    </row>
    <row r="1423" spans="2:213" s="156" customFormat="1" hidden="1">
      <c r="B1423" s="155"/>
      <c r="C1423" s="155"/>
      <c r="D1423" s="155"/>
      <c r="E1423" s="155"/>
      <c r="F1423" s="155"/>
      <c r="G1423" s="155"/>
      <c r="H1423" s="155"/>
      <c r="I1423" s="155"/>
      <c r="J1423" s="155"/>
      <c r="K1423" s="155"/>
      <c r="L1423" s="155"/>
      <c r="M1423" s="155"/>
      <c r="N1423" s="155"/>
      <c r="O1423" s="155"/>
      <c r="P1423" s="155"/>
      <c r="Q1423" s="155"/>
      <c r="R1423" s="155"/>
      <c r="S1423" s="155"/>
      <c r="T1423" s="155"/>
      <c r="U1423" s="155"/>
      <c r="V1423" s="155"/>
      <c r="W1423" s="155"/>
      <c r="GL1423" s="155"/>
      <c r="GM1423" s="155"/>
      <c r="GN1423" s="155"/>
      <c r="GO1423" s="155"/>
      <c r="GP1423" s="155"/>
      <c r="GQ1423" s="155"/>
      <c r="GR1423" s="155"/>
      <c r="GS1423" s="155"/>
      <c r="GT1423" s="155"/>
      <c r="GU1423" s="155"/>
      <c r="GV1423" s="155"/>
      <c r="GW1423" s="155"/>
      <c r="GX1423" s="155"/>
      <c r="GY1423" s="155"/>
      <c r="GZ1423" s="155"/>
      <c r="HA1423" s="155"/>
      <c r="HB1423" s="155"/>
      <c r="HC1423" s="155"/>
      <c r="HD1423" s="155"/>
      <c r="HE1423" s="155"/>
    </row>
    <row r="1424" spans="2:213" s="156" customFormat="1" hidden="1">
      <c r="B1424" s="155"/>
      <c r="C1424" s="155"/>
      <c r="D1424" s="155"/>
      <c r="E1424" s="155"/>
      <c r="F1424" s="155"/>
      <c r="G1424" s="155"/>
      <c r="H1424" s="155"/>
      <c r="I1424" s="155"/>
      <c r="J1424" s="155"/>
      <c r="K1424" s="155"/>
      <c r="L1424" s="155"/>
      <c r="M1424" s="155"/>
      <c r="N1424" s="155"/>
      <c r="O1424" s="155"/>
      <c r="P1424" s="155"/>
      <c r="Q1424" s="155"/>
      <c r="R1424" s="155"/>
      <c r="S1424" s="155"/>
      <c r="T1424" s="155"/>
      <c r="U1424" s="155"/>
      <c r="V1424" s="155"/>
      <c r="W1424" s="155"/>
      <c r="GL1424" s="155"/>
      <c r="GM1424" s="155"/>
      <c r="GN1424" s="155"/>
      <c r="GO1424" s="155"/>
      <c r="GP1424" s="155"/>
      <c r="GQ1424" s="155"/>
      <c r="GR1424" s="155"/>
      <c r="GS1424" s="155"/>
      <c r="GT1424" s="155"/>
      <c r="GU1424" s="155"/>
      <c r="GV1424" s="155"/>
      <c r="GW1424" s="155"/>
      <c r="GX1424" s="155"/>
      <c r="GY1424" s="155"/>
      <c r="GZ1424" s="155"/>
      <c r="HA1424" s="155"/>
      <c r="HB1424" s="155"/>
      <c r="HC1424" s="155"/>
      <c r="HD1424" s="155"/>
      <c r="HE1424" s="155"/>
    </row>
    <row r="1425" spans="2:213" s="156" customFormat="1" hidden="1">
      <c r="B1425" s="155"/>
      <c r="C1425" s="155"/>
      <c r="D1425" s="155"/>
      <c r="E1425" s="155"/>
      <c r="F1425" s="155"/>
      <c r="G1425" s="155"/>
      <c r="H1425" s="155"/>
      <c r="I1425" s="155"/>
      <c r="J1425" s="155"/>
      <c r="K1425" s="155"/>
      <c r="L1425" s="155"/>
      <c r="M1425" s="155"/>
      <c r="N1425" s="155"/>
      <c r="O1425" s="155"/>
      <c r="P1425" s="155"/>
      <c r="Q1425" s="155"/>
      <c r="R1425" s="155"/>
      <c r="S1425" s="155"/>
      <c r="T1425" s="155"/>
      <c r="U1425" s="155"/>
      <c r="V1425" s="155"/>
      <c r="W1425" s="155"/>
      <c r="GL1425" s="155"/>
      <c r="GM1425" s="155"/>
      <c r="GN1425" s="155"/>
      <c r="GO1425" s="155"/>
      <c r="GP1425" s="155"/>
      <c r="GQ1425" s="155"/>
      <c r="GR1425" s="155"/>
      <c r="GS1425" s="155"/>
      <c r="GT1425" s="155"/>
      <c r="GU1425" s="155"/>
      <c r="GV1425" s="155"/>
      <c r="GW1425" s="155"/>
      <c r="GX1425" s="155"/>
      <c r="GY1425" s="155"/>
      <c r="GZ1425" s="155"/>
      <c r="HA1425" s="155"/>
      <c r="HB1425" s="155"/>
      <c r="HC1425" s="155"/>
      <c r="HD1425" s="155"/>
      <c r="HE1425" s="155"/>
    </row>
    <row r="1426" spans="2:213" s="156" customFormat="1" hidden="1">
      <c r="B1426" s="155"/>
      <c r="C1426" s="155"/>
      <c r="D1426" s="155"/>
      <c r="E1426" s="155"/>
      <c r="F1426" s="155"/>
      <c r="G1426" s="155"/>
      <c r="H1426" s="155"/>
      <c r="I1426" s="155"/>
      <c r="J1426" s="155"/>
      <c r="K1426" s="155"/>
      <c r="L1426" s="155"/>
      <c r="M1426" s="155"/>
      <c r="N1426" s="155"/>
      <c r="O1426" s="155"/>
      <c r="P1426" s="155"/>
      <c r="Q1426" s="155"/>
      <c r="R1426" s="155"/>
      <c r="S1426" s="155"/>
      <c r="T1426" s="155"/>
      <c r="U1426" s="155"/>
      <c r="V1426" s="155"/>
      <c r="W1426" s="155"/>
      <c r="GL1426" s="155"/>
      <c r="GM1426" s="155"/>
      <c r="GN1426" s="155"/>
      <c r="GO1426" s="155"/>
      <c r="GP1426" s="155"/>
      <c r="GQ1426" s="155"/>
      <c r="GR1426" s="155"/>
      <c r="GS1426" s="155"/>
      <c r="GT1426" s="155"/>
      <c r="GU1426" s="155"/>
      <c r="GV1426" s="155"/>
      <c r="GW1426" s="155"/>
      <c r="GX1426" s="155"/>
      <c r="GY1426" s="155"/>
      <c r="GZ1426" s="155"/>
      <c r="HA1426" s="155"/>
      <c r="HB1426" s="155"/>
      <c r="HC1426" s="155"/>
      <c r="HD1426" s="155"/>
      <c r="HE1426" s="155"/>
    </row>
    <row r="1427" spans="2:213" s="156" customFormat="1" hidden="1">
      <c r="B1427" s="155"/>
      <c r="C1427" s="155"/>
      <c r="D1427" s="155"/>
      <c r="E1427" s="155"/>
      <c r="F1427" s="155"/>
      <c r="G1427" s="155"/>
      <c r="H1427" s="155"/>
      <c r="I1427" s="155"/>
      <c r="J1427" s="155"/>
      <c r="K1427" s="155"/>
      <c r="L1427" s="155"/>
      <c r="M1427" s="155"/>
      <c r="N1427" s="155"/>
      <c r="O1427" s="155"/>
      <c r="P1427" s="155"/>
      <c r="Q1427" s="155"/>
      <c r="R1427" s="155"/>
      <c r="S1427" s="155"/>
      <c r="T1427" s="155"/>
      <c r="U1427" s="155"/>
      <c r="V1427" s="155"/>
      <c r="W1427" s="155"/>
      <c r="GL1427" s="155"/>
      <c r="GM1427" s="155"/>
      <c r="GN1427" s="155"/>
      <c r="GO1427" s="155"/>
      <c r="GP1427" s="155"/>
      <c r="GQ1427" s="155"/>
      <c r="GR1427" s="155"/>
      <c r="GS1427" s="155"/>
      <c r="GT1427" s="155"/>
      <c r="GU1427" s="155"/>
      <c r="GV1427" s="155"/>
      <c r="GW1427" s="155"/>
      <c r="GX1427" s="155"/>
      <c r="GY1427" s="155"/>
      <c r="GZ1427" s="155"/>
      <c r="HA1427" s="155"/>
      <c r="HB1427" s="155"/>
      <c r="HC1427" s="155"/>
      <c r="HD1427" s="155"/>
      <c r="HE1427" s="155"/>
    </row>
    <row r="1428" spans="2:213" s="156" customFormat="1" hidden="1">
      <c r="B1428" s="155"/>
      <c r="C1428" s="155"/>
      <c r="D1428" s="155"/>
      <c r="E1428" s="155"/>
      <c r="F1428" s="155"/>
      <c r="G1428" s="155"/>
      <c r="H1428" s="155"/>
      <c r="I1428" s="155"/>
      <c r="J1428" s="155"/>
      <c r="K1428" s="155"/>
      <c r="L1428" s="155"/>
      <c r="M1428" s="155"/>
      <c r="N1428" s="155"/>
      <c r="O1428" s="155"/>
      <c r="P1428" s="155"/>
      <c r="Q1428" s="155"/>
      <c r="R1428" s="155"/>
      <c r="S1428" s="155"/>
      <c r="T1428" s="155"/>
      <c r="U1428" s="155"/>
      <c r="V1428" s="155"/>
      <c r="W1428" s="155"/>
      <c r="GL1428" s="155"/>
      <c r="GM1428" s="155"/>
      <c r="GN1428" s="155"/>
      <c r="GO1428" s="155"/>
      <c r="GP1428" s="155"/>
      <c r="GQ1428" s="155"/>
      <c r="GR1428" s="155"/>
      <c r="GS1428" s="155"/>
      <c r="GT1428" s="155"/>
      <c r="GU1428" s="155"/>
      <c r="GV1428" s="155"/>
      <c r="GW1428" s="155"/>
      <c r="GX1428" s="155"/>
      <c r="GY1428" s="155"/>
      <c r="GZ1428" s="155"/>
      <c r="HA1428" s="155"/>
      <c r="HB1428" s="155"/>
      <c r="HC1428" s="155"/>
      <c r="HD1428" s="155"/>
      <c r="HE1428" s="155"/>
    </row>
    <row r="1429" spans="2:213" s="156" customFormat="1" hidden="1">
      <c r="B1429" s="155"/>
      <c r="C1429" s="155"/>
      <c r="D1429" s="155"/>
      <c r="E1429" s="155"/>
      <c r="F1429" s="155"/>
      <c r="G1429" s="155"/>
      <c r="H1429" s="155"/>
      <c r="I1429" s="155"/>
      <c r="J1429" s="155"/>
      <c r="K1429" s="155"/>
      <c r="L1429" s="155"/>
      <c r="M1429" s="155"/>
      <c r="N1429" s="155"/>
      <c r="O1429" s="155"/>
      <c r="P1429" s="155"/>
      <c r="Q1429" s="155"/>
      <c r="R1429" s="155"/>
      <c r="S1429" s="155"/>
      <c r="T1429" s="155"/>
      <c r="U1429" s="155"/>
      <c r="V1429" s="155"/>
      <c r="W1429" s="155"/>
      <c r="GL1429" s="155"/>
      <c r="GM1429" s="155"/>
      <c r="GN1429" s="155"/>
      <c r="GO1429" s="155"/>
      <c r="GP1429" s="155"/>
      <c r="GQ1429" s="155"/>
      <c r="GR1429" s="155"/>
      <c r="GS1429" s="155"/>
      <c r="GT1429" s="155"/>
      <c r="GU1429" s="155"/>
      <c r="GV1429" s="155"/>
      <c r="GW1429" s="155"/>
      <c r="GX1429" s="155"/>
      <c r="GY1429" s="155"/>
      <c r="GZ1429" s="155"/>
      <c r="HA1429" s="155"/>
      <c r="HB1429" s="155"/>
      <c r="HC1429" s="155"/>
      <c r="HD1429" s="155"/>
      <c r="HE1429" s="155"/>
    </row>
    <row r="1430" spans="2:213" s="156" customFormat="1" hidden="1">
      <c r="B1430" s="155"/>
      <c r="C1430" s="155"/>
      <c r="D1430" s="155"/>
      <c r="E1430" s="155"/>
      <c r="F1430" s="155"/>
      <c r="G1430" s="155"/>
      <c r="H1430" s="155"/>
      <c r="I1430" s="155"/>
      <c r="J1430" s="155"/>
      <c r="K1430" s="155"/>
      <c r="L1430" s="155"/>
      <c r="M1430" s="155"/>
      <c r="N1430" s="155"/>
      <c r="O1430" s="155"/>
      <c r="P1430" s="155"/>
      <c r="Q1430" s="155"/>
      <c r="R1430" s="155"/>
      <c r="S1430" s="155"/>
      <c r="T1430" s="155"/>
      <c r="U1430" s="155"/>
      <c r="V1430" s="155"/>
      <c r="W1430" s="155"/>
      <c r="GL1430" s="155"/>
      <c r="GM1430" s="155"/>
      <c r="GN1430" s="155"/>
      <c r="GO1430" s="155"/>
      <c r="GP1430" s="155"/>
      <c r="GQ1430" s="155"/>
      <c r="GR1430" s="155"/>
      <c r="GS1430" s="155"/>
      <c r="GT1430" s="155"/>
      <c r="GU1430" s="155"/>
      <c r="GV1430" s="155"/>
      <c r="GW1430" s="155"/>
      <c r="GX1430" s="155"/>
      <c r="GY1430" s="155"/>
      <c r="GZ1430" s="155"/>
      <c r="HA1430" s="155"/>
      <c r="HB1430" s="155"/>
      <c r="HC1430" s="155"/>
      <c r="HD1430" s="155"/>
      <c r="HE1430" s="155"/>
    </row>
    <row r="1431" spans="2:213" s="156" customFormat="1" hidden="1">
      <c r="B1431" s="155"/>
      <c r="C1431" s="155"/>
      <c r="D1431" s="155"/>
      <c r="E1431" s="155"/>
      <c r="F1431" s="155"/>
      <c r="G1431" s="155"/>
      <c r="H1431" s="155"/>
      <c r="I1431" s="155"/>
      <c r="J1431" s="155"/>
      <c r="K1431" s="155"/>
      <c r="L1431" s="155"/>
      <c r="M1431" s="155"/>
      <c r="N1431" s="155"/>
      <c r="O1431" s="155"/>
      <c r="P1431" s="155"/>
      <c r="Q1431" s="155"/>
      <c r="R1431" s="155"/>
      <c r="S1431" s="155"/>
      <c r="T1431" s="155"/>
      <c r="U1431" s="155"/>
      <c r="V1431" s="155"/>
      <c r="W1431" s="155"/>
      <c r="GL1431" s="155"/>
      <c r="GM1431" s="155"/>
      <c r="GN1431" s="155"/>
      <c r="GO1431" s="155"/>
      <c r="GP1431" s="155"/>
      <c r="GQ1431" s="155"/>
      <c r="GR1431" s="155"/>
      <c r="GS1431" s="155"/>
      <c r="GT1431" s="155"/>
      <c r="GU1431" s="155"/>
      <c r="GV1431" s="155"/>
      <c r="GW1431" s="155"/>
      <c r="GX1431" s="155"/>
      <c r="GY1431" s="155"/>
      <c r="GZ1431" s="155"/>
      <c r="HA1431" s="155"/>
      <c r="HB1431" s="155"/>
      <c r="HC1431" s="155"/>
      <c r="HD1431" s="155"/>
      <c r="HE1431" s="155"/>
    </row>
    <row r="1432" spans="2:213" s="156" customFormat="1" hidden="1">
      <c r="B1432" s="155"/>
      <c r="C1432" s="155"/>
      <c r="D1432" s="155"/>
      <c r="E1432" s="155"/>
      <c r="F1432" s="155"/>
      <c r="G1432" s="155"/>
      <c r="H1432" s="155"/>
      <c r="I1432" s="155"/>
      <c r="J1432" s="155"/>
      <c r="K1432" s="155"/>
      <c r="L1432" s="155"/>
      <c r="M1432" s="155"/>
      <c r="N1432" s="155"/>
      <c r="O1432" s="155"/>
      <c r="P1432" s="155"/>
      <c r="Q1432" s="155"/>
      <c r="R1432" s="155"/>
      <c r="S1432" s="155"/>
      <c r="T1432" s="155"/>
      <c r="U1432" s="155"/>
      <c r="V1432" s="155"/>
      <c r="W1432" s="155"/>
      <c r="GL1432" s="155"/>
      <c r="GM1432" s="155"/>
      <c r="GN1432" s="155"/>
      <c r="GO1432" s="155"/>
      <c r="GP1432" s="155"/>
      <c r="GQ1432" s="155"/>
      <c r="GR1432" s="155"/>
      <c r="GS1432" s="155"/>
      <c r="GT1432" s="155"/>
      <c r="GU1432" s="155"/>
      <c r="GV1432" s="155"/>
      <c r="GW1432" s="155"/>
      <c r="GX1432" s="155"/>
      <c r="GY1432" s="155"/>
      <c r="GZ1432" s="155"/>
      <c r="HA1432" s="155"/>
      <c r="HB1432" s="155"/>
      <c r="HC1432" s="155"/>
      <c r="HD1432" s="155"/>
      <c r="HE1432" s="155"/>
    </row>
    <row r="1433" spans="2:213" s="156" customFormat="1" hidden="1">
      <c r="B1433" s="155"/>
      <c r="C1433" s="155"/>
      <c r="D1433" s="155"/>
      <c r="E1433" s="155"/>
      <c r="F1433" s="155"/>
      <c r="G1433" s="155"/>
      <c r="H1433" s="155"/>
      <c r="I1433" s="155"/>
      <c r="J1433" s="155"/>
      <c r="K1433" s="155"/>
      <c r="L1433" s="155"/>
      <c r="M1433" s="155"/>
      <c r="N1433" s="155"/>
      <c r="O1433" s="155"/>
      <c r="P1433" s="155"/>
      <c r="Q1433" s="155"/>
      <c r="R1433" s="155"/>
      <c r="S1433" s="155"/>
      <c r="T1433" s="155"/>
      <c r="U1433" s="155"/>
      <c r="V1433" s="155"/>
      <c r="W1433" s="155"/>
      <c r="GL1433" s="155"/>
      <c r="GM1433" s="155"/>
      <c r="GN1433" s="155"/>
      <c r="GO1433" s="155"/>
      <c r="GP1433" s="155"/>
      <c r="GQ1433" s="155"/>
      <c r="GR1433" s="155"/>
      <c r="GS1433" s="155"/>
      <c r="GT1433" s="155"/>
      <c r="GU1433" s="155"/>
      <c r="GV1433" s="155"/>
      <c r="GW1433" s="155"/>
      <c r="GX1433" s="155"/>
      <c r="GY1433" s="155"/>
      <c r="GZ1433" s="155"/>
      <c r="HA1433" s="155"/>
      <c r="HB1433" s="155"/>
      <c r="HC1433" s="155"/>
      <c r="HD1433" s="155"/>
      <c r="HE1433" s="155"/>
    </row>
    <row r="1434" spans="2:213" s="156" customFormat="1" hidden="1">
      <c r="B1434" s="155"/>
      <c r="C1434" s="155"/>
      <c r="D1434" s="155"/>
      <c r="E1434" s="155"/>
      <c r="F1434" s="155"/>
      <c r="G1434" s="155"/>
      <c r="H1434" s="155"/>
      <c r="I1434" s="155"/>
      <c r="J1434" s="155"/>
      <c r="K1434" s="155"/>
      <c r="L1434" s="155"/>
      <c r="M1434" s="155"/>
      <c r="N1434" s="155"/>
      <c r="O1434" s="155"/>
      <c r="P1434" s="155"/>
      <c r="Q1434" s="155"/>
      <c r="R1434" s="155"/>
      <c r="S1434" s="155"/>
      <c r="T1434" s="155"/>
      <c r="U1434" s="155"/>
      <c r="V1434" s="155"/>
      <c r="W1434" s="155"/>
      <c r="GL1434" s="155"/>
      <c r="GM1434" s="155"/>
      <c r="GN1434" s="155"/>
      <c r="GO1434" s="155"/>
      <c r="GP1434" s="155"/>
      <c r="GQ1434" s="155"/>
      <c r="GR1434" s="155"/>
      <c r="GS1434" s="155"/>
      <c r="GT1434" s="155"/>
      <c r="GU1434" s="155"/>
      <c r="GV1434" s="155"/>
      <c r="GW1434" s="155"/>
      <c r="GX1434" s="155"/>
      <c r="GY1434" s="155"/>
      <c r="GZ1434" s="155"/>
      <c r="HA1434" s="155"/>
      <c r="HB1434" s="155"/>
      <c r="HC1434" s="155"/>
      <c r="HD1434" s="155"/>
      <c r="HE1434" s="155"/>
    </row>
    <row r="1435" spans="2:213" s="156" customFormat="1" hidden="1">
      <c r="B1435" s="155"/>
      <c r="C1435" s="155"/>
      <c r="D1435" s="155"/>
      <c r="E1435" s="155"/>
      <c r="F1435" s="155"/>
      <c r="G1435" s="155"/>
      <c r="H1435" s="155"/>
      <c r="I1435" s="155"/>
      <c r="J1435" s="155"/>
      <c r="K1435" s="155"/>
      <c r="L1435" s="155"/>
      <c r="M1435" s="155"/>
      <c r="N1435" s="155"/>
      <c r="O1435" s="155"/>
      <c r="P1435" s="155"/>
      <c r="Q1435" s="155"/>
      <c r="R1435" s="155"/>
      <c r="S1435" s="155"/>
      <c r="T1435" s="155"/>
      <c r="U1435" s="155"/>
      <c r="V1435" s="155"/>
      <c r="W1435" s="155"/>
      <c r="GL1435" s="155"/>
      <c r="GM1435" s="155"/>
      <c r="GN1435" s="155"/>
      <c r="GO1435" s="155"/>
      <c r="GP1435" s="155"/>
      <c r="GQ1435" s="155"/>
      <c r="GR1435" s="155"/>
      <c r="GS1435" s="155"/>
      <c r="GT1435" s="155"/>
      <c r="GU1435" s="155"/>
      <c r="GV1435" s="155"/>
      <c r="GW1435" s="155"/>
      <c r="GX1435" s="155"/>
      <c r="GY1435" s="155"/>
      <c r="GZ1435" s="155"/>
      <c r="HA1435" s="155"/>
      <c r="HB1435" s="155"/>
      <c r="HC1435" s="155"/>
      <c r="HD1435" s="155"/>
      <c r="HE1435" s="155"/>
    </row>
    <row r="1436" spans="2:213" s="156" customFormat="1" hidden="1">
      <c r="B1436" s="155"/>
      <c r="C1436" s="155"/>
      <c r="D1436" s="155"/>
      <c r="E1436" s="155"/>
      <c r="F1436" s="155"/>
      <c r="G1436" s="155"/>
      <c r="H1436" s="155"/>
      <c r="I1436" s="155"/>
      <c r="J1436" s="155"/>
      <c r="K1436" s="155"/>
      <c r="L1436" s="155"/>
      <c r="M1436" s="155"/>
      <c r="N1436" s="155"/>
      <c r="O1436" s="155"/>
      <c r="P1436" s="155"/>
      <c r="Q1436" s="155"/>
      <c r="R1436" s="155"/>
      <c r="S1436" s="155"/>
      <c r="T1436" s="155"/>
      <c r="U1436" s="155"/>
      <c r="V1436" s="155"/>
      <c r="W1436" s="155"/>
      <c r="GL1436" s="155"/>
      <c r="GM1436" s="155"/>
      <c r="GN1436" s="155"/>
      <c r="GO1436" s="155"/>
      <c r="GP1436" s="155"/>
      <c r="GQ1436" s="155"/>
      <c r="GR1436" s="155"/>
      <c r="GS1436" s="155"/>
      <c r="GT1436" s="155"/>
      <c r="GU1436" s="155"/>
      <c r="GV1436" s="155"/>
      <c r="GW1436" s="155"/>
      <c r="GX1436" s="155"/>
      <c r="GY1436" s="155"/>
      <c r="GZ1436" s="155"/>
      <c r="HA1436" s="155"/>
      <c r="HB1436" s="155"/>
      <c r="HC1436" s="155"/>
      <c r="HD1436" s="155"/>
      <c r="HE1436" s="155"/>
    </row>
    <row r="1437" spans="2:213" s="156" customFormat="1" hidden="1">
      <c r="B1437" s="155"/>
      <c r="C1437" s="155"/>
      <c r="D1437" s="155"/>
      <c r="E1437" s="155"/>
      <c r="F1437" s="155"/>
      <c r="G1437" s="155"/>
      <c r="H1437" s="155"/>
      <c r="I1437" s="155"/>
      <c r="J1437" s="155"/>
      <c r="K1437" s="155"/>
      <c r="L1437" s="155"/>
      <c r="M1437" s="155"/>
      <c r="N1437" s="155"/>
      <c r="O1437" s="155"/>
      <c r="P1437" s="155"/>
      <c r="Q1437" s="155"/>
      <c r="R1437" s="155"/>
      <c r="S1437" s="155"/>
      <c r="T1437" s="155"/>
      <c r="U1437" s="155"/>
      <c r="V1437" s="155"/>
      <c r="W1437" s="155"/>
      <c r="GL1437" s="155"/>
      <c r="GM1437" s="155"/>
      <c r="GN1437" s="155"/>
      <c r="GO1437" s="155"/>
      <c r="GP1437" s="155"/>
      <c r="GQ1437" s="155"/>
      <c r="GR1437" s="155"/>
      <c r="GS1437" s="155"/>
      <c r="GT1437" s="155"/>
      <c r="GU1437" s="155"/>
      <c r="GV1437" s="155"/>
      <c r="GW1437" s="155"/>
      <c r="GX1437" s="155"/>
      <c r="GY1437" s="155"/>
      <c r="GZ1437" s="155"/>
      <c r="HA1437" s="155"/>
      <c r="HB1437" s="155"/>
      <c r="HC1437" s="155"/>
      <c r="HD1437" s="155"/>
      <c r="HE1437" s="155"/>
    </row>
    <row r="1438" spans="2:213" s="156" customFormat="1" hidden="1">
      <c r="B1438" s="155"/>
      <c r="C1438" s="155"/>
      <c r="D1438" s="155"/>
      <c r="E1438" s="155"/>
      <c r="F1438" s="155"/>
      <c r="G1438" s="155"/>
      <c r="H1438" s="155"/>
      <c r="I1438" s="155"/>
      <c r="J1438" s="155"/>
      <c r="K1438" s="155"/>
      <c r="L1438" s="155"/>
      <c r="M1438" s="155"/>
      <c r="N1438" s="155"/>
      <c r="O1438" s="155"/>
      <c r="P1438" s="155"/>
      <c r="Q1438" s="155"/>
      <c r="R1438" s="155"/>
      <c r="S1438" s="155"/>
      <c r="T1438" s="155"/>
      <c r="U1438" s="155"/>
      <c r="V1438" s="155"/>
      <c r="W1438" s="155"/>
      <c r="GL1438" s="155"/>
      <c r="GM1438" s="155"/>
      <c r="GN1438" s="155"/>
      <c r="GO1438" s="155"/>
      <c r="GP1438" s="155"/>
      <c r="GQ1438" s="155"/>
      <c r="GR1438" s="155"/>
      <c r="GS1438" s="155"/>
      <c r="GT1438" s="155"/>
      <c r="GU1438" s="155"/>
      <c r="GV1438" s="155"/>
      <c r="GW1438" s="155"/>
      <c r="GX1438" s="155"/>
      <c r="GY1438" s="155"/>
      <c r="GZ1438" s="155"/>
      <c r="HA1438" s="155"/>
      <c r="HB1438" s="155"/>
      <c r="HC1438" s="155"/>
      <c r="HD1438" s="155"/>
      <c r="HE1438" s="155"/>
    </row>
    <row r="1439" spans="2:213" s="156" customFormat="1" hidden="1">
      <c r="B1439" s="155"/>
      <c r="C1439" s="155"/>
      <c r="D1439" s="155"/>
      <c r="E1439" s="155"/>
      <c r="F1439" s="155"/>
      <c r="G1439" s="155"/>
      <c r="H1439" s="155"/>
      <c r="I1439" s="155"/>
      <c r="J1439" s="155"/>
      <c r="K1439" s="155"/>
      <c r="L1439" s="155"/>
      <c r="M1439" s="155"/>
      <c r="N1439" s="155"/>
      <c r="O1439" s="155"/>
      <c r="P1439" s="155"/>
      <c r="Q1439" s="155"/>
      <c r="R1439" s="155"/>
      <c r="S1439" s="155"/>
      <c r="T1439" s="155"/>
      <c r="U1439" s="155"/>
      <c r="V1439" s="155"/>
      <c r="W1439" s="155"/>
      <c r="GL1439" s="155"/>
      <c r="GM1439" s="155"/>
      <c r="GN1439" s="155"/>
      <c r="GO1439" s="155"/>
      <c r="GP1439" s="155"/>
      <c r="GQ1439" s="155"/>
      <c r="GR1439" s="155"/>
      <c r="GS1439" s="155"/>
      <c r="GT1439" s="155"/>
      <c r="GU1439" s="155"/>
      <c r="GV1439" s="155"/>
      <c r="GW1439" s="155"/>
      <c r="GX1439" s="155"/>
      <c r="GY1439" s="155"/>
      <c r="GZ1439" s="155"/>
      <c r="HA1439" s="155"/>
      <c r="HB1439" s="155"/>
      <c r="HC1439" s="155"/>
      <c r="HD1439" s="155"/>
      <c r="HE1439" s="155"/>
    </row>
    <row r="1440" spans="2:213" s="156" customFormat="1" hidden="1">
      <c r="B1440" s="155"/>
      <c r="C1440" s="155"/>
      <c r="D1440" s="155"/>
      <c r="E1440" s="155"/>
      <c r="F1440" s="155"/>
      <c r="G1440" s="155"/>
      <c r="H1440" s="155"/>
      <c r="I1440" s="155"/>
      <c r="J1440" s="155"/>
      <c r="K1440" s="155"/>
      <c r="L1440" s="155"/>
      <c r="M1440" s="155"/>
      <c r="N1440" s="155"/>
      <c r="O1440" s="155"/>
      <c r="P1440" s="155"/>
      <c r="Q1440" s="155"/>
      <c r="R1440" s="155"/>
      <c r="S1440" s="155"/>
      <c r="T1440" s="155"/>
      <c r="U1440" s="155"/>
      <c r="V1440" s="155"/>
      <c r="W1440" s="155"/>
      <c r="GL1440" s="155"/>
      <c r="GM1440" s="155"/>
      <c r="GN1440" s="155"/>
      <c r="GO1440" s="155"/>
      <c r="GP1440" s="155"/>
      <c r="GQ1440" s="155"/>
      <c r="GR1440" s="155"/>
      <c r="GS1440" s="155"/>
      <c r="GT1440" s="155"/>
      <c r="GU1440" s="155"/>
      <c r="GV1440" s="155"/>
      <c r="GW1440" s="155"/>
      <c r="GX1440" s="155"/>
      <c r="GY1440" s="155"/>
      <c r="GZ1440" s="155"/>
      <c r="HA1440" s="155"/>
      <c r="HB1440" s="155"/>
      <c r="HC1440" s="155"/>
      <c r="HD1440" s="155"/>
      <c r="HE1440" s="155"/>
    </row>
    <row r="1441" spans="2:213" s="156" customFormat="1" hidden="1">
      <c r="B1441" s="155"/>
      <c r="C1441" s="155"/>
      <c r="D1441" s="155"/>
      <c r="E1441" s="155"/>
      <c r="F1441" s="155"/>
      <c r="G1441" s="155"/>
      <c r="H1441" s="155"/>
      <c r="I1441" s="155"/>
      <c r="J1441" s="155"/>
      <c r="K1441" s="155"/>
      <c r="L1441" s="155"/>
      <c r="M1441" s="155"/>
      <c r="N1441" s="155"/>
      <c r="O1441" s="155"/>
      <c r="P1441" s="155"/>
      <c r="Q1441" s="155"/>
      <c r="R1441" s="155"/>
      <c r="S1441" s="155"/>
      <c r="T1441" s="155"/>
      <c r="U1441" s="155"/>
      <c r="V1441" s="155"/>
      <c r="W1441" s="155"/>
      <c r="GL1441" s="155"/>
      <c r="GM1441" s="155"/>
      <c r="GN1441" s="155"/>
      <c r="GO1441" s="155"/>
      <c r="GP1441" s="155"/>
      <c r="GQ1441" s="155"/>
      <c r="GR1441" s="155"/>
      <c r="GS1441" s="155"/>
      <c r="GT1441" s="155"/>
      <c r="GU1441" s="155"/>
      <c r="GV1441" s="155"/>
      <c r="GW1441" s="155"/>
      <c r="GX1441" s="155"/>
      <c r="GY1441" s="155"/>
      <c r="GZ1441" s="155"/>
      <c r="HA1441" s="155"/>
      <c r="HB1441" s="155"/>
      <c r="HC1441" s="155"/>
      <c r="HD1441" s="155"/>
      <c r="HE1441" s="155"/>
    </row>
    <row r="1442" spans="2:213" s="156" customFormat="1" hidden="1">
      <c r="B1442" s="155"/>
      <c r="C1442" s="155"/>
      <c r="D1442" s="155"/>
      <c r="E1442" s="155"/>
      <c r="F1442" s="155"/>
      <c r="G1442" s="155"/>
      <c r="H1442" s="155"/>
      <c r="I1442" s="155"/>
      <c r="J1442" s="155"/>
      <c r="K1442" s="155"/>
      <c r="L1442" s="155"/>
      <c r="M1442" s="155"/>
      <c r="N1442" s="155"/>
      <c r="O1442" s="155"/>
      <c r="P1442" s="155"/>
      <c r="Q1442" s="155"/>
      <c r="R1442" s="155"/>
      <c r="S1442" s="155"/>
      <c r="T1442" s="155"/>
      <c r="U1442" s="155"/>
      <c r="V1442" s="155"/>
      <c r="W1442" s="155"/>
      <c r="GL1442" s="155"/>
      <c r="GM1442" s="155"/>
      <c r="GN1442" s="155"/>
      <c r="GO1442" s="155"/>
      <c r="GP1442" s="155"/>
      <c r="GQ1442" s="155"/>
      <c r="GR1442" s="155"/>
      <c r="GS1442" s="155"/>
      <c r="GT1442" s="155"/>
      <c r="GU1442" s="155"/>
      <c r="GV1442" s="155"/>
      <c r="GW1442" s="155"/>
      <c r="GX1442" s="155"/>
      <c r="GY1442" s="155"/>
      <c r="GZ1442" s="155"/>
      <c r="HA1442" s="155"/>
      <c r="HB1442" s="155"/>
      <c r="HC1442" s="155"/>
      <c r="HD1442" s="155"/>
      <c r="HE1442" s="155"/>
    </row>
    <row r="1443" spans="2:213" s="156" customFormat="1" hidden="1">
      <c r="B1443" s="155"/>
      <c r="C1443" s="155"/>
      <c r="D1443" s="155"/>
      <c r="E1443" s="155"/>
      <c r="F1443" s="155"/>
      <c r="G1443" s="155"/>
      <c r="H1443" s="155"/>
      <c r="I1443" s="155"/>
      <c r="J1443" s="155"/>
      <c r="K1443" s="155"/>
      <c r="L1443" s="155"/>
      <c r="M1443" s="155"/>
      <c r="N1443" s="155"/>
      <c r="O1443" s="155"/>
      <c r="P1443" s="155"/>
      <c r="Q1443" s="155"/>
      <c r="R1443" s="155"/>
      <c r="S1443" s="155"/>
      <c r="T1443" s="155"/>
      <c r="U1443" s="155"/>
      <c r="V1443" s="155"/>
      <c r="W1443" s="155"/>
      <c r="GL1443" s="155"/>
      <c r="GM1443" s="155"/>
      <c r="GN1443" s="155"/>
      <c r="GO1443" s="155"/>
      <c r="GP1443" s="155"/>
      <c r="GQ1443" s="155"/>
      <c r="GR1443" s="155"/>
      <c r="GS1443" s="155"/>
      <c r="GT1443" s="155"/>
      <c r="GU1443" s="155"/>
      <c r="GV1443" s="155"/>
      <c r="GW1443" s="155"/>
      <c r="GX1443" s="155"/>
      <c r="GY1443" s="155"/>
      <c r="GZ1443" s="155"/>
      <c r="HA1443" s="155"/>
      <c r="HB1443" s="155"/>
      <c r="HC1443" s="155"/>
      <c r="HD1443" s="155"/>
      <c r="HE1443" s="155"/>
    </row>
    <row r="1444" spans="2:213" s="156" customFormat="1" hidden="1">
      <c r="B1444" s="155"/>
      <c r="C1444" s="155"/>
      <c r="D1444" s="155"/>
      <c r="E1444" s="155"/>
      <c r="F1444" s="155"/>
      <c r="G1444" s="155"/>
      <c r="H1444" s="155"/>
      <c r="I1444" s="155"/>
      <c r="J1444" s="155"/>
      <c r="K1444" s="155"/>
      <c r="L1444" s="155"/>
      <c r="M1444" s="155"/>
      <c r="N1444" s="155"/>
      <c r="O1444" s="155"/>
      <c r="P1444" s="155"/>
      <c r="Q1444" s="155"/>
      <c r="R1444" s="155"/>
      <c r="S1444" s="155"/>
      <c r="T1444" s="155"/>
      <c r="U1444" s="155"/>
      <c r="V1444" s="155"/>
      <c r="W1444" s="155"/>
      <c r="GL1444" s="155"/>
      <c r="GM1444" s="155"/>
      <c r="GN1444" s="155"/>
      <c r="GO1444" s="155"/>
      <c r="GP1444" s="155"/>
      <c r="GQ1444" s="155"/>
      <c r="GR1444" s="155"/>
      <c r="GS1444" s="155"/>
      <c r="GT1444" s="155"/>
      <c r="GU1444" s="155"/>
      <c r="GV1444" s="155"/>
      <c r="GW1444" s="155"/>
      <c r="GX1444" s="155"/>
      <c r="GY1444" s="155"/>
      <c r="GZ1444" s="155"/>
      <c r="HA1444" s="155"/>
      <c r="HB1444" s="155"/>
      <c r="HC1444" s="155"/>
      <c r="HD1444" s="155"/>
      <c r="HE1444" s="155"/>
    </row>
    <row r="1445" spans="2:213" s="156" customFormat="1" hidden="1">
      <c r="B1445" s="155"/>
      <c r="C1445" s="155"/>
      <c r="D1445" s="155"/>
      <c r="E1445" s="155"/>
      <c r="F1445" s="155"/>
      <c r="G1445" s="155"/>
      <c r="H1445" s="155"/>
      <c r="I1445" s="155"/>
      <c r="J1445" s="155"/>
      <c r="K1445" s="155"/>
      <c r="L1445" s="155"/>
      <c r="M1445" s="155"/>
      <c r="N1445" s="155"/>
      <c r="O1445" s="155"/>
      <c r="P1445" s="155"/>
      <c r="Q1445" s="155"/>
      <c r="R1445" s="155"/>
      <c r="S1445" s="155"/>
      <c r="T1445" s="155"/>
      <c r="U1445" s="155"/>
      <c r="V1445" s="155"/>
      <c r="W1445" s="155"/>
      <c r="GL1445" s="155"/>
      <c r="GM1445" s="155"/>
      <c r="GN1445" s="155"/>
      <c r="GO1445" s="155"/>
      <c r="GP1445" s="155"/>
      <c r="GQ1445" s="155"/>
      <c r="GR1445" s="155"/>
      <c r="GS1445" s="155"/>
      <c r="GT1445" s="155"/>
      <c r="GU1445" s="155"/>
      <c r="GV1445" s="155"/>
      <c r="GW1445" s="155"/>
      <c r="GX1445" s="155"/>
      <c r="GY1445" s="155"/>
      <c r="GZ1445" s="155"/>
      <c r="HA1445" s="155"/>
      <c r="HB1445" s="155"/>
      <c r="HC1445" s="155"/>
      <c r="HD1445" s="155"/>
      <c r="HE1445" s="155"/>
    </row>
    <row r="1446" spans="2:213" s="156" customFormat="1" hidden="1">
      <c r="B1446" s="155"/>
      <c r="C1446" s="155"/>
      <c r="D1446" s="155"/>
      <c r="E1446" s="155"/>
      <c r="F1446" s="155"/>
      <c r="G1446" s="155"/>
      <c r="H1446" s="155"/>
      <c r="I1446" s="155"/>
      <c r="J1446" s="155"/>
      <c r="K1446" s="155"/>
      <c r="L1446" s="155"/>
      <c r="M1446" s="155"/>
      <c r="N1446" s="155"/>
      <c r="O1446" s="155"/>
      <c r="P1446" s="155"/>
      <c r="Q1446" s="155"/>
      <c r="R1446" s="155"/>
      <c r="S1446" s="155"/>
      <c r="T1446" s="155"/>
      <c r="U1446" s="155"/>
      <c r="V1446" s="155"/>
      <c r="W1446" s="155"/>
      <c r="GL1446" s="155"/>
      <c r="GM1446" s="155"/>
      <c r="GN1446" s="155"/>
      <c r="GO1446" s="155"/>
      <c r="GP1446" s="155"/>
      <c r="GQ1446" s="155"/>
      <c r="GR1446" s="155"/>
      <c r="GS1446" s="155"/>
      <c r="GT1446" s="155"/>
      <c r="GU1446" s="155"/>
      <c r="GV1446" s="155"/>
      <c r="GW1446" s="155"/>
      <c r="GX1446" s="155"/>
      <c r="GY1446" s="155"/>
      <c r="GZ1446" s="155"/>
      <c r="HA1446" s="155"/>
      <c r="HB1446" s="155"/>
      <c r="HC1446" s="155"/>
      <c r="HD1446" s="155"/>
      <c r="HE1446" s="155"/>
    </row>
    <row r="1447" spans="2:213" s="156" customFormat="1" hidden="1">
      <c r="B1447" s="155"/>
      <c r="C1447" s="155"/>
      <c r="D1447" s="155"/>
      <c r="E1447" s="155"/>
      <c r="F1447" s="155"/>
      <c r="G1447" s="155"/>
      <c r="H1447" s="155"/>
      <c r="I1447" s="155"/>
      <c r="J1447" s="155"/>
      <c r="K1447" s="155"/>
      <c r="L1447" s="155"/>
      <c r="M1447" s="155"/>
      <c r="N1447" s="155"/>
      <c r="O1447" s="155"/>
      <c r="P1447" s="155"/>
      <c r="Q1447" s="155"/>
      <c r="R1447" s="155"/>
      <c r="S1447" s="155"/>
      <c r="T1447" s="155"/>
      <c r="U1447" s="155"/>
      <c r="V1447" s="155"/>
      <c r="W1447" s="155"/>
      <c r="GL1447" s="155"/>
      <c r="GM1447" s="155"/>
      <c r="GN1447" s="155"/>
      <c r="GO1447" s="155"/>
      <c r="GP1447" s="155"/>
      <c r="GQ1447" s="155"/>
      <c r="GR1447" s="155"/>
      <c r="GS1447" s="155"/>
      <c r="GT1447" s="155"/>
      <c r="GU1447" s="155"/>
      <c r="GV1447" s="155"/>
      <c r="GW1447" s="155"/>
      <c r="GX1447" s="155"/>
      <c r="GY1447" s="155"/>
      <c r="GZ1447" s="155"/>
      <c r="HA1447" s="155"/>
      <c r="HB1447" s="155"/>
      <c r="HC1447" s="155"/>
      <c r="HD1447" s="155"/>
      <c r="HE1447" s="155"/>
    </row>
    <row r="1448" spans="2:213" s="156" customFormat="1" hidden="1">
      <c r="B1448" s="155"/>
      <c r="C1448" s="155"/>
      <c r="D1448" s="155"/>
      <c r="E1448" s="155"/>
      <c r="F1448" s="155"/>
      <c r="G1448" s="155"/>
      <c r="H1448" s="155"/>
      <c r="I1448" s="155"/>
      <c r="J1448" s="155"/>
      <c r="K1448" s="155"/>
      <c r="L1448" s="155"/>
      <c r="M1448" s="155"/>
      <c r="N1448" s="155"/>
      <c r="O1448" s="155"/>
      <c r="P1448" s="155"/>
      <c r="Q1448" s="155"/>
      <c r="R1448" s="155"/>
      <c r="S1448" s="155"/>
      <c r="T1448" s="155"/>
      <c r="U1448" s="155"/>
      <c r="V1448" s="155"/>
      <c r="W1448" s="155"/>
      <c r="GL1448" s="155"/>
      <c r="GM1448" s="155"/>
      <c r="GN1448" s="155"/>
      <c r="GO1448" s="155"/>
      <c r="GP1448" s="155"/>
      <c r="GQ1448" s="155"/>
      <c r="GR1448" s="155"/>
      <c r="GS1448" s="155"/>
      <c r="GT1448" s="155"/>
      <c r="GU1448" s="155"/>
      <c r="GV1448" s="155"/>
      <c r="GW1448" s="155"/>
      <c r="GX1448" s="155"/>
      <c r="GY1448" s="155"/>
      <c r="GZ1448" s="155"/>
      <c r="HA1448" s="155"/>
      <c r="HB1448" s="155"/>
      <c r="HC1448" s="155"/>
      <c r="HD1448" s="155"/>
      <c r="HE1448" s="155"/>
    </row>
    <row r="1449" spans="2:213" s="156" customFormat="1" hidden="1">
      <c r="B1449" s="155"/>
      <c r="C1449" s="155"/>
      <c r="D1449" s="155"/>
      <c r="E1449" s="155"/>
      <c r="F1449" s="155"/>
      <c r="G1449" s="155"/>
      <c r="H1449" s="155"/>
      <c r="I1449" s="155"/>
      <c r="J1449" s="155"/>
      <c r="K1449" s="155"/>
      <c r="L1449" s="155"/>
      <c r="M1449" s="155"/>
      <c r="N1449" s="155"/>
      <c r="O1449" s="155"/>
      <c r="P1449" s="155"/>
      <c r="Q1449" s="155"/>
      <c r="R1449" s="155"/>
      <c r="S1449" s="155"/>
      <c r="T1449" s="155"/>
      <c r="U1449" s="155"/>
      <c r="V1449" s="155"/>
      <c r="W1449" s="155"/>
      <c r="GL1449" s="155"/>
      <c r="GM1449" s="155"/>
      <c r="GN1449" s="155"/>
      <c r="GO1449" s="155"/>
      <c r="GP1449" s="155"/>
      <c r="GQ1449" s="155"/>
      <c r="GR1449" s="155"/>
      <c r="GS1449" s="155"/>
      <c r="GT1449" s="155"/>
      <c r="GU1449" s="155"/>
      <c r="GV1449" s="155"/>
      <c r="GW1449" s="155"/>
      <c r="GX1449" s="155"/>
      <c r="GY1449" s="155"/>
      <c r="GZ1449" s="155"/>
      <c r="HA1449" s="155"/>
      <c r="HB1449" s="155"/>
      <c r="HC1449" s="155"/>
      <c r="HD1449" s="155"/>
      <c r="HE1449" s="155"/>
    </row>
    <row r="1450" spans="2:213" s="156" customFormat="1" hidden="1">
      <c r="B1450" s="155"/>
      <c r="C1450" s="155"/>
      <c r="D1450" s="155"/>
      <c r="E1450" s="155"/>
      <c r="F1450" s="155"/>
      <c r="G1450" s="155"/>
      <c r="H1450" s="155"/>
      <c r="I1450" s="155"/>
      <c r="J1450" s="155"/>
      <c r="K1450" s="155"/>
      <c r="L1450" s="155"/>
      <c r="M1450" s="155"/>
      <c r="N1450" s="155"/>
      <c r="O1450" s="155"/>
      <c r="P1450" s="155"/>
      <c r="Q1450" s="155"/>
      <c r="R1450" s="155"/>
      <c r="S1450" s="155"/>
      <c r="T1450" s="155"/>
      <c r="U1450" s="155"/>
      <c r="V1450" s="155"/>
      <c r="W1450" s="155"/>
      <c r="GL1450" s="155"/>
      <c r="GM1450" s="155"/>
      <c r="GN1450" s="155"/>
      <c r="GO1450" s="155"/>
      <c r="GP1450" s="155"/>
      <c r="GQ1450" s="155"/>
      <c r="GR1450" s="155"/>
      <c r="GS1450" s="155"/>
      <c r="GT1450" s="155"/>
      <c r="GU1450" s="155"/>
      <c r="GV1450" s="155"/>
      <c r="GW1450" s="155"/>
      <c r="GX1450" s="155"/>
      <c r="GY1450" s="155"/>
      <c r="GZ1450" s="155"/>
      <c r="HA1450" s="155"/>
      <c r="HB1450" s="155"/>
      <c r="HC1450" s="155"/>
      <c r="HD1450" s="155"/>
      <c r="HE1450" s="155"/>
    </row>
    <row r="1451" spans="2:213" s="156" customFormat="1" hidden="1">
      <c r="B1451" s="155"/>
      <c r="C1451" s="155"/>
      <c r="D1451" s="155"/>
      <c r="E1451" s="155"/>
      <c r="F1451" s="155"/>
      <c r="G1451" s="155"/>
      <c r="H1451" s="155"/>
      <c r="I1451" s="155"/>
      <c r="J1451" s="155"/>
      <c r="K1451" s="155"/>
      <c r="L1451" s="155"/>
      <c r="M1451" s="155"/>
      <c r="N1451" s="155"/>
      <c r="O1451" s="155"/>
      <c r="P1451" s="155"/>
      <c r="Q1451" s="155"/>
      <c r="R1451" s="155"/>
      <c r="S1451" s="155"/>
      <c r="T1451" s="155"/>
      <c r="U1451" s="155"/>
      <c r="V1451" s="155"/>
      <c r="W1451" s="155"/>
      <c r="GL1451" s="155"/>
      <c r="GM1451" s="155"/>
      <c r="GN1451" s="155"/>
      <c r="GO1451" s="155"/>
      <c r="GP1451" s="155"/>
      <c r="GQ1451" s="155"/>
      <c r="GR1451" s="155"/>
      <c r="GS1451" s="155"/>
      <c r="GT1451" s="155"/>
      <c r="GU1451" s="155"/>
      <c r="GV1451" s="155"/>
      <c r="GW1451" s="155"/>
      <c r="GX1451" s="155"/>
      <c r="GY1451" s="155"/>
      <c r="GZ1451" s="155"/>
      <c r="HA1451" s="155"/>
      <c r="HB1451" s="155"/>
      <c r="HC1451" s="155"/>
      <c r="HD1451" s="155"/>
      <c r="HE1451" s="155"/>
    </row>
    <row r="1452" spans="2:213" s="156" customFormat="1" hidden="1">
      <c r="B1452" s="155"/>
      <c r="C1452" s="155"/>
      <c r="D1452" s="155"/>
      <c r="E1452" s="155"/>
      <c r="F1452" s="155"/>
      <c r="G1452" s="155"/>
      <c r="H1452" s="155"/>
      <c r="I1452" s="155"/>
      <c r="J1452" s="155"/>
      <c r="K1452" s="155"/>
      <c r="L1452" s="155"/>
      <c r="M1452" s="155"/>
      <c r="N1452" s="155"/>
      <c r="O1452" s="155"/>
      <c r="P1452" s="155"/>
      <c r="Q1452" s="155"/>
      <c r="R1452" s="155"/>
      <c r="S1452" s="155"/>
      <c r="T1452" s="155"/>
      <c r="U1452" s="155"/>
      <c r="V1452" s="155"/>
      <c r="W1452" s="155"/>
      <c r="GL1452" s="155"/>
      <c r="GM1452" s="155"/>
      <c r="GN1452" s="155"/>
      <c r="GO1452" s="155"/>
      <c r="GP1452" s="155"/>
      <c r="GQ1452" s="155"/>
      <c r="GR1452" s="155"/>
      <c r="GS1452" s="155"/>
      <c r="GT1452" s="155"/>
      <c r="GU1452" s="155"/>
      <c r="GV1452" s="155"/>
      <c r="GW1452" s="155"/>
      <c r="GX1452" s="155"/>
      <c r="GY1452" s="155"/>
      <c r="GZ1452" s="155"/>
      <c r="HA1452" s="155"/>
      <c r="HB1452" s="155"/>
      <c r="HC1452" s="155"/>
      <c r="HD1452" s="155"/>
      <c r="HE1452" s="155"/>
    </row>
    <row r="1453" spans="2:213" s="156" customFormat="1" hidden="1">
      <c r="B1453" s="155"/>
      <c r="C1453" s="155"/>
      <c r="D1453" s="155"/>
      <c r="E1453" s="155"/>
      <c r="F1453" s="155"/>
      <c r="G1453" s="155"/>
      <c r="H1453" s="155"/>
      <c r="I1453" s="155"/>
      <c r="J1453" s="155"/>
      <c r="K1453" s="155"/>
      <c r="L1453" s="155"/>
      <c r="M1453" s="155"/>
      <c r="N1453" s="155"/>
      <c r="O1453" s="155"/>
      <c r="P1453" s="155"/>
      <c r="Q1453" s="155"/>
      <c r="R1453" s="155"/>
      <c r="S1453" s="155"/>
      <c r="T1453" s="155"/>
      <c r="U1453" s="155"/>
      <c r="V1453" s="155"/>
      <c r="W1453" s="155"/>
      <c r="GL1453" s="155"/>
      <c r="GM1453" s="155"/>
      <c r="GN1453" s="155"/>
      <c r="GO1453" s="155"/>
      <c r="GP1453" s="155"/>
      <c r="GQ1453" s="155"/>
      <c r="GR1453" s="155"/>
      <c r="GS1453" s="155"/>
      <c r="GT1453" s="155"/>
      <c r="GU1453" s="155"/>
      <c r="GV1453" s="155"/>
      <c r="GW1453" s="155"/>
      <c r="GX1453" s="155"/>
      <c r="GY1453" s="155"/>
      <c r="GZ1453" s="155"/>
      <c r="HA1453" s="155"/>
      <c r="HB1453" s="155"/>
      <c r="HC1453" s="155"/>
      <c r="HD1453" s="155"/>
      <c r="HE1453" s="155"/>
    </row>
    <row r="1454" spans="2:213" s="156" customFormat="1" hidden="1">
      <c r="B1454" s="155"/>
      <c r="C1454" s="155"/>
      <c r="D1454" s="155"/>
      <c r="E1454" s="155"/>
      <c r="F1454" s="155"/>
      <c r="G1454" s="155"/>
      <c r="H1454" s="155"/>
      <c r="I1454" s="155"/>
      <c r="J1454" s="155"/>
      <c r="K1454" s="155"/>
      <c r="L1454" s="155"/>
      <c r="M1454" s="155"/>
      <c r="N1454" s="155"/>
      <c r="O1454" s="155"/>
      <c r="P1454" s="155"/>
      <c r="Q1454" s="155"/>
      <c r="R1454" s="155"/>
      <c r="S1454" s="155"/>
      <c r="T1454" s="155"/>
      <c r="U1454" s="155"/>
      <c r="V1454" s="155"/>
      <c r="W1454" s="155"/>
      <c r="GL1454" s="155"/>
      <c r="GM1454" s="155"/>
      <c r="GN1454" s="155"/>
      <c r="GO1454" s="155"/>
      <c r="GP1454" s="155"/>
      <c r="GQ1454" s="155"/>
      <c r="GR1454" s="155"/>
      <c r="GS1454" s="155"/>
      <c r="GT1454" s="155"/>
      <c r="GU1454" s="155"/>
      <c r="GV1454" s="155"/>
      <c r="GW1454" s="155"/>
      <c r="GX1454" s="155"/>
      <c r="GY1454" s="155"/>
      <c r="GZ1454" s="155"/>
      <c r="HA1454" s="155"/>
      <c r="HB1454" s="155"/>
      <c r="HC1454" s="155"/>
      <c r="HD1454" s="155"/>
      <c r="HE1454" s="155"/>
    </row>
    <row r="1455" spans="2:213" s="156" customFormat="1" hidden="1">
      <c r="B1455" s="155"/>
      <c r="C1455" s="155"/>
      <c r="D1455" s="155"/>
      <c r="E1455" s="155"/>
      <c r="F1455" s="155"/>
      <c r="G1455" s="155"/>
      <c r="H1455" s="155"/>
      <c r="I1455" s="155"/>
      <c r="J1455" s="155"/>
      <c r="K1455" s="155"/>
      <c r="L1455" s="155"/>
      <c r="M1455" s="155"/>
      <c r="N1455" s="155"/>
      <c r="O1455" s="155"/>
      <c r="P1455" s="155"/>
      <c r="Q1455" s="155"/>
      <c r="R1455" s="155"/>
      <c r="S1455" s="155"/>
      <c r="T1455" s="155"/>
      <c r="U1455" s="155"/>
      <c r="V1455" s="155"/>
      <c r="W1455" s="155"/>
      <c r="GL1455" s="155"/>
      <c r="GM1455" s="155"/>
      <c r="GN1455" s="155"/>
      <c r="GO1455" s="155"/>
      <c r="GP1455" s="155"/>
      <c r="GQ1455" s="155"/>
      <c r="GR1455" s="155"/>
      <c r="GS1455" s="155"/>
      <c r="GT1455" s="155"/>
      <c r="GU1455" s="155"/>
      <c r="GV1455" s="155"/>
      <c r="GW1455" s="155"/>
      <c r="GX1455" s="155"/>
      <c r="GY1455" s="155"/>
      <c r="GZ1455" s="155"/>
      <c r="HA1455" s="155"/>
      <c r="HB1455" s="155"/>
      <c r="HC1455" s="155"/>
      <c r="HD1455" s="155"/>
      <c r="HE1455" s="155"/>
    </row>
    <row r="1456" spans="2:213" s="156" customFormat="1" hidden="1">
      <c r="B1456" s="155"/>
      <c r="C1456" s="155"/>
      <c r="D1456" s="155"/>
      <c r="E1456" s="155"/>
      <c r="F1456" s="155"/>
      <c r="G1456" s="155"/>
      <c r="H1456" s="155"/>
      <c r="I1456" s="155"/>
      <c r="J1456" s="155"/>
      <c r="K1456" s="155"/>
      <c r="L1456" s="155"/>
      <c r="M1456" s="155"/>
      <c r="N1456" s="155"/>
      <c r="O1456" s="155"/>
      <c r="P1456" s="155"/>
      <c r="Q1456" s="155"/>
      <c r="R1456" s="155"/>
      <c r="S1456" s="155"/>
      <c r="T1456" s="155"/>
      <c r="U1456" s="155"/>
      <c r="V1456" s="155"/>
      <c r="W1456" s="155"/>
      <c r="GL1456" s="155"/>
      <c r="GM1456" s="155"/>
      <c r="GN1456" s="155"/>
      <c r="GO1456" s="155"/>
      <c r="GP1456" s="155"/>
      <c r="GQ1456" s="155"/>
      <c r="GR1456" s="155"/>
      <c r="GS1456" s="155"/>
      <c r="GT1456" s="155"/>
      <c r="GU1456" s="155"/>
      <c r="GV1456" s="155"/>
      <c r="GW1456" s="155"/>
      <c r="GX1456" s="155"/>
      <c r="GY1456" s="155"/>
      <c r="GZ1456" s="155"/>
      <c r="HA1456" s="155"/>
      <c r="HB1456" s="155"/>
      <c r="HC1456" s="155"/>
      <c r="HD1456" s="155"/>
      <c r="HE1456" s="155"/>
    </row>
    <row r="1457" spans="2:213" s="156" customFormat="1" hidden="1">
      <c r="B1457" s="155"/>
      <c r="C1457" s="155"/>
      <c r="D1457" s="155"/>
      <c r="E1457" s="155"/>
      <c r="F1457" s="155"/>
      <c r="G1457" s="155"/>
      <c r="H1457" s="155"/>
      <c r="I1457" s="155"/>
      <c r="J1457" s="155"/>
      <c r="K1457" s="155"/>
      <c r="L1457" s="155"/>
      <c r="M1457" s="155"/>
      <c r="N1457" s="155"/>
      <c r="O1457" s="155"/>
      <c r="P1457" s="155"/>
      <c r="Q1457" s="155"/>
      <c r="R1457" s="155"/>
      <c r="S1457" s="155"/>
      <c r="T1457" s="155"/>
      <c r="U1457" s="155"/>
      <c r="V1457" s="155"/>
      <c r="W1457" s="155"/>
      <c r="GL1457" s="155"/>
      <c r="GM1457" s="155"/>
      <c r="GN1457" s="155"/>
      <c r="GO1457" s="155"/>
      <c r="GP1457" s="155"/>
      <c r="GQ1457" s="155"/>
      <c r="GR1457" s="155"/>
      <c r="GS1457" s="155"/>
      <c r="GT1457" s="155"/>
      <c r="GU1457" s="155"/>
      <c r="GV1457" s="155"/>
      <c r="GW1457" s="155"/>
      <c r="GX1457" s="155"/>
      <c r="GY1457" s="155"/>
      <c r="GZ1457" s="155"/>
      <c r="HA1457" s="155"/>
      <c r="HB1457" s="155"/>
      <c r="HC1457" s="155"/>
      <c r="HD1457" s="155"/>
      <c r="HE1457" s="155"/>
    </row>
    <row r="1458" spans="2:213" s="156" customFormat="1" hidden="1">
      <c r="B1458" s="155"/>
      <c r="C1458" s="155"/>
      <c r="D1458" s="155"/>
      <c r="E1458" s="155"/>
      <c r="F1458" s="155"/>
      <c r="G1458" s="155"/>
      <c r="H1458" s="155"/>
      <c r="I1458" s="155"/>
      <c r="J1458" s="155"/>
      <c r="K1458" s="155"/>
      <c r="L1458" s="155"/>
      <c r="M1458" s="155"/>
      <c r="N1458" s="155"/>
      <c r="O1458" s="155"/>
      <c r="P1458" s="155"/>
      <c r="Q1458" s="155"/>
      <c r="R1458" s="155"/>
      <c r="S1458" s="155"/>
      <c r="T1458" s="155"/>
      <c r="U1458" s="155"/>
      <c r="V1458" s="155"/>
      <c r="W1458" s="155"/>
      <c r="GL1458" s="155"/>
      <c r="GM1458" s="155"/>
      <c r="GN1458" s="155"/>
      <c r="GO1458" s="155"/>
      <c r="GP1458" s="155"/>
      <c r="GQ1458" s="155"/>
      <c r="GR1458" s="155"/>
      <c r="GS1458" s="155"/>
      <c r="GT1458" s="155"/>
      <c r="GU1458" s="155"/>
      <c r="GV1458" s="155"/>
      <c r="GW1458" s="155"/>
      <c r="GX1458" s="155"/>
      <c r="GY1458" s="155"/>
      <c r="GZ1458" s="155"/>
      <c r="HA1458" s="155"/>
      <c r="HB1458" s="155"/>
      <c r="HC1458" s="155"/>
      <c r="HD1458" s="155"/>
      <c r="HE1458" s="155"/>
    </row>
    <row r="1459" spans="2:213" s="156" customFormat="1" hidden="1">
      <c r="B1459" s="155"/>
      <c r="C1459" s="155"/>
      <c r="D1459" s="155"/>
      <c r="E1459" s="155"/>
      <c r="F1459" s="155"/>
      <c r="G1459" s="155"/>
      <c r="H1459" s="155"/>
      <c r="I1459" s="155"/>
      <c r="J1459" s="155"/>
      <c r="K1459" s="155"/>
      <c r="L1459" s="155"/>
      <c r="M1459" s="155"/>
      <c r="N1459" s="155"/>
      <c r="O1459" s="155"/>
      <c r="P1459" s="155"/>
      <c r="Q1459" s="155"/>
      <c r="R1459" s="155"/>
      <c r="S1459" s="155"/>
      <c r="T1459" s="155"/>
      <c r="U1459" s="155"/>
      <c r="V1459" s="155"/>
      <c r="W1459" s="155"/>
      <c r="GL1459" s="155"/>
      <c r="GM1459" s="155"/>
      <c r="GN1459" s="155"/>
      <c r="GO1459" s="155"/>
      <c r="GP1459" s="155"/>
      <c r="GQ1459" s="155"/>
      <c r="GR1459" s="155"/>
      <c r="GS1459" s="155"/>
      <c r="GT1459" s="155"/>
      <c r="GU1459" s="155"/>
      <c r="GV1459" s="155"/>
      <c r="GW1459" s="155"/>
      <c r="GX1459" s="155"/>
      <c r="GY1459" s="155"/>
      <c r="GZ1459" s="155"/>
      <c r="HA1459" s="155"/>
      <c r="HB1459" s="155"/>
      <c r="HC1459" s="155"/>
      <c r="HD1459" s="155"/>
      <c r="HE1459" s="155"/>
    </row>
    <row r="1460" spans="2:213" s="156" customFormat="1" hidden="1">
      <c r="B1460" s="155"/>
      <c r="C1460" s="155"/>
      <c r="D1460" s="155"/>
      <c r="E1460" s="155"/>
      <c r="F1460" s="155"/>
      <c r="G1460" s="155"/>
      <c r="H1460" s="155"/>
      <c r="I1460" s="155"/>
      <c r="J1460" s="155"/>
      <c r="K1460" s="155"/>
      <c r="L1460" s="155"/>
      <c r="M1460" s="155"/>
      <c r="N1460" s="155"/>
      <c r="O1460" s="155"/>
      <c r="P1460" s="155"/>
      <c r="Q1460" s="155"/>
      <c r="R1460" s="155"/>
      <c r="S1460" s="155"/>
      <c r="T1460" s="155"/>
      <c r="U1460" s="155"/>
      <c r="V1460" s="155"/>
      <c r="W1460" s="155"/>
      <c r="GL1460" s="155"/>
      <c r="GM1460" s="155"/>
      <c r="GN1460" s="155"/>
      <c r="GO1460" s="155"/>
      <c r="GP1460" s="155"/>
      <c r="GQ1460" s="155"/>
      <c r="GR1460" s="155"/>
      <c r="GS1460" s="155"/>
      <c r="GT1460" s="155"/>
      <c r="GU1460" s="155"/>
      <c r="GV1460" s="155"/>
      <c r="GW1460" s="155"/>
      <c r="GX1460" s="155"/>
      <c r="GY1460" s="155"/>
      <c r="GZ1460" s="155"/>
      <c r="HA1460" s="155"/>
      <c r="HB1460" s="155"/>
      <c r="HC1460" s="155"/>
      <c r="HD1460" s="155"/>
      <c r="HE1460" s="155"/>
    </row>
    <row r="1461" spans="2:213" s="156" customFormat="1" hidden="1">
      <c r="B1461" s="155"/>
      <c r="C1461" s="155"/>
      <c r="D1461" s="155"/>
      <c r="E1461" s="155"/>
      <c r="F1461" s="155"/>
      <c r="G1461" s="155"/>
      <c r="H1461" s="155"/>
      <c r="I1461" s="155"/>
      <c r="J1461" s="155"/>
      <c r="K1461" s="155"/>
      <c r="L1461" s="155"/>
      <c r="M1461" s="155"/>
      <c r="N1461" s="155"/>
      <c r="O1461" s="155"/>
      <c r="P1461" s="155"/>
      <c r="Q1461" s="155"/>
      <c r="R1461" s="155"/>
      <c r="S1461" s="155"/>
      <c r="T1461" s="155"/>
      <c r="U1461" s="155"/>
      <c r="V1461" s="155"/>
      <c r="W1461" s="155"/>
      <c r="GL1461" s="155"/>
      <c r="GM1461" s="155"/>
      <c r="GN1461" s="155"/>
      <c r="GO1461" s="155"/>
      <c r="GP1461" s="155"/>
      <c r="GQ1461" s="155"/>
      <c r="GR1461" s="155"/>
      <c r="GS1461" s="155"/>
      <c r="GT1461" s="155"/>
      <c r="GU1461" s="155"/>
      <c r="GV1461" s="155"/>
      <c r="GW1461" s="155"/>
      <c r="GX1461" s="155"/>
      <c r="GY1461" s="155"/>
      <c r="GZ1461" s="155"/>
      <c r="HA1461" s="155"/>
      <c r="HB1461" s="155"/>
      <c r="HC1461" s="155"/>
      <c r="HD1461" s="155"/>
      <c r="HE1461" s="155"/>
    </row>
    <row r="1462" spans="2:213" s="156" customFormat="1" hidden="1">
      <c r="B1462" s="155"/>
      <c r="C1462" s="155"/>
      <c r="D1462" s="155"/>
      <c r="E1462" s="155"/>
      <c r="F1462" s="155"/>
      <c r="G1462" s="155"/>
      <c r="H1462" s="155"/>
      <c r="I1462" s="155"/>
      <c r="J1462" s="155"/>
      <c r="K1462" s="155"/>
      <c r="L1462" s="155"/>
      <c r="M1462" s="155"/>
      <c r="N1462" s="155"/>
      <c r="O1462" s="155"/>
      <c r="P1462" s="155"/>
      <c r="Q1462" s="155"/>
      <c r="R1462" s="155"/>
      <c r="S1462" s="155"/>
      <c r="T1462" s="155"/>
      <c r="U1462" s="155"/>
      <c r="V1462" s="155"/>
      <c r="W1462" s="155"/>
      <c r="GL1462" s="155"/>
      <c r="GM1462" s="155"/>
      <c r="GN1462" s="155"/>
      <c r="GO1462" s="155"/>
      <c r="GP1462" s="155"/>
      <c r="GQ1462" s="155"/>
      <c r="GR1462" s="155"/>
      <c r="GS1462" s="155"/>
      <c r="GT1462" s="155"/>
      <c r="GU1462" s="155"/>
      <c r="GV1462" s="155"/>
      <c r="GW1462" s="155"/>
      <c r="GX1462" s="155"/>
      <c r="GY1462" s="155"/>
      <c r="GZ1462" s="155"/>
      <c r="HA1462" s="155"/>
      <c r="HB1462" s="155"/>
      <c r="HC1462" s="155"/>
      <c r="HD1462" s="155"/>
      <c r="HE1462" s="155"/>
    </row>
    <row r="1463" spans="2:213" s="156" customFormat="1" hidden="1">
      <c r="B1463" s="155"/>
      <c r="C1463" s="155"/>
      <c r="D1463" s="155"/>
      <c r="E1463" s="155"/>
      <c r="F1463" s="155"/>
      <c r="G1463" s="155"/>
      <c r="H1463" s="155"/>
      <c r="I1463" s="155"/>
      <c r="J1463" s="155"/>
      <c r="K1463" s="155"/>
      <c r="L1463" s="155"/>
      <c r="M1463" s="155"/>
      <c r="N1463" s="155"/>
      <c r="O1463" s="155"/>
      <c r="P1463" s="155"/>
      <c r="Q1463" s="155"/>
      <c r="R1463" s="155"/>
      <c r="S1463" s="155"/>
      <c r="T1463" s="155"/>
      <c r="U1463" s="155"/>
      <c r="V1463" s="155"/>
      <c r="W1463" s="155"/>
      <c r="GL1463" s="155"/>
      <c r="GM1463" s="155"/>
      <c r="GN1463" s="155"/>
      <c r="GO1463" s="155"/>
      <c r="GP1463" s="155"/>
      <c r="GQ1463" s="155"/>
      <c r="GR1463" s="155"/>
      <c r="GS1463" s="155"/>
      <c r="GT1463" s="155"/>
      <c r="GU1463" s="155"/>
      <c r="GV1463" s="155"/>
      <c r="GW1463" s="155"/>
      <c r="GX1463" s="155"/>
      <c r="GY1463" s="155"/>
      <c r="GZ1463" s="155"/>
      <c r="HA1463" s="155"/>
      <c r="HB1463" s="155"/>
      <c r="HC1463" s="155"/>
      <c r="HD1463" s="155"/>
      <c r="HE1463" s="155"/>
    </row>
    <row r="1464" spans="2:213" s="156" customFormat="1" hidden="1">
      <c r="B1464" s="155"/>
      <c r="C1464" s="155"/>
      <c r="D1464" s="155"/>
      <c r="E1464" s="155"/>
      <c r="F1464" s="155"/>
      <c r="G1464" s="155"/>
      <c r="H1464" s="155"/>
      <c r="I1464" s="155"/>
      <c r="J1464" s="155"/>
      <c r="K1464" s="155"/>
      <c r="L1464" s="155"/>
      <c r="M1464" s="155"/>
      <c r="N1464" s="155"/>
      <c r="O1464" s="155"/>
      <c r="P1464" s="155"/>
      <c r="Q1464" s="155"/>
      <c r="R1464" s="155"/>
      <c r="S1464" s="155"/>
      <c r="T1464" s="155"/>
      <c r="U1464" s="155"/>
      <c r="V1464" s="155"/>
      <c r="W1464" s="155"/>
      <c r="GL1464" s="155"/>
      <c r="GM1464" s="155"/>
      <c r="GN1464" s="155"/>
      <c r="GO1464" s="155"/>
      <c r="GP1464" s="155"/>
      <c r="GQ1464" s="155"/>
      <c r="GR1464" s="155"/>
      <c r="GS1464" s="155"/>
      <c r="GT1464" s="155"/>
      <c r="GU1464" s="155"/>
      <c r="GV1464" s="155"/>
      <c r="GW1464" s="155"/>
      <c r="GX1464" s="155"/>
      <c r="GY1464" s="155"/>
      <c r="GZ1464" s="155"/>
      <c r="HA1464" s="155"/>
      <c r="HB1464" s="155"/>
      <c r="HC1464" s="155"/>
      <c r="HD1464" s="155"/>
      <c r="HE1464" s="155"/>
    </row>
    <row r="1465" spans="2:213" s="156" customFormat="1" hidden="1">
      <c r="B1465" s="155"/>
      <c r="C1465" s="155"/>
      <c r="D1465" s="155"/>
      <c r="E1465" s="155"/>
      <c r="F1465" s="155"/>
      <c r="G1465" s="155"/>
      <c r="H1465" s="155"/>
      <c r="I1465" s="155"/>
      <c r="J1465" s="155"/>
      <c r="K1465" s="155"/>
      <c r="L1465" s="155"/>
      <c r="M1465" s="155"/>
      <c r="N1465" s="155"/>
      <c r="O1465" s="155"/>
      <c r="P1465" s="155"/>
      <c r="Q1465" s="155"/>
      <c r="R1465" s="155"/>
      <c r="S1465" s="155"/>
      <c r="T1465" s="155"/>
      <c r="U1465" s="155"/>
      <c r="V1465" s="155"/>
      <c r="W1465" s="155"/>
      <c r="GL1465" s="155"/>
      <c r="GM1465" s="155"/>
      <c r="GN1465" s="155"/>
      <c r="GO1465" s="155"/>
      <c r="GP1465" s="155"/>
      <c r="GQ1465" s="155"/>
      <c r="GR1465" s="155"/>
      <c r="GS1465" s="155"/>
      <c r="GT1465" s="155"/>
      <c r="GU1465" s="155"/>
      <c r="GV1465" s="155"/>
      <c r="GW1465" s="155"/>
      <c r="GX1465" s="155"/>
      <c r="GY1465" s="155"/>
      <c r="GZ1465" s="155"/>
      <c r="HA1465" s="155"/>
      <c r="HB1465" s="155"/>
      <c r="HC1465" s="155"/>
      <c r="HD1465" s="155"/>
      <c r="HE1465" s="155"/>
    </row>
    <row r="1466" spans="2:213" s="156" customFormat="1" hidden="1">
      <c r="B1466" s="155"/>
      <c r="C1466" s="155"/>
      <c r="D1466" s="155"/>
      <c r="E1466" s="155"/>
      <c r="F1466" s="155"/>
      <c r="G1466" s="155"/>
      <c r="H1466" s="155"/>
      <c r="I1466" s="155"/>
      <c r="J1466" s="155"/>
      <c r="K1466" s="155"/>
      <c r="L1466" s="155"/>
      <c r="M1466" s="155"/>
      <c r="N1466" s="155"/>
      <c r="O1466" s="155"/>
      <c r="P1466" s="155"/>
      <c r="Q1466" s="155"/>
      <c r="R1466" s="155"/>
      <c r="S1466" s="155"/>
      <c r="T1466" s="155"/>
      <c r="U1466" s="155"/>
      <c r="V1466" s="155"/>
      <c r="W1466" s="155"/>
      <c r="GL1466" s="155"/>
      <c r="GM1466" s="155"/>
      <c r="GN1466" s="155"/>
      <c r="GO1466" s="155"/>
      <c r="GP1466" s="155"/>
      <c r="GQ1466" s="155"/>
      <c r="GR1466" s="155"/>
      <c r="GS1466" s="155"/>
      <c r="GT1466" s="155"/>
      <c r="GU1466" s="155"/>
      <c r="GV1466" s="155"/>
      <c r="GW1466" s="155"/>
      <c r="GX1466" s="155"/>
      <c r="GY1466" s="155"/>
      <c r="GZ1466" s="155"/>
      <c r="HA1466" s="155"/>
      <c r="HB1466" s="155"/>
      <c r="HC1466" s="155"/>
      <c r="HD1466" s="155"/>
      <c r="HE1466" s="155"/>
    </row>
    <row r="1467" spans="2:213" s="156" customFormat="1" hidden="1">
      <c r="B1467" s="155"/>
      <c r="C1467" s="155"/>
      <c r="D1467" s="155"/>
      <c r="E1467" s="155"/>
      <c r="F1467" s="155"/>
      <c r="G1467" s="155"/>
      <c r="H1467" s="155"/>
      <c r="I1467" s="155"/>
      <c r="J1467" s="155"/>
      <c r="K1467" s="155"/>
      <c r="L1467" s="155"/>
      <c r="M1467" s="155"/>
      <c r="N1467" s="155"/>
      <c r="O1467" s="155"/>
      <c r="P1467" s="155"/>
      <c r="Q1467" s="155"/>
      <c r="R1467" s="155"/>
      <c r="S1467" s="155"/>
      <c r="T1467" s="155"/>
      <c r="U1467" s="155"/>
      <c r="V1467" s="155"/>
      <c r="W1467" s="155"/>
      <c r="GL1467" s="155"/>
      <c r="GM1467" s="155"/>
      <c r="GN1467" s="155"/>
      <c r="GO1467" s="155"/>
      <c r="GP1467" s="155"/>
      <c r="GQ1467" s="155"/>
      <c r="GR1467" s="155"/>
      <c r="GS1467" s="155"/>
      <c r="GT1467" s="155"/>
      <c r="GU1467" s="155"/>
      <c r="GV1467" s="155"/>
      <c r="GW1467" s="155"/>
      <c r="GX1467" s="155"/>
      <c r="GY1467" s="155"/>
      <c r="GZ1467" s="155"/>
      <c r="HA1467" s="155"/>
      <c r="HB1467" s="155"/>
      <c r="HC1467" s="155"/>
      <c r="HD1467" s="155"/>
      <c r="HE1467" s="155"/>
    </row>
    <row r="1468" spans="2:213" s="156" customFormat="1" hidden="1">
      <c r="B1468" s="155"/>
      <c r="C1468" s="155"/>
      <c r="D1468" s="155"/>
      <c r="E1468" s="155"/>
      <c r="F1468" s="155"/>
      <c r="G1468" s="155"/>
      <c r="H1468" s="155"/>
      <c r="I1468" s="155"/>
      <c r="J1468" s="155"/>
      <c r="K1468" s="155"/>
      <c r="L1468" s="155"/>
      <c r="M1468" s="155"/>
      <c r="N1468" s="155"/>
      <c r="O1468" s="155"/>
      <c r="P1468" s="155"/>
      <c r="Q1468" s="155"/>
      <c r="R1468" s="155"/>
      <c r="S1468" s="155"/>
      <c r="T1468" s="155"/>
      <c r="U1468" s="155"/>
      <c r="V1468" s="155"/>
      <c r="W1468" s="155"/>
      <c r="GL1468" s="155"/>
      <c r="GM1468" s="155"/>
      <c r="GN1468" s="155"/>
      <c r="GO1468" s="155"/>
      <c r="GP1468" s="155"/>
      <c r="GQ1468" s="155"/>
      <c r="GR1468" s="155"/>
      <c r="GS1468" s="155"/>
      <c r="GT1468" s="155"/>
      <c r="GU1468" s="155"/>
      <c r="GV1468" s="155"/>
      <c r="GW1468" s="155"/>
      <c r="GX1468" s="155"/>
      <c r="GY1468" s="155"/>
      <c r="GZ1468" s="155"/>
      <c r="HA1468" s="155"/>
      <c r="HB1468" s="155"/>
      <c r="HC1468" s="155"/>
      <c r="HD1468" s="155"/>
      <c r="HE1468" s="155"/>
    </row>
    <row r="1469" spans="2:213" s="156" customFormat="1" hidden="1">
      <c r="B1469" s="155"/>
      <c r="C1469" s="155"/>
      <c r="D1469" s="155"/>
      <c r="E1469" s="155"/>
      <c r="F1469" s="155"/>
      <c r="G1469" s="155"/>
      <c r="H1469" s="155"/>
      <c r="I1469" s="155"/>
      <c r="J1469" s="155"/>
      <c r="K1469" s="155"/>
      <c r="L1469" s="155"/>
      <c r="M1469" s="155"/>
      <c r="N1469" s="155"/>
      <c r="O1469" s="155"/>
      <c r="P1469" s="155"/>
      <c r="Q1469" s="155"/>
      <c r="R1469" s="155"/>
      <c r="S1469" s="155"/>
      <c r="T1469" s="155"/>
      <c r="U1469" s="155"/>
      <c r="V1469" s="155"/>
      <c r="W1469" s="155"/>
      <c r="GL1469" s="155"/>
      <c r="GM1469" s="155"/>
      <c r="GN1469" s="155"/>
      <c r="GO1469" s="155"/>
      <c r="GP1469" s="155"/>
      <c r="GQ1469" s="155"/>
      <c r="GR1469" s="155"/>
      <c r="GS1469" s="155"/>
      <c r="GT1469" s="155"/>
      <c r="GU1469" s="155"/>
      <c r="GV1469" s="155"/>
      <c r="GW1469" s="155"/>
      <c r="GX1469" s="155"/>
      <c r="GY1469" s="155"/>
      <c r="GZ1469" s="155"/>
      <c r="HA1469" s="155"/>
      <c r="HB1469" s="155"/>
      <c r="HC1469" s="155"/>
      <c r="HD1469" s="155"/>
      <c r="HE1469" s="155"/>
    </row>
    <row r="1470" spans="2:213" s="156" customFormat="1" hidden="1">
      <c r="B1470" s="155"/>
      <c r="C1470" s="155"/>
      <c r="D1470" s="155"/>
      <c r="E1470" s="155"/>
      <c r="F1470" s="155"/>
      <c r="G1470" s="155"/>
      <c r="H1470" s="155"/>
      <c r="I1470" s="155"/>
      <c r="J1470" s="155"/>
      <c r="K1470" s="155"/>
      <c r="L1470" s="155"/>
      <c r="M1470" s="155"/>
      <c r="N1470" s="155"/>
      <c r="O1470" s="155"/>
      <c r="P1470" s="155"/>
      <c r="Q1470" s="155"/>
      <c r="R1470" s="155"/>
      <c r="S1470" s="155"/>
      <c r="T1470" s="155"/>
      <c r="U1470" s="155"/>
      <c r="V1470" s="155"/>
      <c r="W1470" s="155"/>
      <c r="GL1470" s="155"/>
      <c r="GM1470" s="155"/>
      <c r="GN1470" s="155"/>
      <c r="GO1470" s="155"/>
      <c r="GP1470" s="155"/>
      <c r="GQ1470" s="155"/>
      <c r="GR1470" s="155"/>
      <c r="GS1470" s="155"/>
      <c r="GT1470" s="155"/>
      <c r="GU1470" s="155"/>
      <c r="GV1470" s="155"/>
      <c r="GW1470" s="155"/>
      <c r="GX1470" s="155"/>
      <c r="GY1470" s="155"/>
      <c r="GZ1470" s="155"/>
      <c r="HA1470" s="155"/>
      <c r="HB1470" s="155"/>
      <c r="HC1470" s="155"/>
      <c r="HD1470" s="155"/>
      <c r="HE1470" s="155"/>
    </row>
    <row r="1471" spans="2:213" s="156" customFormat="1" hidden="1">
      <c r="B1471" s="155"/>
      <c r="C1471" s="155"/>
      <c r="D1471" s="155"/>
      <c r="E1471" s="155"/>
      <c r="F1471" s="155"/>
      <c r="G1471" s="155"/>
      <c r="H1471" s="155"/>
      <c r="I1471" s="155"/>
      <c r="J1471" s="155"/>
      <c r="K1471" s="155"/>
      <c r="L1471" s="155"/>
      <c r="M1471" s="155"/>
      <c r="N1471" s="155"/>
      <c r="O1471" s="155"/>
      <c r="P1471" s="155"/>
      <c r="Q1471" s="155"/>
      <c r="R1471" s="155"/>
      <c r="S1471" s="155"/>
      <c r="T1471" s="155"/>
      <c r="U1471" s="155"/>
      <c r="V1471" s="155"/>
      <c r="W1471" s="155"/>
      <c r="GL1471" s="155"/>
      <c r="GM1471" s="155"/>
      <c r="GN1471" s="155"/>
      <c r="GO1471" s="155"/>
      <c r="GP1471" s="155"/>
      <c r="GQ1471" s="155"/>
      <c r="GR1471" s="155"/>
      <c r="GS1471" s="155"/>
      <c r="GT1471" s="155"/>
      <c r="GU1471" s="155"/>
      <c r="GV1471" s="155"/>
      <c r="GW1471" s="155"/>
      <c r="GX1471" s="155"/>
      <c r="GY1471" s="155"/>
      <c r="GZ1471" s="155"/>
      <c r="HA1471" s="155"/>
      <c r="HB1471" s="155"/>
      <c r="HC1471" s="155"/>
      <c r="HD1471" s="155"/>
      <c r="HE1471" s="155"/>
    </row>
    <row r="1472" spans="2:213" s="156" customFormat="1" hidden="1">
      <c r="B1472" s="155"/>
      <c r="C1472" s="155"/>
      <c r="D1472" s="155"/>
      <c r="E1472" s="155"/>
      <c r="F1472" s="155"/>
      <c r="G1472" s="155"/>
      <c r="H1472" s="155"/>
      <c r="I1472" s="155"/>
      <c r="J1472" s="155"/>
      <c r="K1472" s="155"/>
      <c r="L1472" s="155"/>
      <c r="M1472" s="155"/>
      <c r="N1472" s="155"/>
      <c r="O1472" s="155"/>
      <c r="P1472" s="155"/>
      <c r="Q1472" s="155"/>
      <c r="R1472" s="155"/>
      <c r="S1472" s="155"/>
      <c r="T1472" s="155"/>
      <c r="U1472" s="155"/>
      <c r="V1472" s="155"/>
      <c r="W1472" s="155"/>
      <c r="GL1472" s="155"/>
      <c r="GM1472" s="155"/>
      <c r="GN1472" s="155"/>
      <c r="GO1472" s="155"/>
      <c r="GP1472" s="155"/>
      <c r="GQ1472" s="155"/>
      <c r="GR1472" s="155"/>
      <c r="GS1472" s="155"/>
      <c r="GT1472" s="155"/>
      <c r="GU1472" s="155"/>
      <c r="GV1472" s="155"/>
      <c r="GW1472" s="155"/>
      <c r="GX1472" s="155"/>
      <c r="GY1472" s="155"/>
      <c r="GZ1472" s="155"/>
      <c r="HA1472" s="155"/>
      <c r="HB1472" s="155"/>
      <c r="HC1472" s="155"/>
      <c r="HD1472" s="155"/>
      <c r="HE1472" s="155"/>
    </row>
    <row r="1473" spans="2:213" s="156" customFormat="1" hidden="1">
      <c r="B1473" s="155"/>
      <c r="C1473" s="155"/>
      <c r="D1473" s="155"/>
      <c r="E1473" s="155"/>
      <c r="F1473" s="155"/>
      <c r="G1473" s="155"/>
      <c r="H1473" s="155"/>
      <c r="I1473" s="155"/>
      <c r="J1473" s="155"/>
      <c r="K1473" s="155"/>
      <c r="L1473" s="155"/>
      <c r="M1473" s="155"/>
      <c r="N1473" s="155"/>
      <c r="O1473" s="155"/>
      <c r="P1473" s="155"/>
      <c r="Q1473" s="155"/>
      <c r="R1473" s="155"/>
      <c r="S1473" s="155"/>
      <c r="T1473" s="155"/>
      <c r="U1473" s="155"/>
      <c r="V1473" s="155"/>
      <c r="W1473" s="155"/>
      <c r="GL1473" s="155"/>
      <c r="GM1473" s="155"/>
      <c r="GN1473" s="155"/>
      <c r="GO1473" s="155"/>
      <c r="GP1473" s="155"/>
      <c r="GQ1473" s="155"/>
      <c r="GR1473" s="155"/>
      <c r="GS1473" s="155"/>
      <c r="GT1473" s="155"/>
      <c r="GU1473" s="155"/>
      <c r="GV1473" s="155"/>
      <c r="GW1473" s="155"/>
      <c r="GX1473" s="155"/>
      <c r="GY1473" s="155"/>
      <c r="GZ1473" s="155"/>
      <c r="HA1473" s="155"/>
      <c r="HB1473" s="155"/>
      <c r="HC1473" s="155"/>
      <c r="HD1473" s="155"/>
      <c r="HE1473" s="155"/>
    </row>
    <row r="1474" spans="2:213" s="156" customFormat="1" hidden="1">
      <c r="B1474" s="155"/>
      <c r="C1474" s="155"/>
      <c r="D1474" s="155"/>
      <c r="E1474" s="155"/>
      <c r="F1474" s="155"/>
      <c r="G1474" s="155"/>
      <c r="H1474" s="155"/>
      <c r="I1474" s="155"/>
      <c r="J1474" s="155"/>
      <c r="K1474" s="155"/>
      <c r="L1474" s="155"/>
      <c r="M1474" s="155"/>
      <c r="N1474" s="155"/>
      <c r="O1474" s="155"/>
      <c r="P1474" s="155"/>
      <c r="Q1474" s="155"/>
      <c r="R1474" s="155"/>
      <c r="S1474" s="155"/>
      <c r="T1474" s="155"/>
      <c r="U1474" s="155"/>
      <c r="V1474" s="155"/>
      <c r="W1474" s="155"/>
      <c r="GL1474" s="155"/>
      <c r="GM1474" s="155"/>
      <c r="GN1474" s="155"/>
      <c r="GO1474" s="155"/>
      <c r="GP1474" s="155"/>
      <c r="GQ1474" s="155"/>
      <c r="GR1474" s="155"/>
      <c r="GS1474" s="155"/>
      <c r="GT1474" s="155"/>
      <c r="GU1474" s="155"/>
      <c r="GV1474" s="155"/>
      <c r="GW1474" s="155"/>
      <c r="GX1474" s="155"/>
      <c r="GY1474" s="155"/>
      <c r="GZ1474" s="155"/>
      <c r="HA1474" s="155"/>
      <c r="HB1474" s="155"/>
      <c r="HC1474" s="155"/>
      <c r="HD1474" s="155"/>
      <c r="HE1474" s="155"/>
    </row>
    <row r="1475" spans="2:213" s="156" customFormat="1" hidden="1">
      <c r="B1475" s="155"/>
      <c r="C1475" s="155"/>
      <c r="D1475" s="155"/>
      <c r="E1475" s="155"/>
      <c r="F1475" s="155"/>
      <c r="G1475" s="155"/>
      <c r="H1475" s="155"/>
      <c r="I1475" s="155"/>
      <c r="J1475" s="155"/>
      <c r="K1475" s="155"/>
      <c r="L1475" s="155"/>
      <c r="M1475" s="155"/>
      <c r="N1475" s="155"/>
      <c r="O1475" s="155"/>
      <c r="P1475" s="155"/>
      <c r="Q1475" s="155"/>
      <c r="R1475" s="155"/>
      <c r="S1475" s="155"/>
      <c r="T1475" s="155"/>
      <c r="U1475" s="155"/>
      <c r="V1475" s="155"/>
      <c r="W1475" s="155"/>
      <c r="GL1475" s="155"/>
      <c r="GM1475" s="155"/>
      <c r="GN1475" s="155"/>
      <c r="GO1475" s="155"/>
      <c r="GP1475" s="155"/>
      <c r="GQ1475" s="155"/>
      <c r="GR1475" s="155"/>
      <c r="GS1475" s="155"/>
      <c r="GT1475" s="155"/>
      <c r="GU1475" s="155"/>
      <c r="GV1475" s="155"/>
      <c r="GW1475" s="155"/>
      <c r="GX1475" s="155"/>
      <c r="GY1475" s="155"/>
      <c r="GZ1475" s="155"/>
      <c r="HA1475" s="155"/>
      <c r="HB1475" s="155"/>
      <c r="HC1475" s="155"/>
      <c r="HD1475" s="155"/>
      <c r="HE1475" s="155"/>
    </row>
    <row r="1476" spans="2:213" s="156" customFormat="1" hidden="1">
      <c r="B1476" s="155"/>
      <c r="C1476" s="155"/>
      <c r="D1476" s="155"/>
      <c r="E1476" s="155"/>
      <c r="F1476" s="155"/>
      <c r="G1476" s="155"/>
      <c r="H1476" s="155"/>
      <c r="I1476" s="155"/>
      <c r="J1476" s="155"/>
      <c r="K1476" s="155"/>
      <c r="L1476" s="155"/>
      <c r="M1476" s="155"/>
      <c r="N1476" s="155"/>
      <c r="O1476" s="155"/>
      <c r="P1476" s="155"/>
      <c r="Q1476" s="155"/>
      <c r="R1476" s="155"/>
      <c r="S1476" s="155"/>
      <c r="T1476" s="155"/>
      <c r="U1476" s="155"/>
      <c r="V1476" s="155"/>
      <c r="W1476" s="155"/>
      <c r="GL1476" s="155"/>
      <c r="GM1476" s="155"/>
      <c r="GN1476" s="155"/>
      <c r="GO1476" s="155"/>
      <c r="GP1476" s="155"/>
      <c r="GQ1476" s="155"/>
      <c r="GR1476" s="155"/>
      <c r="GS1476" s="155"/>
      <c r="GT1476" s="155"/>
      <c r="GU1476" s="155"/>
      <c r="GV1476" s="155"/>
      <c r="GW1476" s="155"/>
      <c r="GX1476" s="155"/>
      <c r="GY1476" s="155"/>
      <c r="GZ1476" s="155"/>
      <c r="HA1476" s="155"/>
      <c r="HB1476" s="155"/>
      <c r="HC1476" s="155"/>
      <c r="HD1476" s="155"/>
      <c r="HE1476" s="155"/>
    </row>
    <row r="1477" spans="2:213" s="156" customFormat="1" hidden="1">
      <c r="B1477" s="155"/>
      <c r="C1477" s="155"/>
      <c r="D1477" s="155"/>
      <c r="E1477" s="155"/>
      <c r="F1477" s="155"/>
      <c r="G1477" s="155"/>
      <c r="H1477" s="155"/>
      <c r="I1477" s="155"/>
      <c r="J1477" s="155"/>
      <c r="K1477" s="155"/>
      <c r="L1477" s="155"/>
      <c r="M1477" s="155"/>
      <c r="N1477" s="155"/>
      <c r="O1477" s="155"/>
      <c r="P1477" s="155"/>
      <c r="Q1477" s="155"/>
      <c r="R1477" s="155"/>
      <c r="S1477" s="155"/>
      <c r="T1477" s="155"/>
      <c r="U1477" s="155"/>
      <c r="V1477" s="155"/>
      <c r="W1477" s="155"/>
      <c r="GL1477" s="155"/>
      <c r="GM1477" s="155"/>
      <c r="GN1477" s="155"/>
      <c r="GO1477" s="155"/>
      <c r="GP1477" s="155"/>
      <c r="GQ1477" s="155"/>
      <c r="GR1477" s="155"/>
      <c r="GS1477" s="155"/>
      <c r="GT1477" s="155"/>
      <c r="GU1477" s="155"/>
      <c r="GV1477" s="155"/>
      <c r="GW1477" s="155"/>
      <c r="GX1477" s="155"/>
      <c r="GY1477" s="155"/>
      <c r="GZ1477" s="155"/>
      <c r="HA1477" s="155"/>
      <c r="HB1477" s="155"/>
      <c r="HC1477" s="155"/>
      <c r="HD1477" s="155"/>
      <c r="HE1477" s="155"/>
    </row>
    <row r="1478" spans="2:213" s="156" customFormat="1" hidden="1">
      <c r="B1478" s="155"/>
      <c r="C1478" s="155"/>
      <c r="D1478" s="155"/>
      <c r="E1478" s="155"/>
      <c r="F1478" s="155"/>
      <c r="G1478" s="155"/>
      <c r="H1478" s="155"/>
      <c r="I1478" s="155"/>
      <c r="J1478" s="155"/>
      <c r="K1478" s="155"/>
      <c r="L1478" s="155"/>
      <c r="M1478" s="155"/>
      <c r="N1478" s="155"/>
      <c r="O1478" s="155"/>
      <c r="P1478" s="155"/>
      <c r="Q1478" s="155"/>
      <c r="R1478" s="155"/>
      <c r="S1478" s="155"/>
      <c r="T1478" s="155"/>
      <c r="U1478" s="155"/>
      <c r="V1478" s="155"/>
      <c r="W1478" s="155"/>
      <c r="GL1478" s="155"/>
      <c r="GM1478" s="155"/>
      <c r="GN1478" s="155"/>
      <c r="GO1478" s="155"/>
      <c r="GP1478" s="155"/>
      <c r="GQ1478" s="155"/>
      <c r="GR1478" s="155"/>
      <c r="GS1478" s="155"/>
      <c r="GT1478" s="155"/>
      <c r="GU1478" s="155"/>
      <c r="GV1478" s="155"/>
      <c r="GW1478" s="155"/>
      <c r="GX1478" s="155"/>
      <c r="GY1478" s="155"/>
      <c r="GZ1478" s="155"/>
      <c r="HA1478" s="155"/>
      <c r="HB1478" s="155"/>
      <c r="HC1478" s="155"/>
      <c r="HD1478" s="155"/>
      <c r="HE1478" s="155"/>
    </row>
    <row r="1479" spans="2:213" s="156" customFormat="1" hidden="1">
      <c r="B1479" s="155"/>
      <c r="C1479" s="155"/>
      <c r="D1479" s="155"/>
      <c r="E1479" s="155"/>
      <c r="F1479" s="155"/>
      <c r="G1479" s="155"/>
      <c r="H1479" s="155"/>
      <c r="I1479" s="155"/>
      <c r="J1479" s="155"/>
      <c r="K1479" s="155"/>
      <c r="L1479" s="155"/>
      <c r="M1479" s="155"/>
      <c r="N1479" s="155"/>
      <c r="O1479" s="155"/>
      <c r="P1479" s="155"/>
      <c r="Q1479" s="155"/>
      <c r="R1479" s="155"/>
      <c r="S1479" s="155"/>
      <c r="T1479" s="155"/>
      <c r="U1479" s="155"/>
      <c r="V1479" s="155"/>
      <c r="W1479" s="155"/>
      <c r="GL1479" s="155"/>
      <c r="GM1479" s="155"/>
      <c r="GN1479" s="155"/>
      <c r="GO1479" s="155"/>
      <c r="GP1479" s="155"/>
      <c r="GQ1479" s="155"/>
      <c r="GR1479" s="155"/>
      <c r="GS1479" s="155"/>
      <c r="GT1479" s="155"/>
      <c r="GU1479" s="155"/>
      <c r="GV1479" s="155"/>
      <c r="GW1479" s="155"/>
      <c r="GX1479" s="155"/>
      <c r="GY1479" s="155"/>
      <c r="GZ1479" s="155"/>
      <c r="HA1479" s="155"/>
      <c r="HB1479" s="155"/>
      <c r="HC1479" s="155"/>
      <c r="HD1479" s="155"/>
      <c r="HE1479" s="155"/>
    </row>
    <row r="1480" spans="2:213" s="156" customFormat="1" hidden="1">
      <c r="B1480" s="155"/>
      <c r="C1480" s="155"/>
      <c r="D1480" s="155"/>
      <c r="E1480" s="155"/>
      <c r="F1480" s="155"/>
      <c r="G1480" s="155"/>
      <c r="H1480" s="155"/>
      <c r="I1480" s="155"/>
      <c r="J1480" s="155"/>
      <c r="K1480" s="155"/>
      <c r="L1480" s="155"/>
      <c r="M1480" s="155"/>
      <c r="N1480" s="155"/>
      <c r="O1480" s="155"/>
      <c r="P1480" s="155"/>
      <c r="Q1480" s="155"/>
      <c r="R1480" s="155"/>
      <c r="S1480" s="155"/>
      <c r="T1480" s="155"/>
      <c r="U1480" s="155"/>
      <c r="V1480" s="155"/>
      <c r="W1480" s="155"/>
      <c r="GL1480" s="155"/>
      <c r="GM1480" s="155"/>
      <c r="GN1480" s="155"/>
      <c r="GO1480" s="155"/>
      <c r="GP1480" s="155"/>
      <c r="GQ1480" s="155"/>
      <c r="GR1480" s="155"/>
      <c r="GS1480" s="155"/>
      <c r="GT1480" s="155"/>
      <c r="GU1480" s="155"/>
      <c r="GV1480" s="155"/>
      <c r="GW1480" s="155"/>
      <c r="GX1480" s="155"/>
      <c r="GY1480" s="155"/>
      <c r="GZ1480" s="155"/>
      <c r="HA1480" s="155"/>
      <c r="HB1480" s="155"/>
      <c r="HC1480" s="155"/>
      <c r="HD1480" s="155"/>
      <c r="HE1480" s="155"/>
    </row>
    <row r="1481" spans="2:213" s="156" customFormat="1" hidden="1">
      <c r="B1481" s="155"/>
      <c r="C1481" s="155"/>
      <c r="D1481" s="155"/>
      <c r="E1481" s="155"/>
      <c r="F1481" s="155"/>
      <c r="G1481" s="155"/>
      <c r="H1481" s="155"/>
      <c r="I1481" s="155"/>
      <c r="J1481" s="155"/>
      <c r="K1481" s="155"/>
      <c r="L1481" s="155"/>
      <c r="M1481" s="155"/>
      <c r="N1481" s="155"/>
      <c r="O1481" s="155"/>
      <c r="P1481" s="155"/>
      <c r="Q1481" s="155"/>
      <c r="R1481" s="155"/>
      <c r="S1481" s="155"/>
      <c r="T1481" s="155"/>
      <c r="U1481" s="155"/>
      <c r="V1481" s="155"/>
      <c r="W1481" s="155"/>
      <c r="GL1481" s="155"/>
      <c r="GM1481" s="155"/>
      <c r="GN1481" s="155"/>
      <c r="GO1481" s="155"/>
      <c r="GP1481" s="155"/>
      <c r="GQ1481" s="155"/>
      <c r="GR1481" s="155"/>
      <c r="GS1481" s="155"/>
      <c r="GT1481" s="155"/>
      <c r="GU1481" s="155"/>
      <c r="GV1481" s="155"/>
      <c r="GW1481" s="155"/>
      <c r="GX1481" s="155"/>
      <c r="GY1481" s="155"/>
      <c r="GZ1481" s="155"/>
      <c r="HA1481" s="155"/>
      <c r="HB1481" s="155"/>
      <c r="HC1481" s="155"/>
      <c r="HD1481" s="155"/>
      <c r="HE1481" s="155"/>
    </row>
    <row r="1482" spans="2:213" s="156" customFormat="1" hidden="1">
      <c r="B1482" s="155"/>
      <c r="C1482" s="155"/>
      <c r="D1482" s="155"/>
      <c r="E1482" s="155"/>
      <c r="F1482" s="155"/>
      <c r="G1482" s="155"/>
      <c r="H1482" s="155"/>
      <c r="I1482" s="155"/>
      <c r="J1482" s="155"/>
      <c r="K1482" s="155"/>
      <c r="L1482" s="155"/>
      <c r="M1482" s="155"/>
      <c r="N1482" s="155"/>
      <c r="O1482" s="155"/>
      <c r="P1482" s="155"/>
      <c r="Q1482" s="155"/>
      <c r="R1482" s="155"/>
      <c r="S1482" s="155"/>
      <c r="T1482" s="155"/>
      <c r="U1482" s="155"/>
      <c r="V1482" s="155"/>
      <c r="W1482" s="155"/>
      <c r="GL1482" s="155"/>
      <c r="GM1482" s="155"/>
      <c r="GN1482" s="155"/>
      <c r="GO1482" s="155"/>
      <c r="GP1482" s="155"/>
      <c r="GQ1482" s="155"/>
      <c r="GR1482" s="155"/>
      <c r="GS1482" s="155"/>
      <c r="GT1482" s="155"/>
      <c r="GU1482" s="155"/>
      <c r="GV1482" s="155"/>
      <c r="GW1482" s="155"/>
      <c r="GX1482" s="155"/>
      <c r="GY1482" s="155"/>
      <c r="GZ1482" s="155"/>
      <c r="HA1482" s="155"/>
      <c r="HB1482" s="155"/>
      <c r="HC1482" s="155"/>
      <c r="HD1482" s="155"/>
      <c r="HE1482" s="155"/>
    </row>
    <row r="1483" spans="2:213" s="156" customFormat="1" hidden="1">
      <c r="B1483" s="155"/>
      <c r="C1483" s="155"/>
      <c r="D1483" s="155"/>
      <c r="E1483" s="155"/>
      <c r="F1483" s="155"/>
      <c r="G1483" s="155"/>
      <c r="H1483" s="155"/>
      <c r="I1483" s="155"/>
      <c r="J1483" s="155"/>
      <c r="K1483" s="155"/>
      <c r="L1483" s="155"/>
      <c r="M1483" s="155"/>
      <c r="N1483" s="155"/>
      <c r="O1483" s="155"/>
      <c r="P1483" s="155"/>
      <c r="Q1483" s="155"/>
      <c r="R1483" s="155"/>
      <c r="S1483" s="155"/>
      <c r="T1483" s="155"/>
      <c r="U1483" s="155"/>
      <c r="V1483" s="155"/>
      <c r="W1483" s="155"/>
      <c r="GL1483" s="155"/>
      <c r="GM1483" s="155"/>
      <c r="GN1483" s="155"/>
      <c r="GO1483" s="155"/>
      <c r="GP1483" s="155"/>
      <c r="GQ1483" s="155"/>
      <c r="GR1483" s="155"/>
      <c r="GS1483" s="155"/>
      <c r="GT1483" s="155"/>
      <c r="GU1483" s="155"/>
      <c r="GV1483" s="155"/>
      <c r="GW1483" s="155"/>
      <c r="GX1483" s="155"/>
      <c r="GY1483" s="155"/>
      <c r="GZ1483" s="155"/>
      <c r="HA1483" s="155"/>
      <c r="HB1483" s="155"/>
      <c r="HC1483" s="155"/>
      <c r="HD1483" s="155"/>
      <c r="HE1483" s="155"/>
    </row>
    <row r="1484" spans="2:213" s="156" customFormat="1" hidden="1">
      <c r="B1484" s="155"/>
      <c r="C1484" s="155"/>
      <c r="D1484" s="155"/>
      <c r="E1484" s="155"/>
      <c r="F1484" s="155"/>
      <c r="G1484" s="155"/>
      <c r="H1484" s="155"/>
      <c r="I1484" s="155"/>
      <c r="J1484" s="155"/>
      <c r="K1484" s="155"/>
      <c r="L1484" s="155"/>
      <c r="M1484" s="155"/>
      <c r="N1484" s="155"/>
      <c r="O1484" s="155"/>
      <c r="P1484" s="155"/>
      <c r="Q1484" s="155"/>
      <c r="R1484" s="155"/>
      <c r="S1484" s="155"/>
      <c r="T1484" s="155"/>
      <c r="U1484" s="155"/>
      <c r="V1484" s="155"/>
      <c r="W1484" s="155"/>
      <c r="GL1484" s="155"/>
      <c r="GM1484" s="155"/>
      <c r="GN1484" s="155"/>
      <c r="GO1484" s="155"/>
      <c r="GP1484" s="155"/>
      <c r="GQ1484" s="155"/>
      <c r="GR1484" s="155"/>
      <c r="GS1484" s="155"/>
      <c r="GT1484" s="155"/>
      <c r="GU1484" s="155"/>
      <c r="GV1484" s="155"/>
      <c r="GW1484" s="155"/>
      <c r="GX1484" s="155"/>
      <c r="GY1484" s="155"/>
      <c r="GZ1484" s="155"/>
      <c r="HA1484" s="155"/>
      <c r="HB1484" s="155"/>
      <c r="HC1484" s="155"/>
      <c r="HD1484" s="155"/>
      <c r="HE1484" s="155"/>
    </row>
    <row r="1485" spans="2:213" s="156" customFormat="1" hidden="1">
      <c r="B1485" s="155"/>
      <c r="C1485" s="155"/>
      <c r="D1485" s="155"/>
      <c r="E1485" s="155"/>
      <c r="F1485" s="155"/>
      <c r="G1485" s="155"/>
      <c r="H1485" s="155"/>
      <c r="I1485" s="155"/>
      <c r="J1485" s="155"/>
      <c r="K1485" s="155"/>
      <c r="L1485" s="155"/>
      <c r="M1485" s="155"/>
      <c r="N1485" s="155"/>
      <c r="O1485" s="155"/>
      <c r="P1485" s="155"/>
      <c r="Q1485" s="155"/>
      <c r="R1485" s="155"/>
      <c r="S1485" s="155"/>
      <c r="T1485" s="155"/>
      <c r="U1485" s="155"/>
      <c r="V1485" s="155"/>
      <c r="W1485" s="155"/>
      <c r="GL1485" s="155"/>
      <c r="GM1485" s="155"/>
      <c r="GN1485" s="155"/>
      <c r="GO1485" s="155"/>
      <c r="GP1485" s="155"/>
      <c r="GQ1485" s="155"/>
      <c r="GR1485" s="155"/>
      <c r="GS1485" s="155"/>
      <c r="GT1485" s="155"/>
      <c r="GU1485" s="155"/>
      <c r="GV1485" s="155"/>
      <c r="GW1485" s="155"/>
      <c r="GX1485" s="155"/>
      <c r="GY1485" s="155"/>
      <c r="GZ1485" s="155"/>
      <c r="HA1485" s="155"/>
      <c r="HB1485" s="155"/>
      <c r="HC1485" s="155"/>
      <c r="HD1485" s="155"/>
      <c r="HE1485" s="155"/>
    </row>
    <row r="1486" spans="2:213" s="156" customFormat="1" hidden="1">
      <c r="B1486" s="155"/>
      <c r="C1486" s="155"/>
      <c r="D1486" s="155"/>
      <c r="E1486" s="155"/>
      <c r="F1486" s="155"/>
      <c r="G1486" s="155"/>
      <c r="H1486" s="155"/>
      <c r="I1486" s="155"/>
      <c r="J1486" s="155"/>
      <c r="K1486" s="155"/>
      <c r="L1486" s="155"/>
      <c r="M1486" s="155"/>
      <c r="N1486" s="155"/>
      <c r="O1486" s="155"/>
      <c r="P1486" s="155"/>
      <c r="Q1486" s="155"/>
      <c r="R1486" s="155"/>
      <c r="S1486" s="155"/>
      <c r="T1486" s="155"/>
      <c r="U1486" s="155"/>
      <c r="V1486" s="155"/>
      <c r="W1486" s="155"/>
      <c r="GL1486" s="155"/>
      <c r="GM1486" s="155"/>
      <c r="GN1486" s="155"/>
      <c r="GO1486" s="155"/>
      <c r="GP1486" s="155"/>
      <c r="GQ1486" s="155"/>
      <c r="GR1486" s="155"/>
      <c r="GS1486" s="155"/>
      <c r="GT1486" s="155"/>
      <c r="GU1486" s="155"/>
      <c r="GV1486" s="155"/>
      <c r="GW1486" s="155"/>
      <c r="GX1486" s="155"/>
      <c r="GY1486" s="155"/>
      <c r="GZ1486" s="155"/>
      <c r="HA1486" s="155"/>
      <c r="HB1486" s="155"/>
      <c r="HC1486" s="155"/>
      <c r="HD1486" s="155"/>
      <c r="HE1486" s="155"/>
    </row>
    <row r="1487" spans="2:213" s="156" customFormat="1" hidden="1">
      <c r="B1487" s="155"/>
      <c r="C1487" s="155"/>
      <c r="D1487" s="155"/>
      <c r="E1487" s="155"/>
      <c r="F1487" s="155"/>
      <c r="G1487" s="155"/>
      <c r="H1487" s="155"/>
      <c r="I1487" s="155"/>
      <c r="J1487" s="155"/>
      <c r="K1487" s="155"/>
      <c r="L1487" s="155"/>
      <c r="M1487" s="155"/>
      <c r="N1487" s="155"/>
      <c r="O1487" s="155"/>
      <c r="P1487" s="155"/>
      <c r="Q1487" s="155"/>
      <c r="R1487" s="155"/>
      <c r="S1487" s="155"/>
      <c r="T1487" s="155"/>
      <c r="U1487" s="155"/>
      <c r="V1487" s="155"/>
      <c r="W1487" s="155"/>
      <c r="GL1487" s="155"/>
      <c r="GM1487" s="155"/>
      <c r="GN1487" s="155"/>
      <c r="GO1487" s="155"/>
      <c r="GP1487" s="155"/>
      <c r="GQ1487" s="155"/>
      <c r="GR1487" s="155"/>
      <c r="GS1487" s="155"/>
      <c r="GT1487" s="155"/>
      <c r="GU1487" s="155"/>
      <c r="GV1487" s="155"/>
      <c r="GW1487" s="155"/>
      <c r="GX1487" s="155"/>
      <c r="GY1487" s="155"/>
      <c r="GZ1487" s="155"/>
      <c r="HA1487" s="155"/>
      <c r="HB1487" s="155"/>
      <c r="HC1487" s="155"/>
      <c r="HD1487" s="155"/>
      <c r="HE1487" s="155"/>
    </row>
    <row r="1488" spans="2:213" s="156" customFormat="1" hidden="1">
      <c r="B1488" s="155"/>
      <c r="C1488" s="155"/>
      <c r="D1488" s="155"/>
      <c r="E1488" s="155"/>
      <c r="F1488" s="155"/>
      <c r="G1488" s="155"/>
      <c r="H1488" s="155"/>
      <c r="I1488" s="155"/>
      <c r="J1488" s="155"/>
      <c r="K1488" s="155"/>
      <c r="L1488" s="155"/>
      <c r="M1488" s="155"/>
      <c r="N1488" s="155"/>
      <c r="O1488" s="155"/>
      <c r="P1488" s="155"/>
      <c r="Q1488" s="155"/>
      <c r="R1488" s="155"/>
      <c r="S1488" s="155"/>
      <c r="T1488" s="155"/>
      <c r="U1488" s="155"/>
      <c r="V1488" s="155"/>
      <c r="W1488" s="155"/>
      <c r="GL1488" s="155"/>
      <c r="GM1488" s="155"/>
      <c r="GN1488" s="155"/>
      <c r="GO1488" s="155"/>
      <c r="GP1488" s="155"/>
      <c r="GQ1488" s="155"/>
      <c r="GR1488" s="155"/>
      <c r="GS1488" s="155"/>
      <c r="GT1488" s="155"/>
      <c r="GU1488" s="155"/>
      <c r="GV1488" s="155"/>
      <c r="GW1488" s="155"/>
      <c r="GX1488" s="155"/>
      <c r="GY1488" s="155"/>
      <c r="GZ1488" s="155"/>
      <c r="HA1488" s="155"/>
      <c r="HB1488" s="155"/>
      <c r="HC1488" s="155"/>
      <c r="HD1488" s="155"/>
      <c r="HE1488" s="155"/>
    </row>
    <row r="1489" spans="2:213" s="156" customFormat="1" hidden="1">
      <c r="B1489" s="155"/>
      <c r="C1489" s="155"/>
      <c r="D1489" s="155"/>
      <c r="E1489" s="155"/>
      <c r="F1489" s="155"/>
      <c r="G1489" s="155"/>
      <c r="H1489" s="155"/>
      <c r="I1489" s="155"/>
      <c r="J1489" s="155"/>
      <c r="K1489" s="155"/>
      <c r="L1489" s="155"/>
      <c r="M1489" s="155"/>
      <c r="N1489" s="155"/>
      <c r="O1489" s="155"/>
      <c r="P1489" s="155"/>
      <c r="Q1489" s="155"/>
      <c r="R1489" s="155"/>
      <c r="S1489" s="155"/>
      <c r="T1489" s="155"/>
      <c r="U1489" s="155"/>
      <c r="V1489" s="155"/>
      <c r="W1489" s="155"/>
      <c r="GL1489" s="155"/>
      <c r="GM1489" s="155"/>
      <c r="GN1489" s="155"/>
      <c r="GO1489" s="155"/>
      <c r="GP1489" s="155"/>
      <c r="GQ1489" s="155"/>
      <c r="GR1489" s="155"/>
      <c r="GS1489" s="155"/>
      <c r="GT1489" s="155"/>
      <c r="GU1489" s="155"/>
      <c r="GV1489" s="155"/>
      <c r="GW1489" s="155"/>
      <c r="GX1489" s="155"/>
      <c r="GY1489" s="155"/>
      <c r="GZ1489" s="155"/>
      <c r="HA1489" s="155"/>
      <c r="HB1489" s="155"/>
      <c r="HC1489" s="155"/>
      <c r="HD1489" s="155"/>
      <c r="HE1489" s="155"/>
    </row>
    <row r="1490" spans="2:213" s="156" customFormat="1" hidden="1">
      <c r="B1490" s="155"/>
      <c r="C1490" s="155"/>
      <c r="D1490" s="155"/>
      <c r="E1490" s="155"/>
      <c r="F1490" s="155"/>
      <c r="G1490" s="155"/>
      <c r="H1490" s="155"/>
      <c r="I1490" s="155"/>
      <c r="J1490" s="155"/>
      <c r="K1490" s="155"/>
      <c r="L1490" s="155"/>
      <c r="M1490" s="155"/>
      <c r="N1490" s="155"/>
      <c r="O1490" s="155"/>
      <c r="P1490" s="155"/>
      <c r="Q1490" s="155"/>
      <c r="R1490" s="155"/>
      <c r="S1490" s="155"/>
      <c r="T1490" s="155"/>
      <c r="U1490" s="155"/>
      <c r="V1490" s="155"/>
      <c r="W1490" s="155"/>
      <c r="GL1490" s="155"/>
      <c r="GM1490" s="155"/>
      <c r="GN1490" s="155"/>
      <c r="GO1490" s="155"/>
      <c r="GP1490" s="155"/>
      <c r="GQ1490" s="155"/>
      <c r="GR1490" s="155"/>
      <c r="GS1490" s="155"/>
      <c r="GT1490" s="155"/>
      <c r="GU1490" s="155"/>
      <c r="GV1490" s="155"/>
      <c r="GW1490" s="155"/>
      <c r="GX1490" s="155"/>
      <c r="GY1490" s="155"/>
      <c r="GZ1490" s="155"/>
      <c r="HA1490" s="155"/>
      <c r="HB1490" s="155"/>
      <c r="HC1490" s="155"/>
      <c r="HD1490" s="155"/>
      <c r="HE1490" s="155"/>
    </row>
    <row r="1491" spans="2:213" s="156" customFormat="1" hidden="1">
      <c r="B1491" s="155"/>
      <c r="C1491" s="155"/>
      <c r="D1491" s="155"/>
      <c r="E1491" s="155"/>
      <c r="F1491" s="155"/>
      <c r="G1491" s="155"/>
      <c r="H1491" s="155"/>
      <c r="I1491" s="155"/>
      <c r="J1491" s="155"/>
      <c r="K1491" s="155"/>
      <c r="L1491" s="155"/>
      <c r="M1491" s="155"/>
      <c r="N1491" s="155"/>
      <c r="O1491" s="155"/>
      <c r="P1491" s="155"/>
      <c r="Q1491" s="155"/>
      <c r="R1491" s="155"/>
      <c r="S1491" s="155"/>
      <c r="T1491" s="155"/>
      <c r="U1491" s="155"/>
      <c r="V1491" s="155"/>
      <c r="W1491" s="155"/>
      <c r="GL1491" s="155"/>
      <c r="GM1491" s="155"/>
      <c r="GN1491" s="155"/>
      <c r="GO1491" s="155"/>
      <c r="GP1491" s="155"/>
      <c r="GQ1491" s="155"/>
      <c r="GR1491" s="155"/>
      <c r="GS1491" s="155"/>
      <c r="GT1491" s="155"/>
      <c r="GU1491" s="155"/>
      <c r="GV1491" s="155"/>
      <c r="GW1491" s="155"/>
      <c r="GX1491" s="155"/>
      <c r="GY1491" s="155"/>
      <c r="GZ1491" s="155"/>
      <c r="HA1491" s="155"/>
      <c r="HB1491" s="155"/>
      <c r="HC1491" s="155"/>
      <c r="HD1491" s="155"/>
      <c r="HE1491" s="155"/>
    </row>
    <row r="1492" spans="2:213" s="156" customFormat="1" hidden="1">
      <c r="B1492" s="155"/>
      <c r="C1492" s="155"/>
      <c r="D1492" s="155"/>
      <c r="E1492" s="155"/>
      <c r="F1492" s="155"/>
      <c r="G1492" s="155"/>
      <c r="H1492" s="155"/>
      <c r="I1492" s="155"/>
      <c r="J1492" s="155"/>
      <c r="K1492" s="155"/>
      <c r="L1492" s="155"/>
      <c r="M1492" s="155"/>
      <c r="N1492" s="155"/>
      <c r="O1492" s="155"/>
      <c r="P1492" s="155"/>
      <c r="Q1492" s="155"/>
      <c r="R1492" s="155"/>
      <c r="S1492" s="155"/>
      <c r="T1492" s="155"/>
      <c r="U1492" s="155"/>
      <c r="V1492" s="155"/>
      <c r="W1492" s="155"/>
      <c r="GL1492" s="155"/>
      <c r="GM1492" s="155"/>
      <c r="GN1492" s="155"/>
      <c r="GO1492" s="155"/>
      <c r="GP1492" s="155"/>
      <c r="GQ1492" s="155"/>
      <c r="GR1492" s="155"/>
      <c r="GS1492" s="155"/>
      <c r="GT1492" s="155"/>
      <c r="GU1492" s="155"/>
      <c r="GV1492" s="155"/>
      <c r="GW1492" s="155"/>
      <c r="GX1492" s="155"/>
      <c r="GY1492" s="155"/>
      <c r="GZ1492" s="155"/>
      <c r="HA1492" s="155"/>
      <c r="HB1492" s="155"/>
      <c r="HC1492" s="155"/>
      <c r="HD1492" s="155"/>
      <c r="HE1492" s="155"/>
    </row>
    <row r="1493" spans="2:213" s="156" customFormat="1" hidden="1">
      <c r="B1493" s="155"/>
      <c r="C1493" s="155"/>
      <c r="D1493" s="155"/>
      <c r="E1493" s="155"/>
      <c r="F1493" s="155"/>
      <c r="G1493" s="155"/>
      <c r="H1493" s="155"/>
      <c r="I1493" s="155"/>
      <c r="J1493" s="155"/>
      <c r="K1493" s="155"/>
      <c r="L1493" s="155"/>
      <c r="M1493" s="155"/>
      <c r="N1493" s="155"/>
      <c r="O1493" s="155"/>
      <c r="P1493" s="155"/>
      <c r="Q1493" s="155"/>
      <c r="R1493" s="155"/>
      <c r="S1493" s="155"/>
      <c r="T1493" s="155"/>
      <c r="U1493" s="155"/>
      <c r="V1493" s="155"/>
      <c r="W1493" s="155"/>
      <c r="GL1493" s="155"/>
      <c r="GM1493" s="155"/>
      <c r="GN1493" s="155"/>
      <c r="GO1493" s="155"/>
      <c r="GP1493" s="155"/>
      <c r="GQ1493" s="155"/>
      <c r="GR1493" s="155"/>
      <c r="GS1493" s="155"/>
      <c r="GT1493" s="155"/>
      <c r="GU1493" s="155"/>
      <c r="GV1493" s="155"/>
      <c r="GW1493" s="155"/>
      <c r="GX1493" s="155"/>
      <c r="GY1493" s="155"/>
      <c r="GZ1493" s="155"/>
      <c r="HA1493" s="155"/>
      <c r="HB1493" s="155"/>
      <c r="HC1493" s="155"/>
      <c r="HD1493" s="155"/>
      <c r="HE1493" s="155"/>
    </row>
    <row r="1494" spans="2:213" s="156" customFormat="1" hidden="1">
      <c r="B1494" s="155"/>
      <c r="C1494" s="155"/>
      <c r="D1494" s="155"/>
      <c r="E1494" s="155"/>
      <c r="F1494" s="155"/>
      <c r="G1494" s="155"/>
      <c r="H1494" s="155"/>
      <c r="I1494" s="155"/>
      <c r="J1494" s="155"/>
      <c r="K1494" s="155"/>
      <c r="L1494" s="155"/>
      <c r="M1494" s="155"/>
      <c r="N1494" s="155"/>
      <c r="O1494" s="155"/>
      <c r="P1494" s="155"/>
      <c r="Q1494" s="155"/>
      <c r="R1494" s="155"/>
      <c r="S1494" s="155"/>
      <c r="T1494" s="155"/>
      <c r="U1494" s="155"/>
      <c r="V1494" s="155"/>
      <c r="W1494" s="155"/>
      <c r="GL1494" s="155"/>
      <c r="GM1494" s="155"/>
      <c r="GN1494" s="155"/>
      <c r="GO1494" s="155"/>
      <c r="GP1494" s="155"/>
      <c r="GQ1494" s="155"/>
      <c r="GR1494" s="155"/>
      <c r="GS1494" s="155"/>
      <c r="GT1494" s="155"/>
      <c r="GU1494" s="155"/>
      <c r="GV1494" s="155"/>
      <c r="GW1494" s="155"/>
      <c r="GX1494" s="155"/>
      <c r="GY1494" s="155"/>
      <c r="GZ1494" s="155"/>
      <c r="HA1494" s="155"/>
      <c r="HB1494" s="155"/>
      <c r="HC1494" s="155"/>
      <c r="HD1494" s="155"/>
      <c r="HE1494" s="155"/>
    </row>
    <row r="1495" spans="2:213" s="156" customFormat="1" hidden="1">
      <c r="B1495" s="155"/>
      <c r="C1495" s="155"/>
      <c r="D1495" s="155"/>
      <c r="E1495" s="155"/>
      <c r="F1495" s="155"/>
      <c r="G1495" s="155"/>
      <c r="H1495" s="155"/>
      <c r="I1495" s="155"/>
      <c r="J1495" s="155"/>
      <c r="K1495" s="155"/>
      <c r="L1495" s="155"/>
      <c r="M1495" s="155"/>
      <c r="N1495" s="155"/>
      <c r="O1495" s="155"/>
      <c r="P1495" s="155"/>
      <c r="Q1495" s="155"/>
      <c r="R1495" s="155"/>
      <c r="S1495" s="155"/>
      <c r="T1495" s="155"/>
      <c r="U1495" s="155"/>
      <c r="V1495" s="155"/>
      <c r="W1495" s="155"/>
      <c r="GL1495" s="155"/>
      <c r="GM1495" s="155"/>
      <c r="GN1495" s="155"/>
      <c r="GO1495" s="155"/>
      <c r="GP1495" s="155"/>
      <c r="GQ1495" s="155"/>
      <c r="GR1495" s="155"/>
      <c r="GS1495" s="155"/>
      <c r="GT1495" s="155"/>
      <c r="GU1495" s="155"/>
      <c r="GV1495" s="155"/>
      <c r="GW1495" s="155"/>
      <c r="GX1495" s="155"/>
      <c r="GY1495" s="155"/>
      <c r="GZ1495" s="155"/>
      <c r="HA1495" s="155"/>
      <c r="HB1495" s="155"/>
      <c r="HC1495" s="155"/>
      <c r="HD1495" s="155"/>
      <c r="HE1495" s="155"/>
    </row>
    <row r="1496" spans="2:213" s="156" customFormat="1" hidden="1">
      <c r="B1496" s="155"/>
      <c r="C1496" s="155"/>
      <c r="D1496" s="155"/>
      <c r="E1496" s="155"/>
      <c r="F1496" s="155"/>
      <c r="G1496" s="155"/>
      <c r="H1496" s="155"/>
      <c r="I1496" s="155"/>
      <c r="J1496" s="155"/>
      <c r="K1496" s="155"/>
      <c r="L1496" s="155"/>
      <c r="M1496" s="155"/>
      <c r="N1496" s="155"/>
      <c r="O1496" s="155"/>
      <c r="P1496" s="155"/>
      <c r="Q1496" s="155"/>
      <c r="R1496" s="155"/>
      <c r="S1496" s="155"/>
      <c r="T1496" s="155"/>
      <c r="U1496" s="155"/>
      <c r="V1496" s="155"/>
      <c r="W1496" s="155"/>
      <c r="GL1496" s="155"/>
      <c r="GM1496" s="155"/>
      <c r="GN1496" s="155"/>
      <c r="GO1496" s="155"/>
      <c r="GP1496" s="155"/>
      <c r="GQ1496" s="155"/>
      <c r="GR1496" s="155"/>
      <c r="GS1496" s="155"/>
      <c r="GT1496" s="155"/>
      <c r="GU1496" s="155"/>
      <c r="GV1496" s="155"/>
      <c r="GW1496" s="155"/>
      <c r="GX1496" s="155"/>
      <c r="GY1496" s="155"/>
      <c r="GZ1496" s="155"/>
      <c r="HA1496" s="155"/>
      <c r="HB1496" s="155"/>
      <c r="HC1496" s="155"/>
      <c r="HD1496" s="155"/>
      <c r="HE1496" s="155"/>
    </row>
    <row r="1497" spans="2:213" s="156" customFormat="1" hidden="1">
      <c r="B1497" s="155"/>
      <c r="C1497" s="155"/>
      <c r="D1497" s="155"/>
      <c r="E1497" s="155"/>
      <c r="F1497" s="155"/>
      <c r="G1497" s="155"/>
      <c r="H1497" s="155"/>
      <c r="I1497" s="155"/>
      <c r="J1497" s="155"/>
      <c r="K1497" s="155"/>
      <c r="L1497" s="155"/>
      <c r="M1497" s="155"/>
      <c r="N1497" s="155"/>
      <c r="O1497" s="155"/>
      <c r="P1497" s="155"/>
      <c r="Q1497" s="155"/>
      <c r="R1497" s="155"/>
      <c r="S1497" s="155"/>
      <c r="T1497" s="155"/>
      <c r="U1497" s="155"/>
      <c r="V1497" s="155"/>
      <c r="W1497" s="155"/>
      <c r="GL1497" s="155"/>
      <c r="GM1497" s="155"/>
      <c r="GN1497" s="155"/>
      <c r="GO1497" s="155"/>
      <c r="GP1497" s="155"/>
      <c r="GQ1497" s="155"/>
      <c r="GR1497" s="155"/>
      <c r="GS1497" s="155"/>
      <c r="GT1497" s="155"/>
      <c r="GU1497" s="155"/>
      <c r="GV1497" s="155"/>
      <c r="GW1497" s="155"/>
      <c r="GX1497" s="155"/>
      <c r="GY1497" s="155"/>
      <c r="GZ1497" s="155"/>
      <c r="HA1497" s="155"/>
      <c r="HB1497" s="155"/>
      <c r="HC1497" s="155"/>
      <c r="HD1497" s="155"/>
      <c r="HE1497" s="155"/>
    </row>
    <row r="1498" spans="2:213" s="156" customFormat="1" hidden="1">
      <c r="B1498" s="155"/>
      <c r="C1498" s="155"/>
      <c r="D1498" s="155"/>
      <c r="E1498" s="155"/>
      <c r="F1498" s="155"/>
      <c r="G1498" s="155"/>
      <c r="H1498" s="155"/>
      <c r="I1498" s="155"/>
      <c r="J1498" s="155"/>
      <c r="K1498" s="155"/>
      <c r="L1498" s="155"/>
      <c r="M1498" s="155"/>
      <c r="N1498" s="155"/>
      <c r="O1498" s="155"/>
      <c r="P1498" s="155"/>
      <c r="Q1498" s="155"/>
      <c r="R1498" s="155"/>
      <c r="S1498" s="155"/>
      <c r="T1498" s="155"/>
      <c r="U1498" s="155"/>
      <c r="V1498" s="155"/>
      <c r="W1498" s="155"/>
      <c r="GL1498" s="155"/>
      <c r="GM1498" s="155"/>
      <c r="GN1498" s="155"/>
      <c r="GO1498" s="155"/>
      <c r="GP1498" s="155"/>
      <c r="GQ1498" s="155"/>
      <c r="GR1498" s="155"/>
      <c r="GS1498" s="155"/>
      <c r="GT1498" s="155"/>
      <c r="GU1498" s="155"/>
      <c r="GV1498" s="155"/>
      <c r="GW1498" s="155"/>
      <c r="GX1498" s="155"/>
      <c r="GY1498" s="155"/>
      <c r="GZ1498" s="155"/>
      <c r="HA1498" s="155"/>
      <c r="HB1498" s="155"/>
      <c r="HC1498" s="155"/>
      <c r="HD1498" s="155"/>
      <c r="HE1498" s="155"/>
    </row>
    <row r="1499" spans="2:213" s="156" customFormat="1" hidden="1">
      <c r="B1499" s="155"/>
      <c r="C1499" s="155"/>
      <c r="D1499" s="155"/>
      <c r="E1499" s="155"/>
      <c r="F1499" s="155"/>
      <c r="G1499" s="155"/>
      <c r="H1499" s="155"/>
      <c r="I1499" s="155"/>
      <c r="J1499" s="155"/>
      <c r="K1499" s="155"/>
      <c r="L1499" s="155"/>
      <c r="M1499" s="155"/>
      <c r="N1499" s="155"/>
      <c r="O1499" s="155"/>
      <c r="P1499" s="155"/>
      <c r="Q1499" s="155"/>
      <c r="R1499" s="155"/>
      <c r="S1499" s="155"/>
      <c r="T1499" s="155"/>
      <c r="U1499" s="155"/>
      <c r="V1499" s="155"/>
      <c r="W1499" s="155"/>
      <c r="GL1499" s="155"/>
      <c r="GM1499" s="155"/>
      <c r="GN1499" s="155"/>
      <c r="GO1499" s="155"/>
      <c r="GP1499" s="155"/>
      <c r="GQ1499" s="155"/>
      <c r="GR1499" s="155"/>
      <c r="GS1499" s="155"/>
      <c r="GT1499" s="155"/>
      <c r="GU1499" s="155"/>
      <c r="GV1499" s="155"/>
      <c r="GW1499" s="155"/>
      <c r="GX1499" s="155"/>
      <c r="GY1499" s="155"/>
      <c r="GZ1499" s="155"/>
      <c r="HA1499" s="155"/>
      <c r="HB1499" s="155"/>
      <c r="HC1499" s="155"/>
      <c r="HD1499" s="155"/>
      <c r="HE1499" s="155"/>
    </row>
    <row r="1500" spans="2:213" s="156" customFormat="1" hidden="1">
      <c r="B1500" s="155"/>
      <c r="C1500" s="155"/>
      <c r="D1500" s="155"/>
      <c r="E1500" s="155"/>
      <c r="F1500" s="155"/>
      <c r="G1500" s="155"/>
      <c r="H1500" s="155"/>
      <c r="I1500" s="155"/>
      <c r="J1500" s="155"/>
      <c r="K1500" s="155"/>
      <c r="L1500" s="155"/>
      <c r="M1500" s="155"/>
      <c r="N1500" s="155"/>
      <c r="O1500" s="155"/>
      <c r="P1500" s="155"/>
      <c r="Q1500" s="155"/>
      <c r="R1500" s="155"/>
      <c r="S1500" s="155"/>
      <c r="T1500" s="155"/>
      <c r="U1500" s="155"/>
      <c r="V1500" s="155"/>
      <c r="W1500" s="155"/>
      <c r="GL1500" s="155"/>
      <c r="GM1500" s="155"/>
      <c r="GN1500" s="155"/>
      <c r="GO1500" s="155"/>
      <c r="GP1500" s="155"/>
      <c r="GQ1500" s="155"/>
      <c r="GR1500" s="155"/>
      <c r="GS1500" s="155"/>
      <c r="GT1500" s="155"/>
      <c r="GU1500" s="155"/>
      <c r="GV1500" s="155"/>
      <c r="GW1500" s="155"/>
      <c r="GX1500" s="155"/>
      <c r="GY1500" s="155"/>
      <c r="GZ1500" s="155"/>
      <c r="HA1500" s="155"/>
      <c r="HB1500" s="155"/>
      <c r="HC1500" s="155"/>
      <c r="HD1500" s="155"/>
      <c r="HE1500" s="155"/>
    </row>
    <row r="1501" spans="2:213" s="156" customFormat="1" hidden="1">
      <c r="B1501" s="155"/>
      <c r="C1501" s="155"/>
      <c r="D1501" s="155"/>
      <c r="E1501" s="155"/>
      <c r="F1501" s="155"/>
      <c r="G1501" s="155"/>
      <c r="H1501" s="155"/>
      <c r="I1501" s="155"/>
      <c r="J1501" s="155"/>
      <c r="K1501" s="155"/>
      <c r="L1501" s="155"/>
      <c r="M1501" s="155"/>
      <c r="N1501" s="155"/>
      <c r="O1501" s="155"/>
      <c r="P1501" s="155"/>
      <c r="Q1501" s="155"/>
      <c r="R1501" s="155"/>
      <c r="S1501" s="155"/>
      <c r="T1501" s="155"/>
      <c r="U1501" s="155"/>
      <c r="V1501" s="155"/>
      <c r="W1501" s="155"/>
      <c r="GL1501" s="155"/>
      <c r="GM1501" s="155"/>
      <c r="GN1501" s="155"/>
      <c r="GO1501" s="155"/>
      <c r="GP1501" s="155"/>
      <c r="GQ1501" s="155"/>
      <c r="GR1501" s="155"/>
      <c r="GS1501" s="155"/>
      <c r="GT1501" s="155"/>
      <c r="GU1501" s="155"/>
      <c r="GV1501" s="155"/>
      <c r="GW1501" s="155"/>
      <c r="GX1501" s="155"/>
      <c r="GY1501" s="155"/>
      <c r="GZ1501" s="155"/>
      <c r="HA1501" s="155"/>
      <c r="HB1501" s="155"/>
      <c r="HC1501" s="155"/>
      <c r="HD1501" s="155"/>
      <c r="HE1501" s="155"/>
    </row>
    <row r="1502" spans="2:213" s="156" customFormat="1" hidden="1">
      <c r="B1502" s="155"/>
      <c r="C1502" s="155"/>
      <c r="D1502" s="155"/>
      <c r="E1502" s="155"/>
      <c r="F1502" s="155"/>
      <c r="G1502" s="155"/>
      <c r="H1502" s="155"/>
      <c r="I1502" s="155"/>
      <c r="J1502" s="155"/>
      <c r="K1502" s="155"/>
      <c r="L1502" s="155"/>
      <c r="M1502" s="155"/>
      <c r="N1502" s="155"/>
      <c r="O1502" s="155"/>
      <c r="P1502" s="155"/>
      <c r="Q1502" s="155"/>
      <c r="R1502" s="155"/>
      <c r="S1502" s="155"/>
      <c r="T1502" s="155"/>
      <c r="U1502" s="155"/>
      <c r="V1502" s="155"/>
      <c r="W1502" s="155"/>
      <c r="GL1502" s="155"/>
      <c r="GM1502" s="155"/>
      <c r="GN1502" s="155"/>
      <c r="GO1502" s="155"/>
      <c r="GP1502" s="155"/>
      <c r="GQ1502" s="155"/>
      <c r="GR1502" s="155"/>
      <c r="GS1502" s="155"/>
      <c r="GT1502" s="155"/>
      <c r="GU1502" s="155"/>
      <c r="GV1502" s="155"/>
      <c r="GW1502" s="155"/>
      <c r="GX1502" s="155"/>
      <c r="GY1502" s="155"/>
      <c r="GZ1502" s="155"/>
      <c r="HA1502" s="155"/>
      <c r="HB1502" s="155"/>
      <c r="HC1502" s="155"/>
      <c r="HD1502" s="155"/>
      <c r="HE1502" s="155"/>
    </row>
    <row r="1503" spans="2:213" s="156" customFormat="1" hidden="1">
      <c r="B1503" s="155"/>
      <c r="C1503" s="155"/>
      <c r="D1503" s="155"/>
      <c r="E1503" s="155"/>
      <c r="F1503" s="155"/>
      <c r="G1503" s="155"/>
      <c r="H1503" s="155"/>
      <c r="I1503" s="155"/>
      <c r="J1503" s="155"/>
      <c r="K1503" s="155"/>
      <c r="L1503" s="155"/>
      <c r="M1503" s="155"/>
      <c r="N1503" s="155"/>
      <c r="O1503" s="155"/>
      <c r="P1503" s="155"/>
      <c r="Q1503" s="155"/>
      <c r="R1503" s="155"/>
      <c r="S1503" s="155"/>
      <c r="T1503" s="155"/>
      <c r="U1503" s="155"/>
      <c r="V1503" s="155"/>
      <c r="W1503" s="155"/>
      <c r="GL1503" s="155"/>
      <c r="GM1503" s="155"/>
      <c r="GN1503" s="155"/>
      <c r="GO1503" s="155"/>
      <c r="GP1503" s="155"/>
      <c r="GQ1503" s="155"/>
      <c r="GR1503" s="155"/>
      <c r="GS1503" s="155"/>
      <c r="GT1503" s="155"/>
      <c r="GU1503" s="155"/>
      <c r="GV1503" s="155"/>
      <c r="GW1503" s="155"/>
      <c r="GX1503" s="155"/>
      <c r="GY1503" s="155"/>
      <c r="GZ1503" s="155"/>
      <c r="HA1503" s="155"/>
      <c r="HB1503" s="155"/>
      <c r="HC1503" s="155"/>
      <c r="HD1503" s="155"/>
      <c r="HE1503" s="155"/>
    </row>
    <row r="1504" spans="2:213" s="156" customFormat="1" hidden="1">
      <c r="B1504" s="155"/>
      <c r="C1504" s="155"/>
      <c r="D1504" s="155"/>
      <c r="E1504" s="155"/>
      <c r="F1504" s="155"/>
      <c r="G1504" s="155"/>
      <c r="H1504" s="155"/>
      <c r="I1504" s="155"/>
      <c r="J1504" s="155"/>
      <c r="K1504" s="155"/>
      <c r="L1504" s="155"/>
      <c r="M1504" s="155"/>
      <c r="N1504" s="155"/>
      <c r="O1504" s="155"/>
      <c r="P1504" s="155"/>
      <c r="Q1504" s="155"/>
      <c r="R1504" s="155"/>
      <c r="S1504" s="155"/>
      <c r="T1504" s="155"/>
      <c r="U1504" s="155"/>
      <c r="V1504" s="155"/>
      <c r="W1504" s="155"/>
      <c r="GL1504" s="155"/>
      <c r="GM1504" s="155"/>
      <c r="GN1504" s="155"/>
      <c r="GO1504" s="155"/>
      <c r="GP1504" s="155"/>
      <c r="GQ1504" s="155"/>
      <c r="GR1504" s="155"/>
      <c r="GS1504" s="155"/>
      <c r="GT1504" s="155"/>
      <c r="GU1504" s="155"/>
      <c r="GV1504" s="155"/>
      <c r="GW1504" s="155"/>
      <c r="GX1504" s="155"/>
      <c r="GY1504" s="155"/>
      <c r="GZ1504" s="155"/>
      <c r="HA1504" s="155"/>
      <c r="HB1504" s="155"/>
      <c r="HC1504" s="155"/>
      <c r="HD1504" s="155"/>
      <c r="HE1504" s="155"/>
    </row>
    <row r="1505" spans="2:213" s="156" customFormat="1" hidden="1">
      <c r="B1505" s="155"/>
      <c r="C1505" s="155"/>
      <c r="D1505" s="155"/>
      <c r="E1505" s="155"/>
      <c r="F1505" s="155"/>
      <c r="G1505" s="155"/>
      <c r="H1505" s="155"/>
      <c r="I1505" s="155"/>
      <c r="J1505" s="155"/>
      <c r="K1505" s="155"/>
      <c r="L1505" s="155"/>
      <c r="M1505" s="155"/>
      <c r="N1505" s="155"/>
      <c r="O1505" s="155"/>
      <c r="P1505" s="155"/>
      <c r="Q1505" s="155"/>
      <c r="R1505" s="155"/>
      <c r="S1505" s="155"/>
      <c r="T1505" s="155"/>
      <c r="U1505" s="155"/>
      <c r="V1505" s="155"/>
      <c r="W1505" s="155"/>
      <c r="GL1505" s="155"/>
      <c r="GM1505" s="155"/>
      <c r="GN1505" s="155"/>
      <c r="GO1505" s="155"/>
      <c r="GP1505" s="155"/>
      <c r="GQ1505" s="155"/>
      <c r="GR1505" s="155"/>
      <c r="GS1505" s="155"/>
      <c r="GT1505" s="155"/>
      <c r="GU1505" s="155"/>
      <c r="GV1505" s="155"/>
      <c r="GW1505" s="155"/>
      <c r="GX1505" s="155"/>
      <c r="GY1505" s="155"/>
      <c r="GZ1505" s="155"/>
      <c r="HA1505" s="155"/>
      <c r="HB1505" s="155"/>
      <c r="HC1505" s="155"/>
      <c r="HD1505" s="155"/>
      <c r="HE1505" s="155"/>
    </row>
    <row r="1506" spans="2:213" s="156" customFormat="1" hidden="1">
      <c r="B1506" s="155"/>
      <c r="C1506" s="155"/>
      <c r="D1506" s="155"/>
      <c r="E1506" s="155"/>
      <c r="F1506" s="155"/>
      <c r="G1506" s="155"/>
      <c r="H1506" s="155"/>
      <c r="I1506" s="155"/>
      <c r="J1506" s="155"/>
      <c r="K1506" s="155"/>
      <c r="L1506" s="155"/>
      <c r="M1506" s="155"/>
      <c r="N1506" s="155"/>
      <c r="O1506" s="155"/>
      <c r="P1506" s="155"/>
      <c r="Q1506" s="155"/>
      <c r="R1506" s="155"/>
      <c r="S1506" s="155"/>
      <c r="T1506" s="155"/>
      <c r="U1506" s="155"/>
      <c r="V1506" s="155"/>
      <c r="W1506" s="155"/>
      <c r="GL1506" s="155"/>
      <c r="GM1506" s="155"/>
      <c r="GN1506" s="155"/>
      <c r="GO1506" s="155"/>
      <c r="GP1506" s="155"/>
      <c r="GQ1506" s="155"/>
      <c r="GR1506" s="155"/>
      <c r="GS1506" s="155"/>
      <c r="GT1506" s="155"/>
      <c r="GU1506" s="155"/>
      <c r="GV1506" s="155"/>
      <c r="GW1506" s="155"/>
      <c r="GX1506" s="155"/>
      <c r="GY1506" s="155"/>
      <c r="GZ1506" s="155"/>
      <c r="HA1506" s="155"/>
      <c r="HB1506" s="155"/>
      <c r="HC1506" s="155"/>
      <c r="HD1506" s="155"/>
      <c r="HE1506" s="155"/>
    </row>
    <row r="1507" spans="2:213" s="156" customFormat="1" hidden="1">
      <c r="B1507" s="155"/>
      <c r="C1507" s="155"/>
      <c r="D1507" s="155"/>
      <c r="E1507" s="155"/>
      <c r="F1507" s="155"/>
      <c r="G1507" s="155"/>
      <c r="H1507" s="155"/>
      <c r="I1507" s="155"/>
      <c r="J1507" s="155"/>
      <c r="K1507" s="155"/>
      <c r="L1507" s="155"/>
      <c r="M1507" s="155"/>
      <c r="N1507" s="155"/>
      <c r="O1507" s="155"/>
      <c r="P1507" s="155"/>
      <c r="Q1507" s="155"/>
      <c r="R1507" s="155"/>
      <c r="S1507" s="155"/>
      <c r="T1507" s="155"/>
      <c r="U1507" s="155"/>
      <c r="V1507" s="155"/>
      <c r="W1507" s="155"/>
      <c r="GL1507" s="155"/>
      <c r="GM1507" s="155"/>
      <c r="GN1507" s="155"/>
      <c r="GO1507" s="155"/>
      <c r="GP1507" s="155"/>
      <c r="GQ1507" s="155"/>
      <c r="GR1507" s="155"/>
      <c r="GS1507" s="155"/>
      <c r="GT1507" s="155"/>
      <c r="GU1507" s="155"/>
      <c r="GV1507" s="155"/>
      <c r="GW1507" s="155"/>
      <c r="GX1507" s="155"/>
      <c r="GY1507" s="155"/>
      <c r="GZ1507" s="155"/>
      <c r="HA1507" s="155"/>
      <c r="HB1507" s="155"/>
      <c r="HC1507" s="155"/>
      <c r="HD1507" s="155"/>
      <c r="HE1507" s="155"/>
    </row>
    <row r="1508" spans="2:213" s="156" customFormat="1" hidden="1">
      <c r="B1508" s="155"/>
      <c r="C1508" s="155"/>
      <c r="D1508" s="155"/>
      <c r="E1508" s="155"/>
      <c r="F1508" s="155"/>
      <c r="G1508" s="155"/>
      <c r="H1508" s="155"/>
      <c r="I1508" s="155"/>
      <c r="J1508" s="155"/>
      <c r="K1508" s="155"/>
      <c r="L1508" s="155"/>
      <c r="M1508" s="155"/>
      <c r="N1508" s="155"/>
      <c r="O1508" s="155"/>
      <c r="P1508" s="155"/>
      <c r="Q1508" s="155"/>
      <c r="R1508" s="155"/>
      <c r="S1508" s="155"/>
      <c r="T1508" s="155"/>
      <c r="U1508" s="155"/>
      <c r="V1508" s="155"/>
      <c r="W1508" s="155"/>
      <c r="GL1508" s="155"/>
      <c r="GM1508" s="155"/>
      <c r="GN1508" s="155"/>
      <c r="GO1508" s="155"/>
      <c r="GP1508" s="155"/>
      <c r="GQ1508" s="155"/>
      <c r="GR1508" s="155"/>
      <c r="GS1508" s="155"/>
      <c r="GT1508" s="155"/>
      <c r="GU1508" s="155"/>
      <c r="GV1508" s="155"/>
      <c r="GW1508" s="155"/>
      <c r="GX1508" s="155"/>
      <c r="GY1508" s="155"/>
      <c r="GZ1508" s="155"/>
      <c r="HA1508" s="155"/>
      <c r="HB1508" s="155"/>
      <c r="HC1508" s="155"/>
      <c r="HD1508" s="155"/>
      <c r="HE1508" s="155"/>
    </row>
    <row r="1509" spans="2:213" s="156" customFormat="1" hidden="1">
      <c r="B1509" s="155"/>
      <c r="C1509" s="155"/>
      <c r="D1509" s="155"/>
      <c r="E1509" s="155"/>
      <c r="F1509" s="155"/>
      <c r="G1509" s="155"/>
      <c r="H1509" s="155"/>
      <c r="I1509" s="155"/>
      <c r="J1509" s="155"/>
      <c r="K1509" s="155"/>
      <c r="L1509" s="155"/>
      <c r="M1509" s="155"/>
      <c r="N1509" s="155"/>
      <c r="O1509" s="155"/>
      <c r="P1509" s="155"/>
      <c r="Q1509" s="155"/>
      <c r="R1509" s="155"/>
      <c r="S1509" s="155"/>
      <c r="T1509" s="155"/>
      <c r="U1509" s="155"/>
      <c r="V1509" s="155"/>
      <c r="W1509" s="155"/>
      <c r="GL1509" s="155"/>
      <c r="GM1509" s="155"/>
      <c r="GN1509" s="155"/>
      <c r="GO1509" s="155"/>
      <c r="GP1509" s="155"/>
      <c r="GQ1509" s="155"/>
      <c r="GR1509" s="155"/>
      <c r="GS1509" s="155"/>
      <c r="GT1509" s="155"/>
      <c r="GU1509" s="155"/>
      <c r="GV1509" s="155"/>
      <c r="GW1509" s="155"/>
      <c r="GX1509" s="155"/>
      <c r="GY1509" s="155"/>
      <c r="GZ1509" s="155"/>
      <c r="HA1509" s="155"/>
      <c r="HB1509" s="155"/>
      <c r="HC1509" s="155"/>
      <c r="HD1509" s="155"/>
      <c r="HE1509" s="155"/>
    </row>
    <row r="1510" spans="2:213" s="156" customFormat="1" hidden="1">
      <c r="B1510" s="155"/>
      <c r="C1510" s="155"/>
      <c r="D1510" s="155"/>
      <c r="E1510" s="155"/>
      <c r="F1510" s="155"/>
      <c r="G1510" s="155"/>
      <c r="H1510" s="155"/>
      <c r="I1510" s="155"/>
      <c r="J1510" s="155"/>
      <c r="K1510" s="155"/>
      <c r="L1510" s="155"/>
      <c r="M1510" s="155"/>
      <c r="N1510" s="155"/>
      <c r="O1510" s="155"/>
      <c r="P1510" s="155"/>
      <c r="Q1510" s="155"/>
      <c r="R1510" s="155"/>
      <c r="S1510" s="155"/>
      <c r="T1510" s="155"/>
      <c r="U1510" s="155"/>
      <c r="V1510" s="155"/>
      <c r="W1510" s="155"/>
      <c r="GL1510" s="155"/>
      <c r="GM1510" s="155"/>
      <c r="GN1510" s="155"/>
      <c r="GO1510" s="155"/>
      <c r="GP1510" s="155"/>
      <c r="GQ1510" s="155"/>
      <c r="GR1510" s="155"/>
      <c r="GS1510" s="155"/>
      <c r="GT1510" s="155"/>
      <c r="GU1510" s="155"/>
      <c r="GV1510" s="155"/>
      <c r="GW1510" s="155"/>
      <c r="GX1510" s="155"/>
      <c r="GY1510" s="155"/>
      <c r="GZ1510" s="155"/>
      <c r="HA1510" s="155"/>
      <c r="HB1510" s="155"/>
      <c r="HC1510" s="155"/>
      <c r="HD1510" s="155"/>
      <c r="HE1510" s="155"/>
    </row>
    <row r="1511" spans="2:213" s="156" customFormat="1" hidden="1">
      <c r="B1511" s="155"/>
      <c r="C1511" s="155"/>
      <c r="D1511" s="155"/>
      <c r="E1511" s="155"/>
      <c r="F1511" s="155"/>
      <c r="G1511" s="155"/>
      <c r="H1511" s="155"/>
      <c r="I1511" s="155"/>
      <c r="J1511" s="155"/>
      <c r="K1511" s="155"/>
      <c r="L1511" s="155"/>
      <c r="M1511" s="155"/>
      <c r="N1511" s="155"/>
      <c r="O1511" s="155"/>
      <c r="P1511" s="155"/>
      <c r="Q1511" s="155"/>
      <c r="R1511" s="155"/>
      <c r="S1511" s="155"/>
      <c r="T1511" s="155"/>
      <c r="U1511" s="155"/>
      <c r="V1511" s="155"/>
      <c r="W1511" s="155"/>
      <c r="GL1511" s="155"/>
      <c r="GM1511" s="155"/>
      <c r="GN1511" s="155"/>
      <c r="GO1511" s="155"/>
      <c r="GP1511" s="155"/>
      <c r="GQ1511" s="155"/>
      <c r="GR1511" s="155"/>
      <c r="GS1511" s="155"/>
      <c r="GT1511" s="155"/>
      <c r="GU1511" s="155"/>
      <c r="GV1511" s="155"/>
      <c r="GW1511" s="155"/>
      <c r="GX1511" s="155"/>
      <c r="GY1511" s="155"/>
      <c r="GZ1511" s="155"/>
      <c r="HA1511" s="155"/>
      <c r="HB1511" s="155"/>
      <c r="HC1511" s="155"/>
      <c r="HD1511" s="155"/>
      <c r="HE1511" s="155"/>
    </row>
    <row r="1512" spans="2:213" s="156" customFormat="1" hidden="1">
      <c r="B1512" s="155"/>
      <c r="C1512" s="155"/>
      <c r="D1512" s="155"/>
      <c r="E1512" s="155"/>
      <c r="F1512" s="155"/>
      <c r="G1512" s="155"/>
      <c r="H1512" s="155"/>
      <c r="I1512" s="155"/>
      <c r="J1512" s="155"/>
      <c r="K1512" s="155"/>
      <c r="L1512" s="155"/>
      <c r="M1512" s="155"/>
      <c r="N1512" s="155"/>
      <c r="O1512" s="155"/>
      <c r="P1512" s="155"/>
      <c r="Q1512" s="155"/>
      <c r="R1512" s="155"/>
      <c r="S1512" s="155"/>
      <c r="T1512" s="155"/>
      <c r="U1512" s="155"/>
      <c r="V1512" s="155"/>
      <c r="W1512" s="155"/>
      <c r="GL1512" s="155"/>
      <c r="GM1512" s="155"/>
      <c r="GN1512" s="155"/>
      <c r="GO1512" s="155"/>
      <c r="GP1512" s="155"/>
      <c r="GQ1512" s="155"/>
      <c r="GR1512" s="155"/>
      <c r="GS1512" s="155"/>
      <c r="GT1512" s="155"/>
      <c r="GU1512" s="155"/>
      <c r="GV1512" s="155"/>
      <c r="GW1512" s="155"/>
      <c r="GX1512" s="155"/>
      <c r="GY1512" s="155"/>
      <c r="GZ1512" s="155"/>
      <c r="HA1512" s="155"/>
      <c r="HB1512" s="155"/>
      <c r="HC1512" s="155"/>
      <c r="HD1512" s="155"/>
      <c r="HE1512" s="155"/>
    </row>
    <row r="1513" spans="2:213" s="156" customFormat="1" hidden="1">
      <c r="B1513" s="155"/>
      <c r="C1513" s="155"/>
      <c r="D1513" s="155"/>
      <c r="E1513" s="155"/>
      <c r="F1513" s="155"/>
      <c r="G1513" s="155"/>
      <c r="H1513" s="155"/>
      <c r="I1513" s="155"/>
      <c r="J1513" s="155"/>
      <c r="K1513" s="155"/>
      <c r="L1513" s="155"/>
      <c r="M1513" s="155"/>
      <c r="N1513" s="155"/>
      <c r="O1513" s="155"/>
      <c r="P1513" s="155"/>
      <c r="Q1513" s="155"/>
      <c r="R1513" s="155"/>
      <c r="S1513" s="155"/>
      <c r="T1513" s="155"/>
      <c r="U1513" s="155"/>
      <c r="V1513" s="155"/>
      <c r="W1513" s="155"/>
      <c r="GL1513" s="155"/>
      <c r="GM1513" s="155"/>
      <c r="GN1513" s="155"/>
      <c r="GO1513" s="155"/>
      <c r="GP1513" s="155"/>
      <c r="GQ1513" s="155"/>
      <c r="GR1513" s="155"/>
      <c r="GS1513" s="155"/>
      <c r="GT1513" s="155"/>
      <c r="GU1513" s="155"/>
      <c r="GV1513" s="155"/>
      <c r="GW1513" s="155"/>
      <c r="GX1513" s="155"/>
      <c r="GY1513" s="155"/>
      <c r="GZ1513" s="155"/>
      <c r="HA1513" s="155"/>
      <c r="HB1513" s="155"/>
      <c r="HC1513" s="155"/>
      <c r="HD1513" s="155"/>
      <c r="HE1513" s="155"/>
    </row>
    <row r="1514" spans="2:213" s="156" customFormat="1" hidden="1">
      <c r="B1514" s="155"/>
      <c r="C1514" s="155"/>
      <c r="D1514" s="155"/>
      <c r="E1514" s="155"/>
      <c r="F1514" s="155"/>
      <c r="G1514" s="155"/>
      <c r="H1514" s="155"/>
      <c r="I1514" s="155"/>
      <c r="J1514" s="155"/>
      <c r="K1514" s="155"/>
      <c r="L1514" s="155"/>
      <c r="M1514" s="155"/>
      <c r="N1514" s="155"/>
      <c r="O1514" s="155"/>
      <c r="P1514" s="155"/>
      <c r="Q1514" s="155"/>
      <c r="R1514" s="155"/>
      <c r="S1514" s="155"/>
      <c r="T1514" s="155"/>
      <c r="U1514" s="155"/>
      <c r="V1514" s="155"/>
      <c r="W1514" s="155"/>
      <c r="GL1514" s="155"/>
      <c r="GM1514" s="155"/>
      <c r="GN1514" s="155"/>
      <c r="GO1514" s="155"/>
      <c r="GP1514" s="155"/>
      <c r="GQ1514" s="155"/>
      <c r="GR1514" s="155"/>
      <c r="GS1514" s="155"/>
      <c r="GT1514" s="155"/>
      <c r="GU1514" s="155"/>
      <c r="GV1514" s="155"/>
      <c r="GW1514" s="155"/>
      <c r="GX1514" s="155"/>
      <c r="GY1514" s="155"/>
      <c r="GZ1514" s="155"/>
      <c r="HA1514" s="155"/>
      <c r="HB1514" s="155"/>
      <c r="HC1514" s="155"/>
      <c r="HD1514" s="155"/>
      <c r="HE1514" s="155"/>
    </row>
    <row r="1515" spans="2:213" s="156" customFormat="1" hidden="1">
      <c r="B1515" s="155"/>
      <c r="C1515" s="155"/>
      <c r="D1515" s="155"/>
      <c r="E1515" s="155"/>
      <c r="F1515" s="155"/>
      <c r="G1515" s="155"/>
      <c r="H1515" s="155"/>
      <c r="I1515" s="155"/>
      <c r="J1515" s="155"/>
      <c r="K1515" s="155"/>
      <c r="L1515" s="155"/>
      <c r="M1515" s="155"/>
      <c r="N1515" s="155"/>
      <c r="O1515" s="155"/>
      <c r="P1515" s="155"/>
      <c r="Q1515" s="155"/>
      <c r="R1515" s="155"/>
      <c r="S1515" s="155"/>
      <c r="T1515" s="155"/>
      <c r="U1515" s="155"/>
      <c r="V1515" s="155"/>
      <c r="W1515" s="155"/>
      <c r="GL1515" s="155"/>
      <c r="GM1515" s="155"/>
      <c r="GN1515" s="155"/>
      <c r="GO1515" s="155"/>
      <c r="GP1515" s="155"/>
      <c r="GQ1515" s="155"/>
      <c r="GR1515" s="155"/>
      <c r="GS1515" s="155"/>
      <c r="GT1515" s="155"/>
      <c r="GU1515" s="155"/>
      <c r="GV1515" s="155"/>
      <c r="GW1515" s="155"/>
      <c r="GX1515" s="155"/>
      <c r="GY1515" s="155"/>
      <c r="GZ1515" s="155"/>
      <c r="HA1515" s="155"/>
      <c r="HB1515" s="155"/>
      <c r="HC1515" s="155"/>
      <c r="HD1515" s="155"/>
      <c r="HE1515" s="155"/>
    </row>
    <row r="1516" spans="2:213" s="156" customFormat="1" hidden="1">
      <c r="B1516" s="155"/>
      <c r="C1516" s="155"/>
      <c r="D1516" s="155"/>
      <c r="E1516" s="155"/>
      <c r="F1516" s="155"/>
      <c r="G1516" s="155"/>
      <c r="H1516" s="155"/>
      <c r="I1516" s="155"/>
      <c r="J1516" s="155"/>
      <c r="K1516" s="155"/>
      <c r="L1516" s="155"/>
      <c r="M1516" s="155"/>
      <c r="N1516" s="155"/>
      <c r="O1516" s="155"/>
      <c r="P1516" s="155"/>
      <c r="Q1516" s="155"/>
      <c r="R1516" s="155"/>
      <c r="S1516" s="155"/>
      <c r="T1516" s="155"/>
      <c r="U1516" s="155"/>
      <c r="V1516" s="155"/>
      <c r="W1516" s="155"/>
      <c r="GL1516" s="155"/>
      <c r="GM1516" s="155"/>
      <c r="GN1516" s="155"/>
      <c r="GO1516" s="155"/>
      <c r="GP1516" s="155"/>
      <c r="GQ1516" s="155"/>
      <c r="GR1516" s="155"/>
      <c r="GS1516" s="155"/>
      <c r="GT1516" s="155"/>
      <c r="GU1516" s="155"/>
      <c r="GV1516" s="155"/>
      <c r="GW1516" s="155"/>
      <c r="GX1516" s="155"/>
      <c r="GY1516" s="155"/>
      <c r="GZ1516" s="155"/>
      <c r="HA1516" s="155"/>
      <c r="HB1516" s="155"/>
      <c r="HC1516" s="155"/>
      <c r="HD1516" s="155"/>
      <c r="HE1516" s="155"/>
    </row>
    <row r="1517" spans="2:213" s="156" customFormat="1" hidden="1">
      <c r="B1517" s="155"/>
      <c r="C1517" s="155"/>
      <c r="D1517" s="155"/>
      <c r="E1517" s="155"/>
      <c r="F1517" s="155"/>
      <c r="G1517" s="155"/>
      <c r="H1517" s="155"/>
      <c r="I1517" s="155"/>
      <c r="J1517" s="155"/>
      <c r="K1517" s="155"/>
      <c r="L1517" s="155"/>
      <c r="M1517" s="155"/>
      <c r="N1517" s="155"/>
      <c r="O1517" s="155"/>
      <c r="P1517" s="155"/>
      <c r="Q1517" s="155"/>
      <c r="R1517" s="155"/>
      <c r="S1517" s="155"/>
      <c r="T1517" s="155"/>
      <c r="U1517" s="155"/>
      <c r="V1517" s="155"/>
      <c r="W1517" s="155"/>
      <c r="GL1517" s="155"/>
      <c r="GM1517" s="155"/>
      <c r="GN1517" s="155"/>
      <c r="GO1517" s="155"/>
      <c r="GP1517" s="155"/>
      <c r="GQ1517" s="155"/>
      <c r="GR1517" s="155"/>
      <c r="GS1517" s="155"/>
      <c r="GT1517" s="155"/>
      <c r="GU1517" s="155"/>
      <c r="GV1517" s="155"/>
      <c r="GW1517" s="155"/>
      <c r="GX1517" s="155"/>
      <c r="GY1517" s="155"/>
      <c r="GZ1517" s="155"/>
      <c r="HA1517" s="155"/>
      <c r="HB1517" s="155"/>
      <c r="HC1517" s="155"/>
      <c r="HD1517" s="155"/>
      <c r="HE1517" s="155"/>
    </row>
    <row r="1518" spans="2:213" s="156" customFormat="1" hidden="1">
      <c r="B1518" s="155"/>
      <c r="C1518" s="155"/>
      <c r="D1518" s="155"/>
      <c r="E1518" s="155"/>
      <c r="F1518" s="155"/>
      <c r="G1518" s="155"/>
      <c r="H1518" s="155"/>
      <c r="I1518" s="155"/>
      <c r="J1518" s="155"/>
      <c r="K1518" s="155"/>
      <c r="L1518" s="155"/>
      <c r="M1518" s="155"/>
      <c r="N1518" s="155"/>
      <c r="O1518" s="155"/>
      <c r="P1518" s="155"/>
      <c r="Q1518" s="155"/>
      <c r="R1518" s="155"/>
      <c r="S1518" s="155"/>
      <c r="T1518" s="155"/>
      <c r="U1518" s="155"/>
      <c r="V1518" s="155"/>
      <c r="W1518" s="155"/>
      <c r="GL1518" s="155"/>
      <c r="GM1518" s="155"/>
      <c r="GN1518" s="155"/>
      <c r="GO1518" s="155"/>
      <c r="GP1518" s="155"/>
      <c r="GQ1518" s="155"/>
      <c r="GR1518" s="155"/>
      <c r="GS1518" s="155"/>
      <c r="GT1518" s="155"/>
      <c r="GU1518" s="155"/>
      <c r="GV1518" s="155"/>
      <c r="GW1518" s="155"/>
      <c r="GX1518" s="155"/>
      <c r="GY1518" s="155"/>
      <c r="GZ1518" s="155"/>
      <c r="HA1518" s="155"/>
      <c r="HB1518" s="155"/>
      <c r="HC1518" s="155"/>
      <c r="HD1518" s="155"/>
      <c r="HE1518" s="155"/>
    </row>
    <row r="1519" spans="2:213" s="156" customFormat="1" hidden="1">
      <c r="B1519" s="155"/>
      <c r="C1519" s="155"/>
      <c r="D1519" s="155"/>
      <c r="E1519" s="155"/>
      <c r="F1519" s="155"/>
      <c r="G1519" s="155"/>
      <c r="H1519" s="155"/>
      <c r="I1519" s="155"/>
      <c r="J1519" s="155"/>
      <c r="K1519" s="155"/>
      <c r="L1519" s="155"/>
      <c r="M1519" s="155"/>
      <c r="N1519" s="155"/>
      <c r="O1519" s="155"/>
      <c r="P1519" s="155"/>
      <c r="Q1519" s="155"/>
      <c r="R1519" s="155"/>
      <c r="S1519" s="155"/>
      <c r="T1519" s="155"/>
      <c r="U1519" s="155"/>
      <c r="V1519" s="155"/>
      <c r="W1519" s="155"/>
      <c r="GL1519" s="155"/>
      <c r="GM1519" s="155"/>
      <c r="GN1519" s="155"/>
      <c r="GO1519" s="155"/>
      <c r="GP1519" s="155"/>
      <c r="GQ1519" s="155"/>
      <c r="GR1519" s="155"/>
      <c r="GS1519" s="155"/>
      <c r="GT1519" s="155"/>
      <c r="GU1519" s="155"/>
      <c r="GV1519" s="155"/>
      <c r="GW1519" s="155"/>
      <c r="GX1519" s="155"/>
      <c r="GY1519" s="155"/>
      <c r="GZ1519" s="155"/>
      <c r="HA1519" s="155"/>
      <c r="HB1519" s="155"/>
      <c r="HC1519" s="155"/>
      <c r="HD1519" s="155"/>
      <c r="HE1519" s="155"/>
    </row>
    <row r="1520" spans="2:213" s="156" customFormat="1" hidden="1">
      <c r="B1520" s="155"/>
      <c r="C1520" s="155"/>
      <c r="D1520" s="155"/>
      <c r="E1520" s="155"/>
      <c r="F1520" s="155"/>
      <c r="G1520" s="155"/>
      <c r="H1520" s="155"/>
      <c r="I1520" s="155"/>
      <c r="J1520" s="155"/>
      <c r="K1520" s="155"/>
      <c r="L1520" s="155"/>
      <c r="M1520" s="155"/>
      <c r="N1520" s="155"/>
      <c r="O1520" s="155"/>
      <c r="P1520" s="155"/>
      <c r="Q1520" s="155"/>
      <c r="R1520" s="155"/>
      <c r="S1520" s="155"/>
      <c r="T1520" s="155"/>
      <c r="U1520" s="155"/>
      <c r="V1520" s="155"/>
      <c r="W1520" s="155"/>
      <c r="GL1520" s="155"/>
      <c r="GM1520" s="155"/>
      <c r="GN1520" s="155"/>
      <c r="GO1520" s="155"/>
      <c r="GP1520" s="155"/>
      <c r="GQ1520" s="155"/>
      <c r="GR1520" s="155"/>
      <c r="GS1520" s="155"/>
      <c r="GT1520" s="155"/>
      <c r="GU1520" s="155"/>
      <c r="GV1520" s="155"/>
      <c r="GW1520" s="155"/>
      <c r="GX1520" s="155"/>
      <c r="GY1520" s="155"/>
      <c r="GZ1520" s="155"/>
      <c r="HA1520" s="155"/>
      <c r="HB1520" s="155"/>
      <c r="HC1520" s="155"/>
      <c r="HD1520" s="155"/>
      <c r="HE1520" s="155"/>
    </row>
    <row r="1521" spans="2:213" s="156" customFormat="1" hidden="1">
      <c r="B1521" s="155"/>
      <c r="C1521" s="155"/>
      <c r="D1521" s="155"/>
      <c r="E1521" s="155"/>
      <c r="F1521" s="155"/>
      <c r="G1521" s="155"/>
      <c r="H1521" s="155"/>
      <c r="I1521" s="155"/>
      <c r="J1521" s="155"/>
      <c r="K1521" s="155"/>
      <c r="L1521" s="155"/>
      <c r="M1521" s="155"/>
      <c r="N1521" s="155"/>
      <c r="O1521" s="155"/>
      <c r="P1521" s="155"/>
      <c r="Q1521" s="155"/>
      <c r="R1521" s="155"/>
      <c r="S1521" s="155"/>
      <c r="T1521" s="155"/>
      <c r="U1521" s="155"/>
      <c r="V1521" s="155"/>
      <c r="W1521" s="155"/>
      <c r="GL1521" s="155"/>
      <c r="GM1521" s="155"/>
      <c r="GN1521" s="155"/>
      <c r="GO1521" s="155"/>
      <c r="GP1521" s="155"/>
      <c r="GQ1521" s="155"/>
      <c r="GR1521" s="155"/>
      <c r="GS1521" s="155"/>
      <c r="GT1521" s="155"/>
      <c r="GU1521" s="155"/>
      <c r="GV1521" s="155"/>
      <c r="GW1521" s="155"/>
      <c r="GX1521" s="155"/>
      <c r="GY1521" s="155"/>
      <c r="GZ1521" s="155"/>
      <c r="HA1521" s="155"/>
      <c r="HB1521" s="155"/>
      <c r="HC1521" s="155"/>
      <c r="HD1521" s="155"/>
      <c r="HE1521" s="155"/>
    </row>
    <row r="1522" spans="2:213" s="156" customFormat="1" hidden="1">
      <c r="B1522" s="155"/>
      <c r="C1522" s="155"/>
      <c r="D1522" s="155"/>
      <c r="E1522" s="155"/>
      <c r="F1522" s="155"/>
      <c r="G1522" s="155"/>
      <c r="H1522" s="155"/>
      <c r="I1522" s="155"/>
      <c r="J1522" s="155"/>
      <c r="K1522" s="155"/>
      <c r="L1522" s="155"/>
      <c r="M1522" s="155"/>
      <c r="N1522" s="155"/>
      <c r="O1522" s="155"/>
      <c r="P1522" s="155"/>
      <c r="Q1522" s="155"/>
      <c r="R1522" s="155"/>
      <c r="S1522" s="155"/>
      <c r="T1522" s="155"/>
      <c r="U1522" s="155"/>
      <c r="V1522" s="155"/>
      <c r="W1522" s="155"/>
      <c r="GL1522" s="155"/>
      <c r="GM1522" s="155"/>
      <c r="GN1522" s="155"/>
      <c r="GO1522" s="155"/>
      <c r="GP1522" s="155"/>
      <c r="GQ1522" s="155"/>
      <c r="GR1522" s="155"/>
      <c r="GS1522" s="155"/>
      <c r="GT1522" s="155"/>
      <c r="GU1522" s="155"/>
      <c r="GV1522" s="155"/>
      <c r="GW1522" s="155"/>
      <c r="GX1522" s="155"/>
      <c r="GY1522" s="155"/>
      <c r="GZ1522" s="155"/>
      <c r="HA1522" s="155"/>
      <c r="HB1522" s="155"/>
      <c r="HC1522" s="155"/>
      <c r="HD1522" s="155"/>
      <c r="HE1522" s="155"/>
    </row>
    <row r="1523" spans="2:213" s="156" customFormat="1" hidden="1">
      <c r="B1523" s="155"/>
      <c r="C1523" s="155"/>
      <c r="D1523" s="155"/>
      <c r="E1523" s="155"/>
      <c r="F1523" s="155"/>
      <c r="G1523" s="155"/>
      <c r="H1523" s="155"/>
      <c r="I1523" s="155"/>
      <c r="J1523" s="155"/>
      <c r="K1523" s="155"/>
      <c r="L1523" s="155"/>
      <c r="M1523" s="155"/>
      <c r="N1523" s="155"/>
      <c r="O1523" s="155"/>
      <c r="P1523" s="155"/>
      <c r="Q1523" s="155"/>
      <c r="R1523" s="155"/>
      <c r="S1523" s="155"/>
      <c r="T1523" s="155"/>
      <c r="U1523" s="155"/>
      <c r="V1523" s="155"/>
      <c r="W1523" s="155"/>
      <c r="GL1523" s="155"/>
      <c r="GM1523" s="155"/>
      <c r="GN1523" s="155"/>
      <c r="GO1523" s="155"/>
      <c r="GP1523" s="155"/>
      <c r="GQ1523" s="155"/>
      <c r="GR1523" s="155"/>
      <c r="GS1523" s="155"/>
      <c r="GT1523" s="155"/>
      <c r="GU1523" s="155"/>
      <c r="GV1523" s="155"/>
      <c r="GW1523" s="155"/>
      <c r="GX1523" s="155"/>
      <c r="GY1523" s="155"/>
      <c r="GZ1523" s="155"/>
      <c r="HA1523" s="155"/>
      <c r="HB1523" s="155"/>
      <c r="HC1523" s="155"/>
      <c r="HD1523" s="155"/>
      <c r="HE1523" s="155"/>
    </row>
    <row r="1524" spans="2:213" s="156" customFormat="1" hidden="1">
      <c r="B1524" s="155"/>
      <c r="C1524" s="155"/>
      <c r="D1524" s="155"/>
      <c r="E1524" s="155"/>
      <c r="F1524" s="155"/>
      <c r="G1524" s="155"/>
      <c r="H1524" s="155"/>
      <c r="I1524" s="155"/>
      <c r="J1524" s="155"/>
      <c r="K1524" s="155"/>
      <c r="L1524" s="155"/>
      <c r="M1524" s="155"/>
      <c r="N1524" s="155"/>
      <c r="O1524" s="155"/>
      <c r="P1524" s="155"/>
      <c r="Q1524" s="155"/>
      <c r="R1524" s="155"/>
      <c r="S1524" s="155"/>
      <c r="T1524" s="155"/>
      <c r="U1524" s="155"/>
      <c r="V1524" s="155"/>
      <c r="W1524" s="155"/>
      <c r="GL1524" s="155"/>
      <c r="GM1524" s="155"/>
      <c r="GN1524" s="155"/>
      <c r="GO1524" s="155"/>
      <c r="GP1524" s="155"/>
      <c r="GQ1524" s="155"/>
      <c r="GR1524" s="155"/>
      <c r="GS1524" s="155"/>
      <c r="GT1524" s="155"/>
      <c r="GU1524" s="155"/>
      <c r="GV1524" s="155"/>
      <c r="GW1524" s="155"/>
      <c r="GX1524" s="155"/>
      <c r="GY1524" s="155"/>
      <c r="GZ1524" s="155"/>
      <c r="HA1524" s="155"/>
      <c r="HB1524" s="155"/>
      <c r="HC1524" s="155"/>
      <c r="HD1524" s="155"/>
      <c r="HE1524" s="155"/>
    </row>
    <row r="1525" spans="2:213" s="156" customFormat="1" hidden="1">
      <c r="B1525" s="155"/>
      <c r="C1525" s="155"/>
      <c r="D1525" s="155"/>
      <c r="E1525" s="155"/>
      <c r="F1525" s="155"/>
      <c r="G1525" s="155"/>
      <c r="H1525" s="155"/>
      <c r="I1525" s="155"/>
      <c r="J1525" s="155"/>
      <c r="K1525" s="155"/>
      <c r="L1525" s="155"/>
      <c r="M1525" s="155"/>
      <c r="N1525" s="155"/>
      <c r="O1525" s="155"/>
      <c r="P1525" s="155"/>
      <c r="Q1525" s="155"/>
      <c r="R1525" s="155"/>
      <c r="S1525" s="155"/>
      <c r="T1525" s="155"/>
      <c r="U1525" s="155"/>
      <c r="V1525" s="155"/>
      <c r="W1525" s="155"/>
      <c r="GL1525" s="155"/>
      <c r="GM1525" s="155"/>
      <c r="GN1525" s="155"/>
      <c r="GO1525" s="155"/>
      <c r="GP1525" s="155"/>
      <c r="GQ1525" s="155"/>
      <c r="GR1525" s="155"/>
      <c r="GS1525" s="155"/>
      <c r="GT1525" s="155"/>
      <c r="GU1525" s="155"/>
      <c r="GV1525" s="155"/>
      <c r="GW1525" s="155"/>
      <c r="GX1525" s="155"/>
      <c r="GY1525" s="155"/>
      <c r="GZ1525" s="155"/>
      <c r="HA1525" s="155"/>
      <c r="HB1525" s="155"/>
      <c r="HC1525" s="155"/>
      <c r="HD1525" s="155"/>
      <c r="HE1525" s="155"/>
    </row>
    <row r="1526" spans="2:213" s="156" customFormat="1" hidden="1">
      <c r="B1526" s="155"/>
      <c r="C1526" s="155"/>
      <c r="D1526" s="155"/>
      <c r="E1526" s="155"/>
      <c r="F1526" s="155"/>
      <c r="G1526" s="155"/>
      <c r="H1526" s="155"/>
      <c r="I1526" s="155"/>
      <c r="J1526" s="155"/>
      <c r="K1526" s="155"/>
      <c r="L1526" s="155"/>
      <c r="M1526" s="155"/>
      <c r="N1526" s="155"/>
      <c r="O1526" s="155"/>
      <c r="P1526" s="155"/>
      <c r="Q1526" s="155"/>
      <c r="R1526" s="155"/>
      <c r="S1526" s="155"/>
      <c r="T1526" s="155"/>
      <c r="U1526" s="155"/>
      <c r="V1526" s="155"/>
      <c r="W1526" s="155"/>
      <c r="GL1526" s="155"/>
      <c r="GM1526" s="155"/>
      <c r="GN1526" s="155"/>
      <c r="GO1526" s="155"/>
      <c r="GP1526" s="155"/>
      <c r="GQ1526" s="155"/>
      <c r="GR1526" s="155"/>
      <c r="GS1526" s="155"/>
      <c r="GT1526" s="155"/>
      <c r="GU1526" s="155"/>
      <c r="GV1526" s="155"/>
      <c r="GW1526" s="155"/>
      <c r="GX1526" s="155"/>
      <c r="GY1526" s="155"/>
      <c r="GZ1526" s="155"/>
      <c r="HA1526" s="155"/>
      <c r="HB1526" s="155"/>
      <c r="HC1526" s="155"/>
      <c r="HD1526" s="155"/>
      <c r="HE1526" s="155"/>
    </row>
    <row r="1527" spans="2:213" s="156" customFormat="1" hidden="1">
      <c r="B1527" s="155"/>
      <c r="C1527" s="155"/>
      <c r="D1527" s="155"/>
      <c r="E1527" s="155"/>
      <c r="F1527" s="155"/>
      <c r="G1527" s="155"/>
      <c r="H1527" s="155"/>
      <c r="I1527" s="155"/>
      <c r="J1527" s="155"/>
      <c r="K1527" s="155"/>
      <c r="L1527" s="155"/>
      <c r="M1527" s="155"/>
      <c r="N1527" s="155"/>
      <c r="O1527" s="155"/>
      <c r="P1527" s="155"/>
      <c r="Q1527" s="155"/>
      <c r="R1527" s="155"/>
      <c r="S1527" s="155"/>
      <c r="T1527" s="155"/>
      <c r="U1527" s="155"/>
      <c r="V1527" s="155"/>
      <c r="W1527" s="155"/>
      <c r="GL1527" s="155"/>
      <c r="GM1527" s="155"/>
      <c r="GN1527" s="155"/>
      <c r="GO1527" s="155"/>
      <c r="GP1527" s="155"/>
      <c r="GQ1527" s="155"/>
      <c r="GR1527" s="155"/>
      <c r="GS1527" s="155"/>
      <c r="GT1527" s="155"/>
      <c r="GU1527" s="155"/>
      <c r="GV1527" s="155"/>
      <c r="GW1527" s="155"/>
      <c r="GX1527" s="155"/>
      <c r="GY1527" s="155"/>
      <c r="GZ1527" s="155"/>
      <c r="HA1527" s="155"/>
      <c r="HB1527" s="155"/>
      <c r="HC1527" s="155"/>
      <c r="HD1527" s="155"/>
      <c r="HE1527" s="155"/>
    </row>
    <row r="1528" spans="2:213" s="156" customFormat="1" hidden="1">
      <c r="B1528" s="155"/>
      <c r="C1528" s="155"/>
      <c r="D1528" s="155"/>
      <c r="E1528" s="155"/>
      <c r="F1528" s="155"/>
      <c r="G1528" s="155"/>
      <c r="H1528" s="155"/>
      <c r="I1528" s="155"/>
      <c r="J1528" s="155"/>
      <c r="K1528" s="155"/>
      <c r="L1528" s="155"/>
      <c r="M1528" s="155"/>
      <c r="N1528" s="155"/>
      <c r="O1528" s="155"/>
      <c r="P1528" s="155"/>
      <c r="Q1528" s="155"/>
      <c r="R1528" s="155"/>
      <c r="S1528" s="155"/>
      <c r="T1528" s="155"/>
      <c r="U1528" s="155"/>
      <c r="V1528" s="155"/>
      <c r="W1528" s="155"/>
      <c r="GL1528" s="155"/>
      <c r="GM1528" s="155"/>
      <c r="GN1528" s="155"/>
      <c r="GO1528" s="155"/>
      <c r="GP1528" s="155"/>
      <c r="GQ1528" s="155"/>
      <c r="GR1528" s="155"/>
      <c r="GS1528" s="155"/>
      <c r="GT1528" s="155"/>
      <c r="GU1528" s="155"/>
      <c r="GV1528" s="155"/>
      <c r="GW1528" s="155"/>
      <c r="GX1528" s="155"/>
      <c r="GY1528" s="155"/>
      <c r="GZ1528" s="155"/>
      <c r="HA1528" s="155"/>
      <c r="HB1528" s="155"/>
      <c r="HC1528" s="155"/>
      <c r="HD1528" s="155"/>
      <c r="HE1528" s="155"/>
    </row>
    <row r="1529" spans="2:213" s="156" customFormat="1" hidden="1">
      <c r="B1529" s="155"/>
      <c r="C1529" s="155"/>
      <c r="D1529" s="155"/>
      <c r="E1529" s="155"/>
      <c r="F1529" s="155"/>
      <c r="G1529" s="155"/>
      <c r="H1529" s="155"/>
      <c r="I1529" s="155"/>
      <c r="J1529" s="155"/>
      <c r="K1529" s="155"/>
      <c r="L1529" s="155"/>
      <c r="M1529" s="155"/>
      <c r="N1529" s="155"/>
      <c r="O1529" s="155"/>
      <c r="P1529" s="155"/>
      <c r="Q1529" s="155"/>
      <c r="R1529" s="155"/>
      <c r="S1529" s="155"/>
      <c r="T1529" s="155"/>
      <c r="U1529" s="155"/>
      <c r="V1529" s="155"/>
      <c r="W1529" s="155"/>
      <c r="GL1529" s="155"/>
      <c r="GM1529" s="155"/>
      <c r="GN1529" s="155"/>
      <c r="GO1529" s="155"/>
      <c r="GP1529" s="155"/>
      <c r="GQ1529" s="155"/>
      <c r="GR1529" s="155"/>
      <c r="GS1529" s="155"/>
      <c r="GT1529" s="155"/>
      <c r="GU1529" s="155"/>
      <c r="GV1529" s="155"/>
      <c r="GW1529" s="155"/>
      <c r="GX1529" s="155"/>
      <c r="GY1529" s="155"/>
      <c r="GZ1529" s="155"/>
      <c r="HA1529" s="155"/>
      <c r="HB1529" s="155"/>
      <c r="HC1529" s="155"/>
      <c r="HD1529" s="155"/>
      <c r="HE1529" s="155"/>
    </row>
    <row r="1530" spans="2:213" s="156" customFormat="1" hidden="1">
      <c r="B1530" s="155"/>
      <c r="C1530" s="155"/>
      <c r="D1530" s="155"/>
      <c r="E1530" s="155"/>
      <c r="F1530" s="155"/>
      <c r="G1530" s="155"/>
      <c r="H1530" s="155"/>
      <c r="I1530" s="155"/>
      <c r="J1530" s="155"/>
      <c r="K1530" s="155"/>
      <c r="L1530" s="155"/>
      <c r="M1530" s="155"/>
      <c r="N1530" s="155"/>
      <c r="O1530" s="155"/>
      <c r="P1530" s="155"/>
      <c r="Q1530" s="155"/>
      <c r="R1530" s="155"/>
      <c r="S1530" s="155"/>
      <c r="T1530" s="155"/>
      <c r="U1530" s="155"/>
      <c r="V1530" s="155"/>
      <c r="W1530" s="155"/>
      <c r="GL1530" s="155"/>
      <c r="GM1530" s="155"/>
      <c r="GN1530" s="155"/>
      <c r="GO1530" s="155"/>
      <c r="GP1530" s="155"/>
      <c r="GQ1530" s="155"/>
      <c r="GR1530" s="155"/>
      <c r="GS1530" s="155"/>
      <c r="GT1530" s="155"/>
      <c r="GU1530" s="155"/>
      <c r="GV1530" s="155"/>
      <c r="GW1530" s="155"/>
      <c r="GX1530" s="155"/>
      <c r="GY1530" s="155"/>
      <c r="GZ1530" s="155"/>
      <c r="HA1530" s="155"/>
      <c r="HB1530" s="155"/>
      <c r="HC1530" s="155"/>
      <c r="HD1530" s="155"/>
      <c r="HE1530" s="155"/>
    </row>
    <row r="1531" spans="2:213" s="156" customFormat="1" hidden="1">
      <c r="B1531" s="155"/>
      <c r="C1531" s="155"/>
      <c r="D1531" s="155"/>
      <c r="E1531" s="155"/>
      <c r="F1531" s="155"/>
      <c r="G1531" s="155"/>
      <c r="H1531" s="155"/>
      <c r="I1531" s="155"/>
      <c r="J1531" s="155"/>
      <c r="K1531" s="155"/>
      <c r="L1531" s="155"/>
      <c r="M1531" s="155"/>
      <c r="N1531" s="155"/>
      <c r="O1531" s="155"/>
      <c r="P1531" s="155"/>
      <c r="Q1531" s="155"/>
      <c r="R1531" s="155"/>
      <c r="S1531" s="155"/>
      <c r="T1531" s="155"/>
      <c r="U1531" s="155"/>
      <c r="V1531" s="155"/>
      <c r="W1531" s="155"/>
      <c r="GL1531" s="155"/>
      <c r="GM1531" s="155"/>
      <c r="GN1531" s="155"/>
      <c r="GO1531" s="155"/>
      <c r="GP1531" s="155"/>
      <c r="GQ1531" s="155"/>
      <c r="GR1531" s="155"/>
      <c r="GS1531" s="155"/>
      <c r="GT1531" s="155"/>
      <c r="GU1531" s="155"/>
      <c r="GV1531" s="155"/>
      <c r="GW1531" s="155"/>
      <c r="GX1531" s="155"/>
      <c r="GY1531" s="155"/>
      <c r="GZ1531" s="155"/>
      <c r="HA1531" s="155"/>
      <c r="HB1531" s="155"/>
      <c r="HC1531" s="155"/>
      <c r="HD1531" s="155"/>
      <c r="HE1531" s="155"/>
    </row>
    <row r="1532" spans="2:213" s="156" customFormat="1" hidden="1">
      <c r="B1532" s="155"/>
      <c r="C1532" s="155"/>
      <c r="D1532" s="155"/>
      <c r="E1532" s="155"/>
      <c r="F1532" s="155"/>
      <c r="G1532" s="155"/>
      <c r="H1532" s="155"/>
      <c r="I1532" s="155"/>
      <c r="J1532" s="155"/>
      <c r="K1532" s="155"/>
      <c r="L1532" s="155"/>
      <c r="M1532" s="155"/>
      <c r="N1532" s="155"/>
      <c r="O1532" s="155"/>
      <c r="P1532" s="155"/>
      <c r="Q1532" s="155"/>
      <c r="R1532" s="155"/>
      <c r="S1532" s="155"/>
      <c r="T1532" s="155"/>
      <c r="U1532" s="155"/>
      <c r="V1532" s="155"/>
      <c r="W1532" s="155"/>
      <c r="GL1532" s="155"/>
      <c r="GM1532" s="155"/>
      <c r="GN1532" s="155"/>
      <c r="GO1532" s="155"/>
      <c r="GP1532" s="155"/>
      <c r="GQ1532" s="155"/>
      <c r="GR1532" s="155"/>
      <c r="GS1532" s="155"/>
      <c r="GT1532" s="155"/>
      <c r="GU1532" s="155"/>
      <c r="GV1532" s="155"/>
      <c r="GW1532" s="155"/>
      <c r="GX1532" s="155"/>
      <c r="GY1532" s="155"/>
      <c r="GZ1532" s="155"/>
      <c r="HA1532" s="155"/>
      <c r="HB1532" s="155"/>
      <c r="HC1532" s="155"/>
      <c r="HD1532" s="155"/>
      <c r="HE1532" s="155"/>
    </row>
    <row r="1533" spans="2:213" s="156" customFormat="1" hidden="1">
      <c r="B1533" s="155"/>
      <c r="C1533" s="155"/>
      <c r="D1533" s="155"/>
      <c r="E1533" s="155"/>
      <c r="F1533" s="155"/>
      <c r="G1533" s="155"/>
      <c r="H1533" s="155"/>
      <c r="I1533" s="155"/>
      <c r="J1533" s="155"/>
      <c r="K1533" s="155"/>
      <c r="L1533" s="155"/>
      <c r="M1533" s="155"/>
      <c r="N1533" s="155"/>
      <c r="O1533" s="155"/>
      <c r="P1533" s="155"/>
      <c r="Q1533" s="155"/>
      <c r="R1533" s="155"/>
      <c r="S1533" s="155"/>
      <c r="T1533" s="155"/>
      <c r="U1533" s="155"/>
      <c r="V1533" s="155"/>
      <c r="W1533" s="155"/>
      <c r="GL1533" s="155"/>
      <c r="GM1533" s="155"/>
      <c r="GN1533" s="155"/>
      <c r="GO1533" s="155"/>
      <c r="GP1533" s="155"/>
      <c r="GQ1533" s="155"/>
      <c r="GR1533" s="155"/>
      <c r="GS1533" s="155"/>
      <c r="GT1533" s="155"/>
      <c r="GU1533" s="155"/>
      <c r="GV1533" s="155"/>
      <c r="GW1533" s="155"/>
      <c r="GX1533" s="155"/>
      <c r="GY1533" s="155"/>
      <c r="GZ1533" s="155"/>
      <c r="HA1533" s="155"/>
      <c r="HB1533" s="155"/>
      <c r="HC1533" s="155"/>
      <c r="HD1533" s="155"/>
      <c r="HE1533" s="155"/>
    </row>
    <row r="1534" spans="2:213" s="156" customFormat="1" hidden="1">
      <c r="B1534" s="155"/>
      <c r="C1534" s="155"/>
      <c r="D1534" s="155"/>
      <c r="E1534" s="155"/>
      <c r="F1534" s="155"/>
      <c r="G1534" s="155"/>
      <c r="H1534" s="155"/>
      <c r="I1534" s="155"/>
      <c r="J1534" s="155"/>
      <c r="K1534" s="155"/>
      <c r="L1534" s="155"/>
      <c r="M1534" s="155"/>
      <c r="N1534" s="155"/>
      <c r="O1534" s="155"/>
      <c r="P1534" s="155"/>
      <c r="Q1534" s="155"/>
      <c r="R1534" s="155"/>
      <c r="S1534" s="155"/>
      <c r="T1534" s="155"/>
      <c r="U1534" s="155"/>
      <c r="V1534" s="155"/>
      <c r="W1534" s="155"/>
      <c r="GL1534" s="155"/>
      <c r="GM1534" s="155"/>
      <c r="GN1534" s="155"/>
      <c r="GO1534" s="155"/>
      <c r="GP1534" s="155"/>
      <c r="GQ1534" s="155"/>
      <c r="GR1534" s="155"/>
      <c r="GS1534" s="155"/>
      <c r="GT1534" s="155"/>
      <c r="GU1534" s="155"/>
      <c r="GV1534" s="155"/>
      <c r="GW1534" s="155"/>
      <c r="GX1534" s="155"/>
      <c r="GY1534" s="155"/>
      <c r="GZ1534" s="155"/>
      <c r="HA1534" s="155"/>
      <c r="HB1534" s="155"/>
      <c r="HC1534" s="155"/>
      <c r="HD1534" s="155"/>
      <c r="HE1534" s="155"/>
    </row>
    <row r="1535" spans="2:213" s="156" customFormat="1" hidden="1">
      <c r="B1535" s="155"/>
      <c r="C1535" s="155"/>
      <c r="D1535" s="155"/>
      <c r="E1535" s="155"/>
      <c r="F1535" s="155"/>
      <c r="G1535" s="155"/>
      <c r="H1535" s="155"/>
      <c r="I1535" s="155"/>
      <c r="J1535" s="155"/>
      <c r="K1535" s="155"/>
      <c r="L1535" s="155"/>
      <c r="M1535" s="155"/>
      <c r="N1535" s="155"/>
      <c r="O1535" s="155"/>
      <c r="P1535" s="155"/>
      <c r="Q1535" s="155"/>
      <c r="R1535" s="155"/>
      <c r="S1535" s="155"/>
      <c r="T1535" s="155"/>
      <c r="U1535" s="155"/>
      <c r="V1535" s="155"/>
      <c r="W1535" s="155"/>
      <c r="GL1535" s="155"/>
      <c r="GM1535" s="155"/>
      <c r="GN1535" s="155"/>
      <c r="GO1535" s="155"/>
      <c r="GP1535" s="155"/>
      <c r="GQ1535" s="155"/>
      <c r="GR1535" s="155"/>
      <c r="GS1535" s="155"/>
      <c r="GT1535" s="155"/>
      <c r="GU1535" s="155"/>
      <c r="GV1535" s="155"/>
      <c r="GW1535" s="155"/>
      <c r="GX1535" s="155"/>
      <c r="GY1535" s="155"/>
      <c r="GZ1535" s="155"/>
      <c r="HA1535" s="155"/>
      <c r="HB1535" s="155"/>
      <c r="HC1535" s="155"/>
      <c r="HD1535" s="155"/>
      <c r="HE1535" s="155"/>
    </row>
    <row r="1536" spans="2:213" s="156" customFormat="1" hidden="1">
      <c r="B1536" s="155"/>
      <c r="C1536" s="155"/>
      <c r="D1536" s="155"/>
      <c r="E1536" s="155"/>
      <c r="F1536" s="155"/>
      <c r="G1536" s="155"/>
      <c r="H1536" s="155"/>
      <c r="I1536" s="155"/>
      <c r="J1536" s="155"/>
      <c r="K1536" s="155"/>
      <c r="L1536" s="155"/>
      <c r="M1536" s="155"/>
      <c r="N1536" s="155"/>
      <c r="O1536" s="155"/>
      <c r="P1536" s="155"/>
      <c r="Q1536" s="155"/>
      <c r="R1536" s="155"/>
      <c r="S1536" s="155"/>
      <c r="T1536" s="155"/>
      <c r="U1536" s="155"/>
      <c r="V1536" s="155"/>
      <c r="W1536" s="155"/>
      <c r="GL1536" s="155"/>
      <c r="GM1536" s="155"/>
      <c r="GN1536" s="155"/>
      <c r="GO1536" s="155"/>
      <c r="GP1536" s="155"/>
      <c r="GQ1536" s="155"/>
      <c r="GR1536" s="155"/>
      <c r="GS1536" s="155"/>
      <c r="GT1536" s="155"/>
      <c r="GU1536" s="155"/>
      <c r="GV1536" s="155"/>
      <c r="GW1536" s="155"/>
      <c r="GX1536" s="155"/>
      <c r="GY1536" s="155"/>
      <c r="GZ1536" s="155"/>
      <c r="HA1536" s="155"/>
      <c r="HB1536" s="155"/>
      <c r="HC1536" s="155"/>
      <c r="HD1536" s="155"/>
      <c r="HE1536" s="155"/>
    </row>
    <row r="1537" spans="2:213" s="156" customFormat="1" hidden="1">
      <c r="B1537" s="155"/>
      <c r="C1537" s="155"/>
      <c r="D1537" s="155"/>
      <c r="E1537" s="155"/>
      <c r="F1537" s="155"/>
      <c r="G1537" s="155"/>
      <c r="H1537" s="155"/>
      <c r="I1537" s="155"/>
      <c r="J1537" s="155"/>
      <c r="K1537" s="155"/>
      <c r="L1537" s="155"/>
      <c r="M1537" s="155"/>
      <c r="N1537" s="155"/>
      <c r="O1537" s="155"/>
      <c r="P1537" s="155"/>
      <c r="Q1537" s="155"/>
      <c r="R1537" s="155"/>
      <c r="S1537" s="155"/>
      <c r="T1537" s="155"/>
      <c r="U1537" s="155"/>
      <c r="V1537" s="155"/>
      <c r="W1537" s="155"/>
      <c r="GL1537" s="155"/>
      <c r="GM1537" s="155"/>
      <c r="GN1537" s="155"/>
      <c r="GO1537" s="155"/>
      <c r="GP1537" s="155"/>
      <c r="GQ1537" s="155"/>
      <c r="GR1537" s="155"/>
      <c r="GS1537" s="155"/>
      <c r="GT1537" s="155"/>
      <c r="GU1537" s="155"/>
      <c r="GV1537" s="155"/>
      <c r="GW1537" s="155"/>
      <c r="GX1537" s="155"/>
      <c r="GY1537" s="155"/>
      <c r="GZ1537" s="155"/>
      <c r="HA1537" s="155"/>
      <c r="HB1537" s="155"/>
      <c r="HC1537" s="155"/>
      <c r="HD1537" s="155"/>
      <c r="HE1537" s="155"/>
    </row>
    <row r="1538" spans="2:213" s="156" customFormat="1" hidden="1">
      <c r="B1538" s="155"/>
      <c r="C1538" s="155"/>
      <c r="D1538" s="155"/>
      <c r="E1538" s="155"/>
      <c r="F1538" s="155"/>
      <c r="G1538" s="155"/>
      <c r="H1538" s="155"/>
      <c r="I1538" s="155"/>
      <c r="J1538" s="155"/>
      <c r="K1538" s="155"/>
      <c r="L1538" s="155"/>
      <c r="M1538" s="155"/>
      <c r="N1538" s="155"/>
      <c r="O1538" s="155"/>
      <c r="P1538" s="155"/>
      <c r="Q1538" s="155"/>
      <c r="R1538" s="155"/>
      <c r="S1538" s="155"/>
      <c r="T1538" s="155"/>
      <c r="U1538" s="155"/>
      <c r="V1538" s="155"/>
      <c r="W1538" s="155"/>
      <c r="GL1538" s="155"/>
      <c r="GM1538" s="155"/>
      <c r="GN1538" s="155"/>
      <c r="GO1538" s="155"/>
      <c r="GP1538" s="155"/>
      <c r="GQ1538" s="155"/>
      <c r="GR1538" s="155"/>
      <c r="GS1538" s="155"/>
      <c r="GT1538" s="155"/>
      <c r="GU1538" s="155"/>
      <c r="GV1538" s="155"/>
      <c r="GW1538" s="155"/>
      <c r="GX1538" s="155"/>
      <c r="GY1538" s="155"/>
      <c r="GZ1538" s="155"/>
      <c r="HA1538" s="155"/>
      <c r="HB1538" s="155"/>
      <c r="HC1538" s="155"/>
      <c r="HD1538" s="155"/>
      <c r="HE1538" s="155"/>
    </row>
    <row r="1539" spans="2:213" s="156" customFormat="1" hidden="1">
      <c r="B1539" s="155"/>
      <c r="C1539" s="155"/>
      <c r="D1539" s="155"/>
      <c r="E1539" s="155"/>
      <c r="F1539" s="155"/>
      <c r="G1539" s="155"/>
      <c r="H1539" s="155"/>
      <c r="I1539" s="155"/>
      <c r="J1539" s="155"/>
      <c r="K1539" s="155"/>
      <c r="L1539" s="155"/>
      <c r="M1539" s="155"/>
      <c r="N1539" s="155"/>
      <c r="O1539" s="155"/>
      <c r="P1539" s="155"/>
      <c r="Q1539" s="155"/>
      <c r="R1539" s="155"/>
      <c r="S1539" s="155"/>
      <c r="T1539" s="155"/>
      <c r="U1539" s="155"/>
      <c r="V1539" s="155"/>
      <c r="W1539" s="155"/>
      <c r="GL1539" s="155"/>
      <c r="GM1539" s="155"/>
      <c r="GN1539" s="155"/>
      <c r="GO1539" s="155"/>
      <c r="GP1539" s="155"/>
      <c r="GQ1539" s="155"/>
      <c r="GR1539" s="155"/>
      <c r="GS1539" s="155"/>
      <c r="GT1539" s="155"/>
      <c r="GU1539" s="155"/>
      <c r="GV1539" s="155"/>
      <c r="GW1539" s="155"/>
      <c r="GX1539" s="155"/>
      <c r="GY1539" s="155"/>
      <c r="GZ1539" s="155"/>
      <c r="HA1539" s="155"/>
      <c r="HB1539" s="155"/>
      <c r="HC1539" s="155"/>
      <c r="HD1539" s="155"/>
      <c r="HE1539" s="155"/>
    </row>
    <row r="1540" spans="2:213" s="156" customFormat="1" hidden="1">
      <c r="B1540" s="155"/>
      <c r="C1540" s="155"/>
      <c r="D1540" s="155"/>
      <c r="E1540" s="155"/>
      <c r="F1540" s="155"/>
      <c r="G1540" s="155"/>
      <c r="H1540" s="155"/>
      <c r="I1540" s="155"/>
      <c r="J1540" s="155"/>
      <c r="K1540" s="155"/>
      <c r="L1540" s="155"/>
      <c r="M1540" s="155"/>
      <c r="N1540" s="155"/>
      <c r="O1540" s="155"/>
      <c r="P1540" s="155"/>
      <c r="Q1540" s="155"/>
      <c r="R1540" s="155"/>
      <c r="S1540" s="155"/>
      <c r="T1540" s="155"/>
      <c r="U1540" s="155"/>
      <c r="V1540" s="155"/>
      <c r="W1540" s="155"/>
      <c r="GL1540" s="155"/>
      <c r="GM1540" s="155"/>
      <c r="GN1540" s="155"/>
      <c r="GO1540" s="155"/>
      <c r="GP1540" s="155"/>
      <c r="GQ1540" s="155"/>
      <c r="GR1540" s="155"/>
      <c r="GS1540" s="155"/>
      <c r="GT1540" s="155"/>
      <c r="GU1540" s="155"/>
      <c r="GV1540" s="155"/>
      <c r="GW1540" s="155"/>
      <c r="GX1540" s="155"/>
      <c r="GY1540" s="155"/>
      <c r="GZ1540" s="155"/>
      <c r="HA1540" s="155"/>
      <c r="HB1540" s="155"/>
      <c r="HC1540" s="155"/>
      <c r="HD1540" s="155"/>
      <c r="HE1540" s="155"/>
    </row>
    <row r="1541" spans="2:213" s="156" customFormat="1" hidden="1">
      <c r="B1541" s="155"/>
      <c r="C1541" s="155"/>
      <c r="D1541" s="155"/>
      <c r="E1541" s="155"/>
      <c r="F1541" s="155"/>
      <c r="G1541" s="155"/>
      <c r="H1541" s="155"/>
      <c r="I1541" s="155"/>
      <c r="J1541" s="155"/>
      <c r="K1541" s="155"/>
      <c r="L1541" s="155"/>
      <c r="M1541" s="155"/>
      <c r="N1541" s="155"/>
      <c r="O1541" s="155"/>
      <c r="P1541" s="155"/>
      <c r="Q1541" s="155"/>
      <c r="R1541" s="155"/>
      <c r="S1541" s="155"/>
      <c r="T1541" s="155"/>
      <c r="U1541" s="155"/>
      <c r="V1541" s="155"/>
      <c r="W1541" s="155"/>
      <c r="GL1541" s="155"/>
      <c r="GM1541" s="155"/>
      <c r="GN1541" s="155"/>
      <c r="GO1541" s="155"/>
      <c r="GP1541" s="155"/>
      <c r="GQ1541" s="155"/>
      <c r="GR1541" s="155"/>
      <c r="GS1541" s="155"/>
      <c r="GT1541" s="155"/>
      <c r="GU1541" s="155"/>
      <c r="GV1541" s="155"/>
      <c r="GW1541" s="155"/>
      <c r="GX1541" s="155"/>
      <c r="GY1541" s="155"/>
      <c r="GZ1541" s="155"/>
      <c r="HA1541" s="155"/>
      <c r="HB1541" s="155"/>
      <c r="HC1541" s="155"/>
      <c r="HD1541" s="155"/>
      <c r="HE1541" s="155"/>
    </row>
    <row r="1542" spans="2:213" s="156" customFormat="1" hidden="1">
      <c r="B1542" s="155"/>
      <c r="C1542" s="155"/>
      <c r="D1542" s="155"/>
      <c r="E1542" s="155"/>
      <c r="F1542" s="155"/>
      <c r="G1542" s="155"/>
      <c r="H1542" s="155"/>
      <c r="I1542" s="155"/>
      <c r="J1542" s="155"/>
      <c r="K1542" s="155"/>
      <c r="L1542" s="155"/>
      <c r="M1542" s="155"/>
      <c r="N1542" s="155"/>
      <c r="O1542" s="155"/>
      <c r="P1542" s="155"/>
      <c r="Q1542" s="155"/>
      <c r="R1542" s="155"/>
      <c r="S1542" s="155"/>
      <c r="T1542" s="155"/>
      <c r="U1542" s="155"/>
      <c r="V1542" s="155"/>
      <c r="W1542" s="155"/>
      <c r="GL1542" s="155"/>
      <c r="GM1542" s="155"/>
      <c r="GN1542" s="155"/>
      <c r="GO1542" s="155"/>
      <c r="GP1542" s="155"/>
      <c r="GQ1542" s="155"/>
      <c r="GR1542" s="155"/>
      <c r="GS1542" s="155"/>
      <c r="GT1542" s="155"/>
      <c r="GU1542" s="155"/>
      <c r="GV1542" s="155"/>
      <c r="GW1542" s="155"/>
      <c r="GX1542" s="155"/>
      <c r="GY1542" s="155"/>
      <c r="GZ1542" s="155"/>
      <c r="HA1542" s="155"/>
      <c r="HB1542" s="155"/>
      <c r="HC1542" s="155"/>
      <c r="HD1542" s="155"/>
      <c r="HE1542" s="155"/>
    </row>
    <row r="1543" spans="2:213" s="156" customFormat="1" hidden="1">
      <c r="B1543" s="155"/>
      <c r="C1543" s="155"/>
      <c r="D1543" s="155"/>
      <c r="E1543" s="155"/>
      <c r="F1543" s="155"/>
      <c r="G1543" s="155"/>
      <c r="H1543" s="155"/>
      <c r="I1543" s="155"/>
      <c r="J1543" s="155"/>
      <c r="K1543" s="155"/>
      <c r="L1543" s="155"/>
      <c r="M1543" s="155"/>
      <c r="N1543" s="155"/>
      <c r="O1543" s="155"/>
      <c r="P1543" s="155"/>
      <c r="Q1543" s="155"/>
      <c r="R1543" s="155"/>
      <c r="S1543" s="155"/>
      <c r="T1543" s="155"/>
      <c r="U1543" s="155"/>
      <c r="V1543" s="155"/>
      <c r="W1543" s="155"/>
      <c r="GL1543" s="155"/>
      <c r="GM1543" s="155"/>
      <c r="GN1543" s="155"/>
      <c r="GO1543" s="155"/>
      <c r="GP1543" s="155"/>
      <c r="GQ1543" s="155"/>
      <c r="GR1543" s="155"/>
      <c r="GS1543" s="155"/>
      <c r="GT1543" s="155"/>
      <c r="GU1543" s="155"/>
      <c r="GV1543" s="155"/>
      <c r="GW1543" s="155"/>
      <c r="GX1543" s="155"/>
      <c r="GY1543" s="155"/>
      <c r="GZ1543" s="155"/>
      <c r="HA1543" s="155"/>
      <c r="HB1543" s="155"/>
      <c r="HC1543" s="155"/>
      <c r="HD1543" s="155"/>
      <c r="HE1543" s="155"/>
    </row>
    <row r="1544" spans="2:213" s="156" customFormat="1" hidden="1">
      <c r="B1544" s="155"/>
      <c r="C1544" s="155"/>
      <c r="D1544" s="155"/>
      <c r="E1544" s="155"/>
      <c r="F1544" s="155"/>
      <c r="G1544" s="155"/>
      <c r="H1544" s="155"/>
      <c r="I1544" s="155"/>
      <c r="J1544" s="155"/>
      <c r="K1544" s="155"/>
      <c r="L1544" s="155"/>
      <c r="M1544" s="155"/>
      <c r="N1544" s="155"/>
      <c r="O1544" s="155"/>
      <c r="P1544" s="155"/>
      <c r="Q1544" s="155"/>
      <c r="R1544" s="155"/>
      <c r="S1544" s="155"/>
      <c r="T1544" s="155"/>
      <c r="U1544" s="155"/>
      <c r="V1544" s="155"/>
      <c r="W1544" s="155"/>
      <c r="GL1544" s="155"/>
      <c r="GM1544" s="155"/>
      <c r="GN1544" s="155"/>
      <c r="GO1544" s="155"/>
      <c r="GP1544" s="155"/>
      <c r="GQ1544" s="155"/>
      <c r="GR1544" s="155"/>
      <c r="GS1544" s="155"/>
      <c r="GT1544" s="155"/>
      <c r="GU1544" s="155"/>
      <c r="GV1544" s="155"/>
      <c r="GW1544" s="155"/>
      <c r="GX1544" s="155"/>
      <c r="GY1544" s="155"/>
      <c r="GZ1544" s="155"/>
      <c r="HA1544" s="155"/>
      <c r="HB1544" s="155"/>
      <c r="HC1544" s="155"/>
      <c r="HD1544" s="155"/>
      <c r="HE1544" s="155"/>
    </row>
    <row r="1545" spans="2:213" s="156" customFormat="1" hidden="1">
      <c r="B1545" s="155"/>
      <c r="C1545" s="155"/>
      <c r="D1545" s="155"/>
      <c r="E1545" s="155"/>
      <c r="F1545" s="155"/>
      <c r="G1545" s="155"/>
      <c r="H1545" s="155"/>
      <c r="I1545" s="155"/>
      <c r="J1545" s="155"/>
      <c r="K1545" s="155"/>
      <c r="L1545" s="155"/>
      <c r="M1545" s="155"/>
      <c r="N1545" s="155"/>
      <c r="O1545" s="155"/>
      <c r="P1545" s="155"/>
      <c r="Q1545" s="155"/>
      <c r="R1545" s="155"/>
      <c r="S1545" s="155"/>
      <c r="T1545" s="155"/>
      <c r="U1545" s="155"/>
      <c r="V1545" s="155"/>
      <c r="W1545" s="155"/>
      <c r="GL1545" s="155"/>
      <c r="GM1545" s="155"/>
      <c r="GN1545" s="155"/>
      <c r="GO1545" s="155"/>
      <c r="GP1545" s="155"/>
      <c r="GQ1545" s="155"/>
      <c r="GR1545" s="155"/>
      <c r="GS1545" s="155"/>
      <c r="GT1545" s="155"/>
      <c r="GU1545" s="155"/>
      <c r="GV1545" s="155"/>
      <c r="GW1545" s="155"/>
      <c r="GX1545" s="155"/>
      <c r="GY1545" s="155"/>
      <c r="GZ1545" s="155"/>
      <c r="HA1545" s="155"/>
      <c r="HB1545" s="155"/>
      <c r="HC1545" s="155"/>
      <c r="HD1545" s="155"/>
      <c r="HE1545" s="155"/>
    </row>
    <row r="1546" spans="2:213" s="156" customFormat="1" hidden="1">
      <c r="B1546" s="155"/>
      <c r="C1546" s="155"/>
      <c r="D1546" s="155"/>
      <c r="E1546" s="155"/>
      <c r="F1546" s="155"/>
      <c r="G1546" s="155"/>
      <c r="H1546" s="155"/>
      <c r="I1546" s="155"/>
      <c r="J1546" s="155"/>
      <c r="K1546" s="155"/>
      <c r="L1546" s="155"/>
      <c r="M1546" s="155"/>
      <c r="N1546" s="155"/>
      <c r="O1546" s="155"/>
      <c r="P1546" s="155"/>
      <c r="Q1546" s="155"/>
      <c r="R1546" s="155"/>
      <c r="S1546" s="155"/>
      <c r="T1546" s="155"/>
      <c r="U1546" s="155"/>
      <c r="V1546" s="155"/>
      <c r="W1546" s="155"/>
      <c r="GL1546" s="155"/>
      <c r="GM1546" s="155"/>
      <c r="GN1546" s="155"/>
      <c r="GO1546" s="155"/>
      <c r="GP1546" s="155"/>
      <c r="GQ1546" s="155"/>
      <c r="GR1546" s="155"/>
      <c r="GS1546" s="155"/>
      <c r="GT1546" s="155"/>
      <c r="GU1546" s="155"/>
      <c r="GV1546" s="155"/>
      <c r="GW1546" s="155"/>
      <c r="GX1546" s="155"/>
      <c r="GY1546" s="155"/>
      <c r="GZ1546" s="155"/>
      <c r="HA1546" s="155"/>
      <c r="HB1546" s="155"/>
      <c r="HC1546" s="155"/>
      <c r="HD1546" s="155"/>
      <c r="HE1546" s="155"/>
    </row>
    <row r="1547" spans="2:213" s="156" customFormat="1" hidden="1">
      <c r="B1547" s="155"/>
      <c r="C1547" s="155"/>
      <c r="D1547" s="155"/>
      <c r="E1547" s="155"/>
      <c r="F1547" s="155"/>
      <c r="G1547" s="155"/>
      <c r="H1547" s="155"/>
      <c r="I1547" s="155"/>
      <c r="J1547" s="155"/>
      <c r="K1547" s="155"/>
      <c r="L1547" s="155"/>
      <c r="M1547" s="155"/>
      <c r="N1547" s="155"/>
      <c r="O1547" s="155"/>
      <c r="P1547" s="155"/>
      <c r="Q1547" s="155"/>
      <c r="R1547" s="155"/>
      <c r="S1547" s="155"/>
      <c r="T1547" s="155"/>
      <c r="U1547" s="155"/>
      <c r="V1547" s="155"/>
      <c r="W1547" s="155"/>
      <c r="GL1547" s="155"/>
      <c r="GM1547" s="155"/>
      <c r="GN1547" s="155"/>
      <c r="GO1547" s="155"/>
      <c r="GP1547" s="155"/>
      <c r="GQ1547" s="155"/>
      <c r="GR1547" s="155"/>
      <c r="GS1547" s="155"/>
      <c r="GT1547" s="155"/>
      <c r="GU1547" s="155"/>
      <c r="GV1547" s="155"/>
      <c r="GW1547" s="155"/>
      <c r="GX1547" s="155"/>
      <c r="GY1547" s="155"/>
      <c r="GZ1547" s="155"/>
      <c r="HA1547" s="155"/>
      <c r="HB1547" s="155"/>
      <c r="HC1547" s="155"/>
      <c r="HD1547" s="155"/>
      <c r="HE1547" s="155"/>
    </row>
    <row r="1548" spans="2:213" s="156" customFormat="1" hidden="1">
      <c r="B1548" s="155"/>
      <c r="C1548" s="155"/>
      <c r="D1548" s="155"/>
      <c r="E1548" s="155"/>
      <c r="F1548" s="155"/>
      <c r="G1548" s="155"/>
      <c r="H1548" s="155"/>
      <c r="I1548" s="155"/>
      <c r="J1548" s="155"/>
      <c r="K1548" s="155"/>
      <c r="L1548" s="155"/>
      <c r="M1548" s="155"/>
      <c r="N1548" s="155"/>
      <c r="O1548" s="155"/>
      <c r="P1548" s="155"/>
      <c r="Q1548" s="155"/>
      <c r="R1548" s="155"/>
      <c r="S1548" s="155"/>
      <c r="T1548" s="155"/>
      <c r="U1548" s="155"/>
      <c r="V1548" s="155"/>
      <c r="W1548" s="155"/>
      <c r="GL1548" s="155"/>
      <c r="GM1548" s="155"/>
      <c r="GN1548" s="155"/>
      <c r="GO1548" s="155"/>
      <c r="GP1548" s="155"/>
      <c r="GQ1548" s="155"/>
      <c r="GR1548" s="155"/>
      <c r="GS1548" s="155"/>
      <c r="GT1548" s="155"/>
      <c r="GU1548" s="155"/>
      <c r="GV1548" s="155"/>
      <c r="GW1548" s="155"/>
      <c r="GX1548" s="155"/>
      <c r="GY1548" s="155"/>
      <c r="GZ1548" s="155"/>
      <c r="HA1548" s="155"/>
      <c r="HB1548" s="155"/>
      <c r="HC1548" s="155"/>
      <c r="HD1548" s="155"/>
      <c r="HE1548" s="155"/>
    </row>
    <row r="1549" spans="2:213" s="156" customFormat="1" hidden="1">
      <c r="B1549" s="155"/>
      <c r="C1549" s="155"/>
      <c r="D1549" s="155"/>
      <c r="E1549" s="155"/>
      <c r="F1549" s="155"/>
      <c r="G1549" s="155"/>
      <c r="H1549" s="155"/>
      <c r="I1549" s="155"/>
      <c r="J1549" s="155"/>
      <c r="K1549" s="155"/>
      <c r="L1549" s="155"/>
      <c r="M1549" s="155"/>
      <c r="N1549" s="155"/>
      <c r="O1549" s="155"/>
      <c r="P1549" s="155"/>
      <c r="Q1549" s="155"/>
      <c r="R1549" s="155"/>
      <c r="S1549" s="155"/>
      <c r="T1549" s="155"/>
      <c r="U1549" s="155"/>
      <c r="V1549" s="155"/>
      <c r="W1549" s="155"/>
      <c r="GL1549" s="155"/>
      <c r="GM1549" s="155"/>
      <c r="GN1549" s="155"/>
      <c r="GO1549" s="155"/>
      <c r="GP1549" s="155"/>
      <c r="GQ1549" s="155"/>
      <c r="GR1549" s="155"/>
      <c r="GS1549" s="155"/>
      <c r="GT1549" s="155"/>
      <c r="GU1549" s="155"/>
      <c r="GV1549" s="155"/>
      <c r="GW1549" s="155"/>
      <c r="GX1549" s="155"/>
      <c r="GY1549" s="155"/>
      <c r="GZ1549" s="155"/>
      <c r="HA1549" s="155"/>
      <c r="HB1549" s="155"/>
      <c r="HC1549" s="155"/>
      <c r="HD1549" s="155"/>
      <c r="HE1549" s="155"/>
    </row>
    <row r="1550" spans="2:213" s="156" customFormat="1" hidden="1">
      <c r="B1550" s="155"/>
      <c r="C1550" s="155"/>
      <c r="D1550" s="155"/>
      <c r="E1550" s="155"/>
      <c r="F1550" s="155"/>
      <c r="G1550" s="155"/>
      <c r="H1550" s="155"/>
      <c r="I1550" s="155"/>
      <c r="J1550" s="155"/>
      <c r="K1550" s="155"/>
      <c r="L1550" s="155"/>
      <c r="M1550" s="155"/>
      <c r="N1550" s="155"/>
      <c r="O1550" s="155"/>
      <c r="P1550" s="155"/>
      <c r="Q1550" s="155"/>
      <c r="R1550" s="155"/>
      <c r="S1550" s="155"/>
      <c r="T1550" s="155"/>
      <c r="U1550" s="155"/>
      <c r="V1550" s="155"/>
      <c r="W1550" s="155"/>
      <c r="GL1550" s="155"/>
      <c r="GM1550" s="155"/>
      <c r="GN1550" s="155"/>
      <c r="GO1550" s="155"/>
      <c r="GP1550" s="155"/>
      <c r="GQ1550" s="155"/>
      <c r="GR1550" s="155"/>
      <c r="GS1550" s="155"/>
      <c r="GT1550" s="155"/>
      <c r="GU1550" s="155"/>
      <c r="GV1550" s="155"/>
      <c r="GW1550" s="155"/>
      <c r="GX1550" s="155"/>
      <c r="GY1550" s="155"/>
      <c r="GZ1550" s="155"/>
      <c r="HA1550" s="155"/>
      <c r="HB1550" s="155"/>
      <c r="HC1550" s="155"/>
      <c r="HD1550" s="155"/>
      <c r="HE1550" s="155"/>
    </row>
    <row r="1551" spans="2:213" s="156" customFormat="1" hidden="1">
      <c r="B1551" s="155"/>
      <c r="C1551" s="155"/>
      <c r="D1551" s="155"/>
      <c r="E1551" s="155"/>
      <c r="F1551" s="155"/>
      <c r="G1551" s="155"/>
      <c r="H1551" s="155"/>
      <c r="I1551" s="155"/>
      <c r="J1551" s="155"/>
      <c r="K1551" s="155"/>
      <c r="L1551" s="155"/>
      <c r="M1551" s="155"/>
      <c r="N1551" s="155"/>
      <c r="O1551" s="155"/>
      <c r="P1551" s="155"/>
      <c r="Q1551" s="155"/>
      <c r="R1551" s="155"/>
      <c r="S1551" s="155"/>
      <c r="T1551" s="155"/>
      <c r="U1551" s="155"/>
      <c r="V1551" s="155"/>
      <c r="W1551" s="155"/>
      <c r="GL1551" s="155"/>
      <c r="GM1551" s="155"/>
      <c r="GN1551" s="155"/>
      <c r="GO1551" s="155"/>
      <c r="GP1551" s="155"/>
      <c r="GQ1551" s="155"/>
      <c r="GR1551" s="155"/>
      <c r="GS1551" s="155"/>
      <c r="GT1551" s="155"/>
      <c r="GU1551" s="155"/>
      <c r="GV1551" s="155"/>
      <c r="GW1551" s="155"/>
      <c r="GX1551" s="155"/>
      <c r="GY1551" s="155"/>
      <c r="GZ1551" s="155"/>
      <c r="HA1551" s="155"/>
      <c r="HB1551" s="155"/>
      <c r="HC1551" s="155"/>
      <c r="HD1551" s="155"/>
      <c r="HE1551" s="155"/>
    </row>
    <row r="1552" spans="2:213" s="156" customFormat="1" hidden="1">
      <c r="B1552" s="155"/>
      <c r="C1552" s="155"/>
      <c r="D1552" s="155"/>
      <c r="E1552" s="155"/>
      <c r="F1552" s="155"/>
      <c r="G1552" s="155"/>
      <c r="H1552" s="155"/>
      <c r="I1552" s="155"/>
      <c r="J1552" s="155"/>
      <c r="K1552" s="155"/>
      <c r="L1552" s="155"/>
      <c r="M1552" s="155"/>
      <c r="N1552" s="155"/>
      <c r="O1552" s="155"/>
      <c r="P1552" s="155"/>
      <c r="Q1552" s="155"/>
      <c r="R1552" s="155"/>
      <c r="S1552" s="155"/>
      <c r="T1552" s="155"/>
      <c r="U1552" s="155"/>
      <c r="V1552" s="155"/>
      <c r="W1552" s="155"/>
      <c r="GL1552" s="155"/>
      <c r="GM1552" s="155"/>
      <c r="GN1552" s="155"/>
      <c r="GO1552" s="155"/>
      <c r="GP1552" s="155"/>
      <c r="GQ1552" s="155"/>
      <c r="GR1552" s="155"/>
      <c r="GS1552" s="155"/>
      <c r="GT1552" s="155"/>
      <c r="GU1552" s="155"/>
      <c r="GV1552" s="155"/>
      <c r="GW1552" s="155"/>
      <c r="GX1552" s="155"/>
      <c r="GY1552" s="155"/>
      <c r="GZ1552" s="155"/>
      <c r="HA1552" s="155"/>
      <c r="HB1552" s="155"/>
      <c r="HC1552" s="155"/>
      <c r="HD1552" s="155"/>
      <c r="HE1552" s="155"/>
    </row>
    <row r="1553" spans="2:213" s="156" customFormat="1" hidden="1">
      <c r="B1553" s="155"/>
      <c r="C1553" s="155"/>
      <c r="D1553" s="155"/>
      <c r="E1553" s="155"/>
      <c r="F1553" s="155"/>
      <c r="G1553" s="155"/>
      <c r="H1553" s="155"/>
      <c r="I1553" s="155"/>
      <c r="J1553" s="155"/>
      <c r="K1553" s="155"/>
      <c r="L1553" s="155"/>
      <c r="M1553" s="155"/>
      <c r="N1553" s="155"/>
      <c r="O1553" s="155"/>
      <c r="P1553" s="155"/>
      <c r="Q1553" s="155"/>
      <c r="R1553" s="155"/>
      <c r="S1553" s="155"/>
      <c r="T1553" s="155"/>
      <c r="U1553" s="155"/>
      <c r="V1553" s="155"/>
      <c r="W1553" s="155"/>
      <c r="GL1553" s="155"/>
      <c r="GM1553" s="155"/>
      <c r="GN1553" s="155"/>
      <c r="GO1553" s="155"/>
      <c r="GP1553" s="155"/>
      <c r="GQ1553" s="155"/>
      <c r="GR1553" s="155"/>
      <c r="GS1553" s="155"/>
      <c r="GT1553" s="155"/>
      <c r="GU1553" s="155"/>
      <c r="GV1553" s="155"/>
      <c r="GW1553" s="155"/>
      <c r="GX1553" s="155"/>
      <c r="GY1553" s="155"/>
      <c r="GZ1553" s="155"/>
      <c r="HA1553" s="155"/>
      <c r="HB1553" s="155"/>
      <c r="HC1553" s="155"/>
      <c r="HD1553" s="155"/>
      <c r="HE1553" s="155"/>
    </row>
    <row r="1554" spans="2:213" s="156" customFormat="1" hidden="1">
      <c r="B1554" s="155"/>
      <c r="C1554" s="155"/>
      <c r="D1554" s="155"/>
      <c r="E1554" s="155"/>
      <c r="F1554" s="155"/>
      <c r="G1554" s="155"/>
      <c r="H1554" s="155"/>
      <c r="I1554" s="155"/>
      <c r="J1554" s="155"/>
      <c r="K1554" s="155"/>
      <c r="L1554" s="155"/>
      <c r="M1554" s="155"/>
      <c r="N1554" s="155"/>
      <c r="O1554" s="155"/>
      <c r="P1554" s="155"/>
      <c r="Q1554" s="155"/>
      <c r="R1554" s="155"/>
      <c r="S1554" s="155"/>
      <c r="T1554" s="155"/>
      <c r="U1554" s="155"/>
      <c r="V1554" s="155"/>
      <c r="W1554" s="155"/>
      <c r="GL1554" s="155"/>
      <c r="GM1554" s="155"/>
      <c r="GN1554" s="155"/>
      <c r="GO1554" s="155"/>
      <c r="GP1554" s="155"/>
      <c r="GQ1554" s="155"/>
      <c r="GR1554" s="155"/>
      <c r="GS1554" s="155"/>
      <c r="GT1554" s="155"/>
      <c r="GU1554" s="155"/>
      <c r="GV1554" s="155"/>
      <c r="GW1554" s="155"/>
      <c r="GX1554" s="155"/>
      <c r="GY1554" s="155"/>
      <c r="GZ1554" s="155"/>
      <c r="HA1554" s="155"/>
      <c r="HB1554" s="155"/>
      <c r="HC1554" s="155"/>
      <c r="HD1554" s="155"/>
      <c r="HE1554" s="155"/>
    </row>
    <row r="1555" spans="2:213" s="156" customFormat="1" hidden="1">
      <c r="B1555" s="155"/>
      <c r="C1555" s="155"/>
      <c r="D1555" s="155"/>
      <c r="E1555" s="155"/>
      <c r="F1555" s="155"/>
      <c r="G1555" s="155"/>
      <c r="H1555" s="155"/>
      <c r="I1555" s="155"/>
      <c r="J1555" s="155"/>
      <c r="K1555" s="155"/>
      <c r="L1555" s="155"/>
      <c r="M1555" s="155"/>
      <c r="N1555" s="155"/>
      <c r="O1555" s="155"/>
      <c r="P1555" s="155"/>
      <c r="Q1555" s="155"/>
      <c r="R1555" s="155"/>
      <c r="S1555" s="155"/>
      <c r="T1555" s="155"/>
      <c r="U1555" s="155"/>
      <c r="V1555" s="155"/>
      <c r="W1555" s="155"/>
      <c r="GL1555" s="155"/>
      <c r="GM1555" s="155"/>
      <c r="GN1555" s="155"/>
      <c r="GO1555" s="155"/>
      <c r="GP1555" s="155"/>
      <c r="GQ1555" s="155"/>
      <c r="GR1555" s="155"/>
      <c r="GS1555" s="155"/>
      <c r="GT1555" s="155"/>
      <c r="GU1555" s="155"/>
      <c r="GV1555" s="155"/>
      <c r="GW1555" s="155"/>
      <c r="GX1555" s="155"/>
      <c r="GY1555" s="155"/>
      <c r="GZ1555" s="155"/>
      <c r="HA1555" s="155"/>
      <c r="HB1555" s="155"/>
      <c r="HC1555" s="155"/>
      <c r="HD1555" s="155"/>
      <c r="HE1555" s="155"/>
    </row>
    <row r="1556" spans="2:213" s="156" customFormat="1" hidden="1">
      <c r="B1556" s="155"/>
      <c r="C1556" s="155"/>
      <c r="D1556" s="155"/>
      <c r="E1556" s="155"/>
      <c r="F1556" s="155"/>
      <c r="G1556" s="155"/>
      <c r="H1556" s="155"/>
      <c r="I1556" s="155"/>
      <c r="J1556" s="155"/>
      <c r="K1556" s="155"/>
      <c r="L1556" s="155"/>
      <c r="M1556" s="155"/>
      <c r="N1556" s="155"/>
      <c r="O1556" s="155"/>
      <c r="P1556" s="155"/>
      <c r="Q1556" s="155"/>
      <c r="R1556" s="155"/>
      <c r="S1556" s="155"/>
      <c r="T1556" s="155"/>
      <c r="U1556" s="155"/>
      <c r="V1556" s="155"/>
      <c r="W1556" s="155"/>
      <c r="GL1556" s="155"/>
      <c r="GM1556" s="155"/>
      <c r="GN1556" s="155"/>
      <c r="GO1556" s="155"/>
      <c r="GP1556" s="155"/>
      <c r="GQ1556" s="155"/>
      <c r="GR1556" s="155"/>
      <c r="GS1556" s="155"/>
      <c r="GT1556" s="155"/>
      <c r="GU1556" s="155"/>
      <c r="GV1556" s="155"/>
      <c r="GW1556" s="155"/>
      <c r="GX1556" s="155"/>
      <c r="GY1556" s="155"/>
      <c r="GZ1556" s="155"/>
      <c r="HA1556" s="155"/>
      <c r="HB1556" s="155"/>
      <c r="HC1556" s="155"/>
      <c r="HD1556" s="155"/>
      <c r="HE1556" s="155"/>
    </row>
    <row r="1557" spans="2:213" s="156" customFormat="1" hidden="1">
      <c r="B1557" s="155"/>
      <c r="C1557" s="155"/>
      <c r="D1557" s="155"/>
      <c r="E1557" s="155"/>
      <c r="F1557" s="155"/>
      <c r="G1557" s="155"/>
      <c r="H1557" s="155"/>
      <c r="I1557" s="155"/>
      <c r="J1557" s="155"/>
      <c r="K1557" s="155"/>
      <c r="L1557" s="155"/>
      <c r="M1557" s="155"/>
      <c r="N1557" s="155"/>
      <c r="O1557" s="155"/>
      <c r="P1557" s="155"/>
      <c r="Q1557" s="155"/>
      <c r="R1557" s="155"/>
      <c r="S1557" s="155"/>
      <c r="T1557" s="155"/>
      <c r="U1557" s="155"/>
      <c r="V1557" s="155"/>
      <c r="W1557" s="155"/>
      <c r="GL1557" s="155"/>
      <c r="GM1557" s="155"/>
      <c r="GN1557" s="155"/>
      <c r="GO1557" s="155"/>
      <c r="GP1557" s="155"/>
      <c r="GQ1557" s="155"/>
      <c r="GR1557" s="155"/>
      <c r="GS1557" s="155"/>
      <c r="GT1557" s="155"/>
      <c r="GU1557" s="155"/>
      <c r="GV1557" s="155"/>
      <c r="GW1557" s="155"/>
      <c r="GX1557" s="155"/>
      <c r="GY1557" s="155"/>
      <c r="GZ1557" s="155"/>
      <c r="HA1557" s="155"/>
      <c r="HB1557" s="155"/>
      <c r="HC1557" s="155"/>
      <c r="HD1557" s="155"/>
      <c r="HE1557" s="155"/>
    </row>
    <row r="1558" spans="2:213" s="156" customFormat="1" hidden="1">
      <c r="B1558" s="155"/>
      <c r="C1558" s="155"/>
      <c r="D1558" s="155"/>
      <c r="E1558" s="155"/>
      <c r="F1558" s="155"/>
      <c r="G1558" s="155"/>
      <c r="H1558" s="155"/>
      <c r="I1558" s="155"/>
      <c r="J1558" s="155"/>
      <c r="K1558" s="155"/>
      <c r="L1558" s="155"/>
      <c r="M1558" s="155"/>
      <c r="N1558" s="155"/>
      <c r="O1558" s="155"/>
      <c r="P1558" s="155"/>
      <c r="Q1558" s="155"/>
      <c r="R1558" s="155"/>
      <c r="S1558" s="155"/>
      <c r="T1558" s="155"/>
      <c r="U1558" s="155"/>
      <c r="V1558" s="155"/>
      <c r="W1558" s="155"/>
      <c r="GL1558" s="155"/>
      <c r="GM1558" s="155"/>
      <c r="GN1558" s="155"/>
      <c r="GO1558" s="155"/>
      <c r="GP1558" s="155"/>
      <c r="GQ1558" s="155"/>
      <c r="GR1558" s="155"/>
      <c r="GS1558" s="155"/>
      <c r="GT1558" s="155"/>
      <c r="GU1558" s="155"/>
      <c r="GV1558" s="155"/>
      <c r="GW1558" s="155"/>
      <c r="GX1558" s="155"/>
      <c r="GY1558" s="155"/>
      <c r="GZ1558" s="155"/>
      <c r="HA1558" s="155"/>
      <c r="HB1558" s="155"/>
      <c r="HC1558" s="155"/>
      <c r="HD1558" s="155"/>
      <c r="HE1558" s="155"/>
    </row>
    <row r="1559" spans="2:213" s="156" customFormat="1" hidden="1">
      <c r="B1559" s="155"/>
      <c r="C1559" s="155"/>
      <c r="D1559" s="155"/>
      <c r="E1559" s="155"/>
      <c r="F1559" s="155"/>
      <c r="G1559" s="155"/>
      <c r="H1559" s="155"/>
      <c r="I1559" s="155"/>
      <c r="J1559" s="155"/>
      <c r="K1559" s="155"/>
      <c r="L1559" s="155"/>
      <c r="M1559" s="155"/>
      <c r="N1559" s="155"/>
      <c r="O1559" s="155"/>
      <c r="P1559" s="155"/>
      <c r="Q1559" s="155"/>
      <c r="R1559" s="155"/>
      <c r="S1559" s="155"/>
      <c r="T1559" s="155"/>
      <c r="U1559" s="155"/>
      <c r="V1559" s="155"/>
      <c r="W1559" s="155"/>
      <c r="GL1559" s="155"/>
      <c r="GM1559" s="155"/>
      <c r="GN1559" s="155"/>
      <c r="GO1559" s="155"/>
      <c r="GP1559" s="155"/>
      <c r="GQ1559" s="155"/>
      <c r="GR1559" s="155"/>
      <c r="GS1559" s="155"/>
      <c r="GT1559" s="155"/>
      <c r="GU1559" s="155"/>
      <c r="GV1559" s="155"/>
      <c r="GW1559" s="155"/>
      <c r="GX1559" s="155"/>
      <c r="GY1559" s="155"/>
      <c r="GZ1559" s="155"/>
      <c r="HA1559" s="155"/>
      <c r="HB1559" s="155"/>
      <c r="HC1559" s="155"/>
      <c r="HD1559" s="155"/>
      <c r="HE1559" s="155"/>
    </row>
    <row r="1560" spans="2:213" s="156" customFormat="1" hidden="1">
      <c r="B1560" s="155"/>
      <c r="C1560" s="155"/>
      <c r="D1560" s="155"/>
      <c r="E1560" s="155"/>
      <c r="F1560" s="155"/>
      <c r="G1560" s="155"/>
      <c r="H1560" s="155"/>
      <c r="I1560" s="155"/>
      <c r="J1560" s="155"/>
      <c r="K1560" s="155"/>
      <c r="L1560" s="155"/>
      <c r="M1560" s="155"/>
      <c r="N1560" s="155"/>
      <c r="O1560" s="155"/>
      <c r="P1560" s="155"/>
      <c r="Q1560" s="155"/>
      <c r="R1560" s="155"/>
      <c r="S1560" s="155"/>
      <c r="T1560" s="155"/>
      <c r="U1560" s="155"/>
      <c r="V1560" s="155"/>
      <c r="W1560" s="155"/>
      <c r="GL1560" s="155"/>
      <c r="GM1560" s="155"/>
      <c r="GN1560" s="155"/>
      <c r="GO1560" s="155"/>
      <c r="GP1560" s="155"/>
      <c r="GQ1560" s="155"/>
      <c r="GR1560" s="155"/>
      <c r="GS1560" s="155"/>
      <c r="GT1560" s="155"/>
      <c r="GU1560" s="155"/>
      <c r="GV1560" s="155"/>
      <c r="GW1560" s="155"/>
      <c r="GX1560" s="155"/>
      <c r="GY1560" s="155"/>
      <c r="GZ1560" s="155"/>
      <c r="HA1560" s="155"/>
      <c r="HB1560" s="155"/>
      <c r="HC1560" s="155"/>
      <c r="HD1560" s="155"/>
      <c r="HE1560" s="155"/>
    </row>
    <row r="1561" spans="2:213" s="156" customFormat="1" hidden="1">
      <c r="B1561" s="155"/>
      <c r="C1561" s="155"/>
      <c r="D1561" s="155"/>
      <c r="E1561" s="155"/>
      <c r="F1561" s="155"/>
      <c r="G1561" s="155"/>
      <c r="H1561" s="155"/>
      <c r="I1561" s="155"/>
      <c r="J1561" s="155"/>
      <c r="K1561" s="155"/>
      <c r="L1561" s="155"/>
      <c r="M1561" s="155"/>
      <c r="N1561" s="155"/>
      <c r="O1561" s="155"/>
      <c r="P1561" s="155"/>
      <c r="Q1561" s="155"/>
      <c r="R1561" s="155"/>
      <c r="S1561" s="155"/>
      <c r="T1561" s="155"/>
      <c r="U1561" s="155"/>
      <c r="V1561" s="155"/>
      <c r="W1561" s="155"/>
      <c r="GL1561" s="155"/>
      <c r="GM1561" s="155"/>
      <c r="GN1561" s="155"/>
      <c r="GO1561" s="155"/>
      <c r="GP1561" s="155"/>
      <c r="GQ1561" s="155"/>
      <c r="GR1561" s="155"/>
      <c r="GS1561" s="155"/>
      <c r="GT1561" s="155"/>
      <c r="GU1561" s="155"/>
      <c r="GV1561" s="155"/>
      <c r="GW1561" s="155"/>
      <c r="GX1561" s="155"/>
      <c r="GY1561" s="155"/>
      <c r="GZ1561" s="155"/>
      <c r="HA1561" s="155"/>
      <c r="HB1561" s="155"/>
      <c r="HC1561" s="155"/>
      <c r="HD1561" s="155"/>
      <c r="HE1561" s="155"/>
    </row>
    <row r="1562" spans="2:213" s="156" customFormat="1" hidden="1">
      <c r="B1562" s="155"/>
      <c r="C1562" s="155"/>
      <c r="D1562" s="155"/>
      <c r="E1562" s="155"/>
      <c r="F1562" s="155"/>
      <c r="G1562" s="155"/>
      <c r="H1562" s="155"/>
      <c r="I1562" s="155"/>
      <c r="J1562" s="155"/>
      <c r="K1562" s="155"/>
      <c r="L1562" s="155"/>
      <c r="M1562" s="155"/>
      <c r="N1562" s="155"/>
      <c r="O1562" s="155"/>
      <c r="P1562" s="155"/>
      <c r="Q1562" s="155"/>
      <c r="R1562" s="155"/>
      <c r="S1562" s="155"/>
      <c r="T1562" s="155"/>
      <c r="U1562" s="155"/>
      <c r="V1562" s="155"/>
      <c r="W1562" s="155"/>
      <c r="GL1562" s="155"/>
      <c r="GM1562" s="155"/>
      <c r="GN1562" s="155"/>
      <c r="GO1562" s="155"/>
      <c r="GP1562" s="155"/>
      <c r="GQ1562" s="155"/>
      <c r="GR1562" s="155"/>
      <c r="GS1562" s="155"/>
      <c r="GT1562" s="155"/>
      <c r="GU1562" s="155"/>
      <c r="GV1562" s="155"/>
      <c r="GW1562" s="155"/>
      <c r="GX1562" s="155"/>
      <c r="GY1562" s="155"/>
      <c r="GZ1562" s="155"/>
      <c r="HA1562" s="155"/>
      <c r="HB1562" s="155"/>
      <c r="HC1562" s="155"/>
      <c r="HD1562" s="155"/>
      <c r="HE1562" s="155"/>
    </row>
    <row r="1563" spans="2:213" s="156" customFormat="1" hidden="1">
      <c r="B1563" s="155"/>
      <c r="C1563" s="155"/>
      <c r="D1563" s="155"/>
      <c r="E1563" s="155"/>
      <c r="F1563" s="155"/>
      <c r="G1563" s="155"/>
      <c r="H1563" s="155"/>
      <c r="I1563" s="155"/>
      <c r="J1563" s="155"/>
      <c r="K1563" s="155"/>
      <c r="L1563" s="155"/>
      <c r="M1563" s="155"/>
      <c r="N1563" s="155"/>
      <c r="O1563" s="155"/>
      <c r="P1563" s="155"/>
      <c r="Q1563" s="155"/>
      <c r="R1563" s="155"/>
      <c r="S1563" s="155"/>
      <c r="T1563" s="155"/>
      <c r="U1563" s="155"/>
      <c r="V1563" s="155"/>
      <c r="W1563" s="155"/>
      <c r="GL1563" s="155"/>
      <c r="GM1563" s="155"/>
      <c r="GN1563" s="155"/>
      <c r="GO1563" s="155"/>
      <c r="GP1563" s="155"/>
      <c r="GQ1563" s="155"/>
      <c r="GR1563" s="155"/>
      <c r="GS1563" s="155"/>
      <c r="GT1563" s="155"/>
      <c r="GU1563" s="155"/>
      <c r="GV1563" s="155"/>
      <c r="GW1563" s="155"/>
      <c r="GX1563" s="155"/>
      <c r="GY1563" s="155"/>
      <c r="GZ1563" s="155"/>
      <c r="HA1563" s="155"/>
      <c r="HB1563" s="155"/>
      <c r="HC1563" s="155"/>
      <c r="HD1563" s="155"/>
      <c r="HE1563" s="155"/>
    </row>
    <row r="1564" spans="2:213" s="156" customFormat="1" hidden="1">
      <c r="B1564" s="155"/>
      <c r="C1564" s="155"/>
      <c r="D1564" s="155"/>
      <c r="E1564" s="155"/>
      <c r="F1564" s="155"/>
      <c r="G1564" s="155"/>
      <c r="H1564" s="155"/>
      <c r="I1564" s="155"/>
      <c r="J1564" s="155"/>
      <c r="K1564" s="155"/>
      <c r="L1564" s="155"/>
      <c r="M1564" s="155"/>
      <c r="N1564" s="155"/>
      <c r="O1564" s="155"/>
      <c r="P1564" s="155"/>
      <c r="Q1564" s="155"/>
      <c r="R1564" s="155"/>
      <c r="S1564" s="155"/>
      <c r="T1564" s="155"/>
      <c r="U1564" s="155"/>
      <c r="V1564" s="155"/>
      <c r="W1564" s="155"/>
      <c r="GL1564" s="155"/>
      <c r="GM1564" s="155"/>
      <c r="GN1564" s="155"/>
      <c r="GO1564" s="155"/>
      <c r="GP1564" s="155"/>
      <c r="GQ1564" s="155"/>
      <c r="GR1564" s="155"/>
      <c r="GS1564" s="155"/>
      <c r="GT1564" s="155"/>
      <c r="GU1564" s="155"/>
      <c r="GV1564" s="155"/>
      <c r="GW1564" s="155"/>
      <c r="GX1564" s="155"/>
      <c r="GY1564" s="155"/>
      <c r="GZ1564" s="155"/>
      <c r="HA1564" s="155"/>
      <c r="HB1564" s="155"/>
      <c r="HC1564" s="155"/>
      <c r="HD1564" s="155"/>
      <c r="HE1564" s="155"/>
    </row>
    <row r="1565" spans="2:213" s="156" customFormat="1" hidden="1">
      <c r="B1565" s="155"/>
      <c r="C1565" s="155"/>
      <c r="D1565" s="155"/>
      <c r="E1565" s="155"/>
      <c r="F1565" s="155"/>
      <c r="G1565" s="155"/>
      <c r="H1565" s="155"/>
      <c r="I1565" s="155"/>
      <c r="J1565" s="155"/>
      <c r="K1565" s="155"/>
      <c r="L1565" s="155"/>
      <c r="M1565" s="155"/>
      <c r="N1565" s="155"/>
      <c r="O1565" s="155"/>
      <c r="P1565" s="155"/>
      <c r="Q1565" s="155"/>
      <c r="R1565" s="155"/>
      <c r="S1565" s="155"/>
      <c r="T1565" s="155"/>
      <c r="U1565" s="155"/>
      <c r="V1565" s="155"/>
      <c r="W1565" s="155"/>
      <c r="GL1565" s="155"/>
      <c r="GM1565" s="155"/>
      <c r="GN1565" s="155"/>
      <c r="GO1565" s="155"/>
      <c r="GP1565" s="155"/>
      <c r="GQ1565" s="155"/>
      <c r="GR1565" s="155"/>
      <c r="GS1565" s="155"/>
      <c r="GT1565" s="155"/>
      <c r="GU1565" s="155"/>
      <c r="GV1565" s="155"/>
      <c r="GW1565" s="155"/>
      <c r="GX1565" s="155"/>
      <c r="GY1565" s="155"/>
      <c r="GZ1565" s="155"/>
      <c r="HA1565" s="155"/>
      <c r="HB1565" s="155"/>
      <c r="HC1565" s="155"/>
      <c r="HD1565" s="155"/>
      <c r="HE1565" s="155"/>
    </row>
    <row r="1566" spans="2:213" s="156" customFormat="1" hidden="1">
      <c r="B1566" s="155"/>
      <c r="C1566" s="155"/>
      <c r="D1566" s="155"/>
      <c r="E1566" s="155"/>
      <c r="F1566" s="155"/>
      <c r="G1566" s="155"/>
      <c r="H1566" s="155"/>
      <c r="I1566" s="155"/>
      <c r="J1566" s="155"/>
      <c r="K1566" s="155"/>
      <c r="L1566" s="155"/>
      <c r="M1566" s="155"/>
      <c r="N1566" s="155"/>
      <c r="O1566" s="155"/>
      <c r="P1566" s="155"/>
      <c r="Q1566" s="155"/>
      <c r="R1566" s="155"/>
      <c r="S1566" s="155"/>
      <c r="T1566" s="155"/>
      <c r="U1566" s="155"/>
      <c r="V1566" s="155"/>
      <c r="W1566" s="155"/>
      <c r="GL1566" s="155"/>
      <c r="GM1566" s="155"/>
      <c r="GN1566" s="155"/>
      <c r="GO1566" s="155"/>
      <c r="GP1566" s="155"/>
      <c r="GQ1566" s="155"/>
      <c r="GR1566" s="155"/>
      <c r="GS1566" s="155"/>
      <c r="GT1566" s="155"/>
      <c r="GU1566" s="155"/>
      <c r="GV1566" s="155"/>
      <c r="GW1566" s="155"/>
      <c r="GX1566" s="155"/>
      <c r="GY1566" s="155"/>
      <c r="GZ1566" s="155"/>
      <c r="HA1566" s="155"/>
      <c r="HB1566" s="155"/>
      <c r="HC1566" s="155"/>
      <c r="HD1566" s="155"/>
      <c r="HE1566" s="155"/>
    </row>
    <row r="1567" spans="2:213" s="156" customFormat="1" hidden="1">
      <c r="B1567" s="155"/>
      <c r="C1567" s="155"/>
      <c r="D1567" s="155"/>
      <c r="E1567" s="155"/>
      <c r="F1567" s="155"/>
      <c r="G1567" s="155"/>
      <c r="H1567" s="155"/>
      <c r="I1567" s="155"/>
      <c r="J1567" s="155"/>
      <c r="K1567" s="155"/>
      <c r="L1567" s="155"/>
      <c r="M1567" s="155"/>
      <c r="N1567" s="155"/>
      <c r="O1567" s="155"/>
      <c r="P1567" s="155"/>
      <c r="Q1567" s="155"/>
      <c r="R1567" s="155"/>
      <c r="S1567" s="155"/>
      <c r="T1567" s="155"/>
      <c r="U1567" s="155"/>
      <c r="V1567" s="155"/>
      <c r="W1567" s="155"/>
      <c r="GL1567" s="155"/>
      <c r="GM1567" s="155"/>
      <c r="GN1567" s="155"/>
      <c r="GO1567" s="155"/>
      <c r="GP1567" s="155"/>
      <c r="GQ1567" s="155"/>
      <c r="GR1567" s="155"/>
      <c r="GS1567" s="155"/>
      <c r="GT1567" s="155"/>
      <c r="GU1567" s="155"/>
      <c r="GV1567" s="155"/>
      <c r="GW1567" s="155"/>
      <c r="GX1567" s="155"/>
      <c r="GY1567" s="155"/>
      <c r="GZ1567" s="155"/>
      <c r="HA1567" s="155"/>
      <c r="HB1567" s="155"/>
      <c r="HC1567" s="155"/>
      <c r="HD1567" s="155"/>
      <c r="HE1567" s="155"/>
    </row>
    <row r="1568" spans="2:213" s="156" customFormat="1" hidden="1">
      <c r="B1568" s="155"/>
      <c r="C1568" s="155"/>
      <c r="D1568" s="155"/>
      <c r="E1568" s="155"/>
      <c r="F1568" s="155"/>
      <c r="G1568" s="155"/>
      <c r="H1568" s="155"/>
      <c r="I1568" s="155"/>
      <c r="J1568" s="155"/>
      <c r="K1568" s="155"/>
      <c r="L1568" s="155"/>
      <c r="M1568" s="155"/>
      <c r="N1568" s="155"/>
      <c r="O1568" s="155"/>
      <c r="P1568" s="155"/>
      <c r="Q1568" s="155"/>
      <c r="R1568" s="155"/>
      <c r="S1568" s="155"/>
      <c r="T1568" s="155"/>
      <c r="U1568" s="155"/>
      <c r="V1568" s="155"/>
      <c r="W1568" s="155"/>
      <c r="GL1568" s="155"/>
      <c r="GM1568" s="155"/>
      <c r="GN1568" s="155"/>
      <c r="GO1568" s="155"/>
      <c r="GP1568" s="155"/>
      <c r="GQ1568" s="155"/>
      <c r="GR1568" s="155"/>
      <c r="GS1568" s="155"/>
      <c r="GT1568" s="155"/>
      <c r="GU1568" s="155"/>
      <c r="GV1568" s="155"/>
      <c r="GW1568" s="155"/>
      <c r="GX1568" s="155"/>
      <c r="GY1568" s="155"/>
      <c r="GZ1568" s="155"/>
      <c r="HA1568" s="155"/>
      <c r="HB1568" s="155"/>
      <c r="HC1568" s="155"/>
      <c r="HD1568" s="155"/>
      <c r="HE1568" s="155"/>
    </row>
    <row r="1569" spans="2:213" s="156" customFormat="1" hidden="1">
      <c r="B1569" s="155"/>
      <c r="C1569" s="155"/>
      <c r="D1569" s="155"/>
      <c r="E1569" s="155"/>
      <c r="F1569" s="155"/>
      <c r="G1569" s="155"/>
      <c r="H1569" s="155"/>
      <c r="I1569" s="155"/>
      <c r="J1569" s="155"/>
      <c r="K1569" s="155"/>
      <c r="L1569" s="155"/>
      <c r="M1569" s="155"/>
      <c r="N1569" s="155"/>
      <c r="O1569" s="155"/>
      <c r="P1569" s="155"/>
      <c r="Q1569" s="155"/>
      <c r="R1569" s="155"/>
      <c r="S1569" s="155"/>
      <c r="T1569" s="155"/>
      <c r="U1569" s="155"/>
      <c r="V1569" s="155"/>
      <c r="W1569" s="155"/>
      <c r="GL1569" s="155"/>
      <c r="GM1569" s="155"/>
      <c r="GN1569" s="155"/>
      <c r="GO1569" s="155"/>
      <c r="GP1569" s="155"/>
      <c r="GQ1569" s="155"/>
      <c r="GR1569" s="155"/>
      <c r="GS1569" s="155"/>
      <c r="GT1569" s="155"/>
      <c r="GU1569" s="155"/>
      <c r="GV1569" s="155"/>
      <c r="GW1569" s="155"/>
      <c r="GX1569" s="155"/>
      <c r="GY1569" s="155"/>
      <c r="GZ1569" s="155"/>
      <c r="HA1569" s="155"/>
      <c r="HB1569" s="155"/>
      <c r="HC1569" s="155"/>
      <c r="HD1569" s="155"/>
      <c r="HE1569" s="155"/>
    </row>
    <row r="1570" spans="2:213" s="156" customFormat="1" hidden="1">
      <c r="B1570" s="155"/>
      <c r="C1570" s="155"/>
      <c r="D1570" s="155"/>
      <c r="E1570" s="155"/>
      <c r="F1570" s="155"/>
      <c r="G1570" s="155"/>
      <c r="H1570" s="155"/>
      <c r="I1570" s="155"/>
      <c r="J1570" s="155"/>
      <c r="K1570" s="155"/>
      <c r="L1570" s="155"/>
      <c r="M1570" s="155"/>
      <c r="N1570" s="155"/>
      <c r="O1570" s="155"/>
      <c r="P1570" s="155"/>
      <c r="Q1570" s="155"/>
      <c r="R1570" s="155"/>
      <c r="S1570" s="155"/>
      <c r="T1570" s="155"/>
      <c r="U1570" s="155"/>
      <c r="V1570" s="155"/>
      <c r="W1570" s="155"/>
      <c r="GL1570" s="155"/>
      <c r="GM1570" s="155"/>
      <c r="GN1570" s="155"/>
      <c r="GO1570" s="155"/>
      <c r="GP1570" s="155"/>
      <c r="GQ1570" s="155"/>
      <c r="GR1570" s="155"/>
      <c r="GS1570" s="155"/>
      <c r="GT1570" s="155"/>
      <c r="GU1570" s="155"/>
      <c r="GV1570" s="155"/>
      <c r="GW1570" s="155"/>
      <c r="GX1570" s="155"/>
      <c r="GY1570" s="155"/>
      <c r="GZ1570" s="155"/>
      <c r="HA1570" s="155"/>
      <c r="HB1570" s="155"/>
      <c r="HC1570" s="155"/>
      <c r="HD1570" s="155"/>
      <c r="HE1570" s="155"/>
    </row>
    <row r="1571" spans="2:213" s="156" customFormat="1" hidden="1">
      <c r="B1571" s="155"/>
      <c r="C1571" s="155"/>
      <c r="D1571" s="155"/>
      <c r="E1571" s="155"/>
      <c r="F1571" s="155"/>
      <c r="G1571" s="155"/>
      <c r="H1571" s="155"/>
      <c r="I1571" s="155"/>
      <c r="J1571" s="155"/>
      <c r="K1571" s="155"/>
      <c r="L1571" s="155"/>
      <c r="M1571" s="155"/>
      <c r="N1571" s="155"/>
      <c r="O1571" s="155"/>
      <c r="P1571" s="155"/>
      <c r="Q1571" s="155"/>
      <c r="R1571" s="155"/>
      <c r="S1571" s="155"/>
      <c r="T1571" s="155"/>
      <c r="U1571" s="155"/>
      <c r="V1571" s="155"/>
      <c r="W1571" s="155"/>
      <c r="GL1571" s="155"/>
      <c r="GM1571" s="155"/>
      <c r="GN1571" s="155"/>
      <c r="GO1571" s="155"/>
      <c r="GP1571" s="155"/>
      <c r="GQ1571" s="155"/>
      <c r="GR1571" s="155"/>
      <c r="GS1571" s="155"/>
      <c r="GT1571" s="155"/>
      <c r="GU1571" s="155"/>
      <c r="GV1571" s="155"/>
      <c r="GW1571" s="155"/>
      <c r="GX1571" s="155"/>
      <c r="GY1571" s="155"/>
      <c r="GZ1571" s="155"/>
      <c r="HA1571" s="155"/>
      <c r="HB1571" s="155"/>
      <c r="HC1571" s="155"/>
      <c r="HD1571" s="155"/>
      <c r="HE1571" s="155"/>
    </row>
    <row r="1572" spans="2:213" s="156" customFormat="1" hidden="1">
      <c r="B1572" s="155"/>
      <c r="C1572" s="155"/>
      <c r="D1572" s="155"/>
      <c r="E1572" s="155"/>
      <c r="F1572" s="155"/>
      <c r="G1572" s="155"/>
      <c r="H1572" s="155"/>
      <c r="I1572" s="155"/>
      <c r="J1572" s="155"/>
      <c r="K1572" s="155"/>
      <c r="L1572" s="155"/>
      <c r="M1572" s="155"/>
      <c r="N1572" s="155"/>
      <c r="O1572" s="155"/>
      <c r="P1572" s="155"/>
      <c r="Q1572" s="155"/>
      <c r="R1572" s="155"/>
      <c r="S1572" s="155"/>
      <c r="T1572" s="155"/>
      <c r="U1572" s="155"/>
      <c r="V1572" s="155"/>
      <c r="W1572" s="155"/>
      <c r="GL1572" s="155"/>
      <c r="GM1572" s="155"/>
      <c r="GN1572" s="155"/>
      <c r="GO1572" s="155"/>
      <c r="GP1572" s="155"/>
      <c r="GQ1572" s="155"/>
      <c r="GR1572" s="155"/>
      <c r="GS1572" s="155"/>
      <c r="GT1572" s="155"/>
      <c r="GU1572" s="155"/>
      <c r="GV1572" s="155"/>
      <c r="GW1572" s="155"/>
      <c r="GX1572" s="155"/>
      <c r="GY1572" s="155"/>
      <c r="GZ1572" s="155"/>
      <c r="HA1572" s="155"/>
      <c r="HB1572" s="155"/>
      <c r="HC1572" s="155"/>
      <c r="HD1572" s="155"/>
      <c r="HE1572" s="155"/>
    </row>
    <row r="1573" spans="2:213" s="156" customFormat="1" hidden="1">
      <c r="B1573" s="155"/>
      <c r="C1573" s="155"/>
      <c r="D1573" s="155"/>
      <c r="E1573" s="155"/>
      <c r="F1573" s="155"/>
      <c r="G1573" s="155"/>
      <c r="H1573" s="155"/>
      <c r="I1573" s="155"/>
      <c r="J1573" s="155"/>
      <c r="K1573" s="155"/>
      <c r="L1573" s="155"/>
      <c r="M1573" s="155"/>
      <c r="N1573" s="155"/>
      <c r="O1573" s="155"/>
      <c r="P1573" s="155"/>
      <c r="Q1573" s="155"/>
      <c r="R1573" s="155"/>
      <c r="S1573" s="155"/>
      <c r="T1573" s="155"/>
      <c r="U1573" s="155"/>
      <c r="V1573" s="155"/>
      <c r="W1573" s="155"/>
      <c r="GL1573" s="155"/>
      <c r="GM1573" s="155"/>
      <c r="GN1573" s="155"/>
      <c r="GO1573" s="155"/>
      <c r="GP1573" s="155"/>
      <c r="GQ1573" s="155"/>
      <c r="GR1573" s="155"/>
      <c r="GS1573" s="155"/>
      <c r="GT1573" s="155"/>
      <c r="GU1573" s="155"/>
      <c r="GV1573" s="155"/>
      <c r="GW1573" s="155"/>
      <c r="GX1573" s="155"/>
      <c r="GY1573" s="155"/>
      <c r="GZ1573" s="155"/>
      <c r="HA1573" s="155"/>
      <c r="HB1573" s="155"/>
      <c r="HC1573" s="155"/>
      <c r="HD1573" s="155"/>
      <c r="HE1573" s="155"/>
    </row>
    <row r="1574" spans="2:213" s="156" customFormat="1" hidden="1">
      <c r="B1574" s="155"/>
      <c r="C1574" s="155"/>
      <c r="D1574" s="155"/>
      <c r="E1574" s="155"/>
      <c r="F1574" s="155"/>
      <c r="G1574" s="155"/>
      <c r="H1574" s="155"/>
      <c r="I1574" s="155"/>
      <c r="J1574" s="155"/>
      <c r="K1574" s="155"/>
      <c r="L1574" s="155"/>
      <c r="M1574" s="155"/>
      <c r="N1574" s="155"/>
      <c r="O1574" s="155"/>
      <c r="P1574" s="155"/>
      <c r="Q1574" s="155"/>
      <c r="R1574" s="155"/>
      <c r="S1574" s="155"/>
      <c r="T1574" s="155"/>
      <c r="U1574" s="155"/>
      <c r="V1574" s="155"/>
      <c r="W1574" s="155"/>
      <c r="GL1574" s="155"/>
      <c r="GM1574" s="155"/>
      <c r="GN1574" s="155"/>
      <c r="GO1574" s="155"/>
      <c r="GP1574" s="155"/>
      <c r="GQ1574" s="155"/>
      <c r="GR1574" s="155"/>
      <c r="GS1574" s="155"/>
      <c r="GT1574" s="155"/>
      <c r="GU1574" s="155"/>
      <c r="GV1574" s="155"/>
      <c r="GW1574" s="155"/>
      <c r="GX1574" s="155"/>
      <c r="GY1574" s="155"/>
      <c r="GZ1574" s="155"/>
      <c r="HA1574" s="155"/>
      <c r="HB1574" s="155"/>
      <c r="HC1574" s="155"/>
      <c r="HD1574" s="155"/>
      <c r="HE1574" s="155"/>
    </row>
    <row r="1575" spans="2:213" s="156" customFormat="1" hidden="1">
      <c r="B1575" s="155"/>
      <c r="C1575" s="155"/>
      <c r="D1575" s="155"/>
      <c r="E1575" s="155"/>
      <c r="F1575" s="155"/>
      <c r="G1575" s="155"/>
      <c r="H1575" s="155"/>
      <c r="I1575" s="155"/>
      <c r="J1575" s="155"/>
      <c r="K1575" s="155"/>
      <c r="L1575" s="155"/>
      <c r="M1575" s="155"/>
      <c r="N1575" s="155"/>
      <c r="O1575" s="155"/>
      <c r="P1575" s="155"/>
      <c r="Q1575" s="155"/>
      <c r="R1575" s="155"/>
      <c r="S1575" s="155"/>
      <c r="T1575" s="155"/>
      <c r="U1575" s="155"/>
      <c r="V1575" s="155"/>
      <c r="W1575" s="155"/>
      <c r="GL1575" s="155"/>
      <c r="GM1575" s="155"/>
      <c r="GN1575" s="155"/>
      <c r="GO1575" s="155"/>
      <c r="GP1575" s="155"/>
      <c r="GQ1575" s="155"/>
      <c r="GR1575" s="155"/>
      <c r="GS1575" s="155"/>
      <c r="GT1575" s="155"/>
      <c r="GU1575" s="155"/>
      <c r="GV1575" s="155"/>
      <c r="GW1575" s="155"/>
      <c r="GX1575" s="155"/>
      <c r="GY1575" s="155"/>
      <c r="GZ1575" s="155"/>
      <c r="HA1575" s="155"/>
      <c r="HB1575" s="155"/>
      <c r="HC1575" s="155"/>
      <c r="HD1575" s="155"/>
      <c r="HE1575" s="155"/>
    </row>
    <row r="1576" spans="2:213" s="156" customFormat="1" hidden="1">
      <c r="B1576" s="155"/>
      <c r="C1576" s="155"/>
      <c r="D1576" s="155"/>
      <c r="E1576" s="155"/>
      <c r="F1576" s="155"/>
      <c r="G1576" s="155"/>
      <c r="H1576" s="155"/>
      <c r="I1576" s="155"/>
      <c r="J1576" s="155"/>
      <c r="K1576" s="155"/>
      <c r="L1576" s="155"/>
      <c r="M1576" s="155"/>
      <c r="N1576" s="155"/>
      <c r="O1576" s="155"/>
      <c r="P1576" s="155"/>
      <c r="Q1576" s="155"/>
      <c r="R1576" s="155"/>
      <c r="S1576" s="155"/>
      <c r="T1576" s="155"/>
      <c r="U1576" s="155"/>
      <c r="V1576" s="155"/>
      <c r="W1576" s="155"/>
      <c r="GL1576" s="155"/>
      <c r="GM1576" s="155"/>
      <c r="GN1576" s="155"/>
      <c r="GO1576" s="155"/>
      <c r="GP1576" s="155"/>
      <c r="GQ1576" s="155"/>
      <c r="GR1576" s="155"/>
      <c r="GS1576" s="155"/>
      <c r="GT1576" s="155"/>
      <c r="GU1576" s="155"/>
      <c r="GV1576" s="155"/>
      <c r="GW1576" s="155"/>
      <c r="GX1576" s="155"/>
      <c r="GY1576" s="155"/>
      <c r="GZ1576" s="155"/>
      <c r="HA1576" s="155"/>
      <c r="HB1576" s="155"/>
      <c r="HC1576" s="155"/>
      <c r="HD1576" s="155"/>
      <c r="HE1576" s="155"/>
    </row>
    <row r="1577" spans="2:213" s="156" customFormat="1" hidden="1">
      <c r="B1577" s="155"/>
      <c r="C1577" s="155"/>
      <c r="D1577" s="155"/>
      <c r="E1577" s="155"/>
      <c r="F1577" s="155"/>
      <c r="G1577" s="155"/>
      <c r="H1577" s="155"/>
      <c r="I1577" s="155"/>
      <c r="J1577" s="155"/>
      <c r="K1577" s="155"/>
      <c r="L1577" s="155"/>
      <c r="M1577" s="155"/>
      <c r="N1577" s="155"/>
      <c r="O1577" s="155"/>
      <c r="P1577" s="155"/>
      <c r="Q1577" s="155"/>
      <c r="R1577" s="155"/>
      <c r="S1577" s="155"/>
      <c r="T1577" s="155"/>
      <c r="U1577" s="155"/>
      <c r="V1577" s="155"/>
      <c r="W1577" s="155"/>
      <c r="GL1577" s="155"/>
      <c r="GM1577" s="155"/>
      <c r="GN1577" s="155"/>
      <c r="GO1577" s="155"/>
      <c r="GP1577" s="155"/>
      <c r="GQ1577" s="155"/>
      <c r="GR1577" s="155"/>
      <c r="GS1577" s="155"/>
      <c r="GT1577" s="155"/>
      <c r="GU1577" s="155"/>
      <c r="GV1577" s="155"/>
      <c r="GW1577" s="155"/>
      <c r="GX1577" s="155"/>
      <c r="GY1577" s="155"/>
      <c r="GZ1577" s="155"/>
      <c r="HA1577" s="155"/>
      <c r="HB1577" s="155"/>
      <c r="HC1577" s="155"/>
      <c r="HD1577" s="155"/>
      <c r="HE1577" s="155"/>
    </row>
    <row r="1578" spans="2:213" s="156" customFormat="1" hidden="1">
      <c r="B1578" s="155"/>
      <c r="C1578" s="155"/>
      <c r="D1578" s="155"/>
      <c r="E1578" s="155"/>
      <c r="F1578" s="155"/>
      <c r="G1578" s="155"/>
      <c r="H1578" s="155"/>
      <c r="I1578" s="155"/>
      <c r="J1578" s="155"/>
      <c r="K1578" s="155"/>
      <c r="L1578" s="155"/>
      <c r="M1578" s="155"/>
      <c r="N1578" s="155"/>
      <c r="O1578" s="155"/>
      <c r="P1578" s="155"/>
      <c r="Q1578" s="155"/>
      <c r="R1578" s="155"/>
      <c r="S1578" s="155"/>
      <c r="T1578" s="155"/>
      <c r="U1578" s="155"/>
      <c r="V1578" s="155"/>
      <c r="W1578" s="155"/>
      <c r="GL1578" s="155"/>
      <c r="GM1578" s="155"/>
      <c r="GN1578" s="155"/>
      <c r="GO1578" s="155"/>
      <c r="GP1578" s="155"/>
      <c r="GQ1578" s="155"/>
      <c r="GR1578" s="155"/>
      <c r="GS1578" s="155"/>
      <c r="GT1578" s="155"/>
      <c r="GU1578" s="155"/>
      <c r="GV1578" s="155"/>
      <c r="GW1578" s="155"/>
      <c r="GX1578" s="155"/>
      <c r="GY1578" s="155"/>
      <c r="GZ1578" s="155"/>
      <c r="HA1578" s="155"/>
      <c r="HB1578" s="155"/>
      <c r="HC1578" s="155"/>
      <c r="HD1578" s="155"/>
      <c r="HE1578" s="155"/>
    </row>
    <row r="1579" spans="2:213" s="156" customFormat="1" hidden="1">
      <c r="B1579" s="155"/>
      <c r="C1579" s="155"/>
      <c r="D1579" s="155"/>
      <c r="E1579" s="155"/>
      <c r="F1579" s="155"/>
      <c r="G1579" s="155"/>
      <c r="H1579" s="155"/>
      <c r="I1579" s="155"/>
      <c r="J1579" s="155"/>
      <c r="K1579" s="155"/>
      <c r="L1579" s="155"/>
      <c r="M1579" s="155"/>
      <c r="N1579" s="155"/>
      <c r="O1579" s="155"/>
      <c r="P1579" s="155"/>
      <c r="Q1579" s="155"/>
      <c r="R1579" s="155"/>
      <c r="S1579" s="155"/>
      <c r="T1579" s="155"/>
      <c r="U1579" s="155"/>
      <c r="V1579" s="155"/>
      <c r="W1579" s="155"/>
      <c r="GL1579" s="155"/>
      <c r="GM1579" s="155"/>
      <c r="GN1579" s="155"/>
      <c r="GO1579" s="155"/>
      <c r="GP1579" s="155"/>
      <c r="GQ1579" s="155"/>
      <c r="GR1579" s="155"/>
      <c r="GS1579" s="155"/>
      <c r="GT1579" s="155"/>
      <c r="GU1579" s="155"/>
      <c r="GV1579" s="155"/>
      <c r="GW1579" s="155"/>
      <c r="GX1579" s="155"/>
      <c r="GY1579" s="155"/>
      <c r="GZ1579" s="155"/>
      <c r="HA1579" s="155"/>
      <c r="HB1579" s="155"/>
      <c r="HC1579" s="155"/>
      <c r="HD1579" s="155"/>
      <c r="HE1579" s="155"/>
    </row>
    <row r="1580" spans="2:213" s="156" customFormat="1" hidden="1">
      <c r="B1580" s="155"/>
      <c r="C1580" s="155"/>
      <c r="D1580" s="155"/>
      <c r="E1580" s="155"/>
      <c r="F1580" s="155"/>
      <c r="G1580" s="155"/>
      <c r="H1580" s="155"/>
      <c r="I1580" s="155"/>
      <c r="J1580" s="155"/>
      <c r="K1580" s="155"/>
      <c r="L1580" s="155"/>
      <c r="M1580" s="155"/>
      <c r="N1580" s="155"/>
      <c r="O1580" s="155"/>
      <c r="P1580" s="155"/>
      <c r="Q1580" s="155"/>
      <c r="R1580" s="155"/>
      <c r="S1580" s="155"/>
      <c r="T1580" s="155"/>
      <c r="U1580" s="155"/>
      <c r="V1580" s="155"/>
      <c r="W1580" s="155"/>
      <c r="GL1580" s="155"/>
      <c r="GM1580" s="155"/>
      <c r="GN1580" s="155"/>
      <c r="GO1580" s="155"/>
      <c r="GP1580" s="155"/>
      <c r="GQ1580" s="155"/>
      <c r="GR1580" s="155"/>
      <c r="GS1580" s="155"/>
      <c r="GT1580" s="155"/>
      <c r="GU1580" s="155"/>
      <c r="GV1580" s="155"/>
      <c r="GW1580" s="155"/>
      <c r="GX1580" s="155"/>
      <c r="GY1580" s="155"/>
      <c r="GZ1580" s="155"/>
      <c r="HA1580" s="155"/>
      <c r="HB1580" s="155"/>
      <c r="HC1580" s="155"/>
      <c r="HD1580" s="155"/>
      <c r="HE1580" s="155"/>
    </row>
    <row r="1581" spans="2:213" s="156" customFormat="1" hidden="1">
      <c r="B1581" s="155"/>
      <c r="C1581" s="155"/>
      <c r="D1581" s="155"/>
      <c r="E1581" s="155"/>
      <c r="F1581" s="155"/>
      <c r="G1581" s="155"/>
      <c r="H1581" s="155"/>
      <c r="I1581" s="155"/>
      <c r="J1581" s="155"/>
      <c r="K1581" s="155"/>
      <c r="L1581" s="155"/>
      <c r="M1581" s="155"/>
      <c r="N1581" s="155"/>
      <c r="O1581" s="155"/>
      <c r="P1581" s="155"/>
      <c r="Q1581" s="155"/>
      <c r="R1581" s="155"/>
      <c r="S1581" s="155"/>
      <c r="T1581" s="155"/>
      <c r="U1581" s="155"/>
      <c r="V1581" s="155"/>
      <c r="W1581" s="155"/>
      <c r="GL1581" s="155"/>
      <c r="GM1581" s="155"/>
      <c r="GN1581" s="155"/>
      <c r="GO1581" s="155"/>
      <c r="GP1581" s="155"/>
      <c r="GQ1581" s="155"/>
      <c r="GR1581" s="155"/>
      <c r="GS1581" s="155"/>
      <c r="GT1581" s="155"/>
      <c r="GU1581" s="155"/>
      <c r="GV1581" s="155"/>
      <c r="GW1581" s="155"/>
      <c r="GX1581" s="155"/>
      <c r="GY1581" s="155"/>
      <c r="GZ1581" s="155"/>
      <c r="HA1581" s="155"/>
      <c r="HB1581" s="155"/>
      <c r="HC1581" s="155"/>
      <c r="HD1581" s="155"/>
      <c r="HE1581" s="155"/>
    </row>
    <row r="1582" spans="2:213" s="156" customFormat="1" hidden="1">
      <c r="B1582" s="155"/>
      <c r="C1582" s="155"/>
      <c r="D1582" s="155"/>
      <c r="E1582" s="155"/>
      <c r="F1582" s="155"/>
      <c r="G1582" s="155"/>
      <c r="H1582" s="155"/>
      <c r="I1582" s="155"/>
      <c r="J1582" s="155"/>
      <c r="K1582" s="155"/>
      <c r="L1582" s="155"/>
      <c r="M1582" s="155"/>
      <c r="N1582" s="155"/>
      <c r="O1582" s="155"/>
      <c r="P1582" s="155"/>
      <c r="Q1582" s="155"/>
      <c r="R1582" s="155"/>
      <c r="S1582" s="155"/>
      <c r="T1582" s="155"/>
      <c r="U1582" s="155"/>
      <c r="V1582" s="155"/>
      <c r="W1582" s="155"/>
      <c r="GL1582" s="155"/>
      <c r="GM1582" s="155"/>
      <c r="GN1582" s="155"/>
      <c r="GO1582" s="155"/>
      <c r="GP1582" s="155"/>
      <c r="GQ1582" s="155"/>
      <c r="GR1582" s="155"/>
      <c r="GS1582" s="155"/>
      <c r="GT1582" s="155"/>
      <c r="GU1582" s="155"/>
      <c r="GV1582" s="155"/>
      <c r="GW1582" s="155"/>
      <c r="GX1582" s="155"/>
      <c r="GY1582" s="155"/>
      <c r="GZ1582" s="155"/>
      <c r="HA1582" s="155"/>
      <c r="HB1582" s="155"/>
      <c r="HC1582" s="155"/>
      <c r="HD1582" s="155"/>
      <c r="HE1582" s="155"/>
    </row>
    <row r="1583" spans="2:213" s="156" customFormat="1" hidden="1">
      <c r="B1583" s="155"/>
      <c r="C1583" s="155"/>
      <c r="D1583" s="155"/>
      <c r="E1583" s="155"/>
      <c r="F1583" s="155"/>
      <c r="G1583" s="155"/>
      <c r="H1583" s="155"/>
      <c r="I1583" s="155"/>
      <c r="J1583" s="155"/>
      <c r="K1583" s="155"/>
      <c r="L1583" s="155"/>
      <c r="M1583" s="155"/>
      <c r="N1583" s="155"/>
      <c r="O1583" s="155"/>
      <c r="P1583" s="155"/>
      <c r="Q1583" s="155"/>
      <c r="R1583" s="155"/>
      <c r="S1583" s="155"/>
      <c r="T1583" s="155"/>
      <c r="U1583" s="155"/>
      <c r="V1583" s="155"/>
      <c r="W1583" s="155"/>
      <c r="GL1583" s="155"/>
      <c r="GM1583" s="155"/>
      <c r="GN1583" s="155"/>
      <c r="GO1583" s="155"/>
      <c r="GP1583" s="155"/>
      <c r="GQ1583" s="155"/>
      <c r="GR1583" s="155"/>
      <c r="GS1583" s="155"/>
      <c r="GT1583" s="155"/>
      <c r="GU1583" s="155"/>
      <c r="GV1583" s="155"/>
      <c r="GW1583" s="155"/>
      <c r="GX1583" s="155"/>
      <c r="GY1583" s="155"/>
      <c r="GZ1583" s="155"/>
      <c r="HA1583" s="155"/>
      <c r="HB1583" s="155"/>
      <c r="HC1583" s="155"/>
      <c r="HD1583" s="155"/>
      <c r="HE1583" s="155"/>
    </row>
    <row r="1584" spans="2:213" s="156" customFormat="1" hidden="1">
      <c r="B1584" s="155"/>
      <c r="C1584" s="155"/>
      <c r="D1584" s="155"/>
      <c r="E1584" s="155"/>
      <c r="F1584" s="155"/>
      <c r="G1584" s="155"/>
      <c r="H1584" s="155"/>
      <c r="I1584" s="155"/>
      <c r="J1584" s="155"/>
      <c r="K1584" s="155"/>
      <c r="L1584" s="155"/>
      <c r="M1584" s="155"/>
      <c r="N1584" s="155"/>
      <c r="O1584" s="155"/>
      <c r="P1584" s="155"/>
      <c r="Q1584" s="155"/>
      <c r="R1584" s="155"/>
      <c r="S1584" s="155"/>
      <c r="T1584" s="155"/>
      <c r="U1584" s="155"/>
      <c r="V1584" s="155"/>
      <c r="W1584" s="155"/>
      <c r="GL1584" s="155"/>
      <c r="GM1584" s="155"/>
      <c r="GN1584" s="155"/>
      <c r="GO1584" s="155"/>
      <c r="GP1584" s="155"/>
      <c r="GQ1584" s="155"/>
      <c r="GR1584" s="155"/>
      <c r="GS1584" s="155"/>
      <c r="GT1584" s="155"/>
      <c r="GU1584" s="155"/>
      <c r="GV1584" s="155"/>
      <c r="GW1584" s="155"/>
      <c r="GX1584" s="155"/>
      <c r="GY1584" s="155"/>
      <c r="GZ1584" s="155"/>
      <c r="HA1584" s="155"/>
      <c r="HB1584" s="155"/>
      <c r="HC1584" s="155"/>
      <c r="HD1584" s="155"/>
      <c r="HE1584" s="155"/>
    </row>
    <row r="1585" spans="2:213" s="156" customFormat="1" hidden="1">
      <c r="B1585" s="155"/>
      <c r="C1585" s="155"/>
      <c r="D1585" s="155"/>
      <c r="E1585" s="155"/>
      <c r="F1585" s="155"/>
      <c r="G1585" s="155"/>
      <c r="H1585" s="155"/>
      <c r="I1585" s="155"/>
      <c r="J1585" s="155"/>
      <c r="K1585" s="155"/>
      <c r="L1585" s="155"/>
      <c r="M1585" s="155"/>
      <c r="N1585" s="155"/>
      <c r="O1585" s="155"/>
      <c r="P1585" s="155"/>
      <c r="Q1585" s="155"/>
      <c r="R1585" s="155"/>
      <c r="S1585" s="155"/>
      <c r="T1585" s="155"/>
      <c r="U1585" s="155"/>
      <c r="V1585" s="155"/>
      <c r="W1585" s="155"/>
      <c r="GL1585" s="155"/>
      <c r="GM1585" s="155"/>
      <c r="GN1585" s="155"/>
      <c r="GO1585" s="155"/>
      <c r="GP1585" s="155"/>
      <c r="GQ1585" s="155"/>
      <c r="GR1585" s="155"/>
      <c r="GS1585" s="155"/>
      <c r="GT1585" s="155"/>
      <c r="GU1585" s="155"/>
      <c r="GV1585" s="155"/>
      <c r="GW1585" s="155"/>
      <c r="GX1585" s="155"/>
      <c r="GY1585" s="155"/>
      <c r="GZ1585" s="155"/>
      <c r="HA1585" s="155"/>
      <c r="HB1585" s="155"/>
      <c r="HC1585" s="155"/>
      <c r="HD1585" s="155"/>
      <c r="HE1585" s="155"/>
    </row>
    <row r="1586" spans="2:213" s="156" customFormat="1" hidden="1">
      <c r="B1586" s="155"/>
      <c r="C1586" s="155"/>
      <c r="D1586" s="155"/>
      <c r="E1586" s="155"/>
      <c r="F1586" s="155"/>
      <c r="G1586" s="155"/>
      <c r="H1586" s="155"/>
      <c r="I1586" s="155"/>
      <c r="J1586" s="155"/>
      <c r="K1586" s="155"/>
      <c r="L1586" s="155"/>
      <c r="M1586" s="155"/>
      <c r="N1586" s="155"/>
      <c r="O1586" s="155"/>
      <c r="P1586" s="155"/>
      <c r="Q1586" s="155"/>
      <c r="R1586" s="155"/>
      <c r="S1586" s="155"/>
      <c r="T1586" s="155"/>
      <c r="U1586" s="155"/>
      <c r="V1586" s="155"/>
      <c r="W1586" s="155"/>
      <c r="GL1586" s="155"/>
      <c r="GM1586" s="155"/>
      <c r="GN1586" s="155"/>
      <c r="GO1586" s="155"/>
      <c r="GP1586" s="155"/>
      <c r="GQ1586" s="155"/>
      <c r="GR1586" s="155"/>
      <c r="GS1586" s="155"/>
      <c r="GT1586" s="155"/>
      <c r="GU1586" s="155"/>
      <c r="GV1586" s="155"/>
      <c r="GW1586" s="155"/>
      <c r="GX1586" s="155"/>
      <c r="GY1586" s="155"/>
      <c r="GZ1586" s="155"/>
      <c r="HA1586" s="155"/>
      <c r="HB1586" s="155"/>
      <c r="HC1586" s="155"/>
      <c r="HD1586" s="155"/>
      <c r="HE1586" s="155"/>
    </row>
    <row r="1587" spans="2:213" s="156" customFormat="1" hidden="1">
      <c r="B1587" s="155"/>
      <c r="C1587" s="155"/>
      <c r="D1587" s="155"/>
      <c r="E1587" s="155"/>
      <c r="F1587" s="155"/>
      <c r="G1587" s="155"/>
      <c r="H1587" s="155"/>
      <c r="I1587" s="155"/>
      <c r="J1587" s="155"/>
      <c r="K1587" s="155"/>
      <c r="L1587" s="155"/>
      <c r="M1587" s="155"/>
      <c r="N1587" s="155"/>
      <c r="O1587" s="155"/>
      <c r="P1587" s="155"/>
      <c r="Q1587" s="155"/>
      <c r="R1587" s="155"/>
      <c r="S1587" s="155"/>
      <c r="T1587" s="155"/>
      <c r="U1587" s="155"/>
      <c r="V1587" s="155"/>
      <c r="W1587" s="155"/>
      <c r="GL1587" s="155"/>
      <c r="GM1587" s="155"/>
      <c r="GN1587" s="155"/>
      <c r="GO1587" s="155"/>
      <c r="GP1587" s="155"/>
      <c r="GQ1587" s="155"/>
      <c r="GR1587" s="155"/>
      <c r="GS1587" s="155"/>
      <c r="GT1587" s="155"/>
      <c r="GU1587" s="155"/>
      <c r="GV1587" s="155"/>
      <c r="GW1587" s="155"/>
      <c r="GX1587" s="155"/>
      <c r="GY1587" s="155"/>
      <c r="GZ1587" s="155"/>
      <c r="HA1587" s="155"/>
      <c r="HB1587" s="155"/>
      <c r="HC1587" s="155"/>
      <c r="HD1587" s="155"/>
      <c r="HE1587" s="155"/>
    </row>
    <row r="1588" spans="2:213" s="156" customFormat="1" hidden="1">
      <c r="B1588" s="155"/>
      <c r="C1588" s="155"/>
      <c r="D1588" s="155"/>
      <c r="E1588" s="155"/>
      <c r="F1588" s="155"/>
      <c r="G1588" s="155"/>
      <c r="H1588" s="155"/>
      <c r="I1588" s="155"/>
      <c r="J1588" s="155"/>
      <c r="K1588" s="155"/>
      <c r="L1588" s="155"/>
      <c r="M1588" s="155"/>
      <c r="N1588" s="155"/>
      <c r="O1588" s="155"/>
      <c r="P1588" s="155"/>
      <c r="Q1588" s="155"/>
      <c r="R1588" s="155"/>
      <c r="S1588" s="155"/>
      <c r="T1588" s="155"/>
      <c r="U1588" s="155"/>
      <c r="V1588" s="155"/>
      <c r="W1588" s="155"/>
      <c r="GL1588" s="155"/>
      <c r="GM1588" s="155"/>
      <c r="GN1588" s="155"/>
      <c r="GO1588" s="155"/>
      <c r="GP1588" s="155"/>
      <c r="GQ1588" s="155"/>
      <c r="GR1588" s="155"/>
      <c r="GS1588" s="155"/>
      <c r="GT1588" s="155"/>
      <c r="GU1588" s="155"/>
      <c r="GV1588" s="155"/>
      <c r="GW1588" s="155"/>
      <c r="GX1588" s="155"/>
      <c r="GY1588" s="155"/>
      <c r="GZ1588" s="155"/>
      <c r="HA1588" s="155"/>
      <c r="HB1588" s="155"/>
      <c r="HC1588" s="155"/>
      <c r="HD1588" s="155"/>
      <c r="HE1588" s="155"/>
    </row>
    <row r="1589" spans="2:213" s="156" customFormat="1" hidden="1">
      <c r="B1589" s="155"/>
      <c r="C1589" s="155"/>
      <c r="D1589" s="155"/>
      <c r="E1589" s="155"/>
      <c r="F1589" s="155"/>
      <c r="G1589" s="155"/>
      <c r="H1589" s="155"/>
      <c r="I1589" s="155"/>
      <c r="J1589" s="155"/>
      <c r="K1589" s="155"/>
      <c r="L1589" s="155"/>
      <c r="M1589" s="155"/>
      <c r="N1589" s="155"/>
      <c r="O1589" s="155"/>
      <c r="P1589" s="155"/>
      <c r="Q1589" s="155"/>
      <c r="R1589" s="155"/>
      <c r="S1589" s="155"/>
      <c r="T1589" s="155"/>
      <c r="U1589" s="155"/>
      <c r="V1589" s="155"/>
      <c r="W1589" s="155"/>
      <c r="GL1589" s="155"/>
      <c r="GM1589" s="155"/>
      <c r="GN1589" s="155"/>
      <c r="GO1589" s="155"/>
      <c r="GP1589" s="155"/>
      <c r="GQ1589" s="155"/>
      <c r="GR1589" s="155"/>
      <c r="GS1589" s="155"/>
      <c r="GT1589" s="155"/>
      <c r="GU1589" s="155"/>
      <c r="GV1589" s="155"/>
      <c r="GW1589" s="155"/>
      <c r="GX1589" s="155"/>
      <c r="GY1589" s="155"/>
      <c r="GZ1589" s="155"/>
      <c r="HA1589" s="155"/>
      <c r="HB1589" s="155"/>
      <c r="HC1589" s="155"/>
      <c r="HD1589" s="155"/>
      <c r="HE1589" s="155"/>
    </row>
    <row r="1590" spans="2:213" s="156" customFormat="1" hidden="1">
      <c r="B1590" s="155"/>
      <c r="C1590" s="155"/>
      <c r="D1590" s="155"/>
      <c r="E1590" s="155"/>
      <c r="F1590" s="155"/>
      <c r="G1590" s="155"/>
      <c r="H1590" s="155"/>
      <c r="I1590" s="155"/>
      <c r="J1590" s="155"/>
      <c r="K1590" s="155"/>
      <c r="L1590" s="155"/>
      <c r="M1590" s="155"/>
      <c r="N1590" s="155"/>
      <c r="O1590" s="155"/>
      <c r="P1590" s="155"/>
      <c r="Q1590" s="155"/>
      <c r="R1590" s="155"/>
      <c r="S1590" s="155"/>
      <c r="T1590" s="155"/>
      <c r="U1590" s="155"/>
      <c r="V1590" s="155"/>
      <c r="W1590" s="155"/>
      <c r="GL1590" s="155"/>
      <c r="GM1590" s="155"/>
      <c r="GN1590" s="155"/>
      <c r="GO1590" s="155"/>
      <c r="GP1590" s="155"/>
      <c r="GQ1590" s="155"/>
      <c r="GR1590" s="155"/>
      <c r="GS1590" s="155"/>
      <c r="GT1590" s="155"/>
      <c r="GU1590" s="155"/>
      <c r="GV1590" s="155"/>
      <c r="GW1590" s="155"/>
      <c r="GX1590" s="155"/>
      <c r="GY1590" s="155"/>
      <c r="GZ1590" s="155"/>
      <c r="HA1590" s="155"/>
      <c r="HB1590" s="155"/>
      <c r="HC1590" s="155"/>
      <c r="HD1590" s="155"/>
      <c r="HE1590" s="155"/>
    </row>
    <row r="1591" spans="2:213" s="156" customFormat="1" hidden="1">
      <c r="B1591" s="155"/>
      <c r="C1591" s="155"/>
      <c r="D1591" s="155"/>
      <c r="E1591" s="155"/>
      <c r="F1591" s="155"/>
      <c r="G1591" s="155"/>
      <c r="H1591" s="155"/>
      <c r="I1591" s="155"/>
      <c r="J1591" s="155"/>
      <c r="K1591" s="155"/>
      <c r="L1591" s="155"/>
      <c r="M1591" s="155"/>
      <c r="N1591" s="155"/>
      <c r="O1591" s="155"/>
      <c r="P1591" s="155"/>
      <c r="Q1591" s="155"/>
      <c r="R1591" s="155"/>
      <c r="S1591" s="155"/>
      <c r="T1591" s="155"/>
      <c r="U1591" s="155"/>
      <c r="V1591" s="155"/>
      <c r="W1591" s="155"/>
      <c r="GL1591" s="155"/>
      <c r="GM1591" s="155"/>
      <c r="GN1591" s="155"/>
      <c r="GO1591" s="155"/>
      <c r="GP1591" s="155"/>
      <c r="GQ1591" s="155"/>
      <c r="GR1591" s="155"/>
      <c r="GS1591" s="155"/>
      <c r="GT1591" s="155"/>
      <c r="GU1591" s="155"/>
      <c r="GV1591" s="155"/>
      <c r="GW1591" s="155"/>
      <c r="GX1591" s="155"/>
      <c r="GY1591" s="155"/>
      <c r="GZ1591" s="155"/>
      <c r="HA1591" s="155"/>
      <c r="HB1591" s="155"/>
      <c r="HC1591" s="155"/>
      <c r="HD1591" s="155"/>
      <c r="HE1591" s="155"/>
    </row>
    <row r="1592" spans="2:213" s="156" customFormat="1" hidden="1">
      <c r="B1592" s="155"/>
      <c r="C1592" s="155"/>
      <c r="D1592" s="155"/>
      <c r="E1592" s="155"/>
      <c r="F1592" s="155"/>
      <c r="G1592" s="155"/>
      <c r="H1592" s="155"/>
      <c r="I1592" s="155"/>
      <c r="J1592" s="155"/>
      <c r="K1592" s="155"/>
      <c r="L1592" s="155"/>
      <c r="M1592" s="155"/>
      <c r="N1592" s="155"/>
      <c r="O1592" s="155"/>
      <c r="P1592" s="155"/>
      <c r="Q1592" s="155"/>
      <c r="R1592" s="155"/>
      <c r="S1592" s="155"/>
      <c r="T1592" s="155"/>
      <c r="U1592" s="155"/>
      <c r="V1592" s="155"/>
      <c r="W1592" s="155"/>
      <c r="GL1592" s="155"/>
      <c r="GM1592" s="155"/>
      <c r="GN1592" s="155"/>
      <c r="GO1592" s="155"/>
      <c r="GP1592" s="155"/>
      <c r="GQ1592" s="155"/>
      <c r="GR1592" s="155"/>
      <c r="GS1592" s="155"/>
      <c r="GT1592" s="155"/>
      <c r="GU1592" s="155"/>
      <c r="GV1592" s="155"/>
      <c r="GW1592" s="155"/>
      <c r="GX1592" s="155"/>
      <c r="GY1592" s="155"/>
      <c r="GZ1592" s="155"/>
      <c r="HA1592" s="155"/>
      <c r="HB1592" s="155"/>
      <c r="HC1592" s="155"/>
      <c r="HD1592" s="155"/>
      <c r="HE1592" s="155"/>
    </row>
    <row r="1593" spans="2:213" s="156" customFormat="1" hidden="1">
      <c r="B1593" s="155"/>
      <c r="C1593" s="155"/>
      <c r="D1593" s="155"/>
      <c r="E1593" s="155"/>
      <c r="F1593" s="155"/>
      <c r="G1593" s="155"/>
      <c r="H1593" s="155"/>
      <c r="I1593" s="155"/>
      <c r="J1593" s="155"/>
      <c r="K1593" s="155"/>
      <c r="L1593" s="155"/>
      <c r="M1593" s="155"/>
      <c r="N1593" s="155"/>
      <c r="O1593" s="155"/>
      <c r="P1593" s="155"/>
      <c r="Q1593" s="155"/>
      <c r="R1593" s="155"/>
      <c r="S1593" s="155"/>
      <c r="T1593" s="155"/>
      <c r="U1593" s="155"/>
      <c r="V1593" s="155"/>
      <c r="W1593" s="155"/>
      <c r="GL1593" s="155"/>
      <c r="GM1593" s="155"/>
      <c r="GN1593" s="155"/>
      <c r="GO1593" s="155"/>
      <c r="GP1593" s="155"/>
      <c r="GQ1593" s="155"/>
      <c r="GR1593" s="155"/>
      <c r="GS1593" s="155"/>
      <c r="GT1593" s="155"/>
      <c r="GU1593" s="155"/>
      <c r="GV1593" s="155"/>
      <c r="GW1593" s="155"/>
      <c r="GX1593" s="155"/>
      <c r="GY1593" s="155"/>
      <c r="GZ1593" s="155"/>
      <c r="HA1593" s="155"/>
      <c r="HB1593" s="155"/>
      <c r="HC1593" s="155"/>
      <c r="HD1593" s="155"/>
      <c r="HE1593" s="155"/>
    </row>
    <row r="1594" spans="2:213" s="156" customFormat="1" hidden="1">
      <c r="B1594" s="155"/>
      <c r="C1594" s="155"/>
      <c r="D1594" s="155"/>
      <c r="E1594" s="155"/>
      <c r="F1594" s="155"/>
      <c r="G1594" s="155"/>
      <c r="H1594" s="155"/>
      <c r="I1594" s="155"/>
      <c r="J1594" s="155"/>
      <c r="K1594" s="155"/>
      <c r="L1594" s="155"/>
      <c r="M1594" s="155"/>
      <c r="N1594" s="155"/>
      <c r="O1594" s="155"/>
      <c r="P1594" s="155"/>
      <c r="Q1594" s="155"/>
      <c r="R1594" s="155"/>
      <c r="S1594" s="155"/>
      <c r="T1594" s="155"/>
      <c r="U1594" s="155"/>
      <c r="V1594" s="155"/>
      <c r="W1594" s="155"/>
      <c r="GL1594" s="155"/>
      <c r="GM1594" s="155"/>
      <c r="GN1594" s="155"/>
      <c r="GO1594" s="155"/>
      <c r="GP1594" s="155"/>
      <c r="GQ1594" s="155"/>
      <c r="GR1594" s="155"/>
      <c r="GS1594" s="155"/>
      <c r="GT1594" s="155"/>
      <c r="GU1594" s="155"/>
      <c r="GV1594" s="155"/>
      <c r="GW1594" s="155"/>
      <c r="GX1594" s="155"/>
      <c r="GY1594" s="155"/>
      <c r="GZ1594" s="155"/>
      <c r="HA1594" s="155"/>
      <c r="HB1594" s="155"/>
      <c r="HC1594" s="155"/>
      <c r="HD1594" s="155"/>
      <c r="HE1594" s="155"/>
    </row>
    <row r="1595" spans="2:213" s="156" customFormat="1" hidden="1">
      <c r="B1595" s="155"/>
      <c r="C1595" s="155"/>
      <c r="D1595" s="155"/>
      <c r="E1595" s="155"/>
      <c r="F1595" s="155"/>
      <c r="G1595" s="155"/>
      <c r="H1595" s="155"/>
      <c r="I1595" s="155"/>
      <c r="J1595" s="155"/>
      <c r="K1595" s="155"/>
      <c r="L1595" s="155"/>
      <c r="M1595" s="155"/>
      <c r="N1595" s="155"/>
      <c r="O1595" s="155"/>
      <c r="P1595" s="155"/>
      <c r="Q1595" s="155"/>
      <c r="R1595" s="155"/>
      <c r="S1595" s="155"/>
      <c r="T1595" s="155"/>
      <c r="U1595" s="155"/>
      <c r="V1595" s="155"/>
      <c r="W1595" s="155"/>
      <c r="GL1595" s="155"/>
      <c r="GM1595" s="155"/>
      <c r="GN1595" s="155"/>
      <c r="GO1595" s="155"/>
      <c r="GP1595" s="155"/>
      <c r="GQ1595" s="155"/>
      <c r="GR1595" s="155"/>
      <c r="GS1595" s="155"/>
      <c r="GT1595" s="155"/>
      <c r="GU1595" s="155"/>
      <c r="GV1595" s="155"/>
      <c r="GW1595" s="155"/>
      <c r="GX1595" s="155"/>
      <c r="GY1595" s="155"/>
      <c r="GZ1595" s="155"/>
      <c r="HA1595" s="155"/>
      <c r="HB1595" s="155"/>
      <c r="HC1595" s="155"/>
      <c r="HD1595" s="155"/>
      <c r="HE1595" s="155"/>
    </row>
    <row r="1596" spans="2:213" s="156" customFormat="1" hidden="1">
      <c r="B1596" s="155"/>
      <c r="C1596" s="155"/>
      <c r="D1596" s="155"/>
      <c r="E1596" s="155"/>
      <c r="F1596" s="155"/>
      <c r="G1596" s="155"/>
      <c r="H1596" s="155"/>
      <c r="I1596" s="155"/>
      <c r="J1596" s="155"/>
      <c r="K1596" s="155"/>
      <c r="L1596" s="155"/>
      <c r="M1596" s="155"/>
      <c r="N1596" s="155"/>
      <c r="O1596" s="155"/>
      <c r="P1596" s="155"/>
      <c r="Q1596" s="155"/>
      <c r="R1596" s="155"/>
      <c r="S1596" s="155"/>
      <c r="T1596" s="155"/>
      <c r="U1596" s="155"/>
      <c r="V1596" s="155"/>
      <c r="W1596" s="155"/>
      <c r="GL1596" s="155"/>
      <c r="GM1596" s="155"/>
      <c r="GN1596" s="155"/>
      <c r="GO1596" s="155"/>
      <c r="GP1596" s="155"/>
      <c r="GQ1596" s="155"/>
      <c r="GR1596" s="155"/>
      <c r="GS1596" s="155"/>
      <c r="GT1596" s="155"/>
      <c r="GU1596" s="155"/>
      <c r="GV1596" s="155"/>
      <c r="GW1596" s="155"/>
      <c r="GX1596" s="155"/>
      <c r="GY1596" s="155"/>
      <c r="GZ1596" s="155"/>
      <c r="HA1596" s="155"/>
      <c r="HB1596" s="155"/>
      <c r="HC1596" s="155"/>
      <c r="HD1596" s="155"/>
      <c r="HE1596" s="155"/>
    </row>
    <row r="1597" spans="2:213" s="156" customFormat="1" hidden="1">
      <c r="B1597" s="155"/>
      <c r="C1597" s="155"/>
      <c r="D1597" s="155"/>
      <c r="E1597" s="155"/>
      <c r="F1597" s="155"/>
      <c r="G1597" s="155"/>
      <c r="H1597" s="155"/>
      <c r="I1597" s="155"/>
      <c r="J1597" s="155"/>
      <c r="K1597" s="155"/>
      <c r="L1597" s="155"/>
      <c r="M1597" s="155"/>
      <c r="N1597" s="155"/>
      <c r="O1597" s="155"/>
      <c r="P1597" s="155"/>
      <c r="Q1597" s="155"/>
      <c r="R1597" s="155"/>
      <c r="S1597" s="155"/>
      <c r="T1597" s="155"/>
      <c r="U1597" s="155"/>
      <c r="V1597" s="155"/>
      <c r="W1597" s="155"/>
      <c r="GL1597" s="155"/>
      <c r="GM1597" s="155"/>
      <c r="GN1597" s="155"/>
      <c r="GO1597" s="155"/>
      <c r="GP1597" s="155"/>
      <c r="GQ1597" s="155"/>
      <c r="GR1597" s="155"/>
      <c r="GS1597" s="155"/>
      <c r="GT1597" s="155"/>
      <c r="GU1597" s="155"/>
      <c r="GV1597" s="155"/>
      <c r="GW1597" s="155"/>
      <c r="GX1597" s="155"/>
      <c r="GY1597" s="155"/>
      <c r="GZ1597" s="155"/>
      <c r="HA1597" s="155"/>
      <c r="HB1597" s="155"/>
      <c r="HC1597" s="155"/>
      <c r="HD1597" s="155"/>
      <c r="HE1597" s="155"/>
    </row>
    <row r="1598" spans="2:213" s="156" customFormat="1" hidden="1">
      <c r="B1598" s="155"/>
      <c r="C1598" s="155"/>
      <c r="D1598" s="155"/>
      <c r="E1598" s="155"/>
      <c r="F1598" s="155"/>
      <c r="G1598" s="155"/>
      <c r="H1598" s="155"/>
      <c r="I1598" s="155"/>
      <c r="J1598" s="155"/>
      <c r="K1598" s="155"/>
      <c r="L1598" s="155"/>
      <c r="M1598" s="155"/>
      <c r="N1598" s="155"/>
      <c r="O1598" s="155"/>
      <c r="P1598" s="155"/>
      <c r="Q1598" s="155"/>
      <c r="R1598" s="155"/>
      <c r="S1598" s="155"/>
      <c r="T1598" s="155"/>
      <c r="U1598" s="155"/>
      <c r="V1598" s="155"/>
      <c r="W1598" s="155"/>
      <c r="GL1598" s="155"/>
      <c r="GM1598" s="155"/>
      <c r="GN1598" s="155"/>
      <c r="GO1598" s="155"/>
      <c r="GP1598" s="155"/>
      <c r="GQ1598" s="155"/>
      <c r="GR1598" s="155"/>
      <c r="GS1598" s="155"/>
      <c r="GT1598" s="155"/>
      <c r="GU1598" s="155"/>
      <c r="GV1598" s="155"/>
      <c r="GW1598" s="155"/>
      <c r="GX1598" s="155"/>
      <c r="GY1598" s="155"/>
      <c r="GZ1598" s="155"/>
      <c r="HA1598" s="155"/>
      <c r="HB1598" s="155"/>
      <c r="HC1598" s="155"/>
      <c r="HD1598" s="155"/>
      <c r="HE1598" s="155"/>
    </row>
    <row r="1599" spans="2:213" s="156" customFormat="1" hidden="1">
      <c r="B1599" s="155"/>
      <c r="C1599" s="155"/>
      <c r="D1599" s="155"/>
      <c r="E1599" s="155"/>
      <c r="F1599" s="155"/>
      <c r="G1599" s="155"/>
      <c r="H1599" s="155"/>
      <c r="I1599" s="155"/>
      <c r="J1599" s="155"/>
      <c r="K1599" s="155"/>
      <c r="L1599" s="155"/>
      <c r="M1599" s="155"/>
      <c r="N1599" s="155"/>
      <c r="O1599" s="155"/>
      <c r="P1599" s="155"/>
      <c r="Q1599" s="155"/>
      <c r="R1599" s="155"/>
      <c r="S1599" s="155"/>
      <c r="T1599" s="155"/>
      <c r="U1599" s="155"/>
      <c r="V1599" s="155"/>
      <c r="W1599" s="155"/>
      <c r="GL1599" s="155"/>
      <c r="GM1599" s="155"/>
      <c r="GN1599" s="155"/>
      <c r="GO1599" s="155"/>
      <c r="GP1599" s="155"/>
      <c r="GQ1599" s="155"/>
      <c r="GR1599" s="155"/>
      <c r="GS1599" s="155"/>
      <c r="GT1599" s="155"/>
      <c r="GU1599" s="155"/>
      <c r="GV1599" s="155"/>
      <c r="GW1599" s="155"/>
      <c r="GX1599" s="155"/>
      <c r="GY1599" s="155"/>
      <c r="GZ1599" s="155"/>
      <c r="HA1599" s="155"/>
      <c r="HB1599" s="155"/>
      <c r="HC1599" s="155"/>
      <c r="HD1599" s="155"/>
      <c r="HE1599" s="155"/>
    </row>
    <row r="1600" spans="2:213" s="156" customFormat="1" hidden="1">
      <c r="B1600" s="155"/>
      <c r="C1600" s="155"/>
      <c r="D1600" s="155"/>
      <c r="E1600" s="155"/>
      <c r="F1600" s="155"/>
      <c r="G1600" s="155"/>
      <c r="H1600" s="155"/>
      <c r="I1600" s="155"/>
      <c r="J1600" s="155"/>
      <c r="K1600" s="155"/>
      <c r="L1600" s="155"/>
      <c r="M1600" s="155"/>
      <c r="N1600" s="155"/>
      <c r="O1600" s="155"/>
      <c r="P1600" s="155"/>
      <c r="Q1600" s="155"/>
      <c r="R1600" s="155"/>
      <c r="S1600" s="155"/>
      <c r="T1600" s="155"/>
      <c r="U1600" s="155"/>
      <c r="V1600" s="155"/>
      <c r="W1600" s="155"/>
      <c r="GL1600" s="155"/>
      <c r="GM1600" s="155"/>
      <c r="GN1600" s="155"/>
      <c r="GO1600" s="155"/>
      <c r="GP1600" s="155"/>
      <c r="GQ1600" s="155"/>
      <c r="GR1600" s="155"/>
      <c r="GS1600" s="155"/>
      <c r="GT1600" s="155"/>
      <c r="GU1600" s="155"/>
      <c r="GV1600" s="155"/>
      <c r="GW1600" s="155"/>
      <c r="GX1600" s="155"/>
      <c r="GY1600" s="155"/>
      <c r="GZ1600" s="155"/>
      <c r="HA1600" s="155"/>
      <c r="HB1600" s="155"/>
      <c r="HC1600" s="155"/>
      <c r="HD1600" s="155"/>
      <c r="HE1600" s="155"/>
    </row>
    <row r="1601" spans="2:213" s="156" customFormat="1" hidden="1">
      <c r="B1601" s="155"/>
      <c r="C1601" s="155"/>
      <c r="D1601" s="155"/>
      <c r="E1601" s="155"/>
      <c r="F1601" s="155"/>
      <c r="G1601" s="155"/>
      <c r="H1601" s="155"/>
      <c r="I1601" s="155"/>
      <c r="J1601" s="155"/>
      <c r="K1601" s="155"/>
      <c r="L1601" s="155"/>
      <c r="M1601" s="155"/>
      <c r="N1601" s="155"/>
      <c r="O1601" s="155"/>
      <c r="P1601" s="155"/>
      <c r="Q1601" s="155"/>
      <c r="R1601" s="155"/>
      <c r="S1601" s="155"/>
      <c r="T1601" s="155"/>
      <c r="U1601" s="155"/>
      <c r="V1601" s="155"/>
      <c r="W1601" s="155"/>
      <c r="GL1601" s="155"/>
      <c r="GM1601" s="155"/>
      <c r="GN1601" s="155"/>
      <c r="GO1601" s="155"/>
      <c r="GP1601" s="155"/>
      <c r="GQ1601" s="155"/>
      <c r="GR1601" s="155"/>
      <c r="GS1601" s="155"/>
      <c r="GT1601" s="155"/>
      <c r="GU1601" s="155"/>
      <c r="GV1601" s="155"/>
      <c r="GW1601" s="155"/>
      <c r="GX1601" s="155"/>
      <c r="GY1601" s="155"/>
      <c r="GZ1601" s="155"/>
      <c r="HA1601" s="155"/>
      <c r="HB1601" s="155"/>
      <c r="HC1601" s="155"/>
      <c r="HD1601" s="155"/>
      <c r="HE1601" s="155"/>
    </row>
    <row r="1602" spans="2:213" s="156" customFormat="1" hidden="1">
      <c r="B1602" s="155"/>
      <c r="C1602" s="155"/>
      <c r="D1602" s="155"/>
      <c r="E1602" s="155"/>
      <c r="F1602" s="155"/>
      <c r="G1602" s="155"/>
      <c r="H1602" s="155"/>
      <c r="I1602" s="155"/>
      <c r="J1602" s="155"/>
      <c r="K1602" s="155"/>
      <c r="L1602" s="155"/>
      <c r="M1602" s="155"/>
      <c r="N1602" s="155"/>
      <c r="O1602" s="155"/>
      <c r="P1602" s="155"/>
      <c r="Q1602" s="155"/>
      <c r="R1602" s="155"/>
      <c r="S1602" s="155"/>
      <c r="T1602" s="155"/>
      <c r="U1602" s="155"/>
      <c r="V1602" s="155"/>
      <c r="W1602" s="155"/>
      <c r="GL1602" s="155"/>
      <c r="GM1602" s="155"/>
      <c r="GN1602" s="155"/>
      <c r="GO1602" s="155"/>
      <c r="GP1602" s="155"/>
      <c r="GQ1602" s="155"/>
      <c r="GR1602" s="155"/>
      <c r="GS1602" s="155"/>
      <c r="GT1602" s="155"/>
      <c r="GU1602" s="155"/>
      <c r="GV1602" s="155"/>
      <c r="GW1602" s="155"/>
      <c r="GX1602" s="155"/>
      <c r="GY1602" s="155"/>
      <c r="GZ1602" s="155"/>
      <c r="HA1602" s="155"/>
      <c r="HB1602" s="155"/>
      <c r="HC1602" s="155"/>
      <c r="HD1602" s="155"/>
      <c r="HE1602" s="155"/>
    </row>
    <row r="1603" spans="2:213" s="156" customFormat="1" hidden="1">
      <c r="B1603" s="155"/>
      <c r="C1603" s="155"/>
      <c r="D1603" s="155"/>
      <c r="E1603" s="155"/>
      <c r="F1603" s="155"/>
      <c r="G1603" s="155"/>
      <c r="H1603" s="155"/>
      <c r="I1603" s="155"/>
      <c r="J1603" s="155"/>
      <c r="K1603" s="155"/>
      <c r="L1603" s="155"/>
      <c r="M1603" s="155"/>
      <c r="N1603" s="155"/>
      <c r="O1603" s="155"/>
      <c r="P1603" s="155"/>
      <c r="Q1603" s="155"/>
      <c r="R1603" s="155"/>
      <c r="S1603" s="155"/>
      <c r="T1603" s="155"/>
      <c r="U1603" s="155"/>
      <c r="V1603" s="155"/>
      <c r="W1603" s="155"/>
      <c r="GL1603" s="155"/>
      <c r="GM1603" s="155"/>
      <c r="GN1603" s="155"/>
      <c r="GO1603" s="155"/>
      <c r="GP1603" s="155"/>
      <c r="GQ1603" s="155"/>
      <c r="GR1603" s="155"/>
      <c r="GS1603" s="155"/>
      <c r="GT1603" s="155"/>
      <c r="GU1603" s="155"/>
      <c r="GV1603" s="155"/>
      <c r="GW1603" s="155"/>
      <c r="GX1603" s="155"/>
      <c r="GY1603" s="155"/>
      <c r="GZ1603" s="155"/>
      <c r="HA1603" s="155"/>
      <c r="HB1603" s="155"/>
      <c r="HC1603" s="155"/>
      <c r="HD1603" s="155"/>
      <c r="HE1603" s="155"/>
    </row>
    <row r="1604" spans="2:213" s="156" customFormat="1" hidden="1">
      <c r="B1604" s="155"/>
      <c r="C1604" s="155"/>
      <c r="D1604" s="155"/>
      <c r="E1604" s="155"/>
      <c r="F1604" s="155"/>
      <c r="G1604" s="155"/>
      <c r="H1604" s="155"/>
      <c r="I1604" s="155"/>
      <c r="J1604" s="155"/>
      <c r="K1604" s="155"/>
      <c r="L1604" s="155"/>
      <c r="M1604" s="155"/>
      <c r="N1604" s="155"/>
      <c r="O1604" s="155"/>
      <c r="P1604" s="155"/>
      <c r="Q1604" s="155"/>
      <c r="R1604" s="155"/>
      <c r="S1604" s="155"/>
      <c r="T1604" s="155"/>
      <c r="U1604" s="155"/>
      <c r="V1604" s="155"/>
      <c r="W1604" s="155"/>
      <c r="GL1604" s="155"/>
      <c r="GM1604" s="155"/>
      <c r="GN1604" s="155"/>
      <c r="GO1604" s="155"/>
      <c r="GP1604" s="155"/>
      <c r="GQ1604" s="155"/>
      <c r="GR1604" s="155"/>
      <c r="GS1604" s="155"/>
      <c r="GT1604" s="155"/>
      <c r="GU1604" s="155"/>
      <c r="GV1604" s="155"/>
      <c r="GW1604" s="155"/>
      <c r="GX1604" s="155"/>
      <c r="GY1604" s="155"/>
      <c r="GZ1604" s="155"/>
      <c r="HA1604" s="155"/>
      <c r="HB1604" s="155"/>
      <c r="HC1604" s="155"/>
      <c r="HD1604" s="155"/>
      <c r="HE1604" s="155"/>
    </row>
    <row r="1605" spans="2:213" s="156" customFormat="1" hidden="1">
      <c r="B1605" s="155"/>
      <c r="C1605" s="155"/>
      <c r="D1605" s="155"/>
      <c r="E1605" s="155"/>
      <c r="F1605" s="155"/>
      <c r="G1605" s="155"/>
      <c r="H1605" s="155"/>
      <c r="I1605" s="155"/>
      <c r="J1605" s="155"/>
      <c r="K1605" s="155"/>
      <c r="L1605" s="155"/>
      <c r="M1605" s="155"/>
      <c r="N1605" s="155"/>
      <c r="O1605" s="155"/>
      <c r="P1605" s="155"/>
      <c r="Q1605" s="155"/>
      <c r="R1605" s="155"/>
      <c r="S1605" s="155"/>
      <c r="T1605" s="155"/>
      <c r="U1605" s="155"/>
      <c r="V1605" s="155"/>
      <c r="W1605" s="155"/>
      <c r="GL1605" s="155"/>
      <c r="GM1605" s="155"/>
      <c r="GN1605" s="155"/>
      <c r="GO1605" s="155"/>
      <c r="GP1605" s="155"/>
      <c r="GQ1605" s="155"/>
      <c r="GR1605" s="155"/>
      <c r="GS1605" s="155"/>
      <c r="GT1605" s="155"/>
      <c r="GU1605" s="155"/>
      <c r="GV1605" s="155"/>
      <c r="GW1605" s="155"/>
      <c r="GX1605" s="155"/>
      <c r="GY1605" s="155"/>
      <c r="GZ1605" s="155"/>
      <c r="HA1605" s="155"/>
      <c r="HB1605" s="155"/>
      <c r="HC1605" s="155"/>
      <c r="HD1605" s="155"/>
      <c r="HE1605" s="155"/>
    </row>
    <row r="1606" spans="2:213" s="156" customFormat="1" hidden="1">
      <c r="B1606" s="155"/>
      <c r="C1606" s="155"/>
      <c r="D1606" s="155"/>
      <c r="E1606" s="155"/>
      <c r="F1606" s="155"/>
      <c r="G1606" s="155"/>
      <c r="H1606" s="155"/>
      <c r="I1606" s="155"/>
      <c r="J1606" s="155"/>
      <c r="K1606" s="155"/>
      <c r="L1606" s="155"/>
      <c r="M1606" s="155"/>
      <c r="N1606" s="155"/>
      <c r="O1606" s="155"/>
      <c r="P1606" s="155"/>
      <c r="Q1606" s="155"/>
      <c r="R1606" s="155"/>
      <c r="S1606" s="155"/>
      <c r="T1606" s="155"/>
      <c r="U1606" s="155"/>
      <c r="V1606" s="155"/>
      <c r="W1606" s="155"/>
      <c r="GL1606" s="155"/>
      <c r="GM1606" s="155"/>
      <c r="GN1606" s="155"/>
      <c r="GO1606" s="155"/>
      <c r="GP1606" s="155"/>
      <c r="GQ1606" s="155"/>
      <c r="GR1606" s="155"/>
      <c r="GS1606" s="155"/>
      <c r="GT1606" s="155"/>
      <c r="GU1606" s="155"/>
      <c r="GV1606" s="155"/>
      <c r="GW1606" s="155"/>
      <c r="GX1606" s="155"/>
      <c r="GY1606" s="155"/>
      <c r="GZ1606" s="155"/>
      <c r="HA1606" s="155"/>
      <c r="HB1606" s="155"/>
      <c r="HC1606" s="155"/>
      <c r="HD1606" s="155"/>
      <c r="HE1606" s="155"/>
    </row>
    <row r="1607" spans="2:213" s="156" customFormat="1" hidden="1">
      <c r="B1607" s="155"/>
      <c r="C1607" s="155"/>
      <c r="D1607" s="155"/>
      <c r="E1607" s="155"/>
      <c r="F1607" s="155"/>
      <c r="G1607" s="155"/>
      <c r="H1607" s="155"/>
      <c r="I1607" s="155"/>
      <c r="J1607" s="155"/>
      <c r="K1607" s="155"/>
      <c r="L1607" s="155"/>
      <c r="M1607" s="155"/>
      <c r="N1607" s="155"/>
      <c r="O1607" s="155"/>
      <c r="P1607" s="155"/>
      <c r="Q1607" s="155"/>
      <c r="R1607" s="155"/>
      <c r="S1607" s="155"/>
      <c r="T1607" s="155"/>
      <c r="U1607" s="155"/>
      <c r="V1607" s="155"/>
      <c r="W1607" s="155"/>
      <c r="GL1607" s="155"/>
      <c r="GM1607" s="155"/>
      <c r="GN1607" s="155"/>
      <c r="GO1607" s="155"/>
      <c r="GP1607" s="155"/>
      <c r="GQ1607" s="155"/>
      <c r="GR1607" s="155"/>
      <c r="GS1607" s="155"/>
      <c r="GT1607" s="155"/>
      <c r="GU1607" s="155"/>
      <c r="GV1607" s="155"/>
      <c r="GW1607" s="155"/>
      <c r="GX1607" s="155"/>
      <c r="GY1607" s="155"/>
      <c r="GZ1607" s="155"/>
      <c r="HA1607" s="155"/>
      <c r="HB1607" s="155"/>
      <c r="HC1607" s="155"/>
      <c r="HD1607" s="155"/>
      <c r="HE1607" s="155"/>
    </row>
    <row r="1608" spans="2:213" s="156" customFormat="1" hidden="1">
      <c r="B1608" s="155"/>
      <c r="C1608" s="155"/>
      <c r="D1608" s="155"/>
      <c r="E1608" s="155"/>
      <c r="F1608" s="155"/>
      <c r="G1608" s="155"/>
      <c r="H1608" s="155"/>
      <c r="I1608" s="155"/>
      <c r="J1608" s="155"/>
      <c r="K1608" s="155"/>
      <c r="L1608" s="155"/>
      <c r="M1608" s="155"/>
      <c r="N1608" s="155"/>
      <c r="O1608" s="155"/>
      <c r="P1608" s="155"/>
      <c r="Q1608" s="155"/>
      <c r="R1608" s="155"/>
      <c r="S1608" s="155"/>
      <c r="T1608" s="155"/>
      <c r="U1608" s="155"/>
      <c r="V1608" s="155"/>
      <c r="W1608" s="155"/>
      <c r="GL1608" s="155"/>
      <c r="GM1608" s="155"/>
      <c r="GN1608" s="155"/>
      <c r="GO1608" s="155"/>
      <c r="GP1608" s="155"/>
      <c r="GQ1608" s="155"/>
      <c r="GR1608" s="155"/>
      <c r="GS1608" s="155"/>
      <c r="GT1608" s="155"/>
      <c r="GU1608" s="155"/>
      <c r="GV1608" s="155"/>
      <c r="GW1608" s="155"/>
      <c r="GX1608" s="155"/>
      <c r="GY1608" s="155"/>
      <c r="GZ1608" s="155"/>
      <c r="HA1608" s="155"/>
      <c r="HB1608" s="155"/>
      <c r="HC1608" s="155"/>
      <c r="HD1608" s="155"/>
      <c r="HE1608" s="155"/>
    </row>
    <row r="1609" spans="2:213" s="156" customFormat="1" hidden="1">
      <c r="B1609" s="155"/>
      <c r="C1609" s="155"/>
      <c r="D1609" s="155"/>
      <c r="E1609" s="155"/>
      <c r="F1609" s="155"/>
      <c r="G1609" s="155"/>
      <c r="H1609" s="155"/>
      <c r="I1609" s="155"/>
      <c r="J1609" s="155"/>
      <c r="K1609" s="155"/>
      <c r="L1609" s="155"/>
      <c r="M1609" s="155"/>
      <c r="N1609" s="155"/>
      <c r="O1609" s="155"/>
      <c r="P1609" s="155"/>
      <c r="Q1609" s="155"/>
      <c r="R1609" s="155"/>
      <c r="S1609" s="155"/>
      <c r="T1609" s="155"/>
      <c r="U1609" s="155"/>
      <c r="V1609" s="155"/>
      <c r="W1609" s="155"/>
      <c r="GL1609" s="155"/>
      <c r="GM1609" s="155"/>
      <c r="GN1609" s="155"/>
      <c r="GO1609" s="155"/>
      <c r="GP1609" s="155"/>
      <c r="GQ1609" s="155"/>
      <c r="GR1609" s="155"/>
      <c r="GS1609" s="155"/>
      <c r="GT1609" s="155"/>
      <c r="GU1609" s="155"/>
      <c r="GV1609" s="155"/>
      <c r="GW1609" s="155"/>
      <c r="GX1609" s="155"/>
      <c r="GY1609" s="155"/>
      <c r="GZ1609" s="155"/>
      <c r="HA1609" s="155"/>
      <c r="HB1609" s="155"/>
      <c r="HC1609" s="155"/>
      <c r="HD1609" s="155"/>
      <c r="HE1609" s="155"/>
    </row>
    <row r="1610" spans="2:213" s="156" customFormat="1" hidden="1">
      <c r="B1610" s="155"/>
      <c r="C1610" s="155"/>
      <c r="D1610" s="155"/>
      <c r="E1610" s="155"/>
      <c r="F1610" s="155"/>
      <c r="G1610" s="155"/>
      <c r="H1610" s="155"/>
      <c r="I1610" s="155"/>
      <c r="J1610" s="155"/>
      <c r="K1610" s="155"/>
      <c r="L1610" s="155"/>
      <c r="M1610" s="155"/>
      <c r="N1610" s="155"/>
      <c r="O1610" s="155"/>
      <c r="P1610" s="155"/>
      <c r="Q1610" s="155"/>
      <c r="R1610" s="155"/>
      <c r="S1610" s="155"/>
      <c r="T1610" s="155"/>
      <c r="U1610" s="155"/>
      <c r="V1610" s="155"/>
      <c r="W1610" s="155"/>
      <c r="GL1610" s="155"/>
      <c r="GM1610" s="155"/>
      <c r="GN1610" s="155"/>
      <c r="GO1610" s="155"/>
      <c r="GP1610" s="155"/>
      <c r="GQ1610" s="155"/>
      <c r="GR1610" s="155"/>
      <c r="GS1610" s="155"/>
      <c r="GT1610" s="155"/>
      <c r="GU1610" s="155"/>
      <c r="GV1610" s="155"/>
      <c r="GW1610" s="155"/>
      <c r="GX1610" s="155"/>
      <c r="GY1610" s="155"/>
      <c r="GZ1610" s="155"/>
      <c r="HA1610" s="155"/>
      <c r="HB1610" s="155"/>
      <c r="HC1610" s="155"/>
      <c r="HD1610" s="155"/>
      <c r="HE1610" s="155"/>
    </row>
    <row r="1611" spans="2:213" s="156" customFormat="1" hidden="1">
      <c r="B1611" s="155"/>
      <c r="C1611" s="155"/>
      <c r="D1611" s="155"/>
      <c r="E1611" s="155"/>
      <c r="F1611" s="155"/>
      <c r="G1611" s="155"/>
      <c r="H1611" s="155"/>
      <c r="I1611" s="155"/>
      <c r="J1611" s="155"/>
      <c r="K1611" s="155"/>
      <c r="L1611" s="155"/>
      <c r="M1611" s="155"/>
      <c r="N1611" s="155"/>
      <c r="O1611" s="155"/>
      <c r="P1611" s="155"/>
      <c r="Q1611" s="155"/>
      <c r="R1611" s="155"/>
      <c r="S1611" s="155"/>
      <c r="T1611" s="155"/>
      <c r="U1611" s="155"/>
      <c r="V1611" s="155"/>
      <c r="W1611" s="155"/>
      <c r="GL1611" s="155"/>
      <c r="GM1611" s="155"/>
      <c r="GN1611" s="155"/>
      <c r="GO1611" s="155"/>
      <c r="GP1611" s="155"/>
      <c r="GQ1611" s="155"/>
      <c r="GR1611" s="155"/>
      <c r="GS1611" s="155"/>
      <c r="GT1611" s="155"/>
      <c r="GU1611" s="155"/>
      <c r="GV1611" s="155"/>
      <c r="GW1611" s="155"/>
      <c r="GX1611" s="155"/>
      <c r="GY1611" s="155"/>
      <c r="GZ1611" s="155"/>
      <c r="HA1611" s="155"/>
      <c r="HB1611" s="155"/>
      <c r="HC1611" s="155"/>
      <c r="HD1611" s="155"/>
      <c r="HE1611" s="155"/>
    </row>
    <row r="1612" spans="2:213" s="156" customFormat="1" hidden="1">
      <c r="B1612" s="155"/>
      <c r="C1612" s="155"/>
      <c r="D1612" s="155"/>
      <c r="E1612" s="155"/>
      <c r="F1612" s="155"/>
      <c r="G1612" s="155"/>
      <c r="H1612" s="155"/>
      <c r="I1612" s="155"/>
      <c r="J1612" s="155"/>
      <c r="K1612" s="155"/>
      <c r="L1612" s="155"/>
      <c r="M1612" s="155"/>
      <c r="N1612" s="155"/>
      <c r="O1612" s="155"/>
      <c r="P1612" s="155"/>
      <c r="Q1612" s="155"/>
      <c r="R1612" s="155"/>
      <c r="S1612" s="155"/>
      <c r="T1612" s="155"/>
      <c r="U1612" s="155"/>
      <c r="V1612" s="155"/>
      <c r="W1612" s="155"/>
      <c r="GL1612" s="155"/>
      <c r="GM1612" s="155"/>
      <c r="GN1612" s="155"/>
      <c r="GO1612" s="155"/>
      <c r="GP1612" s="155"/>
      <c r="GQ1612" s="155"/>
      <c r="GR1612" s="155"/>
      <c r="GS1612" s="155"/>
      <c r="GT1612" s="155"/>
      <c r="GU1612" s="155"/>
      <c r="GV1612" s="155"/>
      <c r="GW1612" s="155"/>
      <c r="GX1612" s="155"/>
      <c r="GY1612" s="155"/>
      <c r="GZ1612" s="155"/>
      <c r="HA1612" s="155"/>
      <c r="HB1612" s="155"/>
      <c r="HC1612" s="155"/>
      <c r="HD1612" s="155"/>
      <c r="HE1612" s="155"/>
    </row>
    <row r="1613" spans="2:213" s="156" customFormat="1" hidden="1">
      <c r="B1613" s="155"/>
      <c r="C1613" s="155"/>
      <c r="D1613" s="155"/>
      <c r="E1613" s="155"/>
      <c r="F1613" s="155"/>
      <c r="G1613" s="155"/>
      <c r="H1613" s="155"/>
      <c r="I1613" s="155"/>
      <c r="J1613" s="155"/>
      <c r="K1613" s="155"/>
      <c r="L1613" s="155"/>
      <c r="M1613" s="155"/>
      <c r="N1613" s="155"/>
      <c r="O1613" s="155"/>
      <c r="P1613" s="155"/>
      <c r="Q1613" s="155"/>
      <c r="R1613" s="155"/>
      <c r="S1613" s="155"/>
      <c r="T1613" s="155"/>
      <c r="U1613" s="155"/>
      <c r="V1613" s="155"/>
      <c r="W1613" s="155"/>
      <c r="GL1613" s="155"/>
      <c r="GM1613" s="155"/>
      <c r="GN1613" s="155"/>
      <c r="GO1613" s="155"/>
      <c r="GP1613" s="155"/>
      <c r="GQ1613" s="155"/>
      <c r="GR1613" s="155"/>
      <c r="GS1613" s="155"/>
      <c r="GT1613" s="155"/>
      <c r="GU1613" s="155"/>
      <c r="GV1613" s="155"/>
      <c r="GW1613" s="155"/>
      <c r="GX1613" s="155"/>
      <c r="GY1613" s="155"/>
      <c r="GZ1613" s="155"/>
      <c r="HA1613" s="155"/>
      <c r="HB1613" s="155"/>
      <c r="HC1613" s="155"/>
      <c r="HD1613" s="155"/>
      <c r="HE1613" s="155"/>
    </row>
    <row r="1614" spans="2:213" s="156" customFormat="1" hidden="1">
      <c r="B1614" s="155"/>
      <c r="C1614" s="155"/>
      <c r="D1614" s="155"/>
      <c r="E1614" s="155"/>
      <c r="F1614" s="155"/>
      <c r="G1614" s="155"/>
      <c r="H1614" s="155"/>
      <c r="I1614" s="155"/>
      <c r="J1614" s="155"/>
      <c r="K1614" s="155"/>
      <c r="L1614" s="155"/>
      <c r="M1614" s="155"/>
      <c r="N1614" s="155"/>
      <c r="O1614" s="155"/>
      <c r="P1614" s="155"/>
      <c r="Q1614" s="155"/>
      <c r="R1614" s="155"/>
      <c r="S1614" s="155"/>
      <c r="T1614" s="155"/>
      <c r="U1614" s="155"/>
      <c r="V1614" s="155"/>
      <c r="W1614" s="155"/>
      <c r="GL1614" s="155"/>
      <c r="GM1614" s="155"/>
      <c r="GN1614" s="155"/>
      <c r="GO1614" s="155"/>
      <c r="GP1614" s="155"/>
      <c r="GQ1614" s="155"/>
      <c r="GR1614" s="155"/>
      <c r="GS1614" s="155"/>
      <c r="GT1614" s="155"/>
      <c r="GU1614" s="155"/>
      <c r="GV1614" s="155"/>
      <c r="GW1614" s="155"/>
      <c r="GX1614" s="155"/>
      <c r="GY1614" s="155"/>
      <c r="GZ1614" s="155"/>
      <c r="HA1614" s="155"/>
      <c r="HB1614" s="155"/>
      <c r="HC1614" s="155"/>
      <c r="HD1614" s="155"/>
      <c r="HE1614" s="155"/>
    </row>
    <row r="1615" spans="2:213" s="156" customFormat="1" hidden="1">
      <c r="B1615" s="155"/>
      <c r="C1615" s="155"/>
      <c r="D1615" s="155"/>
      <c r="E1615" s="155"/>
      <c r="F1615" s="155"/>
      <c r="G1615" s="155"/>
      <c r="H1615" s="155"/>
      <c r="I1615" s="155"/>
      <c r="J1615" s="155"/>
      <c r="K1615" s="155"/>
      <c r="L1615" s="155"/>
      <c r="M1615" s="155"/>
      <c r="N1615" s="155"/>
      <c r="O1615" s="155"/>
      <c r="P1615" s="155"/>
      <c r="Q1615" s="155"/>
      <c r="R1615" s="155"/>
      <c r="S1615" s="155"/>
      <c r="T1615" s="155"/>
      <c r="U1615" s="155"/>
      <c r="V1615" s="155"/>
      <c r="W1615" s="155"/>
      <c r="GL1615" s="155"/>
      <c r="GM1615" s="155"/>
      <c r="GN1615" s="155"/>
      <c r="GO1615" s="155"/>
      <c r="GP1615" s="155"/>
      <c r="GQ1615" s="155"/>
      <c r="GR1615" s="155"/>
      <c r="GS1615" s="155"/>
      <c r="GT1615" s="155"/>
      <c r="GU1615" s="155"/>
      <c r="GV1615" s="155"/>
      <c r="GW1615" s="155"/>
      <c r="GX1615" s="155"/>
      <c r="GY1615" s="155"/>
      <c r="GZ1615" s="155"/>
      <c r="HA1615" s="155"/>
      <c r="HB1615" s="155"/>
      <c r="HC1615" s="155"/>
      <c r="HD1615" s="155"/>
      <c r="HE1615" s="155"/>
    </row>
    <row r="1616" spans="2:213" s="156" customFormat="1" hidden="1">
      <c r="B1616" s="155"/>
      <c r="C1616" s="155"/>
      <c r="D1616" s="155"/>
      <c r="E1616" s="155"/>
      <c r="F1616" s="155"/>
      <c r="G1616" s="155"/>
      <c r="H1616" s="155"/>
      <c r="I1616" s="155"/>
      <c r="J1616" s="155"/>
      <c r="K1616" s="155"/>
      <c r="L1616" s="155"/>
      <c r="M1616" s="155"/>
      <c r="N1616" s="155"/>
      <c r="O1616" s="155"/>
      <c r="P1616" s="155"/>
      <c r="Q1616" s="155"/>
      <c r="R1616" s="155"/>
      <c r="S1616" s="155"/>
      <c r="T1616" s="155"/>
      <c r="U1616" s="155"/>
      <c r="V1616" s="155"/>
      <c r="W1616" s="155"/>
      <c r="GL1616" s="155"/>
      <c r="GM1616" s="155"/>
      <c r="GN1616" s="155"/>
      <c r="GO1616" s="155"/>
      <c r="GP1616" s="155"/>
      <c r="GQ1616" s="155"/>
      <c r="GR1616" s="155"/>
      <c r="GS1616" s="155"/>
      <c r="GT1616" s="155"/>
      <c r="GU1616" s="155"/>
      <c r="GV1616" s="155"/>
      <c r="GW1616" s="155"/>
      <c r="GX1616" s="155"/>
      <c r="GY1616" s="155"/>
      <c r="GZ1616" s="155"/>
      <c r="HA1616" s="155"/>
      <c r="HB1616" s="155"/>
      <c r="HC1616" s="155"/>
      <c r="HD1616" s="155"/>
      <c r="HE1616" s="155"/>
    </row>
    <row r="1617" spans="2:213" s="156" customFormat="1" hidden="1">
      <c r="B1617" s="155"/>
      <c r="C1617" s="155"/>
      <c r="D1617" s="155"/>
      <c r="E1617" s="155"/>
      <c r="F1617" s="155"/>
      <c r="G1617" s="155"/>
      <c r="H1617" s="155"/>
      <c r="I1617" s="155"/>
      <c r="J1617" s="155"/>
      <c r="K1617" s="155"/>
      <c r="L1617" s="155"/>
      <c r="M1617" s="155"/>
      <c r="N1617" s="155"/>
      <c r="O1617" s="155"/>
      <c r="P1617" s="155"/>
      <c r="Q1617" s="155"/>
      <c r="R1617" s="155"/>
      <c r="S1617" s="155"/>
      <c r="T1617" s="155"/>
      <c r="U1617" s="155"/>
      <c r="V1617" s="155"/>
      <c r="W1617" s="155"/>
      <c r="GL1617" s="155"/>
      <c r="GM1617" s="155"/>
      <c r="GN1617" s="155"/>
      <c r="GO1617" s="155"/>
      <c r="GP1617" s="155"/>
      <c r="GQ1617" s="155"/>
      <c r="GR1617" s="155"/>
      <c r="GS1617" s="155"/>
      <c r="GT1617" s="155"/>
      <c r="GU1617" s="155"/>
      <c r="GV1617" s="155"/>
      <c r="GW1617" s="155"/>
      <c r="GX1617" s="155"/>
      <c r="GY1617" s="155"/>
      <c r="GZ1617" s="155"/>
      <c r="HA1617" s="155"/>
      <c r="HB1617" s="155"/>
      <c r="HC1617" s="155"/>
      <c r="HD1617" s="155"/>
      <c r="HE1617" s="155"/>
    </row>
    <row r="1618" spans="2:213" s="156" customFormat="1" hidden="1">
      <c r="B1618" s="155"/>
      <c r="C1618" s="155"/>
      <c r="D1618" s="155"/>
      <c r="E1618" s="155"/>
      <c r="F1618" s="155"/>
      <c r="G1618" s="155"/>
      <c r="H1618" s="155"/>
      <c r="I1618" s="155"/>
      <c r="J1618" s="155"/>
      <c r="K1618" s="155"/>
      <c r="L1618" s="155"/>
      <c r="M1618" s="155"/>
      <c r="N1618" s="155"/>
      <c r="O1618" s="155"/>
      <c r="P1618" s="155"/>
      <c r="Q1618" s="155"/>
      <c r="R1618" s="155"/>
      <c r="S1618" s="155"/>
      <c r="T1618" s="155"/>
      <c r="U1618" s="155"/>
      <c r="V1618" s="155"/>
      <c r="W1618" s="155"/>
      <c r="GL1618" s="155"/>
      <c r="GM1618" s="155"/>
      <c r="GN1618" s="155"/>
      <c r="GO1618" s="155"/>
      <c r="GP1618" s="155"/>
      <c r="GQ1618" s="155"/>
      <c r="GR1618" s="155"/>
      <c r="GS1618" s="155"/>
      <c r="GT1618" s="155"/>
      <c r="GU1618" s="155"/>
      <c r="GV1618" s="155"/>
      <c r="GW1618" s="155"/>
      <c r="GX1618" s="155"/>
      <c r="GY1618" s="155"/>
      <c r="GZ1618" s="155"/>
      <c r="HA1618" s="155"/>
      <c r="HB1618" s="155"/>
      <c r="HC1618" s="155"/>
      <c r="HD1618" s="155"/>
      <c r="HE1618" s="155"/>
    </row>
    <row r="1619" spans="2:213" s="156" customFormat="1" hidden="1">
      <c r="B1619" s="155"/>
      <c r="C1619" s="155"/>
      <c r="D1619" s="155"/>
      <c r="E1619" s="155"/>
      <c r="F1619" s="155"/>
      <c r="G1619" s="155"/>
      <c r="H1619" s="155"/>
      <c r="I1619" s="155"/>
      <c r="J1619" s="155"/>
      <c r="K1619" s="155"/>
      <c r="L1619" s="155"/>
      <c r="M1619" s="155"/>
      <c r="N1619" s="155"/>
      <c r="O1619" s="155"/>
      <c r="P1619" s="155"/>
      <c r="Q1619" s="155"/>
      <c r="R1619" s="155"/>
      <c r="S1619" s="155"/>
      <c r="T1619" s="155"/>
      <c r="U1619" s="155"/>
      <c r="V1619" s="155"/>
      <c r="W1619" s="155"/>
      <c r="GL1619" s="155"/>
      <c r="GM1619" s="155"/>
      <c r="GN1619" s="155"/>
      <c r="GO1619" s="155"/>
      <c r="GP1619" s="155"/>
      <c r="GQ1619" s="155"/>
      <c r="GR1619" s="155"/>
      <c r="GS1619" s="155"/>
      <c r="GT1619" s="155"/>
      <c r="GU1619" s="155"/>
      <c r="GV1619" s="155"/>
      <c r="GW1619" s="155"/>
      <c r="GX1619" s="155"/>
      <c r="GY1619" s="155"/>
      <c r="GZ1619" s="155"/>
      <c r="HA1619" s="155"/>
      <c r="HB1619" s="155"/>
      <c r="HC1619" s="155"/>
      <c r="HD1619" s="155"/>
      <c r="HE1619" s="155"/>
    </row>
    <row r="1620" spans="2:213" s="156" customFormat="1" hidden="1">
      <c r="B1620" s="155"/>
      <c r="C1620" s="155"/>
      <c r="D1620" s="155"/>
      <c r="E1620" s="155"/>
      <c r="F1620" s="155"/>
      <c r="G1620" s="155"/>
      <c r="H1620" s="155"/>
      <c r="I1620" s="155"/>
      <c r="J1620" s="155"/>
      <c r="K1620" s="155"/>
      <c r="L1620" s="155"/>
      <c r="M1620" s="155"/>
      <c r="N1620" s="155"/>
      <c r="O1620" s="155"/>
      <c r="P1620" s="155"/>
      <c r="Q1620" s="155"/>
      <c r="R1620" s="155"/>
      <c r="S1620" s="155"/>
      <c r="T1620" s="155"/>
      <c r="U1620" s="155"/>
      <c r="V1620" s="155"/>
      <c r="W1620" s="155"/>
      <c r="GL1620" s="155"/>
      <c r="GM1620" s="155"/>
      <c r="GN1620" s="155"/>
      <c r="GO1620" s="155"/>
      <c r="GP1620" s="155"/>
      <c r="GQ1620" s="155"/>
      <c r="GR1620" s="155"/>
      <c r="GS1620" s="155"/>
      <c r="GT1620" s="155"/>
      <c r="GU1620" s="155"/>
      <c r="GV1620" s="155"/>
      <c r="GW1620" s="155"/>
      <c r="GX1620" s="155"/>
      <c r="GY1620" s="155"/>
      <c r="GZ1620" s="155"/>
      <c r="HA1620" s="155"/>
      <c r="HB1620" s="155"/>
      <c r="HC1620" s="155"/>
      <c r="HD1620" s="155"/>
      <c r="HE1620" s="155"/>
    </row>
    <row r="1621" spans="2:213" s="156" customFormat="1" hidden="1">
      <c r="B1621" s="155"/>
      <c r="C1621" s="155"/>
      <c r="D1621" s="155"/>
      <c r="E1621" s="155"/>
      <c r="F1621" s="155"/>
      <c r="G1621" s="155"/>
      <c r="H1621" s="155"/>
      <c r="I1621" s="155"/>
      <c r="J1621" s="155"/>
      <c r="K1621" s="155"/>
      <c r="L1621" s="155"/>
      <c r="M1621" s="155"/>
      <c r="N1621" s="155"/>
      <c r="O1621" s="155"/>
      <c r="P1621" s="155"/>
      <c r="Q1621" s="155"/>
      <c r="R1621" s="155"/>
      <c r="S1621" s="155"/>
      <c r="T1621" s="155"/>
      <c r="U1621" s="155"/>
      <c r="V1621" s="155"/>
      <c r="W1621" s="155"/>
      <c r="GL1621" s="155"/>
      <c r="GM1621" s="155"/>
      <c r="GN1621" s="155"/>
      <c r="GO1621" s="155"/>
      <c r="GP1621" s="155"/>
      <c r="GQ1621" s="155"/>
      <c r="GR1621" s="155"/>
      <c r="GS1621" s="155"/>
      <c r="GT1621" s="155"/>
      <c r="GU1621" s="155"/>
      <c r="GV1621" s="155"/>
      <c r="GW1621" s="155"/>
      <c r="GX1621" s="155"/>
      <c r="GY1621" s="155"/>
      <c r="GZ1621" s="155"/>
      <c r="HA1621" s="155"/>
      <c r="HB1621" s="155"/>
      <c r="HC1621" s="155"/>
      <c r="HD1621" s="155"/>
      <c r="HE1621" s="155"/>
    </row>
    <row r="1622" spans="2:213" s="156" customFormat="1" hidden="1">
      <c r="B1622" s="155"/>
      <c r="C1622" s="155"/>
      <c r="D1622" s="155"/>
      <c r="E1622" s="155"/>
      <c r="F1622" s="155"/>
      <c r="G1622" s="155"/>
      <c r="H1622" s="155"/>
      <c r="I1622" s="155"/>
      <c r="J1622" s="155"/>
      <c r="K1622" s="155"/>
      <c r="L1622" s="155"/>
      <c r="M1622" s="155"/>
      <c r="N1622" s="155"/>
      <c r="O1622" s="155"/>
      <c r="P1622" s="155"/>
      <c r="Q1622" s="155"/>
      <c r="R1622" s="155"/>
      <c r="S1622" s="155"/>
      <c r="T1622" s="155"/>
      <c r="U1622" s="155"/>
      <c r="V1622" s="155"/>
      <c r="W1622" s="155"/>
      <c r="GL1622" s="155"/>
      <c r="GM1622" s="155"/>
      <c r="GN1622" s="155"/>
      <c r="GO1622" s="155"/>
      <c r="GP1622" s="155"/>
      <c r="GQ1622" s="155"/>
      <c r="GR1622" s="155"/>
      <c r="GS1622" s="155"/>
      <c r="GT1622" s="155"/>
      <c r="GU1622" s="155"/>
      <c r="GV1622" s="155"/>
      <c r="GW1622" s="155"/>
      <c r="GX1622" s="155"/>
      <c r="GY1622" s="155"/>
      <c r="GZ1622" s="155"/>
      <c r="HA1622" s="155"/>
      <c r="HB1622" s="155"/>
      <c r="HC1622" s="155"/>
      <c r="HD1622" s="155"/>
      <c r="HE1622" s="155"/>
    </row>
    <row r="1623" spans="2:213" s="156" customFormat="1" hidden="1">
      <c r="B1623" s="155"/>
      <c r="C1623" s="155"/>
      <c r="D1623" s="155"/>
      <c r="E1623" s="155"/>
      <c r="F1623" s="155"/>
      <c r="G1623" s="155"/>
      <c r="H1623" s="155"/>
      <c r="I1623" s="155"/>
      <c r="J1623" s="155"/>
      <c r="K1623" s="155"/>
      <c r="L1623" s="155"/>
      <c r="M1623" s="155"/>
      <c r="N1623" s="155"/>
      <c r="O1623" s="155"/>
      <c r="P1623" s="155"/>
      <c r="Q1623" s="155"/>
      <c r="R1623" s="155"/>
      <c r="S1623" s="155"/>
      <c r="T1623" s="155"/>
      <c r="U1623" s="155"/>
      <c r="V1623" s="155"/>
      <c r="W1623" s="155"/>
      <c r="GL1623" s="155"/>
      <c r="GM1623" s="155"/>
      <c r="GN1623" s="155"/>
      <c r="GO1623" s="155"/>
      <c r="GP1623" s="155"/>
      <c r="GQ1623" s="155"/>
      <c r="GR1623" s="155"/>
      <c r="GS1623" s="155"/>
      <c r="GT1623" s="155"/>
      <c r="GU1623" s="155"/>
      <c r="GV1623" s="155"/>
      <c r="GW1623" s="155"/>
      <c r="GX1623" s="155"/>
      <c r="GY1623" s="155"/>
      <c r="GZ1623" s="155"/>
      <c r="HA1623" s="155"/>
      <c r="HB1623" s="155"/>
      <c r="HC1623" s="155"/>
      <c r="HD1623" s="155"/>
      <c r="HE1623" s="155"/>
    </row>
    <row r="1624" spans="2:213" s="156" customFormat="1" hidden="1">
      <c r="B1624" s="155"/>
      <c r="C1624" s="155"/>
      <c r="D1624" s="155"/>
      <c r="E1624" s="155"/>
      <c r="F1624" s="155"/>
      <c r="G1624" s="155"/>
      <c r="H1624" s="155"/>
      <c r="I1624" s="155"/>
      <c r="J1624" s="155"/>
      <c r="K1624" s="155"/>
      <c r="L1624" s="155"/>
      <c r="M1624" s="155"/>
      <c r="N1624" s="155"/>
      <c r="O1624" s="155"/>
      <c r="P1624" s="155"/>
      <c r="Q1624" s="155"/>
      <c r="R1624" s="155"/>
      <c r="S1624" s="155"/>
      <c r="T1624" s="155"/>
      <c r="U1624" s="155"/>
      <c r="V1624" s="155"/>
      <c r="W1624" s="155"/>
      <c r="GL1624" s="155"/>
      <c r="GM1624" s="155"/>
      <c r="GN1624" s="155"/>
      <c r="GO1624" s="155"/>
      <c r="GP1624" s="155"/>
      <c r="GQ1624" s="155"/>
      <c r="GR1624" s="155"/>
      <c r="GS1624" s="155"/>
      <c r="GT1624" s="155"/>
      <c r="GU1624" s="155"/>
      <c r="GV1624" s="155"/>
      <c r="GW1624" s="155"/>
      <c r="GX1624" s="155"/>
      <c r="GY1624" s="155"/>
      <c r="GZ1624" s="155"/>
      <c r="HA1624" s="155"/>
      <c r="HB1624" s="155"/>
      <c r="HC1624" s="155"/>
      <c r="HD1624" s="155"/>
      <c r="HE1624" s="155"/>
    </row>
    <row r="1625" spans="2:213" s="156" customFormat="1" hidden="1">
      <c r="B1625" s="155"/>
      <c r="C1625" s="155"/>
      <c r="D1625" s="155"/>
      <c r="E1625" s="155"/>
      <c r="F1625" s="155"/>
      <c r="G1625" s="155"/>
      <c r="H1625" s="155"/>
      <c r="I1625" s="155"/>
      <c r="J1625" s="155"/>
      <c r="K1625" s="155"/>
      <c r="L1625" s="155"/>
      <c r="M1625" s="155"/>
      <c r="N1625" s="155"/>
      <c r="O1625" s="155"/>
      <c r="P1625" s="155"/>
      <c r="Q1625" s="155"/>
      <c r="R1625" s="155"/>
      <c r="S1625" s="155"/>
      <c r="T1625" s="155"/>
      <c r="U1625" s="155"/>
      <c r="V1625" s="155"/>
      <c r="W1625" s="155"/>
      <c r="GL1625" s="155"/>
      <c r="GM1625" s="155"/>
      <c r="GN1625" s="155"/>
      <c r="GO1625" s="155"/>
      <c r="GP1625" s="155"/>
      <c r="GQ1625" s="155"/>
      <c r="GR1625" s="155"/>
      <c r="GS1625" s="155"/>
      <c r="GT1625" s="155"/>
      <c r="GU1625" s="155"/>
      <c r="GV1625" s="155"/>
      <c r="GW1625" s="155"/>
      <c r="GX1625" s="155"/>
      <c r="GY1625" s="155"/>
      <c r="GZ1625" s="155"/>
      <c r="HA1625" s="155"/>
      <c r="HB1625" s="155"/>
      <c r="HC1625" s="155"/>
      <c r="HD1625" s="155"/>
      <c r="HE1625" s="155"/>
    </row>
    <row r="1626" spans="2:213" s="156" customFormat="1" hidden="1">
      <c r="B1626" s="155"/>
      <c r="C1626" s="155"/>
      <c r="D1626" s="155"/>
      <c r="E1626" s="155"/>
      <c r="F1626" s="155"/>
      <c r="G1626" s="155"/>
      <c r="H1626" s="155"/>
      <c r="I1626" s="155"/>
      <c r="J1626" s="155"/>
      <c r="K1626" s="155"/>
      <c r="L1626" s="155"/>
      <c r="M1626" s="155"/>
      <c r="N1626" s="155"/>
      <c r="O1626" s="155"/>
      <c r="P1626" s="155"/>
      <c r="Q1626" s="155"/>
      <c r="R1626" s="155"/>
      <c r="S1626" s="155"/>
      <c r="T1626" s="155"/>
      <c r="U1626" s="155"/>
      <c r="V1626" s="155"/>
      <c r="W1626" s="155"/>
      <c r="GL1626" s="155"/>
      <c r="GM1626" s="155"/>
      <c r="GN1626" s="155"/>
      <c r="GO1626" s="155"/>
      <c r="GP1626" s="155"/>
      <c r="GQ1626" s="155"/>
      <c r="GR1626" s="155"/>
      <c r="GS1626" s="155"/>
      <c r="GT1626" s="155"/>
      <c r="GU1626" s="155"/>
      <c r="GV1626" s="155"/>
      <c r="GW1626" s="155"/>
      <c r="GX1626" s="155"/>
      <c r="GY1626" s="155"/>
      <c r="GZ1626" s="155"/>
      <c r="HA1626" s="155"/>
      <c r="HB1626" s="155"/>
      <c r="HC1626" s="155"/>
      <c r="HD1626" s="155"/>
      <c r="HE1626" s="155"/>
    </row>
    <row r="1627" spans="2:213" s="156" customFormat="1" hidden="1">
      <c r="B1627" s="155"/>
      <c r="C1627" s="155"/>
      <c r="D1627" s="155"/>
      <c r="E1627" s="155"/>
      <c r="F1627" s="155"/>
      <c r="G1627" s="155"/>
      <c r="H1627" s="155"/>
      <c r="I1627" s="155"/>
      <c r="J1627" s="155"/>
      <c r="K1627" s="155"/>
      <c r="L1627" s="155"/>
      <c r="M1627" s="155"/>
      <c r="N1627" s="155"/>
      <c r="O1627" s="155"/>
      <c r="P1627" s="155"/>
      <c r="Q1627" s="155"/>
      <c r="R1627" s="155"/>
      <c r="S1627" s="155"/>
      <c r="T1627" s="155"/>
      <c r="U1627" s="155"/>
      <c r="V1627" s="155"/>
      <c r="W1627" s="155"/>
      <c r="GL1627" s="155"/>
      <c r="GM1627" s="155"/>
      <c r="GN1627" s="155"/>
      <c r="GO1627" s="155"/>
      <c r="GP1627" s="155"/>
      <c r="GQ1627" s="155"/>
      <c r="GR1627" s="155"/>
      <c r="GS1627" s="155"/>
      <c r="GT1627" s="155"/>
      <c r="GU1627" s="155"/>
      <c r="GV1627" s="155"/>
      <c r="GW1627" s="155"/>
      <c r="GX1627" s="155"/>
      <c r="GY1627" s="155"/>
      <c r="GZ1627" s="155"/>
      <c r="HA1627" s="155"/>
      <c r="HB1627" s="155"/>
      <c r="HC1627" s="155"/>
      <c r="HD1627" s="155"/>
      <c r="HE1627" s="155"/>
    </row>
    <row r="1628" spans="2:213" s="156" customFormat="1" hidden="1">
      <c r="B1628" s="155"/>
      <c r="C1628" s="155"/>
      <c r="D1628" s="155"/>
      <c r="E1628" s="155"/>
      <c r="F1628" s="155"/>
      <c r="G1628" s="155"/>
      <c r="H1628" s="155"/>
      <c r="I1628" s="155"/>
      <c r="J1628" s="155"/>
      <c r="K1628" s="155"/>
      <c r="L1628" s="155"/>
      <c r="M1628" s="155"/>
      <c r="N1628" s="155"/>
      <c r="O1628" s="155"/>
      <c r="P1628" s="155"/>
      <c r="Q1628" s="155"/>
      <c r="R1628" s="155"/>
      <c r="S1628" s="155"/>
      <c r="T1628" s="155"/>
      <c r="U1628" s="155"/>
      <c r="V1628" s="155"/>
      <c r="W1628" s="155"/>
      <c r="GL1628" s="155"/>
      <c r="GM1628" s="155"/>
      <c r="GN1628" s="155"/>
      <c r="GO1628" s="155"/>
      <c r="GP1628" s="155"/>
      <c r="GQ1628" s="155"/>
      <c r="GR1628" s="155"/>
      <c r="GS1628" s="155"/>
      <c r="GT1628" s="155"/>
      <c r="GU1628" s="155"/>
      <c r="GV1628" s="155"/>
      <c r="GW1628" s="155"/>
      <c r="GX1628" s="155"/>
      <c r="GY1628" s="155"/>
      <c r="GZ1628" s="155"/>
      <c r="HA1628" s="155"/>
      <c r="HB1628" s="155"/>
      <c r="HC1628" s="155"/>
      <c r="HD1628" s="155"/>
      <c r="HE1628" s="155"/>
    </row>
    <row r="1629" spans="2:213" s="156" customFormat="1" hidden="1">
      <c r="B1629" s="155"/>
      <c r="C1629" s="155"/>
      <c r="D1629" s="155"/>
      <c r="E1629" s="155"/>
      <c r="F1629" s="155"/>
      <c r="G1629" s="155"/>
      <c r="H1629" s="155"/>
      <c r="I1629" s="155"/>
      <c r="J1629" s="155"/>
      <c r="K1629" s="155"/>
      <c r="L1629" s="155"/>
      <c r="M1629" s="155"/>
      <c r="N1629" s="155"/>
      <c r="O1629" s="155"/>
      <c r="P1629" s="155"/>
      <c r="Q1629" s="155"/>
      <c r="R1629" s="155"/>
      <c r="S1629" s="155"/>
      <c r="T1629" s="155"/>
      <c r="U1629" s="155"/>
      <c r="V1629" s="155"/>
      <c r="W1629" s="155"/>
      <c r="GL1629" s="155"/>
      <c r="GM1629" s="155"/>
      <c r="GN1629" s="155"/>
      <c r="GO1629" s="155"/>
      <c r="GP1629" s="155"/>
      <c r="GQ1629" s="155"/>
      <c r="GR1629" s="155"/>
      <c r="GS1629" s="155"/>
      <c r="GT1629" s="155"/>
      <c r="GU1629" s="155"/>
      <c r="GV1629" s="155"/>
      <c r="GW1629" s="155"/>
      <c r="GX1629" s="155"/>
      <c r="GY1629" s="155"/>
      <c r="GZ1629" s="155"/>
      <c r="HA1629" s="155"/>
      <c r="HB1629" s="155"/>
      <c r="HC1629" s="155"/>
      <c r="HD1629" s="155"/>
      <c r="HE1629" s="155"/>
    </row>
    <row r="1630" spans="2:213" s="156" customFormat="1" hidden="1">
      <c r="B1630" s="155"/>
      <c r="C1630" s="155"/>
      <c r="D1630" s="155"/>
      <c r="E1630" s="155"/>
      <c r="F1630" s="155"/>
      <c r="G1630" s="155"/>
      <c r="H1630" s="155"/>
      <c r="I1630" s="155"/>
      <c r="J1630" s="155"/>
      <c r="K1630" s="155"/>
      <c r="L1630" s="155"/>
      <c r="M1630" s="155"/>
      <c r="N1630" s="155"/>
      <c r="O1630" s="155"/>
      <c r="P1630" s="155"/>
      <c r="Q1630" s="155"/>
      <c r="R1630" s="155"/>
      <c r="S1630" s="155"/>
      <c r="T1630" s="155"/>
      <c r="U1630" s="155"/>
      <c r="V1630" s="155"/>
      <c r="W1630" s="155"/>
      <c r="GL1630" s="155"/>
      <c r="GM1630" s="155"/>
      <c r="GN1630" s="155"/>
      <c r="GO1630" s="155"/>
      <c r="GP1630" s="155"/>
      <c r="GQ1630" s="155"/>
      <c r="GR1630" s="155"/>
      <c r="GS1630" s="155"/>
      <c r="GT1630" s="155"/>
      <c r="GU1630" s="155"/>
      <c r="GV1630" s="155"/>
      <c r="GW1630" s="155"/>
      <c r="GX1630" s="155"/>
      <c r="GY1630" s="155"/>
      <c r="GZ1630" s="155"/>
      <c r="HA1630" s="155"/>
      <c r="HB1630" s="155"/>
      <c r="HC1630" s="155"/>
      <c r="HD1630" s="155"/>
      <c r="HE1630" s="155"/>
    </row>
    <row r="1631" spans="2:213" s="156" customFormat="1" hidden="1">
      <c r="B1631" s="155"/>
      <c r="C1631" s="155"/>
      <c r="D1631" s="155"/>
      <c r="E1631" s="155"/>
      <c r="F1631" s="155"/>
      <c r="G1631" s="155"/>
      <c r="H1631" s="155"/>
      <c r="I1631" s="155"/>
      <c r="J1631" s="155"/>
      <c r="K1631" s="155"/>
      <c r="L1631" s="155"/>
      <c r="M1631" s="155"/>
      <c r="N1631" s="155"/>
      <c r="O1631" s="155"/>
      <c r="P1631" s="155"/>
      <c r="Q1631" s="155"/>
      <c r="R1631" s="155"/>
      <c r="S1631" s="155"/>
      <c r="T1631" s="155"/>
      <c r="U1631" s="155"/>
      <c r="V1631" s="155"/>
      <c r="W1631" s="155"/>
      <c r="GL1631" s="155"/>
      <c r="GM1631" s="155"/>
      <c r="GN1631" s="155"/>
      <c r="GO1631" s="155"/>
      <c r="GP1631" s="155"/>
      <c r="GQ1631" s="155"/>
      <c r="GR1631" s="155"/>
      <c r="GS1631" s="155"/>
      <c r="GT1631" s="155"/>
      <c r="GU1631" s="155"/>
      <c r="GV1631" s="155"/>
      <c r="GW1631" s="155"/>
      <c r="GX1631" s="155"/>
      <c r="GY1631" s="155"/>
      <c r="GZ1631" s="155"/>
      <c r="HA1631" s="155"/>
      <c r="HB1631" s="155"/>
      <c r="HC1631" s="155"/>
      <c r="HD1631" s="155"/>
      <c r="HE1631" s="155"/>
    </row>
    <row r="1632" spans="2:213" s="156" customFormat="1" hidden="1">
      <c r="B1632" s="155"/>
      <c r="C1632" s="155"/>
      <c r="D1632" s="155"/>
      <c r="E1632" s="155"/>
      <c r="F1632" s="155"/>
      <c r="G1632" s="155"/>
      <c r="H1632" s="155"/>
      <c r="I1632" s="155"/>
      <c r="J1632" s="155"/>
      <c r="K1632" s="155"/>
      <c r="L1632" s="155"/>
      <c r="M1632" s="155"/>
      <c r="N1632" s="155"/>
      <c r="O1632" s="155"/>
      <c r="P1632" s="155"/>
      <c r="Q1632" s="155"/>
      <c r="R1632" s="155"/>
      <c r="S1632" s="155"/>
      <c r="T1632" s="155"/>
      <c r="U1632" s="155"/>
      <c r="V1632" s="155"/>
      <c r="W1632" s="155"/>
      <c r="GL1632" s="155"/>
      <c r="GM1632" s="155"/>
      <c r="GN1632" s="155"/>
      <c r="GO1632" s="155"/>
      <c r="GP1632" s="155"/>
      <c r="GQ1632" s="155"/>
      <c r="GR1632" s="155"/>
      <c r="GS1632" s="155"/>
      <c r="GT1632" s="155"/>
      <c r="GU1632" s="155"/>
      <c r="GV1632" s="155"/>
      <c r="GW1632" s="155"/>
      <c r="GX1632" s="155"/>
      <c r="GY1632" s="155"/>
      <c r="GZ1632" s="155"/>
      <c r="HA1632" s="155"/>
      <c r="HB1632" s="155"/>
      <c r="HC1632" s="155"/>
      <c r="HD1632" s="155"/>
      <c r="HE1632" s="155"/>
    </row>
    <row r="1633" spans="2:213" s="156" customFormat="1" hidden="1">
      <c r="B1633" s="155"/>
      <c r="C1633" s="155"/>
      <c r="D1633" s="155"/>
      <c r="E1633" s="155"/>
      <c r="F1633" s="155"/>
      <c r="G1633" s="155"/>
      <c r="H1633" s="155"/>
      <c r="I1633" s="155"/>
      <c r="J1633" s="155"/>
      <c r="K1633" s="155"/>
      <c r="L1633" s="155"/>
      <c r="M1633" s="155"/>
      <c r="N1633" s="155"/>
      <c r="O1633" s="155"/>
      <c r="P1633" s="155"/>
      <c r="Q1633" s="155"/>
      <c r="R1633" s="155"/>
      <c r="S1633" s="155"/>
      <c r="T1633" s="155"/>
      <c r="U1633" s="155"/>
      <c r="V1633" s="155"/>
      <c r="W1633" s="155"/>
      <c r="GL1633" s="155"/>
      <c r="GM1633" s="155"/>
      <c r="GN1633" s="155"/>
      <c r="GO1633" s="155"/>
      <c r="GP1633" s="155"/>
      <c r="GQ1633" s="155"/>
      <c r="GR1633" s="155"/>
      <c r="GS1633" s="155"/>
      <c r="GT1633" s="155"/>
      <c r="GU1633" s="155"/>
      <c r="GV1633" s="155"/>
      <c r="GW1633" s="155"/>
      <c r="GX1633" s="155"/>
      <c r="GY1633" s="155"/>
      <c r="GZ1633" s="155"/>
      <c r="HA1633" s="155"/>
      <c r="HB1633" s="155"/>
      <c r="HC1633" s="155"/>
      <c r="HD1633" s="155"/>
      <c r="HE1633" s="155"/>
    </row>
    <row r="1634" spans="2:213" s="156" customFormat="1" hidden="1">
      <c r="B1634" s="155"/>
      <c r="C1634" s="155"/>
      <c r="D1634" s="155"/>
      <c r="E1634" s="155"/>
      <c r="F1634" s="155"/>
      <c r="G1634" s="155"/>
      <c r="H1634" s="155"/>
      <c r="I1634" s="155"/>
      <c r="J1634" s="155"/>
      <c r="K1634" s="155"/>
      <c r="L1634" s="155"/>
      <c r="M1634" s="155"/>
      <c r="N1634" s="155"/>
      <c r="O1634" s="155"/>
      <c r="P1634" s="155"/>
      <c r="Q1634" s="155"/>
      <c r="R1634" s="155"/>
      <c r="S1634" s="155"/>
      <c r="T1634" s="155"/>
      <c r="U1634" s="155"/>
      <c r="V1634" s="155"/>
      <c r="W1634" s="155"/>
      <c r="GL1634" s="155"/>
      <c r="GM1634" s="155"/>
      <c r="GN1634" s="155"/>
      <c r="GO1634" s="155"/>
      <c r="GP1634" s="155"/>
      <c r="GQ1634" s="155"/>
      <c r="GR1634" s="155"/>
      <c r="GS1634" s="155"/>
      <c r="GT1634" s="155"/>
      <c r="GU1634" s="155"/>
      <c r="GV1634" s="155"/>
      <c r="GW1634" s="155"/>
      <c r="GX1634" s="155"/>
      <c r="GY1634" s="155"/>
      <c r="GZ1634" s="155"/>
      <c r="HA1634" s="155"/>
      <c r="HB1634" s="155"/>
      <c r="HC1634" s="155"/>
      <c r="HD1634" s="155"/>
      <c r="HE1634" s="155"/>
    </row>
    <row r="1635" spans="2:213" s="156" customFormat="1" hidden="1">
      <c r="B1635" s="155"/>
      <c r="C1635" s="155"/>
      <c r="D1635" s="155"/>
      <c r="E1635" s="155"/>
      <c r="F1635" s="155"/>
      <c r="G1635" s="155"/>
      <c r="H1635" s="155"/>
      <c r="I1635" s="155"/>
      <c r="J1635" s="155"/>
      <c r="K1635" s="155"/>
      <c r="L1635" s="155"/>
      <c r="M1635" s="155"/>
      <c r="N1635" s="155"/>
      <c r="O1635" s="155"/>
      <c r="P1635" s="155"/>
      <c r="Q1635" s="155"/>
      <c r="R1635" s="155"/>
      <c r="S1635" s="155"/>
      <c r="T1635" s="155"/>
      <c r="U1635" s="155"/>
      <c r="V1635" s="155"/>
      <c r="W1635" s="155"/>
      <c r="GL1635" s="155"/>
      <c r="GM1635" s="155"/>
      <c r="GN1635" s="155"/>
      <c r="GO1635" s="155"/>
      <c r="GP1635" s="155"/>
      <c r="GQ1635" s="155"/>
      <c r="GR1635" s="155"/>
      <c r="GS1635" s="155"/>
      <c r="GT1635" s="155"/>
      <c r="GU1635" s="155"/>
      <c r="GV1635" s="155"/>
      <c r="GW1635" s="155"/>
      <c r="GX1635" s="155"/>
      <c r="GY1635" s="155"/>
      <c r="GZ1635" s="155"/>
      <c r="HA1635" s="155"/>
      <c r="HB1635" s="155"/>
      <c r="HC1635" s="155"/>
      <c r="HD1635" s="155"/>
      <c r="HE1635" s="155"/>
    </row>
    <row r="1636" spans="2:213" s="156" customFormat="1" hidden="1">
      <c r="B1636" s="155"/>
      <c r="C1636" s="155"/>
      <c r="D1636" s="155"/>
      <c r="E1636" s="155"/>
      <c r="F1636" s="155"/>
      <c r="G1636" s="155"/>
      <c r="H1636" s="155"/>
      <c r="I1636" s="155"/>
      <c r="J1636" s="155"/>
      <c r="K1636" s="155"/>
      <c r="L1636" s="155"/>
      <c r="M1636" s="155"/>
      <c r="N1636" s="155"/>
      <c r="O1636" s="155"/>
      <c r="P1636" s="155"/>
      <c r="Q1636" s="155"/>
      <c r="R1636" s="155"/>
      <c r="S1636" s="155"/>
      <c r="T1636" s="155"/>
      <c r="U1636" s="155"/>
      <c r="V1636" s="155"/>
      <c r="W1636" s="155"/>
      <c r="GL1636" s="155"/>
      <c r="GM1636" s="155"/>
      <c r="GN1636" s="155"/>
      <c r="GO1636" s="155"/>
      <c r="GP1636" s="155"/>
      <c r="GQ1636" s="155"/>
      <c r="GR1636" s="155"/>
      <c r="GS1636" s="155"/>
      <c r="GT1636" s="155"/>
      <c r="GU1636" s="155"/>
      <c r="GV1636" s="155"/>
      <c r="GW1636" s="155"/>
      <c r="GX1636" s="155"/>
      <c r="GY1636" s="155"/>
      <c r="GZ1636" s="155"/>
      <c r="HA1636" s="155"/>
      <c r="HB1636" s="155"/>
      <c r="HC1636" s="155"/>
      <c r="HD1636" s="155"/>
      <c r="HE1636" s="155"/>
    </row>
    <row r="1637" spans="2:213" s="156" customFormat="1" hidden="1">
      <c r="B1637" s="155"/>
      <c r="C1637" s="155"/>
      <c r="D1637" s="155"/>
      <c r="E1637" s="155"/>
      <c r="F1637" s="155"/>
      <c r="G1637" s="155"/>
      <c r="H1637" s="155"/>
      <c r="I1637" s="155"/>
      <c r="J1637" s="155"/>
      <c r="K1637" s="155"/>
      <c r="L1637" s="155"/>
      <c r="M1637" s="155"/>
      <c r="N1637" s="155"/>
      <c r="O1637" s="155"/>
      <c r="P1637" s="155"/>
      <c r="Q1637" s="155"/>
      <c r="R1637" s="155"/>
      <c r="S1637" s="155"/>
      <c r="T1637" s="155"/>
      <c r="U1637" s="155"/>
      <c r="V1637" s="155"/>
      <c r="W1637" s="155"/>
      <c r="GL1637" s="155"/>
      <c r="GM1637" s="155"/>
      <c r="GN1637" s="155"/>
      <c r="GO1637" s="155"/>
      <c r="GP1637" s="155"/>
      <c r="GQ1637" s="155"/>
      <c r="GR1637" s="155"/>
      <c r="GS1637" s="155"/>
      <c r="GT1637" s="155"/>
      <c r="GU1637" s="155"/>
      <c r="GV1637" s="155"/>
      <c r="GW1637" s="155"/>
      <c r="GX1637" s="155"/>
      <c r="GY1637" s="155"/>
      <c r="GZ1637" s="155"/>
      <c r="HA1637" s="155"/>
      <c r="HB1637" s="155"/>
      <c r="HC1637" s="155"/>
      <c r="HD1637" s="155"/>
      <c r="HE1637" s="155"/>
    </row>
    <row r="1638" spans="2:213" s="156" customFormat="1" hidden="1">
      <c r="B1638" s="155"/>
      <c r="C1638" s="155"/>
      <c r="D1638" s="155"/>
      <c r="E1638" s="155"/>
      <c r="F1638" s="155"/>
      <c r="G1638" s="155"/>
      <c r="H1638" s="155"/>
      <c r="I1638" s="155"/>
      <c r="J1638" s="155"/>
      <c r="K1638" s="155"/>
      <c r="L1638" s="155"/>
      <c r="M1638" s="155"/>
      <c r="N1638" s="155"/>
      <c r="O1638" s="155"/>
      <c r="P1638" s="155"/>
      <c r="Q1638" s="155"/>
      <c r="R1638" s="155"/>
      <c r="S1638" s="155"/>
      <c r="T1638" s="155"/>
      <c r="U1638" s="155"/>
      <c r="V1638" s="155"/>
      <c r="W1638" s="155"/>
      <c r="GL1638" s="155"/>
      <c r="GM1638" s="155"/>
      <c r="GN1638" s="155"/>
      <c r="GO1638" s="155"/>
      <c r="GP1638" s="155"/>
      <c r="GQ1638" s="155"/>
      <c r="GR1638" s="155"/>
      <c r="GS1638" s="155"/>
      <c r="GT1638" s="155"/>
      <c r="GU1638" s="155"/>
      <c r="GV1638" s="155"/>
      <c r="GW1638" s="155"/>
      <c r="GX1638" s="155"/>
      <c r="GY1638" s="155"/>
      <c r="GZ1638" s="155"/>
      <c r="HA1638" s="155"/>
      <c r="HB1638" s="155"/>
      <c r="HC1638" s="155"/>
      <c r="HD1638" s="155"/>
      <c r="HE1638" s="155"/>
    </row>
    <row r="1639" spans="2:213" s="156" customFormat="1" hidden="1">
      <c r="B1639" s="155"/>
      <c r="C1639" s="155"/>
      <c r="D1639" s="155"/>
      <c r="E1639" s="155"/>
      <c r="F1639" s="155"/>
      <c r="G1639" s="155"/>
      <c r="H1639" s="155"/>
      <c r="I1639" s="155"/>
      <c r="J1639" s="155"/>
      <c r="K1639" s="155"/>
      <c r="L1639" s="155"/>
      <c r="M1639" s="155"/>
      <c r="N1639" s="155"/>
      <c r="O1639" s="155"/>
      <c r="P1639" s="155"/>
      <c r="Q1639" s="155"/>
      <c r="R1639" s="155"/>
      <c r="S1639" s="155"/>
      <c r="T1639" s="155"/>
      <c r="U1639" s="155"/>
      <c r="V1639" s="155"/>
      <c r="W1639" s="155"/>
      <c r="GL1639" s="155"/>
      <c r="GM1639" s="155"/>
      <c r="GN1639" s="155"/>
      <c r="GO1639" s="155"/>
      <c r="GP1639" s="155"/>
      <c r="GQ1639" s="155"/>
      <c r="GR1639" s="155"/>
      <c r="GS1639" s="155"/>
      <c r="GT1639" s="155"/>
      <c r="GU1639" s="155"/>
      <c r="GV1639" s="155"/>
      <c r="GW1639" s="155"/>
      <c r="GX1639" s="155"/>
      <c r="GY1639" s="155"/>
      <c r="GZ1639" s="155"/>
      <c r="HA1639" s="155"/>
      <c r="HB1639" s="155"/>
      <c r="HC1639" s="155"/>
      <c r="HD1639" s="155"/>
      <c r="HE1639" s="155"/>
    </row>
    <row r="1640" spans="2:213" s="156" customFormat="1" hidden="1">
      <c r="B1640" s="155"/>
      <c r="C1640" s="155"/>
      <c r="D1640" s="155"/>
      <c r="E1640" s="155"/>
      <c r="F1640" s="155"/>
      <c r="G1640" s="155"/>
      <c r="H1640" s="155"/>
      <c r="I1640" s="155"/>
      <c r="J1640" s="155"/>
      <c r="K1640" s="155"/>
      <c r="L1640" s="155"/>
      <c r="M1640" s="155"/>
      <c r="N1640" s="155"/>
      <c r="O1640" s="155"/>
      <c r="P1640" s="155"/>
      <c r="Q1640" s="155"/>
      <c r="R1640" s="155"/>
      <c r="S1640" s="155"/>
      <c r="T1640" s="155"/>
      <c r="U1640" s="155"/>
      <c r="V1640" s="155"/>
      <c r="W1640" s="155"/>
      <c r="GL1640" s="155"/>
      <c r="GM1640" s="155"/>
      <c r="GN1640" s="155"/>
      <c r="GO1640" s="155"/>
      <c r="GP1640" s="155"/>
      <c r="GQ1640" s="155"/>
      <c r="GR1640" s="155"/>
      <c r="GS1640" s="155"/>
      <c r="GT1640" s="155"/>
      <c r="GU1640" s="155"/>
      <c r="GV1640" s="155"/>
      <c r="GW1640" s="155"/>
      <c r="GX1640" s="155"/>
      <c r="GY1640" s="155"/>
      <c r="GZ1640" s="155"/>
      <c r="HA1640" s="155"/>
      <c r="HB1640" s="155"/>
      <c r="HC1640" s="155"/>
      <c r="HD1640" s="155"/>
      <c r="HE1640" s="155"/>
    </row>
    <row r="1641" spans="2:213" s="156" customFormat="1" hidden="1">
      <c r="B1641" s="155"/>
      <c r="C1641" s="155"/>
      <c r="D1641" s="155"/>
      <c r="E1641" s="155"/>
      <c r="F1641" s="155"/>
      <c r="G1641" s="155"/>
      <c r="H1641" s="155"/>
      <c r="I1641" s="155"/>
      <c r="J1641" s="155"/>
      <c r="K1641" s="155"/>
      <c r="L1641" s="155"/>
      <c r="M1641" s="155"/>
      <c r="N1641" s="155"/>
      <c r="O1641" s="155"/>
      <c r="P1641" s="155"/>
      <c r="Q1641" s="155"/>
      <c r="R1641" s="155"/>
      <c r="S1641" s="155"/>
      <c r="T1641" s="155"/>
      <c r="U1641" s="155"/>
      <c r="V1641" s="155"/>
      <c r="W1641" s="155"/>
      <c r="GL1641" s="155"/>
      <c r="GM1641" s="155"/>
      <c r="GN1641" s="155"/>
      <c r="GO1641" s="155"/>
      <c r="GP1641" s="155"/>
      <c r="GQ1641" s="155"/>
      <c r="GR1641" s="155"/>
      <c r="GS1641" s="155"/>
      <c r="GT1641" s="155"/>
      <c r="GU1641" s="155"/>
      <c r="GV1641" s="155"/>
      <c r="GW1641" s="155"/>
      <c r="GX1641" s="155"/>
      <c r="GY1641" s="155"/>
      <c r="GZ1641" s="155"/>
      <c r="HA1641" s="155"/>
      <c r="HB1641" s="155"/>
      <c r="HC1641" s="155"/>
      <c r="HD1641" s="155"/>
      <c r="HE1641" s="155"/>
    </row>
    <row r="1642" spans="2:213" s="156" customFormat="1" hidden="1">
      <c r="B1642" s="155"/>
      <c r="C1642" s="155"/>
      <c r="D1642" s="155"/>
      <c r="E1642" s="155"/>
      <c r="F1642" s="155"/>
      <c r="G1642" s="155"/>
      <c r="H1642" s="155"/>
      <c r="I1642" s="155"/>
      <c r="J1642" s="155"/>
      <c r="K1642" s="155"/>
      <c r="L1642" s="155"/>
      <c r="M1642" s="155"/>
      <c r="N1642" s="155"/>
      <c r="O1642" s="155"/>
      <c r="P1642" s="155"/>
      <c r="Q1642" s="155"/>
      <c r="R1642" s="155"/>
      <c r="S1642" s="155"/>
      <c r="T1642" s="155"/>
      <c r="U1642" s="155"/>
      <c r="V1642" s="155"/>
      <c r="W1642" s="155"/>
      <c r="GL1642" s="155"/>
      <c r="GM1642" s="155"/>
      <c r="GN1642" s="155"/>
      <c r="GO1642" s="155"/>
      <c r="GP1642" s="155"/>
      <c r="GQ1642" s="155"/>
      <c r="GR1642" s="155"/>
      <c r="GS1642" s="155"/>
      <c r="GT1642" s="155"/>
      <c r="GU1642" s="155"/>
      <c r="GV1642" s="155"/>
      <c r="GW1642" s="155"/>
      <c r="GX1642" s="155"/>
      <c r="GY1642" s="155"/>
      <c r="GZ1642" s="155"/>
      <c r="HA1642" s="155"/>
      <c r="HB1642" s="155"/>
      <c r="HC1642" s="155"/>
      <c r="HD1642" s="155"/>
      <c r="HE1642" s="155"/>
    </row>
    <row r="1643" spans="2:213" s="156" customFormat="1" hidden="1">
      <c r="B1643" s="155"/>
      <c r="C1643" s="155"/>
      <c r="D1643" s="155"/>
      <c r="E1643" s="155"/>
      <c r="F1643" s="155"/>
      <c r="G1643" s="155"/>
      <c r="H1643" s="155"/>
      <c r="I1643" s="155"/>
      <c r="J1643" s="155"/>
      <c r="K1643" s="155"/>
      <c r="L1643" s="155"/>
      <c r="M1643" s="155"/>
      <c r="N1643" s="155"/>
      <c r="O1643" s="155"/>
      <c r="P1643" s="155"/>
      <c r="Q1643" s="155"/>
      <c r="R1643" s="155"/>
      <c r="S1643" s="155"/>
      <c r="T1643" s="155"/>
      <c r="U1643" s="155"/>
      <c r="V1643" s="155"/>
      <c r="W1643" s="155"/>
      <c r="GL1643" s="155"/>
      <c r="GM1643" s="155"/>
      <c r="GN1643" s="155"/>
      <c r="GO1643" s="155"/>
      <c r="GP1643" s="155"/>
      <c r="GQ1643" s="155"/>
      <c r="GR1643" s="155"/>
      <c r="GS1643" s="155"/>
      <c r="GT1643" s="155"/>
      <c r="GU1643" s="155"/>
      <c r="GV1643" s="155"/>
      <c r="GW1643" s="155"/>
      <c r="GX1643" s="155"/>
      <c r="GY1643" s="155"/>
      <c r="GZ1643" s="155"/>
      <c r="HA1643" s="155"/>
      <c r="HB1643" s="155"/>
      <c r="HC1643" s="155"/>
      <c r="HD1643" s="155"/>
      <c r="HE1643" s="155"/>
    </row>
    <row r="1644" spans="2:213" s="156" customFormat="1" hidden="1">
      <c r="B1644" s="155"/>
      <c r="C1644" s="155"/>
      <c r="D1644" s="155"/>
      <c r="E1644" s="155"/>
      <c r="F1644" s="155"/>
      <c r="G1644" s="155"/>
      <c r="H1644" s="155"/>
      <c r="I1644" s="155"/>
      <c r="J1644" s="155"/>
      <c r="K1644" s="155"/>
      <c r="L1644" s="155"/>
      <c r="M1644" s="155"/>
      <c r="N1644" s="155"/>
      <c r="O1644" s="155"/>
      <c r="P1644" s="155"/>
      <c r="Q1644" s="155"/>
      <c r="R1644" s="155"/>
      <c r="S1644" s="155"/>
      <c r="T1644" s="155"/>
      <c r="U1644" s="155"/>
      <c r="V1644" s="155"/>
      <c r="W1644" s="155"/>
      <c r="GL1644" s="155"/>
      <c r="GM1644" s="155"/>
      <c r="GN1644" s="155"/>
      <c r="GO1644" s="155"/>
      <c r="GP1644" s="155"/>
      <c r="GQ1644" s="155"/>
      <c r="GR1644" s="155"/>
      <c r="GS1644" s="155"/>
      <c r="GT1644" s="155"/>
      <c r="GU1644" s="155"/>
      <c r="GV1644" s="155"/>
      <c r="GW1644" s="155"/>
      <c r="GX1644" s="155"/>
      <c r="GY1644" s="155"/>
      <c r="GZ1644" s="155"/>
      <c r="HA1644" s="155"/>
      <c r="HB1644" s="155"/>
      <c r="HC1644" s="155"/>
      <c r="HD1644" s="155"/>
      <c r="HE1644" s="155"/>
    </row>
    <row r="1645" spans="2:213" s="156" customFormat="1" hidden="1">
      <c r="B1645" s="155"/>
      <c r="C1645" s="155"/>
      <c r="D1645" s="155"/>
      <c r="E1645" s="155"/>
      <c r="F1645" s="155"/>
      <c r="G1645" s="155"/>
      <c r="H1645" s="155"/>
      <c r="I1645" s="155"/>
      <c r="J1645" s="155"/>
      <c r="K1645" s="155"/>
      <c r="L1645" s="155"/>
      <c r="M1645" s="155"/>
      <c r="N1645" s="155"/>
      <c r="O1645" s="155"/>
      <c r="P1645" s="155"/>
      <c r="Q1645" s="155"/>
      <c r="R1645" s="155"/>
      <c r="S1645" s="155"/>
      <c r="T1645" s="155"/>
      <c r="U1645" s="155"/>
      <c r="V1645" s="155"/>
      <c r="W1645" s="155"/>
      <c r="GL1645" s="155"/>
      <c r="GM1645" s="155"/>
      <c r="GN1645" s="155"/>
      <c r="GO1645" s="155"/>
      <c r="GP1645" s="155"/>
      <c r="GQ1645" s="155"/>
      <c r="GR1645" s="155"/>
      <c r="GS1645" s="155"/>
      <c r="GT1645" s="155"/>
      <c r="GU1645" s="155"/>
      <c r="GV1645" s="155"/>
      <c r="GW1645" s="155"/>
      <c r="GX1645" s="155"/>
      <c r="GY1645" s="155"/>
      <c r="GZ1645" s="155"/>
      <c r="HA1645" s="155"/>
      <c r="HB1645" s="155"/>
      <c r="HC1645" s="155"/>
      <c r="HD1645" s="155"/>
      <c r="HE1645" s="155"/>
    </row>
    <row r="1646" spans="2:213" s="156" customFormat="1" hidden="1">
      <c r="B1646" s="155"/>
      <c r="C1646" s="155"/>
      <c r="D1646" s="155"/>
      <c r="E1646" s="155"/>
      <c r="F1646" s="155"/>
      <c r="G1646" s="155"/>
      <c r="H1646" s="155"/>
      <c r="I1646" s="155"/>
      <c r="J1646" s="155"/>
      <c r="K1646" s="155"/>
      <c r="L1646" s="155"/>
      <c r="M1646" s="155"/>
      <c r="N1646" s="155"/>
      <c r="O1646" s="155"/>
      <c r="P1646" s="155"/>
      <c r="Q1646" s="155"/>
      <c r="R1646" s="155"/>
      <c r="S1646" s="155"/>
      <c r="T1646" s="155"/>
      <c r="U1646" s="155"/>
      <c r="V1646" s="155"/>
      <c r="W1646" s="155"/>
      <c r="GL1646" s="155"/>
      <c r="GM1646" s="155"/>
      <c r="GN1646" s="155"/>
      <c r="GO1646" s="155"/>
      <c r="GP1646" s="155"/>
      <c r="GQ1646" s="155"/>
      <c r="GR1646" s="155"/>
      <c r="GS1646" s="155"/>
      <c r="GT1646" s="155"/>
      <c r="GU1646" s="155"/>
      <c r="GV1646" s="155"/>
      <c r="GW1646" s="155"/>
      <c r="GX1646" s="155"/>
      <c r="GY1646" s="155"/>
      <c r="GZ1646" s="155"/>
      <c r="HA1646" s="155"/>
      <c r="HB1646" s="155"/>
      <c r="HC1646" s="155"/>
      <c r="HD1646" s="155"/>
      <c r="HE1646" s="155"/>
    </row>
    <row r="1647" spans="2:213" s="156" customFormat="1" hidden="1">
      <c r="B1647" s="155"/>
      <c r="C1647" s="155"/>
      <c r="D1647" s="155"/>
      <c r="E1647" s="155"/>
      <c r="F1647" s="155"/>
      <c r="G1647" s="155"/>
      <c r="H1647" s="155"/>
      <c r="I1647" s="155"/>
      <c r="J1647" s="155"/>
      <c r="K1647" s="155"/>
      <c r="L1647" s="155"/>
      <c r="M1647" s="155"/>
      <c r="N1647" s="155"/>
      <c r="O1647" s="155"/>
      <c r="P1647" s="155"/>
      <c r="Q1647" s="155"/>
      <c r="R1647" s="155"/>
      <c r="S1647" s="155"/>
      <c r="T1647" s="155"/>
      <c r="U1647" s="155"/>
      <c r="V1647" s="155"/>
      <c r="W1647" s="155"/>
      <c r="GL1647" s="155"/>
      <c r="GM1647" s="155"/>
      <c r="GN1647" s="155"/>
      <c r="GO1647" s="155"/>
      <c r="GP1647" s="155"/>
      <c r="GQ1647" s="155"/>
      <c r="GR1647" s="155"/>
      <c r="GS1647" s="155"/>
      <c r="GT1647" s="155"/>
      <c r="GU1647" s="155"/>
      <c r="GV1647" s="155"/>
      <c r="GW1647" s="155"/>
      <c r="GX1647" s="155"/>
      <c r="GY1647" s="155"/>
      <c r="GZ1647" s="155"/>
      <c r="HA1647" s="155"/>
      <c r="HB1647" s="155"/>
      <c r="HC1647" s="155"/>
      <c r="HD1647" s="155"/>
      <c r="HE1647" s="155"/>
    </row>
    <row r="1648" spans="2:213" s="156" customFormat="1" hidden="1">
      <c r="B1648" s="155"/>
      <c r="C1648" s="155"/>
      <c r="D1648" s="155"/>
      <c r="E1648" s="155"/>
      <c r="F1648" s="155"/>
      <c r="G1648" s="155"/>
      <c r="H1648" s="155"/>
      <c r="I1648" s="155"/>
      <c r="J1648" s="155"/>
      <c r="K1648" s="155"/>
      <c r="L1648" s="155"/>
      <c r="M1648" s="155"/>
      <c r="N1648" s="155"/>
      <c r="O1648" s="155"/>
      <c r="P1648" s="155"/>
      <c r="Q1648" s="155"/>
      <c r="R1648" s="155"/>
      <c r="S1648" s="155"/>
      <c r="T1648" s="155"/>
      <c r="U1648" s="155"/>
      <c r="V1648" s="155"/>
      <c r="W1648" s="155"/>
      <c r="GL1648" s="155"/>
      <c r="GM1648" s="155"/>
      <c r="GN1648" s="155"/>
      <c r="GO1648" s="155"/>
      <c r="GP1648" s="155"/>
      <c r="GQ1648" s="155"/>
      <c r="GR1648" s="155"/>
      <c r="GS1648" s="155"/>
      <c r="GT1648" s="155"/>
      <c r="GU1648" s="155"/>
      <c r="GV1648" s="155"/>
      <c r="GW1648" s="155"/>
      <c r="GX1648" s="155"/>
      <c r="GY1648" s="155"/>
      <c r="GZ1648" s="155"/>
      <c r="HA1648" s="155"/>
      <c r="HB1648" s="155"/>
      <c r="HC1648" s="155"/>
      <c r="HD1648" s="155"/>
      <c r="HE1648" s="155"/>
    </row>
    <row r="1649" spans="2:213" s="156" customFormat="1" hidden="1">
      <c r="B1649" s="155"/>
      <c r="C1649" s="155"/>
      <c r="D1649" s="155"/>
      <c r="E1649" s="155"/>
      <c r="F1649" s="155"/>
      <c r="G1649" s="155"/>
      <c r="H1649" s="155"/>
      <c r="I1649" s="155"/>
      <c r="J1649" s="155"/>
      <c r="K1649" s="155"/>
      <c r="L1649" s="155"/>
      <c r="M1649" s="155"/>
      <c r="N1649" s="155"/>
      <c r="O1649" s="155"/>
      <c r="P1649" s="155"/>
      <c r="Q1649" s="155"/>
      <c r="R1649" s="155"/>
      <c r="S1649" s="155"/>
      <c r="T1649" s="155"/>
      <c r="U1649" s="155"/>
      <c r="V1649" s="155"/>
      <c r="W1649" s="155"/>
      <c r="GL1649" s="155"/>
      <c r="GM1649" s="155"/>
      <c r="GN1649" s="155"/>
      <c r="GO1649" s="155"/>
      <c r="GP1649" s="155"/>
      <c r="GQ1649" s="155"/>
      <c r="GR1649" s="155"/>
      <c r="GS1649" s="155"/>
      <c r="GT1649" s="155"/>
      <c r="GU1649" s="155"/>
      <c r="GV1649" s="155"/>
      <c r="GW1649" s="155"/>
      <c r="GX1649" s="155"/>
      <c r="GY1649" s="155"/>
      <c r="GZ1649" s="155"/>
      <c r="HA1649" s="155"/>
      <c r="HB1649" s="155"/>
      <c r="HC1649" s="155"/>
      <c r="HD1649" s="155"/>
      <c r="HE1649" s="155"/>
    </row>
    <row r="1650" spans="2:213" s="156" customFormat="1" hidden="1">
      <c r="B1650" s="155"/>
      <c r="C1650" s="155"/>
      <c r="D1650" s="155"/>
      <c r="E1650" s="155"/>
      <c r="F1650" s="155"/>
      <c r="G1650" s="155"/>
      <c r="H1650" s="155"/>
      <c r="I1650" s="155"/>
      <c r="J1650" s="155"/>
      <c r="K1650" s="155"/>
      <c r="L1650" s="155"/>
      <c r="M1650" s="155"/>
      <c r="N1650" s="155"/>
      <c r="O1650" s="155"/>
      <c r="P1650" s="155"/>
      <c r="Q1650" s="155"/>
      <c r="R1650" s="155"/>
      <c r="S1650" s="155"/>
      <c r="T1650" s="155"/>
      <c r="U1650" s="155"/>
      <c r="V1650" s="155"/>
      <c r="W1650" s="155"/>
      <c r="GL1650" s="155"/>
      <c r="GM1650" s="155"/>
      <c r="GN1650" s="155"/>
      <c r="GO1650" s="155"/>
      <c r="GP1650" s="155"/>
      <c r="GQ1650" s="155"/>
      <c r="GR1650" s="155"/>
      <c r="GS1650" s="155"/>
      <c r="GT1650" s="155"/>
      <c r="GU1650" s="155"/>
      <c r="GV1650" s="155"/>
      <c r="GW1650" s="155"/>
      <c r="GX1650" s="155"/>
      <c r="GY1650" s="155"/>
      <c r="GZ1650" s="155"/>
      <c r="HA1650" s="155"/>
      <c r="HB1650" s="155"/>
      <c r="HC1650" s="155"/>
      <c r="HD1650" s="155"/>
      <c r="HE1650" s="155"/>
    </row>
    <row r="1651" spans="2:213" s="156" customFormat="1" hidden="1">
      <c r="B1651" s="155"/>
      <c r="C1651" s="155"/>
      <c r="D1651" s="155"/>
      <c r="E1651" s="155"/>
      <c r="F1651" s="155"/>
      <c r="G1651" s="155"/>
      <c r="H1651" s="155"/>
      <c r="I1651" s="155"/>
      <c r="J1651" s="155"/>
      <c r="K1651" s="155"/>
      <c r="L1651" s="155"/>
      <c r="M1651" s="155"/>
      <c r="N1651" s="155"/>
      <c r="O1651" s="155"/>
      <c r="P1651" s="155"/>
      <c r="Q1651" s="155"/>
      <c r="R1651" s="155"/>
      <c r="S1651" s="155"/>
      <c r="T1651" s="155"/>
      <c r="U1651" s="155"/>
      <c r="V1651" s="155"/>
      <c r="W1651" s="155"/>
      <c r="GL1651" s="155"/>
      <c r="GM1651" s="155"/>
      <c r="GN1651" s="155"/>
      <c r="GO1651" s="155"/>
      <c r="GP1651" s="155"/>
      <c r="GQ1651" s="155"/>
      <c r="GR1651" s="155"/>
      <c r="GS1651" s="155"/>
      <c r="GT1651" s="155"/>
      <c r="GU1651" s="155"/>
      <c r="GV1651" s="155"/>
      <c r="GW1651" s="155"/>
      <c r="GX1651" s="155"/>
      <c r="GY1651" s="155"/>
      <c r="GZ1651" s="155"/>
      <c r="HA1651" s="155"/>
      <c r="HB1651" s="155"/>
      <c r="HC1651" s="155"/>
      <c r="HD1651" s="155"/>
      <c r="HE1651" s="155"/>
    </row>
    <row r="1652" spans="2:213" s="156" customFormat="1" hidden="1">
      <c r="B1652" s="155"/>
      <c r="C1652" s="155"/>
      <c r="D1652" s="155"/>
      <c r="E1652" s="155"/>
      <c r="F1652" s="155"/>
      <c r="G1652" s="155"/>
      <c r="H1652" s="155"/>
      <c r="I1652" s="155"/>
      <c r="J1652" s="155"/>
      <c r="K1652" s="155"/>
      <c r="L1652" s="155"/>
      <c r="M1652" s="155"/>
      <c r="N1652" s="155"/>
      <c r="O1652" s="155"/>
      <c r="P1652" s="155"/>
      <c r="Q1652" s="155"/>
      <c r="R1652" s="155"/>
      <c r="S1652" s="155"/>
      <c r="T1652" s="155"/>
      <c r="U1652" s="155"/>
      <c r="V1652" s="155"/>
      <c r="W1652" s="155"/>
      <c r="GL1652" s="155"/>
      <c r="GM1652" s="155"/>
      <c r="GN1652" s="155"/>
      <c r="GO1652" s="155"/>
      <c r="GP1652" s="155"/>
      <c r="GQ1652" s="155"/>
      <c r="GR1652" s="155"/>
      <c r="GS1652" s="155"/>
      <c r="GT1652" s="155"/>
      <c r="GU1652" s="155"/>
      <c r="GV1652" s="155"/>
      <c r="GW1652" s="155"/>
      <c r="GX1652" s="155"/>
      <c r="GY1652" s="155"/>
      <c r="GZ1652" s="155"/>
      <c r="HA1652" s="155"/>
      <c r="HB1652" s="155"/>
      <c r="HC1652" s="155"/>
      <c r="HD1652" s="155"/>
      <c r="HE1652" s="155"/>
    </row>
    <row r="1653" spans="2:213" s="156" customFormat="1" hidden="1">
      <c r="B1653" s="155"/>
      <c r="C1653" s="155"/>
      <c r="D1653" s="155"/>
      <c r="E1653" s="155"/>
      <c r="F1653" s="155"/>
      <c r="G1653" s="155"/>
      <c r="H1653" s="155"/>
      <c r="I1653" s="155"/>
      <c r="J1653" s="155"/>
      <c r="K1653" s="155"/>
      <c r="L1653" s="155"/>
      <c r="M1653" s="155"/>
      <c r="N1653" s="155"/>
      <c r="O1653" s="155"/>
      <c r="P1653" s="155"/>
      <c r="Q1653" s="155"/>
      <c r="R1653" s="155"/>
      <c r="S1653" s="155"/>
      <c r="T1653" s="155"/>
      <c r="U1653" s="155"/>
      <c r="V1653" s="155"/>
      <c r="W1653" s="155"/>
      <c r="GL1653" s="155"/>
      <c r="GM1653" s="155"/>
      <c r="GN1653" s="155"/>
      <c r="GO1653" s="155"/>
      <c r="GP1653" s="155"/>
      <c r="GQ1653" s="155"/>
      <c r="GR1653" s="155"/>
      <c r="GS1653" s="155"/>
      <c r="GT1653" s="155"/>
      <c r="GU1653" s="155"/>
      <c r="GV1653" s="155"/>
      <c r="GW1653" s="155"/>
      <c r="GX1653" s="155"/>
      <c r="GY1653" s="155"/>
      <c r="GZ1653" s="155"/>
      <c r="HA1653" s="155"/>
      <c r="HB1653" s="155"/>
      <c r="HC1653" s="155"/>
      <c r="HD1653" s="155"/>
      <c r="HE1653" s="155"/>
    </row>
    <row r="1654" spans="2:213" s="156" customFormat="1" hidden="1">
      <c r="B1654" s="155"/>
      <c r="C1654" s="155"/>
      <c r="D1654" s="155"/>
      <c r="E1654" s="155"/>
      <c r="F1654" s="155"/>
      <c r="G1654" s="155"/>
      <c r="H1654" s="155"/>
      <c r="I1654" s="155"/>
      <c r="J1654" s="155"/>
      <c r="K1654" s="155"/>
      <c r="L1654" s="155"/>
      <c r="M1654" s="155"/>
      <c r="N1654" s="155"/>
      <c r="O1654" s="155"/>
      <c r="P1654" s="155"/>
      <c r="Q1654" s="155"/>
      <c r="R1654" s="155"/>
      <c r="S1654" s="155"/>
      <c r="T1654" s="155"/>
      <c r="U1654" s="155"/>
      <c r="V1654" s="155"/>
      <c r="W1654" s="155"/>
      <c r="GL1654" s="155"/>
      <c r="GM1654" s="155"/>
      <c r="GN1654" s="155"/>
      <c r="GO1654" s="155"/>
      <c r="GP1654" s="155"/>
      <c r="GQ1654" s="155"/>
      <c r="GR1654" s="155"/>
      <c r="GS1654" s="155"/>
      <c r="GT1654" s="155"/>
      <c r="GU1654" s="155"/>
      <c r="GV1654" s="155"/>
      <c r="GW1654" s="155"/>
      <c r="GX1654" s="155"/>
      <c r="GY1654" s="155"/>
      <c r="GZ1654" s="155"/>
      <c r="HA1654" s="155"/>
      <c r="HB1654" s="155"/>
      <c r="HC1654" s="155"/>
      <c r="HD1654" s="155"/>
      <c r="HE1654" s="155"/>
    </row>
    <row r="1655" spans="2:213" s="156" customFormat="1" hidden="1">
      <c r="B1655" s="155"/>
      <c r="C1655" s="155"/>
      <c r="D1655" s="155"/>
      <c r="E1655" s="155"/>
      <c r="F1655" s="155"/>
      <c r="G1655" s="155"/>
      <c r="H1655" s="155"/>
      <c r="I1655" s="155"/>
      <c r="J1655" s="155"/>
      <c r="K1655" s="155"/>
      <c r="L1655" s="155"/>
      <c r="M1655" s="155"/>
      <c r="N1655" s="155"/>
      <c r="O1655" s="155"/>
      <c r="P1655" s="155"/>
      <c r="Q1655" s="155"/>
      <c r="R1655" s="155"/>
      <c r="S1655" s="155"/>
      <c r="T1655" s="155"/>
      <c r="U1655" s="155"/>
      <c r="V1655" s="155"/>
      <c r="W1655" s="155"/>
      <c r="GL1655" s="155"/>
      <c r="GM1655" s="155"/>
      <c r="GN1655" s="155"/>
      <c r="GO1655" s="155"/>
      <c r="GP1655" s="155"/>
      <c r="GQ1655" s="155"/>
      <c r="GR1655" s="155"/>
      <c r="GS1655" s="155"/>
      <c r="GT1655" s="155"/>
      <c r="GU1655" s="155"/>
      <c r="GV1655" s="155"/>
      <c r="GW1655" s="155"/>
      <c r="GX1655" s="155"/>
      <c r="GY1655" s="155"/>
      <c r="GZ1655" s="155"/>
      <c r="HA1655" s="155"/>
      <c r="HB1655" s="155"/>
      <c r="HC1655" s="155"/>
      <c r="HD1655" s="155"/>
      <c r="HE1655" s="155"/>
    </row>
    <row r="1656" spans="2:213" s="156" customFormat="1" hidden="1">
      <c r="B1656" s="155"/>
      <c r="C1656" s="155"/>
      <c r="D1656" s="155"/>
      <c r="E1656" s="155"/>
      <c r="F1656" s="155"/>
      <c r="G1656" s="155"/>
      <c r="H1656" s="155"/>
      <c r="I1656" s="155"/>
      <c r="J1656" s="155"/>
      <c r="K1656" s="155"/>
      <c r="L1656" s="155"/>
      <c r="M1656" s="155"/>
      <c r="N1656" s="155"/>
      <c r="O1656" s="155"/>
      <c r="P1656" s="155"/>
      <c r="Q1656" s="155"/>
      <c r="R1656" s="155"/>
      <c r="S1656" s="155"/>
      <c r="T1656" s="155"/>
      <c r="U1656" s="155"/>
      <c r="V1656" s="155"/>
      <c r="W1656" s="155"/>
      <c r="GL1656" s="155"/>
      <c r="GM1656" s="155"/>
      <c r="GN1656" s="155"/>
      <c r="GO1656" s="155"/>
      <c r="GP1656" s="155"/>
      <c r="GQ1656" s="155"/>
      <c r="GR1656" s="155"/>
      <c r="GS1656" s="155"/>
      <c r="GT1656" s="155"/>
      <c r="GU1656" s="155"/>
      <c r="GV1656" s="155"/>
      <c r="GW1656" s="155"/>
      <c r="GX1656" s="155"/>
      <c r="GY1656" s="155"/>
      <c r="GZ1656" s="155"/>
      <c r="HA1656" s="155"/>
      <c r="HB1656" s="155"/>
      <c r="HC1656" s="155"/>
      <c r="HD1656" s="155"/>
      <c r="HE1656" s="155"/>
    </row>
    <row r="1657" spans="2:213" s="156" customFormat="1" hidden="1">
      <c r="B1657" s="155"/>
      <c r="C1657" s="155"/>
      <c r="D1657" s="155"/>
      <c r="E1657" s="155"/>
      <c r="F1657" s="155"/>
      <c r="G1657" s="155"/>
      <c r="H1657" s="155"/>
      <c r="I1657" s="155"/>
      <c r="J1657" s="155"/>
      <c r="K1657" s="155"/>
      <c r="L1657" s="155"/>
      <c r="M1657" s="155"/>
      <c r="N1657" s="155"/>
      <c r="O1657" s="155"/>
      <c r="P1657" s="155"/>
      <c r="Q1657" s="155"/>
      <c r="R1657" s="155"/>
      <c r="S1657" s="155"/>
      <c r="T1657" s="155"/>
      <c r="U1657" s="155"/>
      <c r="V1657" s="155"/>
      <c r="W1657" s="155"/>
      <c r="GL1657" s="155"/>
      <c r="GM1657" s="155"/>
      <c r="GN1657" s="155"/>
      <c r="GO1657" s="155"/>
      <c r="GP1657" s="155"/>
      <c r="GQ1657" s="155"/>
      <c r="GR1657" s="155"/>
      <c r="GS1657" s="155"/>
      <c r="GT1657" s="155"/>
      <c r="GU1657" s="155"/>
      <c r="GV1657" s="155"/>
      <c r="GW1657" s="155"/>
      <c r="GX1657" s="155"/>
      <c r="GY1657" s="155"/>
      <c r="GZ1657" s="155"/>
      <c r="HA1657" s="155"/>
      <c r="HB1657" s="155"/>
      <c r="HC1657" s="155"/>
      <c r="HD1657" s="155"/>
      <c r="HE1657" s="155"/>
    </row>
    <row r="1658" spans="2:213" s="156" customFormat="1" hidden="1">
      <c r="B1658" s="155"/>
      <c r="C1658" s="155"/>
      <c r="D1658" s="155"/>
      <c r="E1658" s="155"/>
      <c r="F1658" s="155"/>
      <c r="G1658" s="155"/>
      <c r="H1658" s="155"/>
      <c r="I1658" s="155"/>
      <c r="J1658" s="155"/>
      <c r="K1658" s="155"/>
      <c r="L1658" s="155"/>
      <c r="M1658" s="155"/>
      <c r="N1658" s="155"/>
      <c r="O1658" s="155"/>
      <c r="P1658" s="155"/>
      <c r="Q1658" s="155"/>
      <c r="R1658" s="155"/>
      <c r="S1658" s="155"/>
      <c r="T1658" s="155"/>
      <c r="U1658" s="155"/>
      <c r="V1658" s="155"/>
      <c r="W1658" s="155"/>
      <c r="GL1658" s="155"/>
      <c r="GM1658" s="155"/>
      <c r="GN1658" s="155"/>
      <c r="GO1658" s="155"/>
      <c r="GP1658" s="155"/>
      <c r="GQ1658" s="155"/>
      <c r="GR1658" s="155"/>
      <c r="GS1658" s="155"/>
      <c r="GT1658" s="155"/>
      <c r="GU1658" s="155"/>
      <c r="GV1658" s="155"/>
      <c r="GW1658" s="155"/>
      <c r="GX1658" s="155"/>
      <c r="GY1658" s="155"/>
      <c r="GZ1658" s="155"/>
      <c r="HA1658" s="155"/>
      <c r="HB1658" s="155"/>
      <c r="HC1658" s="155"/>
      <c r="HD1658" s="155"/>
      <c r="HE1658" s="155"/>
    </row>
    <row r="1659" spans="2:213" s="156" customFormat="1" hidden="1">
      <c r="B1659" s="155"/>
      <c r="C1659" s="155"/>
      <c r="D1659" s="155"/>
      <c r="E1659" s="155"/>
      <c r="F1659" s="155"/>
      <c r="G1659" s="155"/>
      <c r="H1659" s="155"/>
      <c r="I1659" s="155"/>
      <c r="J1659" s="155"/>
      <c r="K1659" s="155"/>
      <c r="L1659" s="155"/>
      <c r="M1659" s="155"/>
      <c r="N1659" s="155"/>
      <c r="O1659" s="155"/>
      <c r="P1659" s="155"/>
      <c r="Q1659" s="155"/>
      <c r="R1659" s="155"/>
      <c r="S1659" s="155"/>
      <c r="T1659" s="155"/>
      <c r="U1659" s="155"/>
      <c r="V1659" s="155"/>
      <c r="W1659" s="155"/>
      <c r="GL1659" s="155"/>
      <c r="GM1659" s="155"/>
      <c r="GN1659" s="155"/>
      <c r="GO1659" s="155"/>
      <c r="GP1659" s="155"/>
      <c r="GQ1659" s="155"/>
      <c r="GR1659" s="155"/>
      <c r="GS1659" s="155"/>
      <c r="GT1659" s="155"/>
      <c r="GU1659" s="155"/>
      <c r="GV1659" s="155"/>
      <c r="GW1659" s="155"/>
      <c r="GX1659" s="155"/>
      <c r="GY1659" s="155"/>
      <c r="GZ1659" s="155"/>
      <c r="HA1659" s="155"/>
      <c r="HB1659" s="155"/>
      <c r="HC1659" s="155"/>
      <c r="HD1659" s="155"/>
      <c r="HE1659" s="155"/>
    </row>
    <row r="1660" spans="2:213" s="156" customFormat="1" hidden="1">
      <c r="B1660" s="155"/>
      <c r="C1660" s="155"/>
      <c r="D1660" s="155"/>
      <c r="E1660" s="155"/>
      <c r="F1660" s="155"/>
      <c r="G1660" s="155"/>
      <c r="H1660" s="155"/>
      <c r="I1660" s="155"/>
      <c r="J1660" s="155"/>
      <c r="K1660" s="155"/>
      <c r="L1660" s="155"/>
      <c r="M1660" s="155"/>
      <c r="N1660" s="155"/>
      <c r="O1660" s="155"/>
      <c r="P1660" s="155"/>
      <c r="Q1660" s="155"/>
      <c r="R1660" s="155"/>
      <c r="S1660" s="155"/>
      <c r="T1660" s="155"/>
      <c r="U1660" s="155"/>
      <c r="V1660" s="155"/>
      <c r="W1660" s="155"/>
      <c r="GL1660" s="155"/>
      <c r="GM1660" s="155"/>
      <c r="GN1660" s="155"/>
      <c r="GO1660" s="155"/>
      <c r="GP1660" s="155"/>
      <c r="GQ1660" s="155"/>
      <c r="GR1660" s="155"/>
      <c r="GS1660" s="155"/>
      <c r="GT1660" s="155"/>
      <c r="GU1660" s="155"/>
      <c r="GV1660" s="155"/>
      <c r="GW1660" s="155"/>
      <c r="GX1660" s="155"/>
      <c r="GY1660" s="155"/>
      <c r="GZ1660" s="155"/>
      <c r="HA1660" s="155"/>
      <c r="HB1660" s="155"/>
      <c r="HC1660" s="155"/>
      <c r="HD1660" s="155"/>
      <c r="HE1660" s="155"/>
    </row>
    <row r="1661" spans="2:213" s="156" customFormat="1" hidden="1">
      <c r="B1661" s="155"/>
      <c r="C1661" s="155"/>
      <c r="D1661" s="155"/>
      <c r="E1661" s="155"/>
      <c r="F1661" s="155"/>
      <c r="G1661" s="155"/>
      <c r="H1661" s="155"/>
      <c r="I1661" s="155"/>
      <c r="J1661" s="155"/>
      <c r="K1661" s="155"/>
      <c r="L1661" s="155"/>
      <c r="M1661" s="155"/>
      <c r="N1661" s="155"/>
      <c r="O1661" s="155"/>
      <c r="P1661" s="155"/>
      <c r="Q1661" s="155"/>
      <c r="R1661" s="155"/>
      <c r="S1661" s="155"/>
      <c r="T1661" s="155"/>
      <c r="U1661" s="155"/>
      <c r="V1661" s="155"/>
      <c r="W1661" s="155"/>
      <c r="GL1661" s="155"/>
      <c r="GM1661" s="155"/>
      <c r="GN1661" s="155"/>
      <c r="GO1661" s="155"/>
      <c r="GP1661" s="155"/>
      <c r="GQ1661" s="155"/>
      <c r="GR1661" s="155"/>
      <c r="GS1661" s="155"/>
      <c r="GT1661" s="155"/>
      <c r="GU1661" s="155"/>
      <c r="GV1661" s="155"/>
      <c r="GW1661" s="155"/>
      <c r="GX1661" s="155"/>
      <c r="GY1661" s="155"/>
      <c r="GZ1661" s="155"/>
      <c r="HA1661" s="155"/>
      <c r="HB1661" s="155"/>
      <c r="HC1661" s="155"/>
      <c r="HD1661" s="155"/>
      <c r="HE1661" s="155"/>
    </row>
    <row r="1662" spans="2:213" s="156" customFormat="1" hidden="1">
      <c r="B1662" s="155"/>
      <c r="C1662" s="155"/>
      <c r="D1662" s="155"/>
      <c r="E1662" s="155"/>
      <c r="F1662" s="155"/>
      <c r="G1662" s="155"/>
      <c r="H1662" s="155"/>
      <c r="I1662" s="155"/>
      <c r="J1662" s="155"/>
      <c r="K1662" s="155"/>
      <c r="L1662" s="155"/>
      <c r="M1662" s="155"/>
      <c r="N1662" s="155"/>
      <c r="O1662" s="155"/>
      <c r="P1662" s="155"/>
      <c r="Q1662" s="155"/>
      <c r="R1662" s="155"/>
      <c r="S1662" s="155"/>
      <c r="T1662" s="155"/>
      <c r="U1662" s="155"/>
      <c r="V1662" s="155"/>
      <c r="W1662" s="155"/>
      <c r="GL1662" s="155"/>
      <c r="GM1662" s="155"/>
      <c r="GN1662" s="155"/>
      <c r="GO1662" s="155"/>
      <c r="GP1662" s="155"/>
      <c r="GQ1662" s="155"/>
      <c r="GR1662" s="155"/>
      <c r="GS1662" s="155"/>
      <c r="GT1662" s="155"/>
      <c r="GU1662" s="155"/>
      <c r="GV1662" s="155"/>
      <c r="GW1662" s="155"/>
      <c r="GX1662" s="155"/>
      <c r="GY1662" s="155"/>
      <c r="GZ1662" s="155"/>
      <c r="HA1662" s="155"/>
      <c r="HB1662" s="155"/>
      <c r="HC1662" s="155"/>
      <c r="HD1662" s="155"/>
      <c r="HE1662" s="155"/>
    </row>
    <row r="1663" spans="2:213" s="156" customFormat="1" hidden="1">
      <c r="B1663" s="155"/>
      <c r="C1663" s="155"/>
      <c r="D1663" s="155"/>
      <c r="E1663" s="155"/>
      <c r="F1663" s="155"/>
      <c r="G1663" s="155"/>
      <c r="H1663" s="155"/>
      <c r="I1663" s="155"/>
      <c r="J1663" s="155"/>
      <c r="K1663" s="155"/>
      <c r="L1663" s="155"/>
      <c r="M1663" s="155"/>
      <c r="N1663" s="155"/>
      <c r="O1663" s="155"/>
      <c r="P1663" s="155"/>
      <c r="Q1663" s="155"/>
      <c r="R1663" s="155"/>
      <c r="S1663" s="155"/>
      <c r="T1663" s="155"/>
      <c r="U1663" s="155"/>
      <c r="V1663" s="155"/>
      <c r="W1663" s="155"/>
      <c r="GL1663" s="155"/>
      <c r="GM1663" s="155"/>
      <c r="GN1663" s="155"/>
      <c r="GO1663" s="155"/>
      <c r="GP1663" s="155"/>
      <c r="GQ1663" s="155"/>
      <c r="GR1663" s="155"/>
      <c r="GS1663" s="155"/>
      <c r="GT1663" s="155"/>
      <c r="GU1663" s="155"/>
      <c r="GV1663" s="155"/>
      <c r="GW1663" s="155"/>
      <c r="GX1663" s="155"/>
      <c r="GY1663" s="155"/>
      <c r="GZ1663" s="155"/>
      <c r="HA1663" s="155"/>
      <c r="HB1663" s="155"/>
      <c r="HC1663" s="155"/>
      <c r="HD1663" s="155"/>
      <c r="HE1663" s="155"/>
    </row>
    <row r="1664" spans="2:213" s="156" customFormat="1" hidden="1">
      <c r="B1664" s="155"/>
      <c r="C1664" s="155"/>
      <c r="D1664" s="155"/>
      <c r="E1664" s="155"/>
      <c r="F1664" s="155"/>
      <c r="G1664" s="155"/>
      <c r="H1664" s="155"/>
      <c r="I1664" s="155"/>
      <c r="J1664" s="155"/>
      <c r="K1664" s="155"/>
      <c r="L1664" s="155"/>
      <c r="M1664" s="155"/>
      <c r="N1664" s="155"/>
      <c r="O1664" s="155"/>
      <c r="P1664" s="155"/>
      <c r="Q1664" s="155"/>
      <c r="R1664" s="155"/>
      <c r="S1664" s="155"/>
      <c r="T1664" s="155"/>
      <c r="U1664" s="155"/>
      <c r="V1664" s="155"/>
      <c r="W1664" s="155"/>
      <c r="GL1664" s="155"/>
      <c r="GM1664" s="155"/>
      <c r="GN1664" s="155"/>
      <c r="GO1664" s="155"/>
      <c r="GP1664" s="155"/>
      <c r="GQ1664" s="155"/>
      <c r="GR1664" s="155"/>
      <c r="GS1664" s="155"/>
      <c r="GT1664" s="155"/>
      <c r="GU1664" s="155"/>
      <c r="GV1664" s="155"/>
      <c r="GW1664" s="155"/>
      <c r="GX1664" s="155"/>
      <c r="GY1664" s="155"/>
      <c r="GZ1664" s="155"/>
      <c r="HA1664" s="155"/>
      <c r="HB1664" s="155"/>
      <c r="HC1664" s="155"/>
      <c r="HD1664" s="155"/>
      <c r="HE1664" s="155"/>
    </row>
    <row r="1665" spans="2:213" s="156" customFormat="1" hidden="1">
      <c r="B1665" s="155"/>
      <c r="C1665" s="155"/>
      <c r="D1665" s="155"/>
      <c r="E1665" s="155"/>
      <c r="F1665" s="155"/>
      <c r="G1665" s="155"/>
      <c r="H1665" s="155"/>
      <c r="I1665" s="155"/>
      <c r="J1665" s="155"/>
      <c r="K1665" s="155"/>
      <c r="L1665" s="155"/>
      <c r="M1665" s="155"/>
      <c r="N1665" s="155"/>
      <c r="O1665" s="155"/>
      <c r="P1665" s="155"/>
      <c r="Q1665" s="155"/>
      <c r="R1665" s="155"/>
      <c r="S1665" s="155"/>
      <c r="T1665" s="155"/>
      <c r="U1665" s="155"/>
      <c r="V1665" s="155"/>
      <c r="W1665" s="155"/>
      <c r="GL1665" s="155"/>
      <c r="GM1665" s="155"/>
      <c r="GN1665" s="155"/>
      <c r="GO1665" s="155"/>
      <c r="GP1665" s="155"/>
      <c r="GQ1665" s="155"/>
      <c r="GR1665" s="155"/>
      <c r="GS1665" s="155"/>
      <c r="GT1665" s="155"/>
      <c r="GU1665" s="155"/>
      <c r="GV1665" s="155"/>
      <c r="GW1665" s="155"/>
      <c r="GX1665" s="155"/>
      <c r="GY1665" s="155"/>
      <c r="GZ1665" s="155"/>
      <c r="HA1665" s="155"/>
      <c r="HB1665" s="155"/>
      <c r="HC1665" s="155"/>
      <c r="HD1665" s="155"/>
      <c r="HE1665" s="155"/>
    </row>
    <row r="1666" spans="2:213" s="156" customFormat="1" hidden="1">
      <c r="B1666" s="155"/>
      <c r="C1666" s="155"/>
      <c r="D1666" s="155"/>
      <c r="E1666" s="155"/>
      <c r="F1666" s="155"/>
      <c r="G1666" s="155"/>
      <c r="H1666" s="155"/>
      <c r="I1666" s="155"/>
      <c r="J1666" s="155"/>
      <c r="K1666" s="155"/>
      <c r="L1666" s="155"/>
      <c r="M1666" s="155"/>
      <c r="N1666" s="155"/>
      <c r="O1666" s="155"/>
      <c r="P1666" s="155"/>
      <c r="Q1666" s="155"/>
      <c r="R1666" s="155"/>
      <c r="S1666" s="155"/>
      <c r="T1666" s="155"/>
      <c r="U1666" s="155"/>
      <c r="V1666" s="155"/>
      <c r="W1666" s="155"/>
      <c r="GL1666" s="155"/>
      <c r="GM1666" s="155"/>
      <c r="GN1666" s="155"/>
      <c r="GO1666" s="155"/>
      <c r="GP1666" s="155"/>
      <c r="GQ1666" s="155"/>
      <c r="GR1666" s="155"/>
      <c r="GS1666" s="155"/>
      <c r="GT1666" s="155"/>
      <c r="GU1666" s="155"/>
      <c r="GV1666" s="155"/>
      <c r="GW1666" s="155"/>
      <c r="GX1666" s="155"/>
      <c r="GY1666" s="155"/>
      <c r="GZ1666" s="155"/>
      <c r="HA1666" s="155"/>
      <c r="HB1666" s="155"/>
      <c r="HC1666" s="155"/>
      <c r="HD1666" s="155"/>
      <c r="HE1666" s="155"/>
    </row>
    <row r="1667" spans="2:213" s="156" customFormat="1" hidden="1">
      <c r="B1667" s="155"/>
      <c r="C1667" s="155"/>
      <c r="D1667" s="155"/>
      <c r="E1667" s="155"/>
      <c r="F1667" s="155"/>
      <c r="G1667" s="155"/>
      <c r="H1667" s="155"/>
      <c r="I1667" s="155"/>
      <c r="J1667" s="155"/>
      <c r="K1667" s="155"/>
      <c r="L1667" s="155"/>
      <c r="M1667" s="155"/>
      <c r="N1667" s="155"/>
      <c r="O1667" s="155"/>
      <c r="P1667" s="155"/>
      <c r="Q1667" s="155"/>
      <c r="R1667" s="155"/>
      <c r="S1667" s="155"/>
      <c r="T1667" s="155"/>
      <c r="U1667" s="155"/>
      <c r="V1667" s="155"/>
      <c r="W1667" s="155"/>
      <c r="GL1667" s="155"/>
      <c r="GM1667" s="155"/>
      <c r="GN1667" s="155"/>
      <c r="GO1667" s="155"/>
      <c r="GP1667" s="155"/>
      <c r="GQ1667" s="155"/>
      <c r="GR1667" s="155"/>
      <c r="GS1667" s="155"/>
      <c r="GT1667" s="155"/>
      <c r="GU1667" s="155"/>
      <c r="GV1667" s="155"/>
      <c r="GW1667" s="155"/>
      <c r="GX1667" s="155"/>
      <c r="GY1667" s="155"/>
      <c r="GZ1667" s="155"/>
      <c r="HA1667" s="155"/>
      <c r="HB1667" s="155"/>
      <c r="HC1667" s="155"/>
      <c r="HD1667" s="155"/>
      <c r="HE1667" s="155"/>
    </row>
    <row r="1668" spans="2:213" s="156" customFormat="1" hidden="1">
      <c r="B1668" s="155"/>
      <c r="C1668" s="155"/>
      <c r="D1668" s="155"/>
      <c r="E1668" s="155"/>
      <c r="F1668" s="155"/>
      <c r="G1668" s="155"/>
      <c r="H1668" s="155"/>
      <c r="I1668" s="155"/>
      <c r="J1668" s="155"/>
      <c r="K1668" s="155"/>
      <c r="L1668" s="155"/>
      <c r="M1668" s="155"/>
      <c r="N1668" s="155"/>
      <c r="O1668" s="155"/>
      <c r="P1668" s="155"/>
      <c r="Q1668" s="155"/>
      <c r="R1668" s="155"/>
      <c r="S1668" s="155"/>
      <c r="T1668" s="155"/>
      <c r="U1668" s="155"/>
      <c r="V1668" s="155"/>
      <c r="W1668" s="155"/>
      <c r="GL1668" s="155"/>
      <c r="GM1668" s="155"/>
      <c r="GN1668" s="155"/>
      <c r="GO1668" s="155"/>
      <c r="GP1668" s="155"/>
      <c r="GQ1668" s="155"/>
      <c r="GR1668" s="155"/>
      <c r="GS1668" s="155"/>
      <c r="GT1668" s="155"/>
      <c r="GU1668" s="155"/>
      <c r="GV1668" s="155"/>
      <c r="GW1668" s="155"/>
      <c r="GX1668" s="155"/>
      <c r="GY1668" s="155"/>
      <c r="GZ1668" s="155"/>
      <c r="HA1668" s="155"/>
      <c r="HB1668" s="155"/>
      <c r="HC1668" s="155"/>
      <c r="HD1668" s="155"/>
      <c r="HE1668" s="155"/>
    </row>
    <row r="1669" spans="2:213" s="156" customFormat="1" hidden="1">
      <c r="B1669" s="155"/>
      <c r="C1669" s="155"/>
      <c r="D1669" s="155"/>
      <c r="E1669" s="155"/>
      <c r="F1669" s="155"/>
      <c r="G1669" s="155"/>
      <c r="H1669" s="155"/>
      <c r="I1669" s="155"/>
      <c r="J1669" s="155"/>
      <c r="K1669" s="155"/>
      <c r="L1669" s="155"/>
      <c r="M1669" s="155"/>
      <c r="N1669" s="155"/>
      <c r="O1669" s="155"/>
      <c r="P1669" s="155"/>
      <c r="Q1669" s="155"/>
      <c r="R1669" s="155"/>
      <c r="S1669" s="155"/>
      <c r="T1669" s="155"/>
      <c r="U1669" s="155"/>
      <c r="V1669" s="155"/>
      <c r="W1669" s="155"/>
      <c r="GL1669" s="155"/>
      <c r="GM1669" s="155"/>
      <c r="GN1669" s="155"/>
      <c r="GO1669" s="155"/>
      <c r="GP1669" s="155"/>
      <c r="GQ1669" s="155"/>
      <c r="GR1669" s="155"/>
      <c r="GS1669" s="155"/>
      <c r="GT1669" s="155"/>
      <c r="GU1669" s="155"/>
      <c r="GV1669" s="155"/>
      <c r="GW1669" s="155"/>
      <c r="GX1669" s="155"/>
      <c r="GY1669" s="155"/>
      <c r="GZ1669" s="155"/>
      <c r="HA1669" s="155"/>
      <c r="HB1669" s="155"/>
      <c r="HC1669" s="155"/>
      <c r="HD1669" s="155"/>
      <c r="HE1669" s="155"/>
    </row>
    <row r="1670" spans="2:213" s="156" customFormat="1" hidden="1">
      <c r="B1670" s="155"/>
      <c r="C1670" s="155"/>
      <c r="D1670" s="155"/>
      <c r="E1670" s="155"/>
      <c r="F1670" s="155"/>
      <c r="G1670" s="155"/>
      <c r="H1670" s="155"/>
      <c r="I1670" s="155"/>
      <c r="J1670" s="155"/>
      <c r="K1670" s="155"/>
      <c r="L1670" s="155"/>
      <c r="M1670" s="155"/>
      <c r="N1670" s="155"/>
      <c r="O1670" s="155"/>
      <c r="P1670" s="155"/>
      <c r="Q1670" s="155"/>
      <c r="R1670" s="155"/>
      <c r="S1670" s="155"/>
      <c r="T1670" s="155"/>
      <c r="U1670" s="155"/>
      <c r="V1670" s="155"/>
      <c r="W1670" s="155"/>
      <c r="GL1670" s="155"/>
      <c r="GM1670" s="155"/>
      <c r="GN1670" s="155"/>
      <c r="GO1670" s="155"/>
      <c r="GP1670" s="155"/>
      <c r="GQ1670" s="155"/>
      <c r="GR1670" s="155"/>
      <c r="GS1670" s="155"/>
      <c r="GT1670" s="155"/>
      <c r="GU1670" s="155"/>
      <c r="GV1670" s="155"/>
      <c r="GW1670" s="155"/>
      <c r="GX1670" s="155"/>
      <c r="GY1670" s="155"/>
      <c r="GZ1670" s="155"/>
      <c r="HA1670" s="155"/>
      <c r="HB1670" s="155"/>
      <c r="HC1670" s="155"/>
      <c r="HD1670" s="155"/>
      <c r="HE1670" s="155"/>
    </row>
    <row r="1671" spans="2:213" s="156" customFormat="1" hidden="1">
      <c r="B1671" s="155"/>
      <c r="C1671" s="155"/>
      <c r="D1671" s="155"/>
      <c r="E1671" s="155"/>
      <c r="F1671" s="155"/>
      <c r="G1671" s="155"/>
      <c r="H1671" s="155"/>
      <c r="I1671" s="155"/>
      <c r="J1671" s="155"/>
      <c r="K1671" s="155"/>
      <c r="L1671" s="155"/>
      <c r="M1671" s="155"/>
      <c r="N1671" s="155"/>
      <c r="O1671" s="155"/>
      <c r="P1671" s="155"/>
      <c r="Q1671" s="155"/>
      <c r="R1671" s="155"/>
      <c r="S1671" s="155"/>
      <c r="T1671" s="155"/>
      <c r="U1671" s="155"/>
      <c r="V1671" s="155"/>
      <c r="W1671" s="155"/>
      <c r="GL1671" s="155"/>
      <c r="GM1671" s="155"/>
      <c r="GN1671" s="155"/>
      <c r="GO1671" s="155"/>
      <c r="GP1671" s="155"/>
      <c r="GQ1671" s="155"/>
      <c r="GR1671" s="155"/>
      <c r="GS1671" s="155"/>
      <c r="GT1671" s="155"/>
      <c r="GU1671" s="155"/>
      <c r="GV1671" s="155"/>
      <c r="GW1671" s="155"/>
      <c r="GX1671" s="155"/>
      <c r="GY1671" s="155"/>
      <c r="GZ1671" s="155"/>
      <c r="HA1671" s="155"/>
      <c r="HB1671" s="155"/>
      <c r="HC1671" s="155"/>
      <c r="HD1671" s="155"/>
      <c r="HE1671" s="155"/>
    </row>
    <row r="1672" spans="2:213" s="156" customFormat="1" hidden="1">
      <c r="B1672" s="155"/>
      <c r="C1672" s="155"/>
      <c r="D1672" s="155"/>
      <c r="E1672" s="155"/>
      <c r="F1672" s="155"/>
      <c r="G1672" s="155"/>
      <c r="H1672" s="155"/>
      <c r="I1672" s="155"/>
      <c r="J1672" s="155"/>
      <c r="K1672" s="155"/>
      <c r="L1672" s="155"/>
      <c r="M1672" s="155"/>
      <c r="N1672" s="155"/>
      <c r="O1672" s="155"/>
      <c r="P1672" s="155"/>
      <c r="Q1672" s="155"/>
      <c r="R1672" s="155"/>
      <c r="S1672" s="155"/>
      <c r="T1672" s="155"/>
      <c r="U1672" s="155"/>
      <c r="V1672" s="155"/>
      <c r="W1672" s="155"/>
      <c r="GL1672" s="155"/>
      <c r="GM1672" s="155"/>
      <c r="GN1672" s="155"/>
      <c r="GO1672" s="155"/>
      <c r="GP1672" s="155"/>
      <c r="GQ1672" s="155"/>
      <c r="GR1672" s="155"/>
      <c r="GS1672" s="155"/>
      <c r="GT1672" s="155"/>
      <c r="GU1672" s="155"/>
      <c r="GV1672" s="155"/>
      <c r="GW1672" s="155"/>
      <c r="GX1672" s="155"/>
      <c r="GY1672" s="155"/>
      <c r="GZ1672" s="155"/>
      <c r="HA1672" s="155"/>
      <c r="HB1672" s="155"/>
      <c r="HC1672" s="155"/>
      <c r="HD1672" s="155"/>
      <c r="HE1672" s="155"/>
    </row>
    <row r="1673" spans="2:213" s="156" customFormat="1" hidden="1">
      <c r="B1673" s="155"/>
      <c r="C1673" s="155"/>
      <c r="D1673" s="155"/>
      <c r="E1673" s="155"/>
      <c r="F1673" s="155"/>
      <c r="G1673" s="155"/>
      <c r="H1673" s="155"/>
      <c r="I1673" s="155"/>
      <c r="J1673" s="155"/>
      <c r="K1673" s="155"/>
      <c r="L1673" s="155"/>
      <c r="M1673" s="155"/>
      <c r="N1673" s="155"/>
      <c r="O1673" s="155"/>
      <c r="P1673" s="155"/>
      <c r="Q1673" s="155"/>
      <c r="R1673" s="155"/>
      <c r="S1673" s="155"/>
      <c r="T1673" s="155"/>
      <c r="U1673" s="155"/>
      <c r="V1673" s="155"/>
      <c r="W1673" s="155"/>
      <c r="GL1673" s="155"/>
      <c r="GM1673" s="155"/>
      <c r="GN1673" s="155"/>
      <c r="GO1673" s="155"/>
      <c r="GP1673" s="155"/>
      <c r="GQ1673" s="155"/>
      <c r="GR1673" s="155"/>
      <c r="GS1673" s="155"/>
      <c r="GT1673" s="155"/>
      <c r="GU1673" s="155"/>
      <c r="GV1673" s="155"/>
      <c r="GW1673" s="155"/>
      <c r="GX1673" s="155"/>
      <c r="GY1673" s="155"/>
      <c r="GZ1673" s="155"/>
      <c r="HA1673" s="155"/>
      <c r="HB1673" s="155"/>
      <c r="HC1673" s="155"/>
      <c r="HD1673" s="155"/>
      <c r="HE1673" s="155"/>
    </row>
    <row r="1674" spans="2:213" s="156" customFormat="1" hidden="1">
      <c r="B1674" s="155"/>
      <c r="C1674" s="155"/>
      <c r="D1674" s="155"/>
      <c r="E1674" s="155"/>
      <c r="F1674" s="155"/>
      <c r="G1674" s="155"/>
      <c r="H1674" s="155"/>
      <c r="I1674" s="155"/>
      <c r="J1674" s="155"/>
      <c r="K1674" s="155"/>
      <c r="L1674" s="155"/>
      <c r="M1674" s="155"/>
      <c r="N1674" s="155"/>
      <c r="O1674" s="155"/>
      <c r="P1674" s="155"/>
      <c r="Q1674" s="155"/>
      <c r="R1674" s="155"/>
      <c r="S1674" s="155"/>
      <c r="T1674" s="155"/>
      <c r="U1674" s="155"/>
      <c r="V1674" s="155"/>
      <c r="W1674" s="155"/>
      <c r="GL1674" s="155"/>
      <c r="GM1674" s="155"/>
      <c r="GN1674" s="155"/>
      <c r="GO1674" s="155"/>
      <c r="GP1674" s="155"/>
      <c r="GQ1674" s="155"/>
      <c r="GR1674" s="155"/>
      <c r="GS1674" s="155"/>
      <c r="GT1674" s="155"/>
      <c r="GU1674" s="155"/>
      <c r="GV1674" s="155"/>
      <c r="GW1674" s="155"/>
      <c r="GX1674" s="155"/>
      <c r="GY1674" s="155"/>
      <c r="GZ1674" s="155"/>
      <c r="HA1674" s="155"/>
      <c r="HB1674" s="155"/>
      <c r="HC1674" s="155"/>
      <c r="HD1674" s="155"/>
      <c r="HE1674" s="155"/>
    </row>
    <row r="1675" spans="2:213" s="156" customFormat="1" hidden="1">
      <c r="B1675" s="155"/>
      <c r="C1675" s="155"/>
      <c r="D1675" s="155"/>
      <c r="E1675" s="155"/>
      <c r="F1675" s="155"/>
      <c r="G1675" s="155"/>
      <c r="H1675" s="155"/>
      <c r="I1675" s="155"/>
      <c r="J1675" s="155"/>
      <c r="K1675" s="155"/>
      <c r="L1675" s="155"/>
      <c r="M1675" s="155"/>
      <c r="N1675" s="155"/>
      <c r="O1675" s="155"/>
      <c r="P1675" s="155"/>
      <c r="Q1675" s="155"/>
      <c r="R1675" s="155"/>
      <c r="S1675" s="155"/>
      <c r="T1675" s="155"/>
      <c r="U1675" s="155"/>
      <c r="V1675" s="155"/>
      <c r="W1675" s="155"/>
      <c r="GL1675" s="155"/>
      <c r="GM1675" s="155"/>
      <c r="GN1675" s="155"/>
      <c r="GO1675" s="155"/>
      <c r="GP1675" s="155"/>
      <c r="GQ1675" s="155"/>
      <c r="GR1675" s="155"/>
      <c r="GS1675" s="155"/>
      <c r="GT1675" s="155"/>
      <c r="GU1675" s="155"/>
      <c r="GV1675" s="155"/>
      <c r="GW1675" s="155"/>
      <c r="GX1675" s="155"/>
      <c r="GY1675" s="155"/>
      <c r="GZ1675" s="155"/>
      <c r="HA1675" s="155"/>
      <c r="HB1675" s="155"/>
      <c r="HC1675" s="155"/>
      <c r="HD1675" s="155"/>
      <c r="HE1675" s="155"/>
    </row>
    <row r="1676" spans="2:213" s="156" customFormat="1" hidden="1">
      <c r="B1676" s="155"/>
      <c r="C1676" s="155"/>
      <c r="D1676" s="155"/>
      <c r="E1676" s="155"/>
      <c r="F1676" s="155"/>
      <c r="G1676" s="155"/>
      <c r="H1676" s="155"/>
      <c r="I1676" s="155"/>
      <c r="J1676" s="155"/>
      <c r="K1676" s="155"/>
      <c r="L1676" s="155"/>
      <c r="M1676" s="155"/>
      <c r="N1676" s="155"/>
      <c r="O1676" s="155"/>
      <c r="P1676" s="155"/>
      <c r="Q1676" s="155"/>
      <c r="R1676" s="155"/>
      <c r="S1676" s="155"/>
      <c r="T1676" s="155"/>
      <c r="U1676" s="155"/>
      <c r="V1676" s="155"/>
      <c r="W1676" s="155"/>
      <c r="GL1676" s="155"/>
      <c r="GM1676" s="155"/>
      <c r="GN1676" s="155"/>
      <c r="GO1676" s="155"/>
      <c r="GP1676" s="155"/>
      <c r="GQ1676" s="155"/>
      <c r="GR1676" s="155"/>
      <c r="GS1676" s="155"/>
      <c r="GT1676" s="155"/>
      <c r="GU1676" s="155"/>
      <c r="GV1676" s="155"/>
      <c r="GW1676" s="155"/>
      <c r="GX1676" s="155"/>
      <c r="GY1676" s="155"/>
      <c r="GZ1676" s="155"/>
      <c r="HA1676" s="155"/>
      <c r="HB1676" s="155"/>
      <c r="HC1676" s="155"/>
      <c r="HD1676" s="155"/>
      <c r="HE1676" s="155"/>
    </row>
    <row r="1677" spans="2:213" s="156" customFormat="1" hidden="1">
      <c r="B1677" s="155"/>
      <c r="C1677" s="155"/>
      <c r="D1677" s="155"/>
      <c r="E1677" s="155"/>
      <c r="F1677" s="155"/>
      <c r="G1677" s="155"/>
      <c r="H1677" s="155"/>
      <c r="I1677" s="155"/>
      <c r="J1677" s="155"/>
      <c r="K1677" s="155"/>
      <c r="L1677" s="155"/>
      <c r="M1677" s="155"/>
      <c r="N1677" s="155"/>
      <c r="O1677" s="155"/>
      <c r="P1677" s="155"/>
      <c r="Q1677" s="155"/>
      <c r="R1677" s="155"/>
      <c r="S1677" s="155"/>
      <c r="T1677" s="155"/>
      <c r="U1677" s="155"/>
      <c r="V1677" s="155"/>
      <c r="W1677" s="155"/>
      <c r="GL1677" s="155"/>
      <c r="GM1677" s="155"/>
      <c r="GN1677" s="155"/>
      <c r="GO1677" s="155"/>
      <c r="GP1677" s="155"/>
      <c r="GQ1677" s="155"/>
      <c r="GR1677" s="155"/>
      <c r="GS1677" s="155"/>
      <c r="GT1677" s="155"/>
      <c r="GU1677" s="155"/>
      <c r="GV1677" s="155"/>
      <c r="GW1677" s="155"/>
      <c r="GX1677" s="155"/>
      <c r="GY1677" s="155"/>
      <c r="GZ1677" s="155"/>
      <c r="HA1677" s="155"/>
      <c r="HB1677" s="155"/>
      <c r="HC1677" s="155"/>
      <c r="HD1677" s="155"/>
      <c r="HE1677" s="155"/>
    </row>
    <row r="1678" spans="2:213" s="156" customFormat="1" hidden="1">
      <c r="B1678" s="155"/>
      <c r="C1678" s="155"/>
      <c r="D1678" s="155"/>
      <c r="E1678" s="155"/>
      <c r="F1678" s="155"/>
      <c r="G1678" s="155"/>
      <c r="H1678" s="155"/>
      <c r="I1678" s="155"/>
      <c r="J1678" s="155"/>
      <c r="K1678" s="155"/>
      <c r="L1678" s="155"/>
      <c r="M1678" s="155"/>
      <c r="N1678" s="155"/>
      <c r="O1678" s="155"/>
      <c r="P1678" s="155"/>
      <c r="Q1678" s="155"/>
      <c r="R1678" s="155"/>
      <c r="S1678" s="155"/>
      <c r="T1678" s="155"/>
      <c r="U1678" s="155"/>
      <c r="V1678" s="155"/>
      <c r="W1678" s="155"/>
      <c r="GL1678" s="155"/>
      <c r="GM1678" s="155"/>
      <c r="GN1678" s="155"/>
      <c r="GO1678" s="155"/>
      <c r="GP1678" s="155"/>
      <c r="GQ1678" s="155"/>
      <c r="GR1678" s="155"/>
      <c r="GS1678" s="155"/>
      <c r="GT1678" s="155"/>
      <c r="GU1678" s="155"/>
      <c r="GV1678" s="155"/>
      <c r="GW1678" s="155"/>
      <c r="GX1678" s="155"/>
      <c r="GY1678" s="155"/>
      <c r="GZ1678" s="155"/>
      <c r="HA1678" s="155"/>
      <c r="HB1678" s="155"/>
      <c r="HC1678" s="155"/>
      <c r="HD1678" s="155"/>
      <c r="HE1678" s="155"/>
    </row>
    <row r="1679" spans="2:213" s="156" customFormat="1" hidden="1">
      <c r="B1679" s="155"/>
      <c r="C1679" s="155"/>
      <c r="D1679" s="155"/>
      <c r="E1679" s="155"/>
      <c r="F1679" s="155"/>
      <c r="G1679" s="155"/>
      <c r="H1679" s="155"/>
      <c r="I1679" s="155"/>
      <c r="J1679" s="155"/>
      <c r="K1679" s="155"/>
      <c r="L1679" s="155"/>
      <c r="M1679" s="155"/>
      <c r="N1679" s="155"/>
      <c r="O1679" s="155"/>
      <c r="P1679" s="155"/>
      <c r="Q1679" s="155"/>
      <c r="R1679" s="155"/>
      <c r="S1679" s="155"/>
      <c r="T1679" s="155"/>
      <c r="U1679" s="155"/>
      <c r="V1679" s="155"/>
      <c r="W1679" s="155"/>
      <c r="GL1679" s="155"/>
      <c r="GM1679" s="155"/>
      <c r="GN1679" s="155"/>
      <c r="GO1679" s="155"/>
      <c r="GP1679" s="155"/>
      <c r="GQ1679" s="155"/>
      <c r="GR1679" s="155"/>
      <c r="GS1679" s="155"/>
      <c r="GT1679" s="155"/>
      <c r="GU1679" s="155"/>
      <c r="GV1679" s="155"/>
      <c r="GW1679" s="155"/>
      <c r="GX1679" s="155"/>
      <c r="GY1679" s="155"/>
      <c r="GZ1679" s="155"/>
      <c r="HA1679" s="155"/>
      <c r="HB1679" s="155"/>
      <c r="HC1679" s="155"/>
      <c r="HD1679" s="155"/>
      <c r="HE1679" s="155"/>
    </row>
    <row r="1680" spans="2:213" s="156" customFormat="1" hidden="1">
      <c r="B1680" s="155"/>
      <c r="C1680" s="155"/>
      <c r="D1680" s="155"/>
      <c r="E1680" s="155"/>
      <c r="F1680" s="155"/>
      <c r="G1680" s="155"/>
      <c r="H1680" s="155"/>
      <c r="I1680" s="155"/>
      <c r="J1680" s="155"/>
      <c r="K1680" s="155"/>
      <c r="L1680" s="155"/>
      <c r="M1680" s="155"/>
      <c r="N1680" s="155"/>
      <c r="O1680" s="155"/>
      <c r="P1680" s="155"/>
      <c r="Q1680" s="155"/>
      <c r="R1680" s="155"/>
      <c r="S1680" s="155"/>
      <c r="T1680" s="155"/>
      <c r="U1680" s="155"/>
      <c r="V1680" s="155"/>
      <c r="W1680" s="155"/>
      <c r="GL1680" s="155"/>
      <c r="GM1680" s="155"/>
      <c r="GN1680" s="155"/>
      <c r="GO1680" s="155"/>
      <c r="GP1680" s="155"/>
      <c r="GQ1680" s="155"/>
      <c r="GR1680" s="155"/>
      <c r="GS1680" s="155"/>
      <c r="GT1680" s="155"/>
      <c r="GU1680" s="155"/>
      <c r="GV1680" s="155"/>
      <c r="GW1680" s="155"/>
      <c r="GX1680" s="155"/>
      <c r="GY1680" s="155"/>
      <c r="GZ1680" s="155"/>
      <c r="HA1680" s="155"/>
      <c r="HB1680" s="155"/>
      <c r="HC1680" s="155"/>
      <c r="HD1680" s="155"/>
      <c r="HE1680" s="155"/>
    </row>
    <row r="1681" spans="2:213" s="156" customFormat="1" hidden="1">
      <c r="B1681" s="155"/>
      <c r="C1681" s="155"/>
      <c r="D1681" s="155"/>
      <c r="E1681" s="155"/>
      <c r="F1681" s="155"/>
      <c r="G1681" s="155"/>
      <c r="H1681" s="155"/>
      <c r="I1681" s="155"/>
      <c r="J1681" s="155"/>
      <c r="K1681" s="155"/>
      <c r="L1681" s="155"/>
      <c r="M1681" s="155"/>
      <c r="N1681" s="155"/>
      <c r="O1681" s="155"/>
      <c r="P1681" s="155"/>
      <c r="Q1681" s="155"/>
      <c r="R1681" s="155"/>
      <c r="S1681" s="155"/>
      <c r="T1681" s="155"/>
      <c r="U1681" s="155"/>
      <c r="V1681" s="155"/>
      <c r="W1681" s="155"/>
      <c r="GL1681" s="155"/>
      <c r="GM1681" s="155"/>
      <c r="GN1681" s="155"/>
      <c r="GO1681" s="155"/>
      <c r="GP1681" s="155"/>
      <c r="GQ1681" s="155"/>
      <c r="GR1681" s="155"/>
      <c r="GS1681" s="155"/>
      <c r="GT1681" s="155"/>
      <c r="GU1681" s="155"/>
      <c r="GV1681" s="155"/>
      <c r="GW1681" s="155"/>
      <c r="GX1681" s="155"/>
      <c r="GY1681" s="155"/>
      <c r="GZ1681" s="155"/>
      <c r="HA1681" s="155"/>
      <c r="HB1681" s="155"/>
      <c r="HC1681" s="155"/>
      <c r="HD1681" s="155"/>
      <c r="HE1681" s="155"/>
    </row>
    <row r="1682" spans="2:213" s="156" customFormat="1" hidden="1">
      <c r="B1682" s="155"/>
      <c r="C1682" s="155"/>
      <c r="D1682" s="155"/>
      <c r="E1682" s="155"/>
      <c r="F1682" s="155"/>
      <c r="G1682" s="155"/>
      <c r="H1682" s="155"/>
      <c r="I1682" s="155"/>
      <c r="J1682" s="155"/>
      <c r="K1682" s="155"/>
      <c r="L1682" s="155"/>
      <c r="M1682" s="155"/>
      <c r="N1682" s="155"/>
      <c r="O1682" s="155"/>
      <c r="P1682" s="155"/>
      <c r="Q1682" s="155"/>
      <c r="R1682" s="155"/>
      <c r="S1682" s="155"/>
      <c r="T1682" s="155"/>
      <c r="U1682" s="155"/>
      <c r="V1682" s="155"/>
      <c r="W1682" s="155"/>
      <c r="GL1682" s="155"/>
      <c r="GM1682" s="155"/>
      <c r="GN1682" s="155"/>
      <c r="GO1682" s="155"/>
      <c r="GP1682" s="155"/>
      <c r="GQ1682" s="155"/>
      <c r="GR1682" s="155"/>
      <c r="GS1682" s="155"/>
      <c r="GT1682" s="155"/>
      <c r="GU1682" s="155"/>
      <c r="GV1682" s="155"/>
      <c r="GW1682" s="155"/>
      <c r="GX1682" s="155"/>
      <c r="GY1682" s="155"/>
      <c r="GZ1682" s="155"/>
      <c r="HA1682" s="155"/>
      <c r="HB1682" s="155"/>
      <c r="HC1682" s="155"/>
      <c r="HD1682" s="155"/>
      <c r="HE1682" s="155"/>
    </row>
    <row r="1683" spans="2:213" s="156" customFormat="1" hidden="1">
      <c r="B1683" s="155"/>
      <c r="C1683" s="155"/>
      <c r="D1683" s="155"/>
      <c r="E1683" s="155"/>
      <c r="F1683" s="155"/>
      <c r="G1683" s="155"/>
      <c r="H1683" s="155"/>
      <c r="I1683" s="155"/>
      <c r="J1683" s="155"/>
      <c r="K1683" s="155"/>
      <c r="L1683" s="155"/>
      <c r="M1683" s="155"/>
      <c r="N1683" s="155"/>
      <c r="O1683" s="155"/>
      <c r="P1683" s="155"/>
      <c r="Q1683" s="155"/>
      <c r="R1683" s="155"/>
      <c r="S1683" s="155"/>
      <c r="T1683" s="155"/>
      <c r="U1683" s="155"/>
      <c r="V1683" s="155"/>
      <c r="W1683" s="155"/>
      <c r="GL1683" s="155"/>
      <c r="GM1683" s="155"/>
      <c r="GN1683" s="155"/>
      <c r="GO1683" s="155"/>
      <c r="GP1683" s="155"/>
      <c r="GQ1683" s="155"/>
      <c r="GR1683" s="155"/>
      <c r="GS1683" s="155"/>
      <c r="GT1683" s="155"/>
      <c r="GU1683" s="155"/>
      <c r="GV1683" s="155"/>
      <c r="GW1683" s="155"/>
      <c r="GX1683" s="155"/>
      <c r="GY1683" s="155"/>
      <c r="GZ1683" s="155"/>
      <c r="HA1683" s="155"/>
      <c r="HB1683" s="155"/>
      <c r="HC1683" s="155"/>
      <c r="HD1683" s="155"/>
      <c r="HE1683" s="155"/>
    </row>
    <row r="1684" spans="2:213" s="156" customFormat="1" hidden="1">
      <c r="B1684" s="155"/>
      <c r="C1684" s="155"/>
      <c r="D1684" s="155"/>
      <c r="E1684" s="155"/>
      <c r="F1684" s="155"/>
      <c r="G1684" s="155"/>
      <c r="H1684" s="155"/>
      <c r="I1684" s="155"/>
      <c r="J1684" s="155"/>
      <c r="K1684" s="155"/>
      <c r="L1684" s="155"/>
      <c r="M1684" s="155"/>
      <c r="N1684" s="155"/>
      <c r="O1684" s="155"/>
      <c r="P1684" s="155"/>
      <c r="Q1684" s="155"/>
      <c r="R1684" s="155"/>
      <c r="S1684" s="155"/>
      <c r="T1684" s="155"/>
      <c r="U1684" s="155"/>
      <c r="V1684" s="155"/>
      <c r="W1684" s="155"/>
      <c r="GL1684" s="155"/>
      <c r="GM1684" s="155"/>
      <c r="GN1684" s="155"/>
      <c r="GO1684" s="155"/>
      <c r="GP1684" s="155"/>
      <c r="GQ1684" s="155"/>
      <c r="GR1684" s="155"/>
      <c r="GS1684" s="155"/>
      <c r="GT1684" s="155"/>
      <c r="GU1684" s="155"/>
      <c r="GV1684" s="155"/>
      <c r="GW1684" s="155"/>
      <c r="GX1684" s="155"/>
      <c r="GY1684" s="155"/>
      <c r="GZ1684" s="155"/>
      <c r="HA1684" s="155"/>
      <c r="HB1684" s="155"/>
      <c r="HC1684" s="155"/>
      <c r="HD1684" s="155"/>
      <c r="HE1684" s="155"/>
    </row>
    <row r="1685" spans="2:213" s="156" customFormat="1" hidden="1">
      <c r="B1685" s="155"/>
      <c r="C1685" s="155"/>
      <c r="D1685" s="155"/>
      <c r="E1685" s="155"/>
      <c r="F1685" s="155"/>
      <c r="G1685" s="155"/>
      <c r="H1685" s="155"/>
      <c r="I1685" s="155"/>
      <c r="J1685" s="155"/>
      <c r="K1685" s="155"/>
      <c r="L1685" s="155"/>
      <c r="M1685" s="155"/>
      <c r="N1685" s="155"/>
      <c r="O1685" s="155"/>
      <c r="P1685" s="155"/>
      <c r="Q1685" s="155"/>
      <c r="R1685" s="155"/>
      <c r="S1685" s="155"/>
      <c r="T1685" s="155"/>
      <c r="U1685" s="155"/>
      <c r="V1685" s="155"/>
      <c r="W1685" s="155"/>
      <c r="GL1685" s="155"/>
      <c r="GM1685" s="155"/>
      <c r="GN1685" s="155"/>
      <c r="GO1685" s="155"/>
      <c r="GP1685" s="155"/>
      <c r="GQ1685" s="155"/>
      <c r="GR1685" s="155"/>
      <c r="GS1685" s="155"/>
      <c r="GT1685" s="155"/>
      <c r="GU1685" s="155"/>
      <c r="GV1685" s="155"/>
      <c r="GW1685" s="155"/>
      <c r="GX1685" s="155"/>
      <c r="GY1685" s="155"/>
      <c r="GZ1685" s="155"/>
      <c r="HA1685" s="155"/>
      <c r="HB1685" s="155"/>
      <c r="HC1685" s="155"/>
      <c r="HD1685" s="155"/>
      <c r="HE1685" s="155"/>
    </row>
    <row r="1686" spans="2:213" s="156" customFormat="1" hidden="1">
      <c r="B1686" s="155"/>
      <c r="C1686" s="155"/>
      <c r="D1686" s="155"/>
      <c r="E1686" s="155"/>
      <c r="F1686" s="155"/>
      <c r="G1686" s="155"/>
      <c r="H1686" s="155"/>
      <c r="I1686" s="155"/>
      <c r="J1686" s="155"/>
      <c r="K1686" s="155"/>
      <c r="L1686" s="155"/>
      <c r="M1686" s="155"/>
      <c r="N1686" s="155"/>
      <c r="O1686" s="155"/>
      <c r="P1686" s="155"/>
      <c r="Q1686" s="155"/>
      <c r="R1686" s="155"/>
      <c r="S1686" s="155"/>
      <c r="T1686" s="155"/>
      <c r="U1686" s="155"/>
      <c r="V1686" s="155"/>
      <c r="W1686" s="155"/>
      <c r="GL1686" s="155"/>
      <c r="GM1686" s="155"/>
      <c r="GN1686" s="155"/>
      <c r="GO1686" s="155"/>
      <c r="GP1686" s="155"/>
      <c r="GQ1686" s="155"/>
      <c r="GR1686" s="155"/>
      <c r="GS1686" s="155"/>
      <c r="GT1686" s="155"/>
      <c r="GU1686" s="155"/>
      <c r="GV1686" s="155"/>
      <c r="GW1686" s="155"/>
      <c r="GX1686" s="155"/>
      <c r="GY1686" s="155"/>
      <c r="GZ1686" s="155"/>
      <c r="HA1686" s="155"/>
      <c r="HB1686" s="155"/>
      <c r="HC1686" s="155"/>
      <c r="HD1686" s="155"/>
      <c r="HE1686" s="155"/>
    </row>
    <row r="1687" spans="2:213" s="156" customFormat="1" hidden="1">
      <c r="B1687" s="155"/>
      <c r="C1687" s="155"/>
      <c r="D1687" s="155"/>
      <c r="E1687" s="155"/>
      <c r="F1687" s="155"/>
      <c r="G1687" s="155"/>
      <c r="H1687" s="155"/>
      <c r="I1687" s="155"/>
      <c r="J1687" s="155"/>
      <c r="K1687" s="155"/>
      <c r="L1687" s="155"/>
      <c r="M1687" s="155"/>
      <c r="N1687" s="155"/>
      <c r="O1687" s="155"/>
      <c r="P1687" s="155"/>
      <c r="Q1687" s="155"/>
      <c r="R1687" s="155"/>
      <c r="S1687" s="155"/>
      <c r="T1687" s="155"/>
      <c r="U1687" s="155"/>
      <c r="V1687" s="155"/>
      <c r="W1687" s="155"/>
      <c r="GL1687" s="155"/>
      <c r="GM1687" s="155"/>
      <c r="GN1687" s="155"/>
      <c r="GO1687" s="155"/>
      <c r="GP1687" s="155"/>
      <c r="GQ1687" s="155"/>
      <c r="GR1687" s="155"/>
      <c r="GS1687" s="155"/>
      <c r="GT1687" s="155"/>
      <c r="GU1687" s="155"/>
      <c r="GV1687" s="155"/>
      <c r="GW1687" s="155"/>
      <c r="GX1687" s="155"/>
      <c r="GY1687" s="155"/>
      <c r="GZ1687" s="155"/>
      <c r="HA1687" s="155"/>
      <c r="HB1687" s="155"/>
      <c r="HC1687" s="155"/>
      <c r="HD1687" s="155"/>
      <c r="HE1687" s="155"/>
    </row>
    <row r="1688" spans="2:213" s="156" customFormat="1" hidden="1">
      <c r="B1688" s="155"/>
      <c r="C1688" s="155"/>
      <c r="D1688" s="155"/>
      <c r="E1688" s="155"/>
      <c r="F1688" s="155"/>
      <c r="G1688" s="155"/>
      <c r="H1688" s="155"/>
      <c r="I1688" s="155"/>
      <c r="J1688" s="155"/>
      <c r="K1688" s="155"/>
      <c r="L1688" s="155"/>
      <c r="M1688" s="155"/>
      <c r="N1688" s="155"/>
      <c r="O1688" s="155"/>
      <c r="P1688" s="155"/>
      <c r="Q1688" s="155"/>
      <c r="R1688" s="155"/>
      <c r="S1688" s="155"/>
      <c r="T1688" s="155"/>
      <c r="U1688" s="155"/>
      <c r="V1688" s="155"/>
      <c r="W1688" s="155"/>
      <c r="GL1688" s="155"/>
      <c r="GM1688" s="155"/>
      <c r="GN1688" s="155"/>
      <c r="GO1688" s="155"/>
      <c r="GP1688" s="155"/>
      <c r="GQ1688" s="155"/>
      <c r="GR1688" s="155"/>
      <c r="GS1688" s="155"/>
      <c r="GT1688" s="155"/>
      <c r="GU1688" s="155"/>
      <c r="GV1688" s="155"/>
      <c r="GW1688" s="155"/>
      <c r="GX1688" s="155"/>
      <c r="GY1688" s="155"/>
      <c r="GZ1688" s="155"/>
      <c r="HA1688" s="155"/>
      <c r="HB1688" s="155"/>
      <c r="HC1688" s="155"/>
      <c r="HD1688" s="155"/>
      <c r="HE1688" s="155"/>
    </row>
    <row r="1689" spans="2:213" s="156" customFormat="1" hidden="1">
      <c r="B1689" s="155"/>
      <c r="C1689" s="155"/>
      <c r="D1689" s="155"/>
      <c r="E1689" s="155"/>
      <c r="F1689" s="155"/>
      <c r="G1689" s="155"/>
      <c r="H1689" s="155"/>
      <c r="I1689" s="155"/>
      <c r="J1689" s="155"/>
      <c r="K1689" s="155"/>
      <c r="L1689" s="155"/>
      <c r="M1689" s="155"/>
      <c r="N1689" s="155"/>
      <c r="O1689" s="155"/>
      <c r="P1689" s="155"/>
      <c r="Q1689" s="155"/>
      <c r="R1689" s="155"/>
      <c r="S1689" s="155"/>
      <c r="T1689" s="155"/>
      <c r="U1689" s="155"/>
      <c r="V1689" s="155"/>
      <c r="W1689" s="155"/>
      <c r="GL1689" s="155"/>
      <c r="GM1689" s="155"/>
      <c r="GN1689" s="155"/>
      <c r="GO1689" s="155"/>
      <c r="GP1689" s="155"/>
      <c r="GQ1689" s="155"/>
      <c r="GR1689" s="155"/>
      <c r="GS1689" s="155"/>
      <c r="GT1689" s="155"/>
      <c r="GU1689" s="155"/>
      <c r="GV1689" s="155"/>
      <c r="GW1689" s="155"/>
      <c r="GX1689" s="155"/>
      <c r="GY1689" s="155"/>
      <c r="GZ1689" s="155"/>
      <c r="HA1689" s="155"/>
      <c r="HB1689" s="155"/>
      <c r="HC1689" s="155"/>
      <c r="HD1689" s="155"/>
      <c r="HE1689" s="155"/>
    </row>
    <row r="1690" spans="2:213" s="156" customFormat="1" hidden="1">
      <c r="B1690" s="155"/>
      <c r="C1690" s="155"/>
      <c r="D1690" s="155"/>
      <c r="E1690" s="155"/>
      <c r="F1690" s="155"/>
      <c r="G1690" s="155"/>
      <c r="H1690" s="155"/>
      <c r="I1690" s="155"/>
      <c r="J1690" s="155"/>
      <c r="K1690" s="155"/>
      <c r="L1690" s="155"/>
      <c r="M1690" s="155"/>
      <c r="N1690" s="155"/>
      <c r="O1690" s="155"/>
      <c r="P1690" s="155"/>
      <c r="Q1690" s="155"/>
      <c r="R1690" s="155"/>
      <c r="S1690" s="155"/>
      <c r="T1690" s="155"/>
      <c r="U1690" s="155"/>
      <c r="V1690" s="155"/>
      <c r="W1690" s="155"/>
      <c r="GL1690" s="155"/>
      <c r="GM1690" s="155"/>
      <c r="GN1690" s="155"/>
      <c r="GO1690" s="155"/>
      <c r="GP1690" s="155"/>
      <c r="GQ1690" s="155"/>
      <c r="GR1690" s="155"/>
      <c r="GS1690" s="155"/>
      <c r="GT1690" s="155"/>
      <c r="GU1690" s="155"/>
      <c r="GV1690" s="155"/>
      <c r="GW1690" s="155"/>
      <c r="GX1690" s="155"/>
      <c r="GY1690" s="155"/>
      <c r="GZ1690" s="155"/>
      <c r="HA1690" s="155"/>
      <c r="HB1690" s="155"/>
      <c r="HC1690" s="155"/>
      <c r="HD1690" s="155"/>
      <c r="HE1690" s="155"/>
    </row>
    <row r="1691" spans="2:213" s="156" customFormat="1" hidden="1">
      <c r="B1691" s="155"/>
      <c r="C1691" s="155"/>
      <c r="D1691" s="155"/>
      <c r="E1691" s="155"/>
      <c r="F1691" s="155"/>
      <c r="G1691" s="155"/>
      <c r="H1691" s="155"/>
      <c r="I1691" s="155"/>
      <c r="J1691" s="155"/>
      <c r="K1691" s="155"/>
      <c r="L1691" s="155"/>
      <c r="M1691" s="155"/>
      <c r="N1691" s="155"/>
      <c r="O1691" s="155"/>
      <c r="P1691" s="155"/>
      <c r="Q1691" s="155"/>
      <c r="R1691" s="155"/>
      <c r="S1691" s="155"/>
      <c r="T1691" s="155"/>
      <c r="U1691" s="155"/>
      <c r="V1691" s="155"/>
      <c r="W1691" s="155"/>
      <c r="GL1691" s="155"/>
      <c r="GM1691" s="155"/>
      <c r="GN1691" s="155"/>
      <c r="GO1691" s="155"/>
      <c r="GP1691" s="155"/>
      <c r="GQ1691" s="155"/>
      <c r="GR1691" s="155"/>
      <c r="GS1691" s="155"/>
      <c r="GT1691" s="155"/>
      <c r="GU1691" s="155"/>
      <c r="GV1691" s="155"/>
      <c r="GW1691" s="155"/>
      <c r="GX1691" s="155"/>
      <c r="GY1691" s="155"/>
      <c r="GZ1691" s="155"/>
      <c r="HA1691" s="155"/>
      <c r="HB1691" s="155"/>
      <c r="HC1691" s="155"/>
      <c r="HD1691" s="155"/>
      <c r="HE1691" s="155"/>
    </row>
    <row r="1692" spans="2:213" s="156" customFormat="1" hidden="1">
      <c r="B1692" s="155"/>
      <c r="C1692" s="155"/>
      <c r="D1692" s="155"/>
      <c r="E1692" s="155"/>
      <c r="F1692" s="155"/>
      <c r="G1692" s="155"/>
      <c r="H1692" s="155"/>
      <c r="I1692" s="155"/>
      <c r="J1692" s="155"/>
      <c r="K1692" s="155"/>
      <c r="L1692" s="155"/>
      <c r="M1692" s="155"/>
      <c r="N1692" s="155"/>
      <c r="O1692" s="155"/>
      <c r="P1692" s="155"/>
      <c r="Q1692" s="155"/>
      <c r="R1692" s="155"/>
      <c r="S1692" s="155"/>
      <c r="T1692" s="155"/>
      <c r="U1692" s="155"/>
      <c r="V1692" s="155"/>
      <c r="W1692" s="155"/>
      <c r="GL1692" s="155"/>
      <c r="GM1692" s="155"/>
      <c r="GN1692" s="155"/>
      <c r="GO1692" s="155"/>
      <c r="GP1692" s="155"/>
      <c r="GQ1692" s="155"/>
      <c r="GR1692" s="155"/>
      <c r="GS1692" s="155"/>
      <c r="GT1692" s="155"/>
      <c r="GU1692" s="155"/>
      <c r="GV1692" s="155"/>
      <c r="GW1692" s="155"/>
      <c r="GX1692" s="155"/>
      <c r="GY1692" s="155"/>
      <c r="GZ1692" s="155"/>
      <c r="HA1692" s="155"/>
      <c r="HB1692" s="155"/>
      <c r="HC1692" s="155"/>
      <c r="HD1692" s="155"/>
      <c r="HE1692" s="155"/>
    </row>
    <row r="1693" spans="2:213" s="156" customFormat="1" hidden="1">
      <c r="B1693" s="155"/>
      <c r="C1693" s="155"/>
      <c r="D1693" s="155"/>
      <c r="E1693" s="155"/>
      <c r="F1693" s="155"/>
      <c r="G1693" s="155"/>
      <c r="H1693" s="155"/>
      <c r="I1693" s="155"/>
      <c r="J1693" s="155"/>
      <c r="K1693" s="155"/>
      <c r="L1693" s="155"/>
      <c r="M1693" s="155"/>
      <c r="N1693" s="155"/>
      <c r="O1693" s="155"/>
      <c r="P1693" s="155"/>
      <c r="Q1693" s="155"/>
      <c r="R1693" s="155"/>
      <c r="S1693" s="155"/>
      <c r="T1693" s="155"/>
      <c r="U1693" s="155"/>
      <c r="V1693" s="155"/>
      <c r="W1693" s="155"/>
      <c r="GL1693" s="155"/>
      <c r="GM1693" s="155"/>
      <c r="GN1693" s="155"/>
      <c r="GO1693" s="155"/>
      <c r="GP1693" s="155"/>
      <c r="GQ1693" s="155"/>
      <c r="GR1693" s="155"/>
      <c r="GS1693" s="155"/>
      <c r="GT1693" s="155"/>
      <c r="GU1693" s="155"/>
      <c r="GV1693" s="155"/>
      <c r="GW1693" s="155"/>
      <c r="GX1693" s="155"/>
      <c r="GY1693" s="155"/>
      <c r="GZ1693" s="155"/>
      <c r="HA1693" s="155"/>
      <c r="HB1693" s="155"/>
      <c r="HC1693" s="155"/>
      <c r="HD1693" s="155"/>
      <c r="HE1693" s="155"/>
    </row>
    <row r="1694" spans="2:213" s="156" customFormat="1" hidden="1">
      <c r="B1694" s="155"/>
      <c r="C1694" s="155"/>
      <c r="D1694" s="155"/>
      <c r="E1694" s="155"/>
      <c r="F1694" s="155"/>
      <c r="G1694" s="155"/>
      <c r="H1694" s="155"/>
      <c r="I1694" s="155"/>
      <c r="J1694" s="155"/>
      <c r="K1694" s="155"/>
      <c r="L1694" s="155"/>
      <c r="M1694" s="155"/>
      <c r="N1694" s="155"/>
      <c r="O1694" s="155"/>
      <c r="P1694" s="155"/>
      <c r="Q1694" s="155"/>
      <c r="R1694" s="155"/>
      <c r="S1694" s="155"/>
      <c r="T1694" s="155"/>
      <c r="U1694" s="155"/>
      <c r="V1694" s="155"/>
      <c r="W1694" s="155"/>
      <c r="GL1694" s="155"/>
      <c r="GM1694" s="155"/>
      <c r="GN1694" s="155"/>
      <c r="GO1694" s="155"/>
      <c r="GP1694" s="155"/>
      <c r="GQ1694" s="155"/>
      <c r="GR1694" s="155"/>
      <c r="GS1694" s="155"/>
      <c r="GT1694" s="155"/>
      <c r="GU1694" s="155"/>
      <c r="GV1694" s="155"/>
      <c r="GW1694" s="155"/>
      <c r="GX1694" s="155"/>
      <c r="GY1694" s="155"/>
      <c r="GZ1694" s="155"/>
      <c r="HA1694" s="155"/>
      <c r="HB1694" s="155"/>
      <c r="HC1694" s="155"/>
      <c r="HD1694" s="155"/>
      <c r="HE1694" s="155"/>
    </row>
    <row r="1695" spans="2:213" s="156" customFormat="1" hidden="1">
      <c r="B1695" s="155"/>
      <c r="C1695" s="155"/>
      <c r="D1695" s="155"/>
      <c r="E1695" s="155"/>
      <c r="F1695" s="155"/>
      <c r="G1695" s="155"/>
      <c r="H1695" s="155"/>
      <c r="I1695" s="155"/>
      <c r="J1695" s="155"/>
      <c r="K1695" s="155"/>
      <c r="L1695" s="155"/>
      <c r="M1695" s="155"/>
      <c r="N1695" s="155"/>
      <c r="O1695" s="155"/>
      <c r="P1695" s="155"/>
      <c r="Q1695" s="155"/>
      <c r="R1695" s="155"/>
      <c r="S1695" s="155"/>
      <c r="T1695" s="155"/>
      <c r="U1695" s="155"/>
      <c r="V1695" s="155"/>
      <c r="W1695" s="155"/>
      <c r="GL1695" s="155"/>
      <c r="GM1695" s="155"/>
      <c r="GN1695" s="155"/>
      <c r="GO1695" s="155"/>
      <c r="GP1695" s="155"/>
      <c r="GQ1695" s="155"/>
      <c r="GR1695" s="155"/>
      <c r="GS1695" s="155"/>
      <c r="GT1695" s="155"/>
      <c r="GU1695" s="155"/>
      <c r="GV1695" s="155"/>
      <c r="GW1695" s="155"/>
      <c r="GX1695" s="155"/>
      <c r="GY1695" s="155"/>
      <c r="GZ1695" s="155"/>
      <c r="HA1695" s="155"/>
      <c r="HB1695" s="155"/>
      <c r="HC1695" s="155"/>
      <c r="HD1695" s="155"/>
      <c r="HE1695" s="155"/>
    </row>
    <row r="1696" spans="2:213" s="156" customFormat="1" hidden="1">
      <c r="B1696" s="155"/>
      <c r="C1696" s="155"/>
      <c r="D1696" s="155"/>
      <c r="E1696" s="155"/>
      <c r="F1696" s="155"/>
      <c r="G1696" s="155"/>
      <c r="H1696" s="155"/>
      <c r="I1696" s="155"/>
      <c r="J1696" s="155"/>
      <c r="K1696" s="155"/>
      <c r="L1696" s="155"/>
      <c r="M1696" s="155"/>
      <c r="N1696" s="155"/>
      <c r="O1696" s="155"/>
      <c r="P1696" s="155"/>
      <c r="Q1696" s="155"/>
      <c r="R1696" s="155"/>
      <c r="S1696" s="155"/>
      <c r="T1696" s="155"/>
      <c r="U1696" s="155"/>
      <c r="V1696" s="155"/>
      <c r="W1696" s="155"/>
      <c r="GL1696" s="155"/>
      <c r="GM1696" s="155"/>
      <c r="GN1696" s="155"/>
      <c r="GO1696" s="155"/>
      <c r="GP1696" s="155"/>
      <c r="GQ1696" s="155"/>
      <c r="GR1696" s="155"/>
      <c r="GS1696" s="155"/>
      <c r="GT1696" s="155"/>
      <c r="GU1696" s="155"/>
      <c r="GV1696" s="155"/>
      <c r="GW1696" s="155"/>
      <c r="GX1696" s="155"/>
      <c r="GY1696" s="155"/>
      <c r="GZ1696" s="155"/>
      <c r="HA1696" s="155"/>
      <c r="HB1696" s="155"/>
      <c r="HC1696" s="155"/>
      <c r="HD1696" s="155"/>
      <c r="HE1696" s="155"/>
    </row>
    <row r="1697" spans="2:213" s="156" customFormat="1" hidden="1">
      <c r="B1697" s="155"/>
      <c r="C1697" s="155"/>
      <c r="D1697" s="155"/>
      <c r="E1697" s="155"/>
      <c r="F1697" s="155"/>
      <c r="G1697" s="155"/>
      <c r="H1697" s="155"/>
      <c r="I1697" s="155"/>
      <c r="J1697" s="155"/>
      <c r="K1697" s="155"/>
      <c r="L1697" s="155"/>
      <c r="M1697" s="155"/>
      <c r="N1697" s="155"/>
      <c r="O1697" s="155"/>
      <c r="P1697" s="155"/>
      <c r="Q1697" s="155"/>
      <c r="R1697" s="155"/>
      <c r="S1697" s="155"/>
      <c r="T1697" s="155"/>
      <c r="U1697" s="155"/>
      <c r="V1697" s="155"/>
      <c r="W1697" s="155"/>
      <c r="GL1697" s="155"/>
      <c r="GM1697" s="155"/>
      <c r="GN1697" s="155"/>
      <c r="GO1697" s="155"/>
      <c r="GP1697" s="155"/>
      <c r="GQ1697" s="155"/>
      <c r="GR1697" s="155"/>
      <c r="GS1697" s="155"/>
      <c r="GT1697" s="155"/>
      <c r="GU1697" s="155"/>
      <c r="GV1697" s="155"/>
      <c r="GW1697" s="155"/>
      <c r="GX1697" s="155"/>
      <c r="GY1697" s="155"/>
      <c r="GZ1697" s="155"/>
      <c r="HA1697" s="155"/>
      <c r="HB1697" s="155"/>
      <c r="HC1697" s="155"/>
      <c r="HD1697" s="155"/>
      <c r="HE1697" s="155"/>
    </row>
    <row r="1698" spans="2:213" s="156" customFormat="1" hidden="1">
      <c r="B1698" s="155"/>
      <c r="C1698" s="155"/>
      <c r="D1698" s="155"/>
      <c r="E1698" s="155"/>
      <c r="F1698" s="155"/>
      <c r="G1698" s="155"/>
      <c r="H1698" s="155"/>
      <c r="I1698" s="155"/>
      <c r="J1698" s="155"/>
      <c r="K1698" s="155"/>
      <c r="L1698" s="155"/>
      <c r="M1698" s="155"/>
      <c r="N1698" s="155"/>
      <c r="O1698" s="155"/>
      <c r="P1698" s="155"/>
      <c r="Q1698" s="155"/>
      <c r="R1698" s="155"/>
      <c r="S1698" s="155"/>
      <c r="T1698" s="155"/>
      <c r="U1698" s="155"/>
      <c r="V1698" s="155"/>
      <c r="W1698" s="155"/>
      <c r="GL1698" s="155"/>
      <c r="GM1698" s="155"/>
      <c r="GN1698" s="155"/>
      <c r="GO1698" s="155"/>
      <c r="GP1698" s="155"/>
      <c r="GQ1698" s="155"/>
      <c r="GR1698" s="155"/>
      <c r="GS1698" s="155"/>
      <c r="GT1698" s="155"/>
      <c r="GU1698" s="155"/>
      <c r="GV1698" s="155"/>
      <c r="GW1698" s="155"/>
      <c r="GX1698" s="155"/>
      <c r="GY1698" s="155"/>
      <c r="GZ1698" s="155"/>
      <c r="HA1698" s="155"/>
      <c r="HB1698" s="155"/>
      <c r="HC1698" s="155"/>
      <c r="HD1698" s="155"/>
      <c r="HE1698" s="155"/>
    </row>
    <row r="1699" spans="2:213" s="156" customFormat="1" hidden="1">
      <c r="B1699" s="155"/>
      <c r="C1699" s="155"/>
      <c r="D1699" s="155"/>
      <c r="E1699" s="155"/>
      <c r="F1699" s="155"/>
      <c r="G1699" s="155"/>
      <c r="H1699" s="155"/>
      <c r="I1699" s="155"/>
      <c r="J1699" s="155"/>
      <c r="K1699" s="155"/>
      <c r="L1699" s="155"/>
      <c r="M1699" s="155"/>
      <c r="N1699" s="155"/>
      <c r="O1699" s="155"/>
      <c r="P1699" s="155"/>
      <c r="Q1699" s="155"/>
      <c r="R1699" s="155"/>
      <c r="S1699" s="155"/>
      <c r="T1699" s="155"/>
      <c r="U1699" s="155"/>
      <c r="V1699" s="155"/>
      <c r="W1699" s="155"/>
      <c r="GL1699" s="155"/>
      <c r="GM1699" s="155"/>
      <c r="GN1699" s="155"/>
      <c r="GO1699" s="155"/>
      <c r="GP1699" s="155"/>
      <c r="GQ1699" s="155"/>
      <c r="GR1699" s="155"/>
      <c r="GS1699" s="155"/>
      <c r="GT1699" s="155"/>
      <c r="GU1699" s="155"/>
      <c r="GV1699" s="155"/>
      <c r="GW1699" s="155"/>
      <c r="GX1699" s="155"/>
      <c r="GY1699" s="155"/>
      <c r="GZ1699" s="155"/>
      <c r="HA1699" s="155"/>
      <c r="HB1699" s="155"/>
      <c r="HC1699" s="155"/>
      <c r="HD1699" s="155"/>
      <c r="HE1699" s="155"/>
    </row>
    <row r="1700" spans="2:213" s="156" customFormat="1" hidden="1">
      <c r="B1700" s="155"/>
      <c r="C1700" s="155"/>
      <c r="D1700" s="155"/>
      <c r="E1700" s="155"/>
      <c r="F1700" s="155"/>
      <c r="G1700" s="155"/>
      <c r="H1700" s="155"/>
      <c r="I1700" s="155"/>
      <c r="J1700" s="155"/>
      <c r="K1700" s="155"/>
      <c r="L1700" s="155"/>
      <c r="M1700" s="155"/>
      <c r="N1700" s="155"/>
      <c r="O1700" s="155"/>
      <c r="P1700" s="155"/>
      <c r="Q1700" s="155"/>
      <c r="R1700" s="155"/>
      <c r="S1700" s="155"/>
      <c r="T1700" s="155"/>
      <c r="U1700" s="155"/>
      <c r="V1700" s="155"/>
      <c r="W1700" s="155"/>
      <c r="GL1700" s="155"/>
      <c r="GM1700" s="155"/>
      <c r="GN1700" s="155"/>
      <c r="GO1700" s="155"/>
      <c r="GP1700" s="155"/>
      <c r="GQ1700" s="155"/>
      <c r="GR1700" s="155"/>
      <c r="GS1700" s="155"/>
      <c r="GT1700" s="155"/>
      <c r="GU1700" s="155"/>
      <c r="GV1700" s="155"/>
      <c r="GW1700" s="155"/>
      <c r="GX1700" s="155"/>
      <c r="GY1700" s="155"/>
      <c r="GZ1700" s="155"/>
      <c r="HA1700" s="155"/>
      <c r="HB1700" s="155"/>
      <c r="HC1700" s="155"/>
      <c r="HD1700" s="155"/>
      <c r="HE1700" s="155"/>
    </row>
    <row r="1701" spans="2:213" s="156" customFormat="1" hidden="1">
      <c r="B1701" s="155"/>
      <c r="C1701" s="155"/>
      <c r="D1701" s="155"/>
      <c r="E1701" s="155"/>
      <c r="F1701" s="155"/>
      <c r="G1701" s="155"/>
      <c r="H1701" s="155"/>
      <c r="I1701" s="155"/>
      <c r="J1701" s="155"/>
      <c r="K1701" s="155"/>
      <c r="L1701" s="155"/>
      <c r="M1701" s="155"/>
      <c r="N1701" s="155"/>
      <c r="O1701" s="155"/>
      <c r="P1701" s="155"/>
      <c r="Q1701" s="155"/>
      <c r="R1701" s="155"/>
      <c r="S1701" s="155"/>
      <c r="T1701" s="155"/>
      <c r="U1701" s="155"/>
      <c r="V1701" s="155"/>
      <c r="W1701" s="155"/>
      <c r="GL1701" s="155"/>
      <c r="GM1701" s="155"/>
      <c r="GN1701" s="155"/>
      <c r="GO1701" s="155"/>
      <c r="GP1701" s="155"/>
      <c r="GQ1701" s="155"/>
      <c r="GR1701" s="155"/>
      <c r="GS1701" s="155"/>
      <c r="GT1701" s="155"/>
      <c r="GU1701" s="155"/>
      <c r="GV1701" s="155"/>
      <c r="GW1701" s="155"/>
      <c r="GX1701" s="155"/>
      <c r="GY1701" s="155"/>
      <c r="GZ1701" s="155"/>
      <c r="HA1701" s="155"/>
      <c r="HB1701" s="155"/>
      <c r="HC1701" s="155"/>
      <c r="HD1701" s="155"/>
      <c r="HE1701" s="155"/>
    </row>
    <row r="1702" spans="2:213" s="156" customFormat="1" hidden="1">
      <c r="B1702" s="155"/>
      <c r="C1702" s="155"/>
      <c r="D1702" s="155"/>
      <c r="E1702" s="155"/>
      <c r="F1702" s="155"/>
      <c r="G1702" s="155"/>
      <c r="H1702" s="155"/>
      <c r="I1702" s="155"/>
      <c r="J1702" s="155"/>
      <c r="K1702" s="155"/>
      <c r="L1702" s="155"/>
      <c r="M1702" s="155"/>
      <c r="N1702" s="155"/>
      <c r="O1702" s="155"/>
      <c r="P1702" s="155"/>
      <c r="Q1702" s="155"/>
      <c r="R1702" s="155"/>
      <c r="S1702" s="155"/>
      <c r="T1702" s="155"/>
      <c r="U1702" s="155"/>
      <c r="V1702" s="155"/>
      <c r="W1702" s="155"/>
      <c r="GL1702" s="155"/>
      <c r="GM1702" s="155"/>
      <c r="GN1702" s="155"/>
      <c r="GO1702" s="155"/>
      <c r="GP1702" s="155"/>
      <c r="GQ1702" s="155"/>
      <c r="GR1702" s="155"/>
      <c r="GS1702" s="155"/>
      <c r="GT1702" s="155"/>
      <c r="GU1702" s="155"/>
      <c r="GV1702" s="155"/>
      <c r="GW1702" s="155"/>
      <c r="GX1702" s="155"/>
      <c r="GY1702" s="155"/>
      <c r="GZ1702" s="155"/>
      <c r="HA1702" s="155"/>
      <c r="HB1702" s="155"/>
      <c r="HC1702" s="155"/>
      <c r="HD1702" s="155"/>
      <c r="HE1702" s="155"/>
    </row>
    <row r="1703" spans="2:213" s="156" customFormat="1" hidden="1">
      <c r="B1703" s="155"/>
      <c r="C1703" s="155"/>
      <c r="D1703" s="155"/>
      <c r="E1703" s="155"/>
      <c r="F1703" s="155"/>
      <c r="G1703" s="155"/>
      <c r="H1703" s="155"/>
      <c r="I1703" s="155"/>
      <c r="J1703" s="155"/>
      <c r="K1703" s="155"/>
      <c r="L1703" s="155"/>
      <c r="M1703" s="155"/>
      <c r="N1703" s="155"/>
      <c r="O1703" s="155"/>
      <c r="P1703" s="155"/>
      <c r="Q1703" s="155"/>
      <c r="R1703" s="155"/>
      <c r="S1703" s="155"/>
      <c r="T1703" s="155"/>
      <c r="U1703" s="155"/>
      <c r="V1703" s="155"/>
      <c r="W1703" s="155"/>
      <c r="GL1703" s="155"/>
      <c r="GM1703" s="155"/>
      <c r="GN1703" s="155"/>
      <c r="GO1703" s="155"/>
      <c r="GP1703" s="155"/>
      <c r="GQ1703" s="155"/>
      <c r="GR1703" s="155"/>
      <c r="GS1703" s="155"/>
      <c r="GT1703" s="155"/>
      <c r="GU1703" s="155"/>
      <c r="GV1703" s="155"/>
      <c r="GW1703" s="155"/>
      <c r="GX1703" s="155"/>
      <c r="GY1703" s="155"/>
      <c r="GZ1703" s="155"/>
      <c r="HA1703" s="155"/>
      <c r="HB1703" s="155"/>
      <c r="HC1703" s="155"/>
      <c r="HD1703" s="155"/>
      <c r="HE1703" s="155"/>
    </row>
    <row r="1704" spans="2:213" s="156" customFormat="1" hidden="1">
      <c r="B1704" s="155"/>
      <c r="C1704" s="155"/>
      <c r="D1704" s="155"/>
      <c r="E1704" s="155"/>
      <c r="F1704" s="155"/>
      <c r="G1704" s="155"/>
      <c r="H1704" s="155"/>
      <c r="I1704" s="155"/>
      <c r="J1704" s="155"/>
      <c r="K1704" s="155"/>
      <c r="L1704" s="155"/>
      <c r="M1704" s="155"/>
      <c r="N1704" s="155"/>
      <c r="O1704" s="155"/>
      <c r="P1704" s="155"/>
      <c r="Q1704" s="155"/>
      <c r="R1704" s="155"/>
      <c r="S1704" s="155"/>
      <c r="T1704" s="155"/>
      <c r="U1704" s="155"/>
      <c r="V1704" s="155"/>
      <c r="W1704" s="155"/>
      <c r="GL1704" s="155"/>
      <c r="GM1704" s="155"/>
      <c r="GN1704" s="155"/>
      <c r="GO1704" s="155"/>
      <c r="GP1704" s="155"/>
      <c r="GQ1704" s="155"/>
      <c r="GR1704" s="155"/>
      <c r="GS1704" s="155"/>
      <c r="GT1704" s="155"/>
      <c r="GU1704" s="155"/>
      <c r="GV1704" s="155"/>
      <c r="GW1704" s="155"/>
      <c r="GX1704" s="155"/>
      <c r="GY1704" s="155"/>
      <c r="GZ1704" s="155"/>
      <c r="HA1704" s="155"/>
      <c r="HB1704" s="155"/>
      <c r="HC1704" s="155"/>
      <c r="HD1704" s="155"/>
      <c r="HE1704" s="155"/>
    </row>
    <row r="1705" spans="2:213" s="156" customFormat="1" hidden="1">
      <c r="B1705" s="155"/>
      <c r="C1705" s="155"/>
      <c r="D1705" s="155"/>
      <c r="E1705" s="155"/>
      <c r="F1705" s="155"/>
      <c r="G1705" s="155"/>
      <c r="H1705" s="155"/>
      <c r="I1705" s="155"/>
      <c r="J1705" s="155"/>
      <c r="K1705" s="155"/>
      <c r="L1705" s="155"/>
      <c r="M1705" s="155"/>
      <c r="N1705" s="155"/>
      <c r="O1705" s="155"/>
      <c r="P1705" s="155"/>
      <c r="Q1705" s="155"/>
      <c r="R1705" s="155"/>
      <c r="S1705" s="155"/>
      <c r="T1705" s="155"/>
      <c r="U1705" s="155"/>
      <c r="V1705" s="155"/>
      <c r="W1705" s="155"/>
      <c r="GL1705" s="155"/>
      <c r="GM1705" s="155"/>
      <c r="GN1705" s="155"/>
      <c r="GO1705" s="155"/>
      <c r="GP1705" s="155"/>
      <c r="GQ1705" s="155"/>
      <c r="GR1705" s="155"/>
      <c r="GS1705" s="155"/>
      <c r="GT1705" s="155"/>
      <c r="GU1705" s="155"/>
      <c r="GV1705" s="155"/>
      <c r="GW1705" s="155"/>
      <c r="GX1705" s="155"/>
      <c r="GY1705" s="155"/>
      <c r="GZ1705" s="155"/>
      <c r="HA1705" s="155"/>
      <c r="HB1705" s="155"/>
      <c r="HC1705" s="155"/>
      <c r="HD1705" s="155"/>
      <c r="HE1705" s="155"/>
    </row>
    <row r="1706" spans="2:213" s="156" customFormat="1" hidden="1">
      <c r="B1706" s="155"/>
      <c r="C1706" s="155"/>
      <c r="D1706" s="155"/>
      <c r="E1706" s="155"/>
      <c r="F1706" s="155"/>
      <c r="G1706" s="155"/>
      <c r="H1706" s="155"/>
      <c r="I1706" s="155"/>
      <c r="J1706" s="155"/>
      <c r="K1706" s="155"/>
      <c r="L1706" s="155"/>
      <c r="M1706" s="155"/>
      <c r="N1706" s="155"/>
      <c r="O1706" s="155"/>
      <c r="P1706" s="155"/>
      <c r="Q1706" s="155"/>
      <c r="R1706" s="155"/>
      <c r="S1706" s="155"/>
      <c r="T1706" s="155"/>
      <c r="U1706" s="155"/>
      <c r="V1706" s="155"/>
      <c r="W1706" s="155"/>
      <c r="GL1706" s="155"/>
      <c r="GM1706" s="155"/>
      <c r="GN1706" s="155"/>
      <c r="GO1706" s="155"/>
      <c r="GP1706" s="155"/>
      <c r="GQ1706" s="155"/>
      <c r="GR1706" s="155"/>
      <c r="GS1706" s="155"/>
      <c r="GT1706" s="155"/>
      <c r="GU1706" s="155"/>
      <c r="GV1706" s="155"/>
      <c r="GW1706" s="155"/>
      <c r="GX1706" s="155"/>
      <c r="GY1706" s="155"/>
      <c r="GZ1706" s="155"/>
      <c r="HA1706" s="155"/>
      <c r="HB1706" s="155"/>
      <c r="HC1706" s="155"/>
      <c r="HD1706" s="155"/>
      <c r="HE1706" s="155"/>
    </row>
    <row r="1707" spans="2:213" s="156" customFormat="1" hidden="1">
      <c r="B1707" s="155"/>
      <c r="C1707" s="155"/>
      <c r="D1707" s="155"/>
      <c r="E1707" s="155"/>
      <c r="F1707" s="155"/>
      <c r="G1707" s="155"/>
      <c r="H1707" s="155"/>
      <c r="I1707" s="155"/>
      <c r="J1707" s="155"/>
      <c r="K1707" s="155"/>
      <c r="L1707" s="155"/>
      <c r="M1707" s="155"/>
      <c r="N1707" s="155"/>
      <c r="O1707" s="155"/>
      <c r="P1707" s="155"/>
      <c r="Q1707" s="155"/>
      <c r="R1707" s="155"/>
      <c r="S1707" s="155"/>
      <c r="T1707" s="155"/>
      <c r="U1707" s="155"/>
      <c r="V1707" s="155"/>
      <c r="W1707" s="155"/>
      <c r="GL1707" s="155"/>
      <c r="GM1707" s="155"/>
      <c r="GN1707" s="155"/>
      <c r="GO1707" s="155"/>
      <c r="GP1707" s="155"/>
      <c r="GQ1707" s="155"/>
      <c r="GR1707" s="155"/>
      <c r="GS1707" s="155"/>
      <c r="GT1707" s="155"/>
      <c r="GU1707" s="155"/>
      <c r="GV1707" s="155"/>
      <c r="GW1707" s="155"/>
      <c r="GX1707" s="155"/>
      <c r="GY1707" s="155"/>
      <c r="GZ1707" s="155"/>
      <c r="HA1707" s="155"/>
      <c r="HB1707" s="155"/>
      <c r="HC1707" s="155"/>
      <c r="HD1707" s="155"/>
      <c r="HE1707" s="155"/>
    </row>
    <row r="1708" spans="2:213" s="156" customFormat="1" hidden="1">
      <c r="B1708" s="155"/>
      <c r="C1708" s="155"/>
      <c r="D1708" s="155"/>
      <c r="E1708" s="155"/>
      <c r="F1708" s="155"/>
      <c r="G1708" s="155"/>
      <c r="H1708" s="155"/>
      <c r="I1708" s="155"/>
      <c r="J1708" s="155"/>
      <c r="K1708" s="155"/>
      <c r="L1708" s="155"/>
      <c r="M1708" s="155"/>
      <c r="N1708" s="155"/>
      <c r="O1708" s="155"/>
      <c r="P1708" s="155"/>
      <c r="Q1708" s="155"/>
      <c r="R1708" s="155"/>
      <c r="S1708" s="155"/>
      <c r="T1708" s="155"/>
      <c r="U1708" s="155"/>
      <c r="V1708" s="155"/>
      <c r="W1708" s="155"/>
      <c r="GL1708" s="155"/>
      <c r="GM1708" s="155"/>
      <c r="GN1708" s="155"/>
      <c r="GO1708" s="155"/>
      <c r="GP1708" s="155"/>
      <c r="GQ1708" s="155"/>
      <c r="GR1708" s="155"/>
      <c r="GS1708" s="155"/>
      <c r="GT1708" s="155"/>
      <c r="GU1708" s="155"/>
      <c r="GV1708" s="155"/>
      <c r="GW1708" s="155"/>
      <c r="GX1708" s="155"/>
      <c r="GY1708" s="155"/>
      <c r="GZ1708" s="155"/>
      <c r="HA1708" s="155"/>
      <c r="HB1708" s="155"/>
      <c r="HC1708" s="155"/>
      <c r="HD1708" s="155"/>
      <c r="HE1708" s="155"/>
    </row>
    <row r="1709" spans="2:213" s="156" customFormat="1" hidden="1">
      <c r="B1709" s="155"/>
      <c r="C1709" s="155"/>
      <c r="D1709" s="155"/>
      <c r="E1709" s="155"/>
      <c r="F1709" s="155"/>
      <c r="G1709" s="155"/>
      <c r="H1709" s="155"/>
      <c r="I1709" s="155"/>
      <c r="J1709" s="155"/>
      <c r="K1709" s="155"/>
      <c r="L1709" s="155"/>
      <c r="M1709" s="155"/>
      <c r="N1709" s="155"/>
      <c r="O1709" s="155"/>
      <c r="P1709" s="155"/>
      <c r="Q1709" s="155"/>
      <c r="R1709" s="155"/>
      <c r="S1709" s="155"/>
      <c r="T1709" s="155"/>
      <c r="U1709" s="155"/>
      <c r="V1709" s="155"/>
      <c r="W1709" s="155"/>
      <c r="GL1709" s="155"/>
      <c r="GM1709" s="155"/>
      <c r="GN1709" s="155"/>
      <c r="GO1709" s="155"/>
      <c r="GP1709" s="155"/>
      <c r="GQ1709" s="155"/>
      <c r="GR1709" s="155"/>
      <c r="GS1709" s="155"/>
      <c r="GT1709" s="155"/>
      <c r="GU1709" s="155"/>
      <c r="GV1709" s="155"/>
      <c r="GW1709" s="155"/>
      <c r="GX1709" s="155"/>
      <c r="GY1709" s="155"/>
      <c r="GZ1709" s="155"/>
      <c r="HA1709" s="155"/>
      <c r="HB1709" s="155"/>
      <c r="HC1709" s="155"/>
      <c r="HD1709" s="155"/>
      <c r="HE1709" s="155"/>
    </row>
    <row r="1710" spans="2:213" s="156" customFormat="1" hidden="1">
      <c r="B1710" s="155"/>
      <c r="C1710" s="155"/>
      <c r="D1710" s="155"/>
      <c r="E1710" s="155"/>
      <c r="F1710" s="155"/>
      <c r="G1710" s="155"/>
      <c r="H1710" s="155"/>
      <c r="I1710" s="155"/>
      <c r="J1710" s="155"/>
      <c r="K1710" s="155"/>
      <c r="L1710" s="155"/>
      <c r="M1710" s="155"/>
      <c r="N1710" s="155"/>
      <c r="O1710" s="155"/>
      <c r="P1710" s="155"/>
      <c r="Q1710" s="155"/>
      <c r="R1710" s="155"/>
      <c r="S1710" s="155"/>
      <c r="T1710" s="155"/>
      <c r="U1710" s="155"/>
      <c r="V1710" s="155"/>
      <c r="W1710" s="155"/>
      <c r="GL1710" s="155"/>
      <c r="GM1710" s="155"/>
      <c r="GN1710" s="155"/>
      <c r="GO1710" s="155"/>
      <c r="GP1710" s="155"/>
      <c r="GQ1710" s="155"/>
      <c r="GR1710" s="155"/>
      <c r="GS1710" s="155"/>
      <c r="GT1710" s="155"/>
      <c r="GU1710" s="155"/>
      <c r="GV1710" s="155"/>
      <c r="GW1710" s="155"/>
      <c r="GX1710" s="155"/>
      <c r="GY1710" s="155"/>
      <c r="GZ1710" s="155"/>
      <c r="HA1710" s="155"/>
      <c r="HB1710" s="155"/>
      <c r="HC1710" s="155"/>
      <c r="HD1710" s="155"/>
      <c r="HE1710" s="155"/>
    </row>
    <row r="1711" spans="2:213" s="156" customFormat="1" hidden="1">
      <c r="B1711" s="155"/>
      <c r="C1711" s="155"/>
      <c r="D1711" s="155"/>
      <c r="E1711" s="155"/>
      <c r="F1711" s="155"/>
      <c r="G1711" s="155"/>
      <c r="H1711" s="155"/>
      <c r="I1711" s="155"/>
      <c r="J1711" s="155"/>
      <c r="K1711" s="155"/>
      <c r="L1711" s="155"/>
      <c r="M1711" s="155"/>
      <c r="N1711" s="155"/>
      <c r="O1711" s="155"/>
      <c r="P1711" s="155"/>
      <c r="Q1711" s="155"/>
      <c r="R1711" s="155"/>
      <c r="S1711" s="155"/>
      <c r="T1711" s="155"/>
      <c r="U1711" s="155"/>
      <c r="V1711" s="155"/>
      <c r="W1711" s="155"/>
      <c r="GL1711" s="155"/>
      <c r="GM1711" s="155"/>
      <c r="GN1711" s="155"/>
      <c r="GO1711" s="155"/>
      <c r="GP1711" s="155"/>
      <c r="GQ1711" s="155"/>
      <c r="GR1711" s="155"/>
      <c r="GS1711" s="155"/>
      <c r="GT1711" s="155"/>
      <c r="GU1711" s="155"/>
      <c r="GV1711" s="155"/>
      <c r="GW1711" s="155"/>
      <c r="GX1711" s="155"/>
      <c r="GY1711" s="155"/>
      <c r="GZ1711" s="155"/>
      <c r="HA1711" s="155"/>
      <c r="HB1711" s="155"/>
      <c r="HC1711" s="155"/>
      <c r="HD1711" s="155"/>
      <c r="HE1711" s="155"/>
    </row>
    <row r="1712" spans="2:213" s="156" customFormat="1" hidden="1">
      <c r="B1712" s="155"/>
      <c r="C1712" s="155"/>
      <c r="D1712" s="155"/>
      <c r="E1712" s="155"/>
      <c r="F1712" s="155"/>
      <c r="G1712" s="155"/>
      <c r="H1712" s="155"/>
      <c r="I1712" s="155"/>
      <c r="J1712" s="155"/>
      <c r="K1712" s="155"/>
      <c r="L1712" s="155"/>
      <c r="M1712" s="155"/>
      <c r="N1712" s="155"/>
      <c r="O1712" s="155"/>
      <c r="P1712" s="155"/>
      <c r="Q1712" s="155"/>
      <c r="R1712" s="155"/>
      <c r="S1712" s="155"/>
      <c r="T1712" s="155"/>
      <c r="U1712" s="155"/>
      <c r="V1712" s="155"/>
      <c r="W1712" s="155"/>
      <c r="GL1712" s="155"/>
      <c r="GM1712" s="155"/>
      <c r="GN1712" s="155"/>
      <c r="GO1712" s="155"/>
      <c r="GP1712" s="155"/>
      <c r="GQ1712" s="155"/>
      <c r="GR1712" s="155"/>
      <c r="GS1712" s="155"/>
      <c r="GT1712" s="155"/>
      <c r="GU1712" s="155"/>
      <c r="GV1712" s="155"/>
      <c r="GW1712" s="155"/>
      <c r="GX1712" s="155"/>
      <c r="GY1712" s="155"/>
      <c r="GZ1712" s="155"/>
      <c r="HA1712" s="155"/>
      <c r="HB1712" s="155"/>
      <c r="HC1712" s="155"/>
      <c r="HD1712" s="155"/>
      <c r="HE1712" s="155"/>
    </row>
    <row r="1713" spans="2:213" s="156" customFormat="1" hidden="1">
      <c r="B1713" s="155"/>
      <c r="C1713" s="155"/>
      <c r="D1713" s="155"/>
      <c r="E1713" s="155"/>
      <c r="F1713" s="155"/>
      <c r="G1713" s="155"/>
      <c r="H1713" s="155"/>
      <c r="I1713" s="155"/>
      <c r="J1713" s="155"/>
      <c r="K1713" s="155"/>
      <c r="L1713" s="155"/>
      <c r="M1713" s="155"/>
      <c r="N1713" s="155"/>
      <c r="O1713" s="155"/>
      <c r="P1713" s="155"/>
      <c r="Q1713" s="155"/>
      <c r="R1713" s="155"/>
      <c r="S1713" s="155"/>
      <c r="T1713" s="155"/>
      <c r="U1713" s="155"/>
      <c r="V1713" s="155"/>
      <c r="W1713" s="155"/>
      <c r="GL1713" s="155"/>
      <c r="GM1713" s="155"/>
      <c r="GN1713" s="155"/>
      <c r="GO1713" s="155"/>
      <c r="GP1713" s="155"/>
      <c r="GQ1713" s="155"/>
      <c r="GR1713" s="155"/>
      <c r="GS1713" s="155"/>
      <c r="GT1713" s="155"/>
      <c r="GU1713" s="155"/>
      <c r="GV1713" s="155"/>
      <c r="GW1713" s="155"/>
      <c r="GX1713" s="155"/>
      <c r="GY1713" s="155"/>
      <c r="GZ1713" s="155"/>
      <c r="HA1713" s="155"/>
      <c r="HB1713" s="155"/>
      <c r="HC1713" s="155"/>
      <c r="HD1713" s="155"/>
      <c r="HE1713" s="155"/>
    </row>
    <row r="1714" spans="2:213" s="156" customFormat="1" hidden="1">
      <c r="B1714" s="155"/>
      <c r="C1714" s="155"/>
      <c r="D1714" s="155"/>
      <c r="E1714" s="155"/>
      <c r="F1714" s="155"/>
      <c r="G1714" s="155"/>
      <c r="H1714" s="155"/>
      <c r="I1714" s="155"/>
      <c r="J1714" s="155"/>
      <c r="K1714" s="155"/>
      <c r="L1714" s="155"/>
      <c r="M1714" s="155"/>
      <c r="N1714" s="155"/>
      <c r="O1714" s="155"/>
      <c r="P1714" s="155"/>
      <c r="Q1714" s="155"/>
      <c r="R1714" s="155"/>
      <c r="S1714" s="155"/>
      <c r="T1714" s="155"/>
      <c r="U1714" s="155"/>
      <c r="V1714" s="155"/>
      <c r="W1714" s="155"/>
      <c r="GL1714" s="155"/>
      <c r="GM1714" s="155"/>
      <c r="GN1714" s="155"/>
      <c r="GO1714" s="155"/>
      <c r="GP1714" s="155"/>
      <c r="GQ1714" s="155"/>
      <c r="GR1714" s="155"/>
      <c r="GS1714" s="155"/>
      <c r="GT1714" s="155"/>
      <c r="GU1714" s="155"/>
      <c r="GV1714" s="155"/>
      <c r="GW1714" s="155"/>
      <c r="GX1714" s="155"/>
      <c r="GY1714" s="155"/>
      <c r="GZ1714" s="155"/>
      <c r="HA1714" s="155"/>
      <c r="HB1714" s="155"/>
      <c r="HC1714" s="155"/>
      <c r="HD1714" s="155"/>
      <c r="HE1714" s="155"/>
    </row>
    <row r="1715" spans="2:213" s="156" customFormat="1" hidden="1">
      <c r="B1715" s="155"/>
      <c r="C1715" s="155"/>
      <c r="D1715" s="155"/>
      <c r="E1715" s="155"/>
      <c r="F1715" s="155"/>
      <c r="G1715" s="155"/>
      <c r="H1715" s="155"/>
      <c r="I1715" s="155"/>
      <c r="J1715" s="155"/>
      <c r="K1715" s="155"/>
      <c r="L1715" s="155"/>
      <c r="M1715" s="155"/>
      <c r="N1715" s="155"/>
      <c r="O1715" s="155"/>
      <c r="P1715" s="155"/>
      <c r="Q1715" s="155"/>
      <c r="R1715" s="155"/>
      <c r="S1715" s="155"/>
      <c r="T1715" s="155"/>
      <c r="U1715" s="155"/>
      <c r="V1715" s="155"/>
      <c r="W1715" s="155"/>
      <c r="GL1715" s="155"/>
      <c r="GM1715" s="155"/>
      <c r="GN1715" s="155"/>
      <c r="GO1715" s="155"/>
      <c r="GP1715" s="155"/>
      <c r="GQ1715" s="155"/>
      <c r="GR1715" s="155"/>
      <c r="GS1715" s="155"/>
      <c r="GT1715" s="155"/>
      <c r="GU1715" s="155"/>
      <c r="GV1715" s="155"/>
      <c r="GW1715" s="155"/>
      <c r="GX1715" s="155"/>
      <c r="GY1715" s="155"/>
      <c r="GZ1715" s="155"/>
      <c r="HA1715" s="155"/>
      <c r="HB1715" s="155"/>
      <c r="HC1715" s="155"/>
      <c r="HD1715" s="155"/>
      <c r="HE1715" s="155"/>
    </row>
    <row r="1716" spans="2:213" s="156" customFormat="1" hidden="1">
      <c r="B1716" s="155"/>
      <c r="C1716" s="155"/>
      <c r="D1716" s="155"/>
      <c r="E1716" s="155"/>
      <c r="F1716" s="155"/>
      <c r="G1716" s="155"/>
      <c r="H1716" s="155"/>
      <c r="I1716" s="155"/>
      <c r="J1716" s="155"/>
      <c r="K1716" s="155"/>
      <c r="L1716" s="155"/>
      <c r="M1716" s="155"/>
      <c r="N1716" s="155"/>
      <c r="O1716" s="155"/>
      <c r="P1716" s="155"/>
      <c r="Q1716" s="155"/>
      <c r="R1716" s="155"/>
      <c r="S1716" s="155"/>
      <c r="T1716" s="155"/>
      <c r="U1716" s="155"/>
      <c r="V1716" s="155"/>
      <c r="W1716" s="155"/>
      <c r="GL1716" s="155"/>
      <c r="GM1716" s="155"/>
      <c r="GN1716" s="155"/>
      <c r="GO1716" s="155"/>
      <c r="GP1716" s="155"/>
      <c r="GQ1716" s="155"/>
      <c r="GR1716" s="155"/>
      <c r="GS1716" s="155"/>
      <c r="GT1716" s="155"/>
      <c r="GU1716" s="155"/>
      <c r="GV1716" s="155"/>
      <c r="GW1716" s="155"/>
      <c r="GX1716" s="155"/>
      <c r="GY1716" s="155"/>
      <c r="GZ1716" s="155"/>
      <c r="HA1716" s="155"/>
      <c r="HB1716" s="155"/>
      <c r="HC1716" s="155"/>
      <c r="HD1716" s="155"/>
      <c r="HE1716" s="155"/>
    </row>
    <row r="1717" spans="2:213" s="156" customFormat="1" hidden="1">
      <c r="B1717" s="155"/>
      <c r="C1717" s="155"/>
      <c r="D1717" s="155"/>
      <c r="E1717" s="155"/>
      <c r="F1717" s="155"/>
      <c r="G1717" s="155"/>
      <c r="H1717" s="155"/>
      <c r="I1717" s="155"/>
      <c r="J1717" s="155"/>
      <c r="K1717" s="155"/>
      <c r="L1717" s="155"/>
      <c r="M1717" s="155"/>
      <c r="N1717" s="155"/>
      <c r="O1717" s="155"/>
      <c r="P1717" s="155"/>
      <c r="Q1717" s="155"/>
      <c r="R1717" s="155"/>
      <c r="S1717" s="155"/>
      <c r="T1717" s="155"/>
      <c r="U1717" s="155"/>
      <c r="V1717" s="155"/>
      <c r="W1717" s="155"/>
      <c r="GL1717" s="155"/>
      <c r="GM1717" s="155"/>
      <c r="GN1717" s="155"/>
      <c r="GO1717" s="155"/>
      <c r="GP1717" s="155"/>
      <c r="GQ1717" s="155"/>
      <c r="GR1717" s="155"/>
      <c r="GS1717" s="155"/>
      <c r="GT1717" s="155"/>
      <c r="GU1717" s="155"/>
      <c r="GV1717" s="155"/>
      <c r="GW1717" s="155"/>
      <c r="GX1717" s="155"/>
      <c r="GY1717" s="155"/>
      <c r="GZ1717" s="155"/>
      <c r="HA1717" s="155"/>
      <c r="HB1717" s="155"/>
      <c r="HC1717" s="155"/>
      <c r="HD1717" s="155"/>
      <c r="HE1717" s="155"/>
    </row>
    <row r="1718" spans="2:213" s="156" customFormat="1" hidden="1">
      <c r="B1718" s="155"/>
      <c r="C1718" s="155"/>
      <c r="D1718" s="155"/>
      <c r="E1718" s="155"/>
      <c r="F1718" s="155"/>
      <c r="G1718" s="155"/>
      <c r="H1718" s="155"/>
      <c r="I1718" s="155"/>
      <c r="J1718" s="155"/>
      <c r="K1718" s="155"/>
      <c r="L1718" s="155"/>
      <c r="M1718" s="155"/>
      <c r="N1718" s="155"/>
      <c r="O1718" s="155"/>
      <c r="P1718" s="155"/>
      <c r="Q1718" s="155"/>
      <c r="R1718" s="155"/>
      <c r="S1718" s="155"/>
      <c r="T1718" s="155"/>
      <c r="U1718" s="155"/>
      <c r="V1718" s="155"/>
      <c r="W1718" s="155"/>
      <c r="GL1718" s="155"/>
      <c r="GM1718" s="155"/>
      <c r="GN1718" s="155"/>
      <c r="GO1718" s="155"/>
      <c r="GP1718" s="155"/>
      <c r="GQ1718" s="155"/>
      <c r="GR1718" s="155"/>
      <c r="GS1718" s="155"/>
      <c r="GT1718" s="155"/>
      <c r="GU1718" s="155"/>
      <c r="GV1718" s="155"/>
      <c r="GW1718" s="155"/>
      <c r="GX1718" s="155"/>
      <c r="GY1718" s="155"/>
      <c r="GZ1718" s="155"/>
      <c r="HA1718" s="155"/>
      <c r="HB1718" s="155"/>
      <c r="HC1718" s="155"/>
      <c r="HD1718" s="155"/>
      <c r="HE1718" s="155"/>
    </row>
    <row r="1719" spans="2:213" s="156" customFormat="1" hidden="1">
      <c r="B1719" s="155"/>
      <c r="C1719" s="155"/>
      <c r="D1719" s="155"/>
      <c r="E1719" s="155"/>
      <c r="F1719" s="155"/>
      <c r="G1719" s="155"/>
      <c r="H1719" s="155"/>
      <c r="I1719" s="155"/>
      <c r="J1719" s="155"/>
      <c r="K1719" s="155"/>
      <c r="L1719" s="155"/>
      <c r="M1719" s="155"/>
      <c r="N1719" s="155"/>
      <c r="O1719" s="155"/>
      <c r="P1719" s="155"/>
      <c r="Q1719" s="155"/>
      <c r="R1719" s="155"/>
      <c r="S1719" s="155"/>
      <c r="T1719" s="155"/>
      <c r="U1719" s="155"/>
      <c r="V1719" s="155"/>
      <c r="W1719" s="155"/>
      <c r="GL1719" s="155"/>
      <c r="GM1719" s="155"/>
      <c r="GN1719" s="155"/>
      <c r="GO1719" s="155"/>
      <c r="GP1719" s="155"/>
      <c r="GQ1719" s="155"/>
      <c r="GR1719" s="155"/>
      <c r="GS1719" s="155"/>
      <c r="GT1719" s="155"/>
      <c r="GU1719" s="155"/>
      <c r="GV1719" s="155"/>
      <c r="GW1719" s="155"/>
      <c r="GX1719" s="155"/>
      <c r="GY1719" s="155"/>
      <c r="GZ1719" s="155"/>
      <c r="HA1719" s="155"/>
      <c r="HB1719" s="155"/>
      <c r="HC1719" s="155"/>
      <c r="HD1719" s="155"/>
      <c r="HE1719" s="155"/>
    </row>
    <row r="1720" spans="2:213" s="156" customFormat="1" hidden="1">
      <c r="B1720" s="155"/>
      <c r="C1720" s="155"/>
      <c r="D1720" s="155"/>
      <c r="E1720" s="155"/>
      <c r="F1720" s="155"/>
      <c r="G1720" s="155"/>
      <c r="H1720" s="155"/>
      <c r="I1720" s="155"/>
      <c r="J1720" s="155"/>
      <c r="K1720" s="155"/>
      <c r="L1720" s="155"/>
      <c r="M1720" s="155"/>
      <c r="N1720" s="155"/>
      <c r="O1720" s="155"/>
      <c r="P1720" s="155"/>
      <c r="Q1720" s="155"/>
      <c r="R1720" s="155"/>
      <c r="S1720" s="155"/>
      <c r="T1720" s="155"/>
      <c r="U1720" s="155"/>
      <c r="V1720" s="155"/>
      <c r="W1720" s="155"/>
      <c r="GL1720" s="155"/>
      <c r="GM1720" s="155"/>
      <c r="GN1720" s="155"/>
      <c r="GO1720" s="155"/>
      <c r="GP1720" s="155"/>
      <c r="GQ1720" s="155"/>
      <c r="GR1720" s="155"/>
      <c r="GS1720" s="155"/>
      <c r="GT1720" s="155"/>
      <c r="GU1720" s="155"/>
      <c r="GV1720" s="155"/>
      <c r="GW1720" s="155"/>
      <c r="GX1720" s="155"/>
      <c r="GY1720" s="155"/>
      <c r="GZ1720" s="155"/>
      <c r="HA1720" s="155"/>
      <c r="HB1720" s="155"/>
      <c r="HC1720" s="155"/>
      <c r="HD1720" s="155"/>
      <c r="HE1720" s="155"/>
    </row>
    <row r="1721" spans="2:213" s="156" customFormat="1" hidden="1">
      <c r="B1721" s="155"/>
      <c r="C1721" s="155"/>
      <c r="D1721" s="155"/>
      <c r="E1721" s="155"/>
      <c r="F1721" s="155"/>
      <c r="G1721" s="155"/>
      <c r="H1721" s="155"/>
      <c r="I1721" s="155"/>
      <c r="J1721" s="155"/>
      <c r="K1721" s="155"/>
      <c r="L1721" s="155"/>
      <c r="M1721" s="155"/>
      <c r="N1721" s="155"/>
      <c r="O1721" s="155"/>
      <c r="P1721" s="155"/>
      <c r="Q1721" s="155"/>
      <c r="R1721" s="155"/>
      <c r="S1721" s="155"/>
      <c r="T1721" s="155"/>
      <c r="U1721" s="155"/>
      <c r="V1721" s="155"/>
      <c r="W1721" s="155"/>
      <c r="GL1721" s="155"/>
      <c r="GM1721" s="155"/>
      <c r="GN1721" s="155"/>
      <c r="GO1721" s="155"/>
      <c r="GP1721" s="155"/>
      <c r="GQ1721" s="155"/>
      <c r="GR1721" s="155"/>
      <c r="GS1721" s="155"/>
      <c r="GT1721" s="155"/>
      <c r="GU1721" s="155"/>
      <c r="GV1721" s="155"/>
      <c r="GW1721" s="155"/>
      <c r="GX1721" s="155"/>
      <c r="GY1721" s="155"/>
      <c r="GZ1721" s="155"/>
      <c r="HA1721" s="155"/>
      <c r="HB1721" s="155"/>
      <c r="HC1721" s="155"/>
      <c r="HD1721" s="155"/>
      <c r="HE1721" s="155"/>
    </row>
    <row r="1722" spans="2:213" s="156" customFormat="1" hidden="1">
      <c r="B1722" s="155"/>
      <c r="C1722" s="155"/>
      <c r="D1722" s="155"/>
      <c r="E1722" s="155"/>
      <c r="F1722" s="155"/>
      <c r="G1722" s="155"/>
      <c r="H1722" s="155"/>
      <c r="I1722" s="155"/>
      <c r="J1722" s="155"/>
      <c r="K1722" s="155"/>
      <c r="L1722" s="155"/>
      <c r="M1722" s="155"/>
      <c r="N1722" s="155"/>
      <c r="O1722" s="155"/>
      <c r="P1722" s="155"/>
      <c r="Q1722" s="155"/>
      <c r="R1722" s="155"/>
      <c r="S1722" s="155"/>
      <c r="T1722" s="155"/>
      <c r="U1722" s="155"/>
      <c r="V1722" s="155"/>
      <c r="W1722" s="155"/>
      <c r="GL1722" s="155"/>
      <c r="GM1722" s="155"/>
      <c r="GN1722" s="155"/>
      <c r="GO1722" s="155"/>
      <c r="GP1722" s="155"/>
      <c r="GQ1722" s="155"/>
      <c r="GR1722" s="155"/>
      <c r="GS1722" s="155"/>
      <c r="GT1722" s="155"/>
      <c r="GU1722" s="155"/>
      <c r="GV1722" s="155"/>
      <c r="GW1722" s="155"/>
      <c r="GX1722" s="155"/>
      <c r="GY1722" s="155"/>
      <c r="GZ1722" s="155"/>
      <c r="HA1722" s="155"/>
      <c r="HB1722" s="155"/>
      <c r="HC1722" s="155"/>
      <c r="HD1722" s="155"/>
      <c r="HE1722" s="155"/>
    </row>
    <row r="1723" spans="2:213" s="156" customFormat="1" hidden="1">
      <c r="B1723" s="155"/>
      <c r="C1723" s="155"/>
      <c r="D1723" s="155"/>
      <c r="E1723" s="155"/>
      <c r="F1723" s="155"/>
      <c r="G1723" s="155"/>
      <c r="H1723" s="155"/>
      <c r="I1723" s="155"/>
      <c r="J1723" s="155"/>
      <c r="K1723" s="155"/>
      <c r="L1723" s="155"/>
      <c r="M1723" s="155"/>
      <c r="N1723" s="155"/>
      <c r="O1723" s="155"/>
      <c r="P1723" s="155"/>
      <c r="Q1723" s="155"/>
      <c r="R1723" s="155"/>
      <c r="S1723" s="155"/>
      <c r="T1723" s="155"/>
      <c r="U1723" s="155"/>
      <c r="V1723" s="155"/>
      <c r="W1723" s="155"/>
      <c r="GL1723" s="155"/>
      <c r="GM1723" s="155"/>
      <c r="GN1723" s="155"/>
      <c r="GO1723" s="155"/>
      <c r="GP1723" s="155"/>
      <c r="GQ1723" s="155"/>
      <c r="GR1723" s="155"/>
      <c r="GS1723" s="155"/>
      <c r="GT1723" s="155"/>
      <c r="GU1723" s="155"/>
      <c r="GV1723" s="155"/>
      <c r="GW1723" s="155"/>
      <c r="GX1723" s="155"/>
      <c r="GY1723" s="155"/>
      <c r="GZ1723" s="155"/>
      <c r="HA1723" s="155"/>
      <c r="HB1723" s="155"/>
      <c r="HC1723" s="155"/>
      <c r="HD1723" s="155"/>
      <c r="HE1723" s="155"/>
    </row>
    <row r="1724" spans="2:213" s="156" customFormat="1" hidden="1">
      <c r="B1724" s="155"/>
      <c r="C1724" s="155"/>
      <c r="D1724" s="155"/>
      <c r="E1724" s="155"/>
      <c r="F1724" s="155"/>
      <c r="G1724" s="155"/>
      <c r="H1724" s="155"/>
      <c r="I1724" s="155"/>
      <c r="J1724" s="155"/>
      <c r="K1724" s="155"/>
      <c r="L1724" s="155"/>
      <c r="M1724" s="155"/>
      <c r="N1724" s="155"/>
      <c r="O1724" s="155"/>
      <c r="P1724" s="155"/>
      <c r="Q1724" s="155"/>
      <c r="R1724" s="155"/>
      <c r="S1724" s="155"/>
      <c r="T1724" s="155"/>
      <c r="U1724" s="155"/>
      <c r="V1724" s="155"/>
      <c r="W1724" s="155"/>
      <c r="GL1724" s="155"/>
      <c r="GM1724" s="155"/>
      <c r="GN1724" s="155"/>
      <c r="GO1724" s="155"/>
      <c r="GP1724" s="155"/>
      <c r="GQ1724" s="155"/>
      <c r="GR1724" s="155"/>
      <c r="GS1724" s="155"/>
      <c r="GT1724" s="155"/>
      <c r="GU1724" s="155"/>
      <c r="GV1724" s="155"/>
      <c r="GW1724" s="155"/>
      <c r="GX1724" s="155"/>
      <c r="GY1724" s="155"/>
      <c r="GZ1724" s="155"/>
      <c r="HA1724" s="155"/>
      <c r="HB1724" s="155"/>
      <c r="HC1724" s="155"/>
      <c r="HD1724" s="155"/>
      <c r="HE1724" s="155"/>
    </row>
    <row r="1725" spans="2:213" s="156" customFormat="1" hidden="1">
      <c r="B1725" s="155"/>
      <c r="C1725" s="155"/>
      <c r="D1725" s="155"/>
      <c r="E1725" s="155"/>
      <c r="F1725" s="155"/>
      <c r="G1725" s="155"/>
      <c r="H1725" s="155"/>
      <c r="I1725" s="155"/>
      <c r="J1725" s="155"/>
      <c r="K1725" s="155"/>
      <c r="L1725" s="155"/>
      <c r="M1725" s="155"/>
      <c r="N1725" s="155"/>
      <c r="O1725" s="155"/>
      <c r="P1725" s="155"/>
      <c r="Q1725" s="155"/>
      <c r="R1725" s="155"/>
      <c r="S1725" s="155"/>
      <c r="T1725" s="155"/>
      <c r="U1725" s="155"/>
      <c r="V1725" s="155"/>
      <c r="W1725" s="155"/>
      <c r="GL1725" s="155"/>
      <c r="GM1725" s="155"/>
      <c r="GN1725" s="155"/>
      <c r="GO1725" s="155"/>
      <c r="GP1725" s="155"/>
      <c r="GQ1725" s="155"/>
      <c r="GR1725" s="155"/>
      <c r="GS1725" s="155"/>
      <c r="GT1725" s="155"/>
      <c r="GU1725" s="155"/>
      <c r="GV1725" s="155"/>
      <c r="GW1725" s="155"/>
      <c r="GX1725" s="155"/>
      <c r="GY1725" s="155"/>
      <c r="GZ1725" s="155"/>
      <c r="HA1725" s="155"/>
      <c r="HB1725" s="155"/>
      <c r="HC1725" s="155"/>
      <c r="HD1725" s="155"/>
      <c r="HE1725" s="155"/>
    </row>
    <row r="1726" spans="2:213" s="156" customFormat="1" hidden="1">
      <c r="B1726" s="155"/>
      <c r="C1726" s="155"/>
      <c r="D1726" s="155"/>
      <c r="E1726" s="155"/>
      <c r="F1726" s="155"/>
      <c r="G1726" s="155"/>
      <c r="H1726" s="155"/>
      <c r="I1726" s="155"/>
      <c r="J1726" s="155"/>
      <c r="K1726" s="155"/>
      <c r="L1726" s="155"/>
      <c r="M1726" s="155"/>
      <c r="N1726" s="155"/>
      <c r="O1726" s="155"/>
      <c r="P1726" s="155"/>
      <c r="Q1726" s="155"/>
      <c r="R1726" s="155"/>
      <c r="S1726" s="155"/>
      <c r="T1726" s="155"/>
      <c r="U1726" s="155"/>
      <c r="V1726" s="155"/>
      <c r="W1726" s="155"/>
      <c r="GL1726" s="155"/>
      <c r="GM1726" s="155"/>
      <c r="GN1726" s="155"/>
      <c r="GO1726" s="155"/>
      <c r="GP1726" s="155"/>
      <c r="GQ1726" s="155"/>
      <c r="GR1726" s="155"/>
      <c r="GS1726" s="155"/>
      <c r="GT1726" s="155"/>
      <c r="GU1726" s="155"/>
      <c r="GV1726" s="155"/>
      <c r="GW1726" s="155"/>
      <c r="GX1726" s="155"/>
      <c r="GY1726" s="155"/>
      <c r="GZ1726" s="155"/>
      <c r="HA1726" s="155"/>
      <c r="HB1726" s="155"/>
      <c r="HC1726" s="155"/>
      <c r="HD1726" s="155"/>
      <c r="HE1726" s="155"/>
    </row>
    <row r="1727" spans="2:213" s="156" customFormat="1" hidden="1">
      <c r="B1727" s="155"/>
      <c r="C1727" s="155"/>
      <c r="D1727" s="155"/>
      <c r="E1727" s="155"/>
      <c r="F1727" s="155"/>
      <c r="G1727" s="155"/>
      <c r="H1727" s="155"/>
      <c r="I1727" s="155"/>
      <c r="J1727" s="155"/>
      <c r="K1727" s="155"/>
      <c r="L1727" s="155"/>
      <c r="M1727" s="155"/>
      <c r="N1727" s="155"/>
      <c r="O1727" s="155"/>
      <c r="P1727" s="155"/>
      <c r="Q1727" s="155"/>
      <c r="R1727" s="155"/>
      <c r="S1727" s="155"/>
      <c r="T1727" s="155"/>
      <c r="U1727" s="155"/>
      <c r="V1727" s="155"/>
      <c r="W1727" s="155"/>
      <c r="GL1727" s="155"/>
      <c r="GM1727" s="155"/>
      <c r="GN1727" s="155"/>
      <c r="GO1727" s="155"/>
      <c r="GP1727" s="155"/>
      <c r="GQ1727" s="155"/>
      <c r="GR1727" s="155"/>
      <c r="GS1727" s="155"/>
      <c r="GT1727" s="155"/>
      <c r="GU1727" s="155"/>
      <c r="GV1727" s="155"/>
      <c r="GW1727" s="155"/>
      <c r="GX1727" s="155"/>
      <c r="GY1727" s="155"/>
      <c r="GZ1727" s="155"/>
      <c r="HA1727" s="155"/>
      <c r="HB1727" s="155"/>
      <c r="HC1727" s="155"/>
      <c r="HD1727" s="155"/>
      <c r="HE1727" s="155"/>
    </row>
    <row r="1728" spans="2:213" s="156" customFormat="1" hidden="1">
      <c r="B1728" s="155"/>
      <c r="C1728" s="155"/>
      <c r="D1728" s="155"/>
      <c r="E1728" s="155"/>
      <c r="F1728" s="155"/>
      <c r="G1728" s="155"/>
      <c r="H1728" s="155"/>
      <c r="I1728" s="155"/>
      <c r="J1728" s="155"/>
      <c r="K1728" s="155"/>
      <c r="L1728" s="155"/>
      <c r="M1728" s="155"/>
      <c r="N1728" s="155"/>
      <c r="O1728" s="155"/>
      <c r="P1728" s="155"/>
      <c r="Q1728" s="155"/>
      <c r="R1728" s="155"/>
      <c r="S1728" s="155"/>
      <c r="T1728" s="155"/>
      <c r="U1728" s="155"/>
      <c r="V1728" s="155"/>
      <c r="W1728" s="155"/>
      <c r="GL1728" s="155"/>
      <c r="GM1728" s="155"/>
      <c r="GN1728" s="155"/>
      <c r="GO1728" s="155"/>
      <c r="GP1728" s="155"/>
      <c r="GQ1728" s="155"/>
      <c r="GR1728" s="155"/>
      <c r="GS1728" s="155"/>
      <c r="GT1728" s="155"/>
      <c r="GU1728" s="155"/>
      <c r="GV1728" s="155"/>
      <c r="GW1728" s="155"/>
      <c r="GX1728" s="155"/>
      <c r="GY1728" s="155"/>
      <c r="GZ1728" s="155"/>
      <c r="HA1728" s="155"/>
      <c r="HB1728" s="155"/>
      <c r="HC1728" s="155"/>
      <c r="HD1728" s="155"/>
      <c r="HE1728" s="155"/>
    </row>
    <row r="1729" spans="2:213" s="156" customFormat="1" hidden="1">
      <c r="B1729" s="155"/>
      <c r="C1729" s="155"/>
      <c r="D1729" s="155"/>
      <c r="E1729" s="155"/>
      <c r="F1729" s="155"/>
      <c r="G1729" s="155"/>
      <c r="H1729" s="155"/>
      <c r="I1729" s="155"/>
      <c r="J1729" s="155"/>
      <c r="K1729" s="155"/>
      <c r="L1729" s="155"/>
      <c r="M1729" s="155"/>
      <c r="N1729" s="155"/>
      <c r="O1729" s="155"/>
      <c r="P1729" s="155"/>
      <c r="Q1729" s="155"/>
      <c r="R1729" s="155"/>
      <c r="S1729" s="155"/>
      <c r="T1729" s="155"/>
      <c r="U1729" s="155"/>
      <c r="V1729" s="155"/>
      <c r="W1729" s="155"/>
      <c r="GL1729" s="155"/>
      <c r="GM1729" s="155"/>
      <c r="GN1729" s="155"/>
      <c r="GO1729" s="155"/>
      <c r="GP1729" s="155"/>
      <c r="GQ1729" s="155"/>
      <c r="GR1729" s="155"/>
      <c r="GS1729" s="155"/>
      <c r="GT1729" s="155"/>
      <c r="GU1729" s="155"/>
      <c r="GV1729" s="155"/>
      <c r="GW1729" s="155"/>
      <c r="GX1729" s="155"/>
      <c r="GY1729" s="155"/>
      <c r="GZ1729" s="155"/>
      <c r="HA1729" s="155"/>
      <c r="HB1729" s="155"/>
      <c r="HC1729" s="155"/>
      <c r="HD1729" s="155"/>
      <c r="HE1729" s="155"/>
    </row>
    <row r="1730" spans="2:213" s="156" customFormat="1" hidden="1">
      <c r="B1730" s="155"/>
      <c r="C1730" s="155"/>
      <c r="D1730" s="155"/>
      <c r="E1730" s="155"/>
      <c r="F1730" s="155"/>
      <c r="G1730" s="155"/>
      <c r="H1730" s="155"/>
      <c r="I1730" s="155"/>
      <c r="J1730" s="155"/>
      <c r="K1730" s="155"/>
      <c r="L1730" s="155"/>
      <c r="M1730" s="155"/>
      <c r="N1730" s="155"/>
      <c r="O1730" s="155"/>
      <c r="P1730" s="155"/>
      <c r="Q1730" s="155"/>
      <c r="R1730" s="155"/>
      <c r="S1730" s="155"/>
      <c r="T1730" s="155"/>
      <c r="U1730" s="155"/>
      <c r="V1730" s="155"/>
      <c r="W1730" s="155"/>
      <c r="GL1730" s="155"/>
      <c r="GM1730" s="155"/>
      <c r="GN1730" s="155"/>
      <c r="GO1730" s="155"/>
      <c r="GP1730" s="155"/>
      <c r="GQ1730" s="155"/>
      <c r="GR1730" s="155"/>
      <c r="GS1730" s="155"/>
      <c r="GT1730" s="155"/>
      <c r="GU1730" s="155"/>
      <c r="GV1730" s="155"/>
      <c r="GW1730" s="155"/>
      <c r="GX1730" s="155"/>
      <c r="GY1730" s="155"/>
      <c r="GZ1730" s="155"/>
      <c r="HA1730" s="155"/>
      <c r="HB1730" s="155"/>
      <c r="HC1730" s="155"/>
      <c r="HD1730" s="155"/>
      <c r="HE1730" s="155"/>
    </row>
    <row r="1731" spans="2:213" s="156" customFormat="1" hidden="1">
      <c r="B1731" s="155"/>
      <c r="C1731" s="155"/>
      <c r="D1731" s="155"/>
      <c r="E1731" s="155"/>
      <c r="F1731" s="155"/>
      <c r="G1731" s="155"/>
      <c r="H1731" s="155"/>
      <c r="I1731" s="155"/>
      <c r="J1731" s="155"/>
      <c r="K1731" s="155"/>
      <c r="L1731" s="155"/>
      <c r="M1731" s="155"/>
      <c r="N1731" s="155"/>
      <c r="O1731" s="155"/>
      <c r="P1731" s="155"/>
      <c r="Q1731" s="155"/>
      <c r="R1731" s="155"/>
      <c r="S1731" s="155"/>
      <c r="T1731" s="155"/>
      <c r="U1731" s="155"/>
      <c r="V1731" s="155"/>
      <c r="W1731" s="155"/>
      <c r="GL1731" s="155"/>
      <c r="GM1731" s="155"/>
      <c r="GN1731" s="155"/>
      <c r="GO1731" s="155"/>
      <c r="GP1731" s="155"/>
      <c r="GQ1731" s="155"/>
      <c r="GR1731" s="155"/>
      <c r="GS1731" s="155"/>
      <c r="GT1731" s="155"/>
      <c r="GU1731" s="155"/>
      <c r="GV1731" s="155"/>
      <c r="GW1731" s="155"/>
      <c r="GX1731" s="155"/>
      <c r="GY1731" s="155"/>
      <c r="GZ1731" s="155"/>
      <c r="HA1731" s="155"/>
      <c r="HB1731" s="155"/>
      <c r="HC1731" s="155"/>
      <c r="HD1731" s="155"/>
      <c r="HE1731" s="155"/>
    </row>
    <row r="1732" spans="2:213" s="156" customFormat="1" hidden="1">
      <c r="B1732" s="155"/>
      <c r="C1732" s="155"/>
      <c r="D1732" s="155"/>
      <c r="E1732" s="155"/>
      <c r="F1732" s="155"/>
      <c r="G1732" s="155"/>
      <c r="H1732" s="155"/>
      <c r="I1732" s="155"/>
      <c r="J1732" s="155"/>
      <c r="K1732" s="155"/>
      <c r="L1732" s="155"/>
      <c r="M1732" s="155"/>
      <c r="N1732" s="155"/>
      <c r="O1732" s="155"/>
      <c r="P1732" s="155"/>
      <c r="Q1732" s="155"/>
      <c r="R1732" s="155"/>
      <c r="S1732" s="155"/>
      <c r="T1732" s="155"/>
      <c r="U1732" s="155"/>
      <c r="V1732" s="155"/>
      <c r="W1732" s="155"/>
      <c r="GL1732" s="155"/>
      <c r="GM1732" s="155"/>
      <c r="GN1732" s="155"/>
      <c r="GO1732" s="155"/>
      <c r="GP1732" s="155"/>
      <c r="GQ1732" s="155"/>
      <c r="GR1732" s="155"/>
      <c r="GS1732" s="155"/>
      <c r="GT1732" s="155"/>
      <c r="GU1732" s="155"/>
      <c r="GV1732" s="155"/>
      <c r="GW1732" s="155"/>
      <c r="GX1732" s="155"/>
      <c r="GY1732" s="155"/>
      <c r="GZ1732" s="155"/>
      <c r="HA1732" s="155"/>
      <c r="HB1732" s="155"/>
      <c r="HC1732" s="155"/>
      <c r="HD1732" s="155"/>
      <c r="HE1732" s="155"/>
    </row>
    <row r="1733" spans="2:213" s="156" customFormat="1" hidden="1">
      <c r="B1733" s="155"/>
      <c r="C1733" s="155"/>
      <c r="D1733" s="155"/>
      <c r="E1733" s="155"/>
      <c r="F1733" s="155"/>
      <c r="G1733" s="155"/>
      <c r="H1733" s="155"/>
      <c r="I1733" s="155"/>
      <c r="J1733" s="155"/>
      <c r="K1733" s="155"/>
      <c r="L1733" s="155"/>
      <c r="M1733" s="155"/>
      <c r="N1733" s="155"/>
      <c r="O1733" s="155"/>
      <c r="P1733" s="155"/>
      <c r="Q1733" s="155"/>
      <c r="R1733" s="155"/>
      <c r="S1733" s="155"/>
      <c r="T1733" s="155"/>
      <c r="U1733" s="155"/>
      <c r="V1733" s="155"/>
      <c r="W1733" s="155"/>
      <c r="GL1733" s="155"/>
      <c r="GM1733" s="155"/>
      <c r="GN1733" s="155"/>
      <c r="GO1733" s="155"/>
      <c r="GP1733" s="155"/>
      <c r="GQ1733" s="155"/>
      <c r="GR1733" s="155"/>
      <c r="GS1733" s="155"/>
      <c r="GT1733" s="155"/>
      <c r="GU1733" s="155"/>
      <c r="GV1733" s="155"/>
      <c r="GW1733" s="155"/>
      <c r="GX1733" s="155"/>
      <c r="GY1733" s="155"/>
      <c r="GZ1733" s="155"/>
      <c r="HA1733" s="155"/>
      <c r="HB1733" s="155"/>
      <c r="HC1733" s="155"/>
      <c r="HD1733" s="155"/>
      <c r="HE1733" s="155"/>
    </row>
    <row r="1734" spans="2:213" s="156" customFormat="1" hidden="1">
      <c r="B1734" s="155"/>
      <c r="C1734" s="155"/>
      <c r="D1734" s="155"/>
      <c r="E1734" s="155"/>
      <c r="F1734" s="155"/>
      <c r="G1734" s="155"/>
      <c r="H1734" s="155"/>
      <c r="I1734" s="155"/>
      <c r="J1734" s="155"/>
      <c r="K1734" s="155"/>
      <c r="L1734" s="155"/>
      <c r="M1734" s="155"/>
      <c r="N1734" s="155"/>
      <c r="O1734" s="155"/>
      <c r="P1734" s="155"/>
      <c r="Q1734" s="155"/>
      <c r="R1734" s="155"/>
      <c r="S1734" s="155"/>
      <c r="T1734" s="155"/>
      <c r="U1734" s="155"/>
      <c r="V1734" s="155"/>
      <c r="W1734" s="155"/>
      <c r="GL1734" s="155"/>
      <c r="GM1734" s="155"/>
      <c r="GN1734" s="155"/>
      <c r="GO1734" s="155"/>
      <c r="GP1734" s="155"/>
      <c r="GQ1734" s="155"/>
      <c r="GR1734" s="155"/>
      <c r="GS1734" s="155"/>
      <c r="GT1734" s="155"/>
      <c r="GU1734" s="155"/>
      <c r="GV1734" s="155"/>
      <c r="GW1734" s="155"/>
      <c r="GX1734" s="155"/>
      <c r="GY1734" s="155"/>
      <c r="GZ1734" s="155"/>
      <c r="HA1734" s="155"/>
      <c r="HB1734" s="155"/>
      <c r="HC1734" s="155"/>
      <c r="HD1734" s="155"/>
      <c r="HE1734" s="155"/>
    </row>
    <row r="1735" spans="2:213" s="156" customFormat="1" hidden="1">
      <c r="B1735" s="155"/>
      <c r="C1735" s="155"/>
      <c r="D1735" s="155"/>
      <c r="E1735" s="155"/>
      <c r="F1735" s="155"/>
      <c r="G1735" s="155"/>
      <c r="H1735" s="155"/>
      <c r="I1735" s="155"/>
      <c r="J1735" s="155"/>
      <c r="K1735" s="155"/>
      <c r="L1735" s="155"/>
      <c r="M1735" s="155"/>
      <c r="N1735" s="155"/>
      <c r="O1735" s="155"/>
      <c r="P1735" s="155"/>
      <c r="Q1735" s="155"/>
      <c r="R1735" s="155"/>
      <c r="S1735" s="155"/>
      <c r="T1735" s="155"/>
      <c r="U1735" s="155"/>
      <c r="V1735" s="155"/>
      <c r="W1735" s="155"/>
      <c r="GL1735" s="155"/>
      <c r="GM1735" s="155"/>
      <c r="GN1735" s="155"/>
      <c r="GO1735" s="155"/>
      <c r="GP1735" s="155"/>
      <c r="GQ1735" s="155"/>
      <c r="GR1735" s="155"/>
      <c r="GS1735" s="155"/>
      <c r="GT1735" s="155"/>
      <c r="GU1735" s="155"/>
      <c r="GV1735" s="155"/>
      <c r="GW1735" s="155"/>
      <c r="GX1735" s="155"/>
      <c r="GY1735" s="155"/>
      <c r="GZ1735" s="155"/>
      <c r="HA1735" s="155"/>
      <c r="HB1735" s="155"/>
      <c r="HC1735" s="155"/>
      <c r="HD1735" s="155"/>
      <c r="HE1735" s="155"/>
    </row>
    <row r="1736" spans="2:213" s="156" customFormat="1" hidden="1">
      <c r="B1736" s="155"/>
      <c r="C1736" s="155"/>
      <c r="D1736" s="155"/>
      <c r="E1736" s="155"/>
      <c r="F1736" s="155"/>
      <c r="G1736" s="155"/>
      <c r="H1736" s="155"/>
      <c r="I1736" s="155"/>
      <c r="J1736" s="155"/>
      <c r="K1736" s="155"/>
      <c r="L1736" s="155"/>
      <c r="M1736" s="155"/>
      <c r="N1736" s="155"/>
      <c r="O1736" s="155"/>
      <c r="P1736" s="155"/>
      <c r="Q1736" s="155"/>
      <c r="R1736" s="155"/>
      <c r="S1736" s="155"/>
      <c r="T1736" s="155"/>
      <c r="U1736" s="155"/>
      <c r="V1736" s="155"/>
      <c r="W1736" s="155"/>
      <c r="GL1736" s="155"/>
      <c r="GM1736" s="155"/>
      <c r="GN1736" s="155"/>
      <c r="GO1736" s="155"/>
      <c r="GP1736" s="155"/>
      <c r="GQ1736" s="155"/>
      <c r="GR1736" s="155"/>
      <c r="GS1736" s="155"/>
      <c r="GT1736" s="155"/>
      <c r="GU1736" s="155"/>
      <c r="GV1736" s="155"/>
      <c r="GW1736" s="155"/>
      <c r="GX1736" s="155"/>
      <c r="GY1736" s="155"/>
      <c r="GZ1736" s="155"/>
      <c r="HA1736" s="155"/>
      <c r="HB1736" s="155"/>
      <c r="HC1736" s="155"/>
      <c r="HD1736" s="155"/>
      <c r="HE1736" s="155"/>
    </row>
    <row r="1737" spans="2:213" s="156" customFormat="1" hidden="1">
      <c r="B1737" s="155"/>
      <c r="C1737" s="155"/>
      <c r="D1737" s="155"/>
      <c r="E1737" s="155"/>
      <c r="F1737" s="155"/>
      <c r="G1737" s="155"/>
      <c r="H1737" s="155"/>
      <c r="I1737" s="155"/>
      <c r="J1737" s="155"/>
      <c r="K1737" s="155"/>
      <c r="L1737" s="155"/>
      <c r="M1737" s="155"/>
      <c r="N1737" s="155"/>
      <c r="O1737" s="155"/>
      <c r="P1737" s="155"/>
      <c r="Q1737" s="155"/>
      <c r="R1737" s="155"/>
      <c r="S1737" s="155"/>
      <c r="T1737" s="155"/>
      <c r="U1737" s="155"/>
      <c r="V1737" s="155"/>
      <c r="W1737" s="155"/>
      <c r="GL1737" s="155"/>
      <c r="GM1737" s="155"/>
      <c r="GN1737" s="155"/>
      <c r="GO1737" s="155"/>
      <c r="GP1737" s="155"/>
      <c r="GQ1737" s="155"/>
      <c r="GR1737" s="155"/>
      <c r="GS1737" s="155"/>
      <c r="GT1737" s="155"/>
      <c r="GU1737" s="155"/>
      <c r="GV1737" s="155"/>
      <c r="GW1737" s="155"/>
      <c r="GX1737" s="155"/>
      <c r="GY1737" s="155"/>
      <c r="GZ1737" s="155"/>
      <c r="HA1737" s="155"/>
      <c r="HB1737" s="155"/>
      <c r="HC1737" s="155"/>
      <c r="HD1737" s="155"/>
      <c r="HE1737" s="155"/>
    </row>
    <row r="1738" spans="2:213" s="156" customFormat="1" hidden="1">
      <c r="B1738" s="155"/>
      <c r="C1738" s="155"/>
      <c r="D1738" s="155"/>
      <c r="E1738" s="155"/>
      <c r="F1738" s="155"/>
      <c r="G1738" s="155"/>
      <c r="H1738" s="155"/>
      <c r="I1738" s="155"/>
      <c r="J1738" s="155"/>
      <c r="K1738" s="155"/>
      <c r="L1738" s="155"/>
      <c r="M1738" s="155"/>
      <c r="N1738" s="155"/>
      <c r="O1738" s="155"/>
      <c r="P1738" s="155"/>
      <c r="Q1738" s="155"/>
      <c r="R1738" s="155"/>
      <c r="S1738" s="155"/>
      <c r="T1738" s="155"/>
      <c r="U1738" s="155"/>
      <c r="V1738" s="155"/>
      <c r="W1738" s="155"/>
      <c r="GL1738" s="155"/>
      <c r="GM1738" s="155"/>
      <c r="GN1738" s="155"/>
      <c r="GO1738" s="155"/>
      <c r="GP1738" s="155"/>
      <c r="GQ1738" s="155"/>
      <c r="GR1738" s="155"/>
      <c r="GS1738" s="155"/>
      <c r="GT1738" s="155"/>
      <c r="GU1738" s="155"/>
      <c r="GV1738" s="155"/>
      <c r="GW1738" s="155"/>
      <c r="GX1738" s="155"/>
      <c r="GY1738" s="155"/>
      <c r="GZ1738" s="155"/>
      <c r="HA1738" s="155"/>
      <c r="HB1738" s="155"/>
      <c r="HC1738" s="155"/>
      <c r="HD1738" s="155"/>
      <c r="HE1738" s="155"/>
    </row>
    <row r="1739" spans="2:213" s="156" customFormat="1" hidden="1">
      <c r="B1739" s="155"/>
      <c r="C1739" s="155"/>
      <c r="D1739" s="155"/>
      <c r="E1739" s="155"/>
      <c r="F1739" s="155"/>
      <c r="G1739" s="155"/>
      <c r="H1739" s="155"/>
      <c r="I1739" s="155"/>
      <c r="J1739" s="155"/>
      <c r="K1739" s="155"/>
      <c r="L1739" s="155"/>
      <c r="M1739" s="155"/>
      <c r="N1739" s="155"/>
      <c r="O1739" s="155"/>
      <c r="P1739" s="155"/>
      <c r="Q1739" s="155"/>
      <c r="R1739" s="155"/>
      <c r="S1739" s="155"/>
      <c r="T1739" s="155"/>
      <c r="U1739" s="155"/>
      <c r="V1739" s="155"/>
      <c r="W1739" s="155"/>
      <c r="GL1739" s="155"/>
      <c r="GM1739" s="155"/>
      <c r="GN1739" s="155"/>
      <c r="GO1739" s="155"/>
      <c r="GP1739" s="155"/>
      <c r="GQ1739" s="155"/>
      <c r="GR1739" s="155"/>
      <c r="GS1739" s="155"/>
      <c r="GT1739" s="155"/>
      <c r="GU1739" s="155"/>
      <c r="GV1739" s="155"/>
      <c r="GW1739" s="155"/>
      <c r="GX1739" s="155"/>
      <c r="GY1739" s="155"/>
      <c r="GZ1739" s="155"/>
      <c r="HA1739" s="155"/>
      <c r="HB1739" s="155"/>
      <c r="HC1739" s="155"/>
      <c r="HD1739" s="155"/>
      <c r="HE1739" s="155"/>
    </row>
    <row r="1740" spans="2:213" s="156" customFormat="1" hidden="1">
      <c r="B1740" s="155"/>
      <c r="C1740" s="155"/>
      <c r="D1740" s="155"/>
      <c r="E1740" s="155"/>
      <c r="F1740" s="155"/>
      <c r="G1740" s="155"/>
      <c r="H1740" s="155"/>
      <c r="I1740" s="155"/>
      <c r="J1740" s="155"/>
      <c r="K1740" s="155"/>
      <c r="L1740" s="155"/>
      <c r="M1740" s="155"/>
      <c r="N1740" s="155"/>
      <c r="O1740" s="155"/>
      <c r="P1740" s="155"/>
      <c r="Q1740" s="155"/>
      <c r="R1740" s="155"/>
      <c r="S1740" s="155"/>
      <c r="T1740" s="155"/>
      <c r="U1740" s="155"/>
      <c r="V1740" s="155"/>
      <c r="W1740" s="155"/>
      <c r="GL1740" s="155"/>
      <c r="GM1740" s="155"/>
      <c r="GN1740" s="155"/>
      <c r="GO1740" s="155"/>
      <c r="GP1740" s="155"/>
      <c r="GQ1740" s="155"/>
      <c r="GR1740" s="155"/>
      <c r="GS1740" s="155"/>
      <c r="GT1740" s="155"/>
      <c r="GU1740" s="155"/>
      <c r="GV1740" s="155"/>
      <c r="GW1740" s="155"/>
      <c r="GX1740" s="155"/>
      <c r="GY1740" s="155"/>
      <c r="GZ1740" s="155"/>
      <c r="HA1740" s="155"/>
      <c r="HB1740" s="155"/>
      <c r="HC1740" s="155"/>
      <c r="HD1740" s="155"/>
      <c r="HE1740" s="155"/>
    </row>
    <row r="1741" spans="2:213" s="156" customFormat="1" hidden="1">
      <c r="B1741" s="155"/>
      <c r="C1741" s="155"/>
      <c r="D1741" s="155"/>
      <c r="E1741" s="155"/>
      <c r="F1741" s="155"/>
      <c r="G1741" s="155"/>
      <c r="H1741" s="155"/>
      <c r="I1741" s="155"/>
      <c r="J1741" s="155"/>
      <c r="K1741" s="155"/>
      <c r="L1741" s="155"/>
      <c r="M1741" s="155"/>
      <c r="N1741" s="155"/>
      <c r="O1741" s="155"/>
      <c r="P1741" s="155"/>
      <c r="Q1741" s="155"/>
      <c r="R1741" s="155"/>
      <c r="S1741" s="155"/>
      <c r="T1741" s="155"/>
      <c r="U1741" s="155"/>
      <c r="V1741" s="155"/>
      <c r="W1741" s="155"/>
      <c r="GL1741" s="155"/>
      <c r="GM1741" s="155"/>
      <c r="GN1741" s="155"/>
      <c r="GO1741" s="155"/>
      <c r="GP1741" s="155"/>
      <c r="GQ1741" s="155"/>
      <c r="GR1741" s="155"/>
      <c r="GS1741" s="155"/>
      <c r="GT1741" s="155"/>
      <c r="GU1741" s="155"/>
      <c r="GV1741" s="155"/>
      <c r="GW1741" s="155"/>
      <c r="GX1741" s="155"/>
      <c r="GY1741" s="155"/>
      <c r="GZ1741" s="155"/>
      <c r="HA1741" s="155"/>
      <c r="HB1741" s="155"/>
      <c r="HC1741" s="155"/>
      <c r="HD1741" s="155"/>
      <c r="HE1741" s="155"/>
    </row>
    <row r="1742" spans="2:213" s="156" customFormat="1" hidden="1">
      <c r="B1742" s="155"/>
      <c r="C1742" s="155"/>
      <c r="D1742" s="155"/>
      <c r="E1742" s="155"/>
      <c r="F1742" s="155"/>
      <c r="G1742" s="155"/>
      <c r="H1742" s="155"/>
      <c r="I1742" s="155"/>
      <c r="J1742" s="155"/>
      <c r="K1742" s="155"/>
      <c r="L1742" s="155"/>
      <c r="M1742" s="155"/>
      <c r="N1742" s="155"/>
      <c r="O1742" s="155"/>
      <c r="P1742" s="155"/>
      <c r="Q1742" s="155"/>
      <c r="R1742" s="155"/>
      <c r="S1742" s="155"/>
      <c r="T1742" s="155"/>
      <c r="U1742" s="155"/>
      <c r="V1742" s="155"/>
      <c r="W1742" s="155"/>
      <c r="GL1742" s="155"/>
      <c r="GM1742" s="155"/>
      <c r="GN1742" s="155"/>
      <c r="GO1742" s="155"/>
      <c r="GP1742" s="155"/>
      <c r="GQ1742" s="155"/>
      <c r="GR1742" s="155"/>
      <c r="GS1742" s="155"/>
      <c r="GT1742" s="155"/>
      <c r="GU1742" s="155"/>
      <c r="GV1742" s="155"/>
      <c r="GW1742" s="155"/>
      <c r="GX1742" s="155"/>
      <c r="GY1742" s="155"/>
      <c r="GZ1742" s="155"/>
      <c r="HA1742" s="155"/>
      <c r="HB1742" s="155"/>
      <c r="HC1742" s="155"/>
      <c r="HD1742" s="155"/>
      <c r="HE1742" s="155"/>
    </row>
    <row r="1743" spans="2:213" s="156" customFormat="1" hidden="1">
      <c r="B1743" s="155"/>
      <c r="C1743" s="155"/>
      <c r="D1743" s="155"/>
      <c r="E1743" s="155"/>
      <c r="F1743" s="155"/>
      <c r="G1743" s="155"/>
      <c r="H1743" s="155"/>
      <c r="I1743" s="155"/>
      <c r="J1743" s="155"/>
      <c r="K1743" s="155"/>
      <c r="L1743" s="155"/>
      <c r="M1743" s="155"/>
      <c r="N1743" s="155"/>
      <c r="O1743" s="155"/>
      <c r="P1743" s="155"/>
      <c r="Q1743" s="155"/>
      <c r="R1743" s="155"/>
      <c r="S1743" s="155"/>
      <c r="T1743" s="155"/>
      <c r="U1743" s="155"/>
      <c r="V1743" s="155"/>
      <c r="W1743" s="155"/>
      <c r="GL1743" s="155"/>
      <c r="GM1743" s="155"/>
      <c r="GN1743" s="155"/>
      <c r="GO1743" s="155"/>
      <c r="GP1743" s="155"/>
      <c r="GQ1743" s="155"/>
      <c r="GR1743" s="155"/>
      <c r="GS1743" s="155"/>
      <c r="GT1743" s="155"/>
      <c r="GU1743" s="155"/>
      <c r="GV1743" s="155"/>
      <c r="GW1743" s="155"/>
      <c r="GX1743" s="155"/>
      <c r="GY1743" s="155"/>
      <c r="GZ1743" s="155"/>
      <c r="HA1743" s="155"/>
      <c r="HB1743" s="155"/>
      <c r="HC1743" s="155"/>
      <c r="HD1743" s="155"/>
      <c r="HE1743" s="155"/>
    </row>
    <row r="1744" spans="2:213" s="156" customFormat="1" hidden="1">
      <c r="B1744" s="155"/>
      <c r="C1744" s="155"/>
      <c r="D1744" s="155"/>
      <c r="E1744" s="155"/>
      <c r="F1744" s="155"/>
      <c r="G1744" s="155"/>
      <c r="H1744" s="155"/>
      <c r="I1744" s="155"/>
      <c r="J1744" s="155"/>
      <c r="K1744" s="155"/>
      <c r="L1744" s="155"/>
      <c r="M1744" s="155"/>
      <c r="N1744" s="155"/>
      <c r="O1744" s="155"/>
      <c r="P1744" s="155"/>
      <c r="Q1744" s="155"/>
      <c r="R1744" s="155"/>
      <c r="S1744" s="155"/>
      <c r="T1744" s="155"/>
      <c r="U1744" s="155"/>
      <c r="V1744" s="155"/>
      <c r="W1744" s="155"/>
      <c r="GL1744" s="155"/>
      <c r="GM1744" s="155"/>
      <c r="GN1744" s="155"/>
      <c r="GO1744" s="155"/>
      <c r="GP1744" s="155"/>
      <c r="GQ1744" s="155"/>
      <c r="GR1744" s="155"/>
      <c r="GS1744" s="155"/>
      <c r="GT1744" s="155"/>
      <c r="GU1744" s="155"/>
      <c r="GV1744" s="155"/>
      <c r="GW1744" s="155"/>
      <c r="GX1744" s="155"/>
      <c r="GY1744" s="155"/>
      <c r="GZ1744" s="155"/>
      <c r="HA1744" s="155"/>
      <c r="HB1744" s="155"/>
      <c r="HC1744" s="155"/>
      <c r="HD1744" s="155"/>
      <c r="HE1744" s="155"/>
    </row>
    <row r="1745" spans="2:213" s="156" customFormat="1" hidden="1">
      <c r="B1745" s="155"/>
      <c r="C1745" s="155"/>
      <c r="D1745" s="155"/>
      <c r="E1745" s="155"/>
      <c r="F1745" s="155"/>
      <c r="G1745" s="155"/>
      <c r="H1745" s="155"/>
      <c r="I1745" s="155"/>
      <c r="J1745" s="155"/>
      <c r="K1745" s="155"/>
      <c r="L1745" s="155"/>
      <c r="M1745" s="155"/>
      <c r="N1745" s="155"/>
      <c r="O1745" s="155"/>
      <c r="P1745" s="155"/>
      <c r="Q1745" s="155"/>
      <c r="R1745" s="155"/>
      <c r="S1745" s="155"/>
      <c r="T1745" s="155"/>
      <c r="U1745" s="155"/>
      <c r="V1745" s="155"/>
      <c r="W1745" s="155"/>
      <c r="GL1745" s="155"/>
      <c r="GM1745" s="155"/>
      <c r="GN1745" s="155"/>
      <c r="GO1745" s="155"/>
      <c r="GP1745" s="155"/>
      <c r="GQ1745" s="155"/>
      <c r="GR1745" s="155"/>
      <c r="GS1745" s="155"/>
      <c r="GT1745" s="155"/>
      <c r="GU1745" s="155"/>
      <c r="GV1745" s="155"/>
      <c r="GW1745" s="155"/>
      <c r="GX1745" s="155"/>
      <c r="GY1745" s="155"/>
      <c r="GZ1745" s="155"/>
      <c r="HA1745" s="155"/>
      <c r="HB1745" s="155"/>
      <c r="HC1745" s="155"/>
      <c r="HD1745" s="155"/>
      <c r="HE1745" s="155"/>
    </row>
    <row r="1746" spans="2:213" s="156" customFormat="1" hidden="1">
      <c r="B1746" s="155"/>
      <c r="C1746" s="155"/>
      <c r="D1746" s="155"/>
      <c r="E1746" s="155"/>
      <c r="F1746" s="155"/>
      <c r="G1746" s="155"/>
      <c r="H1746" s="155"/>
      <c r="I1746" s="155"/>
      <c r="J1746" s="155"/>
      <c r="K1746" s="155"/>
      <c r="L1746" s="155"/>
      <c r="M1746" s="155"/>
      <c r="N1746" s="155"/>
      <c r="O1746" s="155"/>
      <c r="P1746" s="155"/>
      <c r="Q1746" s="155"/>
      <c r="R1746" s="155"/>
      <c r="S1746" s="155"/>
      <c r="T1746" s="155"/>
      <c r="U1746" s="155"/>
      <c r="V1746" s="155"/>
      <c r="W1746" s="155"/>
      <c r="GL1746" s="155"/>
      <c r="GM1746" s="155"/>
      <c r="GN1746" s="155"/>
      <c r="GO1746" s="155"/>
      <c r="GP1746" s="155"/>
      <c r="GQ1746" s="155"/>
      <c r="GR1746" s="155"/>
      <c r="GS1746" s="155"/>
      <c r="GT1746" s="155"/>
      <c r="GU1746" s="155"/>
      <c r="GV1746" s="155"/>
      <c r="GW1746" s="155"/>
      <c r="GX1746" s="155"/>
      <c r="GY1746" s="155"/>
      <c r="GZ1746" s="155"/>
      <c r="HA1746" s="155"/>
      <c r="HB1746" s="155"/>
      <c r="HC1746" s="155"/>
      <c r="HD1746" s="155"/>
      <c r="HE1746" s="155"/>
    </row>
    <row r="1747" spans="2:213" s="156" customFormat="1" hidden="1">
      <c r="B1747" s="155"/>
      <c r="C1747" s="155"/>
      <c r="D1747" s="155"/>
      <c r="E1747" s="155"/>
      <c r="F1747" s="155"/>
      <c r="G1747" s="155"/>
      <c r="H1747" s="155"/>
      <c r="I1747" s="155"/>
      <c r="J1747" s="155"/>
      <c r="K1747" s="155"/>
      <c r="L1747" s="155"/>
      <c r="M1747" s="155"/>
      <c r="N1747" s="155"/>
      <c r="O1747" s="155"/>
      <c r="P1747" s="155"/>
      <c r="Q1747" s="155"/>
      <c r="R1747" s="155"/>
      <c r="S1747" s="155"/>
      <c r="T1747" s="155"/>
      <c r="U1747" s="155"/>
      <c r="V1747" s="155"/>
      <c r="W1747" s="155"/>
      <c r="GL1747" s="155"/>
      <c r="GM1747" s="155"/>
      <c r="GN1747" s="155"/>
      <c r="GO1747" s="155"/>
      <c r="GP1747" s="155"/>
      <c r="GQ1747" s="155"/>
      <c r="GR1747" s="155"/>
      <c r="GS1747" s="155"/>
      <c r="GT1747" s="155"/>
      <c r="GU1747" s="155"/>
      <c r="GV1747" s="155"/>
      <c r="GW1747" s="155"/>
      <c r="GX1747" s="155"/>
      <c r="GY1747" s="155"/>
      <c r="GZ1747" s="155"/>
      <c r="HA1747" s="155"/>
      <c r="HB1747" s="155"/>
      <c r="HC1747" s="155"/>
      <c r="HD1747" s="155"/>
      <c r="HE1747" s="155"/>
    </row>
    <row r="1748" spans="2:213" s="156" customFormat="1" hidden="1">
      <c r="B1748" s="155"/>
      <c r="C1748" s="155"/>
      <c r="D1748" s="155"/>
      <c r="E1748" s="155"/>
      <c r="F1748" s="155"/>
      <c r="G1748" s="155"/>
      <c r="H1748" s="155"/>
      <c r="I1748" s="155"/>
      <c r="J1748" s="155"/>
      <c r="K1748" s="155"/>
      <c r="L1748" s="155"/>
      <c r="M1748" s="155"/>
      <c r="N1748" s="155"/>
      <c r="O1748" s="155"/>
      <c r="P1748" s="155"/>
      <c r="Q1748" s="155"/>
      <c r="R1748" s="155"/>
      <c r="S1748" s="155"/>
      <c r="T1748" s="155"/>
      <c r="U1748" s="155"/>
      <c r="V1748" s="155"/>
      <c r="W1748" s="155"/>
      <c r="GL1748" s="155"/>
      <c r="GM1748" s="155"/>
      <c r="GN1748" s="155"/>
      <c r="GO1748" s="155"/>
      <c r="GP1748" s="155"/>
      <c r="GQ1748" s="155"/>
      <c r="GR1748" s="155"/>
      <c r="GS1748" s="155"/>
      <c r="GT1748" s="155"/>
      <c r="GU1748" s="155"/>
      <c r="GV1748" s="155"/>
      <c r="GW1748" s="155"/>
      <c r="GX1748" s="155"/>
      <c r="GY1748" s="155"/>
      <c r="GZ1748" s="155"/>
      <c r="HA1748" s="155"/>
      <c r="HB1748" s="155"/>
      <c r="HC1748" s="155"/>
      <c r="HD1748" s="155"/>
      <c r="HE1748" s="155"/>
    </row>
    <row r="1749" spans="2:213" s="156" customFormat="1" hidden="1">
      <c r="B1749" s="155"/>
      <c r="C1749" s="155"/>
      <c r="D1749" s="155"/>
      <c r="E1749" s="155"/>
      <c r="F1749" s="155"/>
      <c r="G1749" s="155"/>
      <c r="H1749" s="155"/>
      <c r="I1749" s="155"/>
      <c r="J1749" s="155"/>
      <c r="K1749" s="155"/>
      <c r="L1749" s="155"/>
      <c r="M1749" s="155"/>
      <c r="N1749" s="155"/>
      <c r="O1749" s="155"/>
      <c r="P1749" s="155"/>
      <c r="Q1749" s="155"/>
      <c r="R1749" s="155"/>
      <c r="S1749" s="155"/>
      <c r="T1749" s="155"/>
      <c r="U1749" s="155"/>
      <c r="V1749" s="155"/>
      <c r="W1749" s="155"/>
      <c r="GL1749" s="155"/>
      <c r="GM1749" s="155"/>
      <c r="GN1749" s="155"/>
      <c r="GO1749" s="155"/>
      <c r="GP1749" s="155"/>
      <c r="GQ1749" s="155"/>
      <c r="GR1749" s="155"/>
      <c r="GS1749" s="155"/>
      <c r="GT1749" s="155"/>
      <c r="GU1749" s="155"/>
      <c r="GV1749" s="155"/>
      <c r="GW1749" s="155"/>
      <c r="GX1749" s="155"/>
      <c r="GY1749" s="155"/>
      <c r="GZ1749" s="155"/>
      <c r="HA1749" s="155"/>
      <c r="HB1749" s="155"/>
      <c r="HC1749" s="155"/>
      <c r="HD1749" s="155"/>
      <c r="HE1749" s="155"/>
    </row>
    <row r="1750" spans="2:213" s="156" customFormat="1" hidden="1">
      <c r="B1750" s="155"/>
      <c r="C1750" s="155"/>
      <c r="D1750" s="155"/>
      <c r="E1750" s="155"/>
      <c r="F1750" s="155"/>
      <c r="G1750" s="155"/>
      <c r="H1750" s="155"/>
      <c r="I1750" s="155"/>
      <c r="J1750" s="155"/>
      <c r="K1750" s="155"/>
      <c r="L1750" s="155"/>
      <c r="M1750" s="155"/>
      <c r="N1750" s="155"/>
      <c r="O1750" s="155"/>
      <c r="P1750" s="155"/>
      <c r="Q1750" s="155"/>
      <c r="R1750" s="155"/>
      <c r="S1750" s="155"/>
      <c r="T1750" s="155"/>
      <c r="U1750" s="155"/>
      <c r="V1750" s="155"/>
      <c r="W1750" s="155"/>
      <c r="GL1750" s="155"/>
      <c r="GM1750" s="155"/>
      <c r="GN1750" s="155"/>
      <c r="GO1750" s="155"/>
      <c r="GP1750" s="155"/>
      <c r="GQ1750" s="155"/>
      <c r="GR1750" s="155"/>
      <c r="GS1750" s="155"/>
      <c r="GT1750" s="155"/>
      <c r="GU1750" s="155"/>
      <c r="GV1750" s="155"/>
      <c r="GW1750" s="155"/>
      <c r="GX1750" s="155"/>
      <c r="GY1750" s="155"/>
      <c r="GZ1750" s="155"/>
      <c r="HA1750" s="155"/>
      <c r="HB1750" s="155"/>
      <c r="HC1750" s="155"/>
      <c r="HD1750" s="155"/>
      <c r="HE1750" s="155"/>
    </row>
    <row r="1751" spans="2:213" s="156" customFormat="1" hidden="1">
      <c r="B1751" s="155"/>
      <c r="C1751" s="155"/>
      <c r="D1751" s="155"/>
      <c r="E1751" s="155"/>
      <c r="F1751" s="155"/>
      <c r="G1751" s="155"/>
      <c r="H1751" s="155"/>
      <c r="I1751" s="155"/>
      <c r="J1751" s="155"/>
      <c r="K1751" s="155"/>
      <c r="L1751" s="155"/>
      <c r="M1751" s="155"/>
      <c r="N1751" s="155"/>
      <c r="O1751" s="155"/>
      <c r="P1751" s="155"/>
      <c r="Q1751" s="155"/>
      <c r="R1751" s="155"/>
      <c r="S1751" s="155"/>
      <c r="T1751" s="155"/>
      <c r="U1751" s="155"/>
      <c r="V1751" s="155"/>
      <c r="W1751" s="155"/>
      <c r="GL1751" s="155"/>
      <c r="GM1751" s="155"/>
      <c r="GN1751" s="155"/>
      <c r="GO1751" s="155"/>
      <c r="GP1751" s="155"/>
      <c r="GQ1751" s="155"/>
      <c r="GR1751" s="155"/>
      <c r="GS1751" s="155"/>
      <c r="GT1751" s="155"/>
      <c r="GU1751" s="155"/>
      <c r="GV1751" s="155"/>
      <c r="GW1751" s="155"/>
      <c r="GX1751" s="155"/>
      <c r="GY1751" s="155"/>
      <c r="GZ1751" s="155"/>
      <c r="HA1751" s="155"/>
      <c r="HB1751" s="155"/>
      <c r="HC1751" s="155"/>
      <c r="HD1751" s="155"/>
      <c r="HE1751" s="155"/>
    </row>
    <row r="1752" spans="2:213" s="156" customFormat="1" hidden="1">
      <c r="B1752" s="155"/>
      <c r="C1752" s="155"/>
      <c r="D1752" s="155"/>
      <c r="E1752" s="155"/>
      <c r="F1752" s="155"/>
      <c r="G1752" s="155"/>
      <c r="H1752" s="155"/>
      <c r="I1752" s="155"/>
      <c r="J1752" s="155"/>
      <c r="K1752" s="155"/>
      <c r="L1752" s="155"/>
      <c r="M1752" s="155"/>
      <c r="N1752" s="155"/>
      <c r="O1752" s="155"/>
      <c r="P1752" s="155"/>
      <c r="Q1752" s="155"/>
      <c r="R1752" s="155"/>
      <c r="S1752" s="155"/>
      <c r="T1752" s="155"/>
      <c r="U1752" s="155"/>
      <c r="V1752" s="155"/>
      <c r="W1752" s="155"/>
      <c r="GL1752" s="155"/>
      <c r="GM1752" s="155"/>
      <c r="GN1752" s="155"/>
      <c r="GO1752" s="155"/>
      <c r="GP1752" s="155"/>
      <c r="GQ1752" s="155"/>
      <c r="GR1752" s="155"/>
      <c r="GS1752" s="155"/>
      <c r="GT1752" s="155"/>
      <c r="GU1752" s="155"/>
      <c r="GV1752" s="155"/>
      <c r="GW1752" s="155"/>
      <c r="GX1752" s="155"/>
      <c r="GY1752" s="155"/>
      <c r="GZ1752" s="155"/>
      <c r="HA1752" s="155"/>
      <c r="HB1752" s="155"/>
      <c r="HC1752" s="155"/>
      <c r="HD1752" s="155"/>
      <c r="HE1752" s="155"/>
    </row>
    <row r="1753" spans="2:213" s="156" customFormat="1" hidden="1">
      <c r="B1753" s="155"/>
      <c r="C1753" s="155"/>
      <c r="D1753" s="155"/>
      <c r="E1753" s="155"/>
      <c r="F1753" s="155"/>
      <c r="G1753" s="155"/>
      <c r="H1753" s="155"/>
      <c r="I1753" s="155"/>
      <c r="J1753" s="155"/>
      <c r="K1753" s="155"/>
      <c r="L1753" s="155"/>
      <c r="M1753" s="155"/>
      <c r="N1753" s="155"/>
      <c r="O1753" s="155"/>
      <c r="P1753" s="155"/>
      <c r="Q1753" s="155"/>
      <c r="R1753" s="155"/>
      <c r="S1753" s="155"/>
      <c r="T1753" s="155"/>
      <c r="U1753" s="155"/>
      <c r="V1753" s="155"/>
      <c r="W1753" s="155"/>
      <c r="GL1753" s="155"/>
      <c r="GM1753" s="155"/>
      <c r="GN1753" s="155"/>
      <c r="GO1753" s="155"/>
      <c r="GP1753" s="155"/>
      <c r="GQ1753" s="155"/>
      <c r="GR1753" s="155"/>
      <c r="GS1753" s="155"/>
      <c r="GT1753" s="155"/>
      <c r="GU1753" s="155"/>
      <c r="GV1753" s="155"/>
      <c r="GW1753" s="155"/>
      <c r="GX1753" s="155"/>
      <c r="GY1753" s="155"/>
      <c r="GZ1753" s="155"/>
      <c r="HA1753" s="155"/>
      <c r="HB1753" s="155"/>
      <c r="HC1753" s="155"/>
      <c r="HD1753" s="155"/>
      <c r="HE1753" s="155"/>
    </row>
    <row r="1754" spans="2:213" s="156" customFormat="1" hidden="1">
      <c r="B1754" s="155"/>
      <c r="C1754" s="155"/>
      <c r="D1754" s="155"/>
      <c r="E1754" s="155"/>
      <c r="F1754" s="155"/>
      <c r="G1754" s="155"/>
      <c r="H1754" s="155"/>
      <c r="I1754" s="155"/>
      <c r="J1754" s="155"/>
      <c r="K1754" s="155"/>
      <c r="L1754" s="155"/>
      <c r="M1754" s="155"/>
      <c r="N1754" s="155"/>
      <c r="O1754" s="155"/>
      <c r="P1754" s="155"/>
      <c r="Q1754" s="155"/>
      <c r="R1754" s="155"/>
      <c r="S1754" s="155"/>
      <c r="T1754" s="155"/>
      <c r="U1754" s="155"/>
      <c r="V1754" s="155"/>
      <c r="W1754" s="155"/>
      <c r="GL1754" s="155"/>
      <c r="GM1754" s="155"/>
      <c r="GN1754" s="155"/>
      <c r="GO1754" s="155"/>
      <c r="GP1754" s="155"/>
      <c r="GQ1754" s="155"/>
      <c r="GR1754" s="155"/>
      <c r="GS1754" s="155"/>
      <c r="GT1754" s="155"/>
      <c r="GU1754" s="155"/>
      <c r="GV1754" s="155"/>
      <c r="GW1754" s="155"/>
      <c r="GX1754" s="155"/>
      <c r="GY1754" s="155"/>
      <c r="GZ1754" s="155"/>
      <c r="HA1754" s="155"/>
      <c r="HB1754" s="155"/>
      <c r="HC1754" s="155"/>
      <c r="HD1754" s="155"/>
      <c r="HE1754" s="155"/>
    </row>
    <row r="1755" spans="2:213" s="156" customFormat="1" hidden="1">
      <c r="B1755" s="155"/>
      <c r="C1755" s="155"/>
      <c r="D1755" s="155"/>
      <c r="E1755" s="155"/>
      <c r="F1755" s="155"/>
      <c r="G1755" s="155"/>
      <c r="H1755" s="155"/>
      <c r="I1755" s="155"/>
      <c r="J1755" s="155"/>
      <c r="K1755" s="155"/>
      <c r="L1755" s="155"/>
      <c r="M1755" s="155"/>
      <c r="N1755" s="155"/>
      <c r="O1755" s="155"/>
      <c r="P1755" s="155"/>
      <c r="Q1755" s="155"/>
      <c r="R1755" s="155"/>
      <c r="S1755" s="155"/>
      <c r="T1755" s="155"/>
      <c r="U1755" s="155"/>
      <c r="V1755" s="155"/>
      <c r="W1755" s="155"/>
      <c r="GL1755" s="155"/>
      <c r="GM1755" s="155"/>
      <c r="GN1755" s="155"/>
      <c r="GO1755" s="155"/>
      <c r="GP1755" s="155"/>
      <c r="GQ1755" s="155"/>
      <c r="GR1755" s="155"/>
      <c r="GS1755" s="155"/>
      <c r="GT1755" s="155"/>
      <c r="GU1755" s="155"/>
      <c r="GV1755" s="155"/>
      <c r="GW1755" s="155"/>
      <c r="GX1755" s="155"/>
      <c r="GY1755" s="155"/>
      <c r="GZ1755" s="155"/>
      <c r="HA1755" s="155"/>
      <c r="HB1755" s="155"/>
      <c r="HC1755" s="155"/>
      <c r="HD1755" s="155"/>
      <c r="HE1755" s="155"/>
    </row>
    <row r="1756" spans="2:213" s="156" customFormat="1" hidden="1">
      <c r="B1756" s="155"/>
      <c r="C1756" s="155"/>
      <c r="D1756" s="155"/>
      <c r="E1756" s="155"/>
      <c r="F1756" s="155"/>
      <c r="G1756" s="155"/>
      <c r="H1756" s="155"/>
      <c r="I1756" s="155"/>
      <c r="J1756" s="155"/>
      <c r="K1756" s="155"/>
      <c r="L1756" s="155"/>
      <c r="M1756" s="155"/>
      <c r="N1756" s="155"/>
      <c r="O1756" s="155"/>
      <c r="P1756" s="155"/>
      <c r="Q1756" s="155"/>
      <c r="R1756" s="155"/>
      <c r="S1756" s="155"/>
      <c r="T1756" s="155"/>
      <c r="U1756" s="155"/>
      <c r="V1756" s="155"/>
      <c r="W1756" s="155"/>
      <c r="GL1756" s="155"/>
      <c r="GM1756" s="155"/>
      <c r="GN1756" s="155"/>
      <c r="GO1756" s="155"/>
      <c r="GP1756" s="155"/>
      <c r="GQ1756" s="155"/>
      <c r="GR1756" s="155"/>
      <c r="GS1756" s="155"/>
      <c r="GT1756" s="155"/>
      <c r="GU1756" s="155"/>
      <c r="GV1756" s="155"/>
      <c r="GW1756" s="155"/>
      <c r="GX1756" s="155"/>
      <c r="GY1756" s="155"/>
      <c r="GZ1756" s="155"/>
      <c r="HA1756" s="155"/>
      <c r="HB1756" s="155"/>
      <c r="HC1756" s="155"/>
      <c r="HD1756" s="155"/>
      <c r="HE1756" s="155"/>
    </row>
    <row r="1757" spans="2:213" s="156" customFormat="1" hidden="1">
      <c r="B1757" s="155"/>
      <c r="C1757" s="155"/>
      <c r="D1757" s="155"/>
      <c r="E1757" s="155"/>
      <c r="F1757" s="155"/>
      <c r="G1757" s="155"/>
      <c r="H1757" s="155"/>
      <c r="I1757" s="155"/>
      <c r="J1757" s="155"/>
      <c r="K1757" s="155"/>
      <c r="L1757" s="155"/>
      <c r="M1757" s="155"/>
      <c r="N1757" s="155"/>
      <c r="O1757" s="155"/>
      <c r="P1757" s="155"/>
      <c r="Q1757" s="155"/>
      <c r="R1757" s="155"/>
      <c r="S1757" s="155"/>
      <c r="T1757" s="155"/>
      <c r="U1757" s="155"/>
      <c r="V1757" s="155"/>
      <c r="W1757" s="155"/>
      <c r="GL1757" s="155"/>
      <c r="GM1757" s="155"/>
      <c r="GN1757" s="155"/>
      <c r="GO1757" s="155"/>
      <c r="GP1757" s="155"/>
      <c r="GQ1757" s="155"/>
      <c r="GR1757" s="155"/>
      <c r="GS1757" s="155"/>
      <c r="GT1757" s="155"/>
      <c r="GU1757" s="155"/>
      <c r="GV1757" s="155"/>
      <c r="GW1757" s="155"/>
      <c r="GX1757" s="155"/>
      <c r="GY1757" s="155"/>
      <c r="GZ1757" s="155"/>
      <c r="HA1757" s="155"/>
      <c r="HB1757" s="155"/>
      <c r="HC1757" s="155"/>
      <c r="HD1757" s="155"/>
      <c r="HE1757" s="155"/>
    </row>
    <row r="1758" spans="2:213" s="156" customFormat="1" hidden="1">
      <c r="B1758" s="155"/>
      <c r="C1758" s="155"/>
      <c r="D1758" s="155"/>
      <c r="E1758" s="155"/>
      <c r="F1758" s="155"/>
      <c r="G1758" s="155"/>
      <c r="H1758" s="155"/>
      <c r="I1758" s="155"/>
      <c r="J1758" s="155"/>
      <c r="K1758" s="155"/>
      <c r="L1758" s="155"/>
      <c r="M1758" s="155"/>
      <c r="N1758" s="155"/>
      <c r="O1758" s="155"/>
      <c r="P1758" s="155"/>
      <c r="Q1758" s="155"/>
      <c r="R1758" s="155"/>
      <c r="S1758" s="155"/>
      <c r="T1758" s="155"/>
      <c r="U1758" s="155"/>
      <c r="V1758" s="155"/>
      <c r="W1758" s="155"/>
      <c r="GL1758" s="155"/>
      <c r="GM1758" s="155"/>
      <c r="GN1758" s="155"/>
      <c r="GO1758" s="155"/>
      <c r="GP1758" s="155"/>
      <c r="GQ1758" s="155"/>
      <c r="GR1758" s="155"/>
      <c r="GS1758" s="155"/>
      <c r="GT1758" s="155"/>
      <c r="GU1758" s="155"/>
      <c r="GV1758" s="155"/>
      <c r="GW1758" s="155"/>
      <c r="GX1758" s="155"/>
      <c r="GY1758" s="155"/>
      <c r="GZ1758" s="155"/>
      <c r="HA1758" s="155"/>
      <c r="HB1758" s="155"/>
      <c r="HC1758" s="155"/>
      <c r="HD1758" s="155"/>
      <c r="HE1758" s="155"/>
    </row>
    <row r="1759" spans="2:213" s="156" customFormat="1" hidden="1">
      <c r="B1759" s="155"/>
      <c r="C1759" s="155"/>
      <c r="D1759" s="155"/>
      <c r="E1759" s="155"/>
      <c r="F1759" s="155"/>
      <c r="G1759" s="155"/>
      <c r="H1759" s="155"/>
      <c r="I1759" s="155"/>
      <c r="J1759" s="155"/>
      <c r="K1759" s="155"/>
      <c r="L1759" s="155"/>
      <c r="M1759" s="155"/>
      <c r="N1759" s="155"/>
      <c r="O1759" s="155"/>
      <c r="P1759" s="155"/>
      <c r="Q1759" s="155"/>
      <c r="R1759" s="155"/>
      <c r="S1759" s="155"/>
      <c r="T1759" s="155"/>
      <c r="U1759" s="155"/>
      <c r="V1759" s="155"/>
      <c r="W1759" s="155"/>
      <c r="GL1759" s="155"/>
      <c r="GM1759" s="155"/>
      <c r="GN1759" s="155"/>
      <c r="GO1759" s="155"/>
      <c r="GP1759" s="155"/>
      <c r="GQ1759" s="155"/>
      <c r="GR1759" s="155"/>
      <c r="GS1759" s="155"/>
      <c r="GT1759" s="155"/>
      <c r="GU1759" s="155"/>
      <c r="GV1759" s="155"/>
      <c r="GW1759" s="155"/>
      <c r="GX1759" s="155"/>
      <c r="GY1759" s="155"/>
      <c r="GZ1759" s="155"/>
      <c r="HA1759" s="155"/>
      <c r="HB1759" s="155"/>
      <c r="HC1759" s="155"/>
      <c r="HD1759" s="155"/>
      <c r="HE1759" s="155"/>
    </row>
    <row r="1760" spans="2:213" s="156" customFormat="1" hidden="1">
      <c r="B1760" s="155"/>
      <c r="C1760" s="155"/>
      <c r="D1760" s="155"/>
      <c r="E1760" s="155"/>
      <c r="F1760" s="155"/>
      <c r="G1760" s="155"/>
      <c r="H1760" s="155"/>
      <c r="I1760" s="155"/>
      <c r="J1760" s="155"/>
      <c r="K1760" s="155"/>
      <c r="L1760" s="155"/>
      <c r="M1760" s="155"/>
      <c r="N1760" s="155"/>
      <c r="O1760" s="155"/>
      <c r="P1760" s="155"/>
      <c r="Q1760" s="155"/>
      <c r="R1760" s="155"/>
      <c r="S1760" s="155"/>
      <c r="T1760" s="155"/>
      <c r="U1760" s="155"/>
      <c r="V1760" s="155"/>
      <c r="W1760" s="155"/>
      <c r="GL1760" s="155"/>
      <c r="GM1760" s="155"/>
      <c r="GN1760" s="155"/>
      <c r="GO1760" s="155"/>
      <c r="GP1760" s="155"/>
      <c r="GQ1760" s="155"/>
      <c r="GR1760" s="155"/>
      <c r="GS1760" s="155"/>
      <c r="GT1760" s="155"/>
      <c r="GU1760" s="155"/>
      <c r="GV1760" s="155"/>
      <c r="GW1760" s="155"/>
      <c r="GX1760" s="155"/>
      <c r="GY1760" s="155"/>
      <c r="GZ1760" s="155"/>
      <c r="HA1760" s="155"/>
      <c r="HB1760" s="155"/>
      <c r="HC1760" s="155"/>
      <c r="HD1760" s="155"/>
      <c r="HE1760" s="155"/>
    </row>
    <row r="1761" spans="2:213" s="156" customFormat="1" hidden="1">
      <c r="B1761" s="155"/>
      <c r="C1761" s="155"/>
      <c r="D1761" s="155"/>
      <c r="E1761" s="155"/>
      <c r="F1761" s="155"/>
      <c r="G1761" s="155"/>
      <c r="H1761" s="155"/>
      <c r="I1761" s="155"/>
      <c r="J1761" s="155"/>
      <c r="K1761" s="155"/>
      <c r="L1761" s="155"/>
      <c r="M1761" s="155"/>
      <c r="N1761" s="155"/>
      <c r="O1761" s="155"/>
      <c r="P1761" s="155"/>
      <c r="Q1761" s="155"/>
      <c r="R1761" s="155"/>
      <c r="S1761" s="155"/>
      <c r="T1761" s="155"/>
      <c r="U1761" s="155"/>
      <c r="V1761" s="155"/>
      <c r="W1761" s="155"/>
      <c r="GL1761" s="155"/>
      <c r="GM1761" s="155"/>
      <c r="GN1761" s="155"/>
      <c r="GO1761" s="155"/>
      <c r="GP1761" s="155"/>
      <c r="GQ1761" s="155"/>
      <c r="GR1761" s="155"/>
      <c r="GS1761" s="155"/>
      <c r="GT1761" s="155"/>
      <c r="GU1761" s="155"/>
      <c r="GV1761" s="155"/>
      <c r="GW1761" s="155"/>
      <c r="GX1761" s="155"/>
      <c r="GY1761" s="155"/>
      <c r="GZ1761" s="155"/>
      <c r="HA1761" s="155"/>
      <c r="HB1761" s="155"/>
      <c r="HC1761" s="155"/>
      <c r="HD1761" s="155"/>
      <c r="HE1761" s="155"/>
    </row>
    <row r="1762" spans="2:213" s="156" customFormat="1" hidden="1">
      <c r="B1762" s="155"/>
      <c r="C1762" s="155"/>
      <c r="D1762" s="155"/>
      <c r="E1762" s="155"/>
      <c r="F1762" s="155"/>
      <c r="G1762" s="155"/>
      <c r="H1762" s="155"/>
      <c r="I1762" s="155"/>
      <c r="J1762" s="155"/>
      <c r="K1762" s="155"/>
      <c r="L1762" s="155"/>
      <c r="M1762" s="155"/>
      <c r="N1762" s="155"/>
      <c r="O1762" s="155"/>
      <c r="P1762" s="155"/>
      <c r="Q1762" s="155"/>
      <c r="R1762" s="155"/>
      <c r="S1762" s="155"/>
      <c r="T1762" s="155"/>
      <c r="U1762" s="155"/>
      <c r="V1762" s="155"/>
      <c r="W1762" s="155"/>
      <c r="GL1762" s="155"/>
      <c r="GM1762" s="155"/>
      <c r="GN1762" s="155"/>
      <c r="GO1762" s="155"/>
      <c r="GP1762" s="155"/>
      <c r="GQ1762" s="155"/>
      <c r="GR1762" s="155"/>
      <c r="GS1762" s="155"/>
      <c r="GT1762" s="155"/>
      <c r="GU1762" s="155"/>
      <c r="GV1762" s="155"/>
      <c r="GW1762" s="155"/>
      <c r="GX1762" s="155"/>
      <c r="GY1762" s="155"/>
      <c r="GZ1762" s="155"/>
      <c r="HA1762" s="155"/>
      <c r="HB1762" s="155"/>
      <c r="HC1762" s="155"/>
      <c r="HD1762" s="155"/>
      <c r="HE1762" s="155"/>
    </row>
    <row r="1763" spans="2:213" s="156" customFormat="1" hidden="1">
      <c r="B1763" s="155"/>
      <c r="C1763" s="155"/>
      <c r="D1763" s="155"/>
      <c r="E1763" s="155"/>
      <c r="F1763" s="155"/>
      <c r="G1763" s="155"/>
      <c r="H1763" s="155"/>
      <c r="I1763" s="155"/>
      <c r="J1763" s="155"/>
      <c r="K1763" s="155"/>
      <c r="L1763" s="155"/>
      <c r="M1763" s="155"/>
      <c r="N1763" s="155"/>
      <c r="O1763" s="155"/>
      <c r="P1763" s="155"/>
      <c r="Q1763" s="155"/>
      <c r="R1763" s="155"/>
      <c r="S1763" s="155"/>
      <c r="T1763" s="155"/>
      <c r="U1763" s="155"/>
      <c r="V1763" s="155"/>
      <c r="W1763" s="155"/>
      <c r="GL1763" s="155"/>
      <c r="GM1763" s="155"/>
      <c r="GN1763" s="155"/>
      <c r="GO1763" s="155"/>
      <c r="GP1763" s="155"/>
      <c r="GQ1763" s="155"/>
      <c r="GR1763" s="155"/>
      <c r="GS1763" s="155"/>
      <c r="GT1763" s="155"/>
      <c r="GU1763" s="155"/>
      <c r="GV1763" s="155"/>
      <c r="GW1763" s="155"/>
      <c r="GX1763" s="155"/>
      <c r="GY1763" s="155"/>
      <c r="GZ1763" s="155"/>
      <c r="HA1763" s="155"/>
      <c r="HB1763" s="155"/>
      <c r="HC1763" s="155"/>
      <c r="HD1763" s="155"/>
      <c r="HE1763" s="155"/>
    </row>
    <row r="1764" spans="2:213" s="156" customFormat="1" hidden="1">
      <c r="B1764" s="155"/>
      <c r="C1764" s="155"/>
      <c r="D1764" s="155"/>
      <c r="E1764" s="155"/>
      <c r="F1764" s="155"/>
      <c r="G1764" s="155"/>
      <c r="H1764" s="155"/>
      <c r="I1764" s="155"/>
      <c r="J1764" s="155"/>
      <c r="K1764" s="155"/>
      <c r="L1764" s="155"/>
      <c r="M1764" s="155"/>
      <c r="N1764" s="155"/>
      <c r="O1764" s="155"/>
      <c r="P1764" s="155"/>
      <c r="Q1764" s="155"/>
      <c r="R1764" s="155"/>
      <c r="S1764" s="155"/>
      <c r="T1764" s="155"/>
      <c r="U1764" s="155"/>
      <c r="V1764" s="155"/>
      <c r="W1764" s="155"/>
      <c r="GL1764" s="155"/>
      <c r="GM1764" s="155"/>
      <c r="GN1764" s="155"/>
      <c r="GO1764" s="155"/>
      <c r="GP1764" s="155"/>
      <c r="GQ1764" s="155"/>
      <c r="GR1764" s="155"/>
      <c r="GS1764" s="155"/>
      <c r="GT1764" s="155"/>
      <c r="GU1764" s="155"/>
      <c r="GV1764" s="155"/>
      <c r="GW1764" s="155"/>
      <c r="GX1764" s="155"/>
      <c r="GY1764" s="155"/>
      <c r="GZ1764" s="155"/>
      <c r="HA1764" s="155"/>
      <c r="HB1764" s="155"/>
      <c r="HC1764" s="155"/>
      <c r="HD1764" s="155"/>
      <c r="HE1764" s="155"/>
    </row>
    <row r="1765" spans="2:213" s="156" customFormat="1" hidden="1">
      <c r="B1765" s="155"/>
      <c r="C1765" s="155"/>
      <c r="D1765" s="155"/>
      <c r="E1765" s="155"/>
      <c r="F1765" s="155"/>
      <c r="G1765" s="155"/>
      <c r="H1765" s="155"/>
      <c r="I1765" s="155"/>
      <c r="J1765" s="155"/>
      <c r="K1765" s="155"/>
      <c r="L1765" s="155"/>
      <c r="M1765" s="155"/>
      <c r="N1765" s="155"/>
      <c r="O1765" s="155"/>
      <c r="P1765" s="155"/>
      <c r="Q1765" s="155"/>
      <c r="R1765" s="155"/>
      <c r="S1765" s="155"/>
      <c r="T1765" s="155"/>
      <c r="U1765" s="155"/>
      <c r="V1765" s="155"/>
      <c r="W1765" s="155"/>
      <c r="GL1765" s="155"/>
      <c r="GM1765" s="155"/>
      <c r="GN1765" s="155"/>
      <c r="GO1765" s="155"/>
      <c r="GP1765" s="155"/>
      <c r="GQ1765" s="155"/>
      <c r="GR1765" s="155"/>
      <c r="GS1765" s="155"/>
      <c r="GT1765" s="155"/>
      <c r="GU1765" s="155"/>
      <c r="GV1765" s="155"/>
      <c r="GW1765" s="155"/>
      <c r="GX1765" s="155"/>
      <c r="GY1765" s="155"/>
      <c r="GZ1765" s="155"/>
      <c r="HA1765" s="155"/>
      <c r="HB1765" s="155"/>
      <c r="HC1765" s="155"/>
      <c r="HD1765" s="155"/>
      <c r="HE1765" s="155"/>
    </row>
    <row r="1766" spans="2:213" s="156" customFormat="1" hidden="1">
      <c r="B1766" s="155"/>
      <c r="C1766" s="155"/>
      <c r="D1766" s="155"/>
      <c r="E1766" s="155"/>
      <c r="F1766" s="155"/>
      <c r="G1766" s="155"/>
      <c r="H1766" s="155"/>
      <c r="I1766" s="155"/>
      <c r="J1766" s="155"/>
      <c r="K1766" s="155"/>
      <c r="L1766" s="155"/>
      <c r="M1766" s="155"/>
      <c r="N1766" s="155"/>
      <c r="O1766" s="155"/>
      <c r="P1766" s="155"/>
      <c r="Q1766" s="155"/>
      <c r="R1766" s="155"/>
      <c r="S1766" s="155"/>
      <c r="T1766" s="155"/>
      <c r="U1766" s="155"/>
      <c r="V1766" s="155"/>
      <c r="W1766" s="155"/>
      <c r="GL1766" s="155"/>
      <c r="GM1766" s="155"/>
      <c r="GN1766" s="155"/>
      <c r="GO1766" s="155"/>
      <c r="GP1766" s="155"/>
      <c r="GQ1766" s="155"/>
      <c r="GR1766" s="155"/>
      <c r="GS1766" s="155"/>
      <c r="GT1766" s="155"/>
      <c r="GU1766" s="155"/>
      <c r="GV1766" s="155"/>
      <c r="GW1766" s="155"/>
      <c r="GX1766" s="155"/>
      <c r="GY1766" s="155"/>
      <c r="GZ1766" s="155"/>
      <c r="HA1766" s="155"/>
      <c r="HB1766" s="155"/>
      <c r="HC1766" s="155"/>
      <c r="HD1766" s="155"/>
      <c r="HE1766" s="155"/>
    </row>
    <row r="1767" spans="2:213" s="156" customFormat="1" hidden="1">
      <c r="B1767" s="155"/>
      <c r="C1767" s="155"/>
      <c r="D1767" s="155"/>
      <c r="E1767" s="155"/>
      <c r="F1767" s="155"/>
      <c r="G1767" s="155"/>
      <c r="H1767" s="155"/>
      <c r="I1767" s="155"/>
      <c r="J1767" s="155"/>
      <c r="K1767" s="155"/>
      <c r="L1767" s="155"/>
      <c r="M1767" s="155"/>
      <c r="N1767" s="155"/>
      <c r="O1767" s="155"/>
      <c r="P1767" s="155"/>
      <c r="Q1767" s="155"/>
      <c r="R1767" s="155"/>
      <c r="S1767" s="155"/>
      <c r="T1767" s="155"/>
      <c r="U1767" s="155"/>
      <c r="V1767" s="155"/>
      <c r="W1767" s="155"/>
      <c r="GL1767" s="155"/>
      <c r="GM1767" s="155"/>
      <c r="GN1767" s="155"/>
      <c r="GO1767" s="155"/>
      <c r="GP1767" s="155"/>
      <c r="GQ1767" s="155"/>
      <c r="GR1767" s="155"/>
      <c r="GS1767" s="155"/>
      <c r="GT1767" s="155"/>
      <c r="GU1767" s="155"/>
      <c r="GV1767" s="155"/>
      <c r="GW1767" s="155"/>
      <c r="GX1767" s="155"/>
      <c r="GY1767" s="155"/>
      <c r="GZ1767" s="155"/>
      <c r="HA1767" s="155"/>
      <c r="HB1767" s="155"/>
      <c r="HC1767" s="155"/>
      <c r="HD1767" s="155"/>
      <c r="HE1767" s="155"/>
    </row>
    <row r="1768" spans="2:213" s="156" customFormat="1" hidden="1">
      <c r="B1768" s="155"/>
      <c r="C1768" s="155"/>
      <c r="D1768" s="155"/>
      <c r="E1768" s="155"/>
      <c r="F1768" s="155"/>
      <c r="G1768" s="155"/>
      <c r="H1768" s="155"/>
      <c r="I1768" s="155"/>
      <c r="J1768" s="155"/>
      <c r="K1768" s="155"/>
      <c r="L1768" s="155"/>
      <c r="M1768" s="155"/>
      <c r="N1768" s="155"/>
      <c r="O1768" s="155"/>
      <c r="P1768" s="155"/>
      <c r="Q1768" s="155"/>
      <c r="R1768" s="155"/>
      <c r="S1768" s="155"/>
      <c r="T1768" s="155"/>
      <c r="U1768" s="155"/>
      <c r="V1768" s="155"/>
      <c r="W1768" s="155"/>
      <c r="GL1768" s="155"/>
      <c r="GM1768" s="155"/>
      <c r="GN1768" s="155"/>
      <c r="GO1768" s="155"/>
      <c r="GP1768" s="155"/>
      <c r="GQ1768" s="155"/>
      <c r="GR1768" s="155"/>
      <c r="GS1768" s="155"/>
      <c r="GT1768" s="155"/>
      <c r="GU1768" s="155"/>
      <c r="GV1768" s="155"/>
      <c r="GW1768" s="155"/>
      <c r="GX1768" s="155"/>
      <c r="GY1768" s="155"/>
      <c r="GZ1768" s="155"/>
      <c r="HA1768" s="155"/>
      <c r="HB1768" s="155"/>
      <c r="HC1768" s="155"/>
      <c r="HD1768" s="155"/>
      <c r="HE1768" s="155"/>
    </row>
    <row r="1769" spans="2:213" s="156" customFormat="1" hidden="1">
      <c r="B1769" s="155"/>
      <c r="C1769" s="155"/>
      <c r="D1769" s="155"/>
      <c r="E1769" s="155"/>
      <c r="F1769" s="155"/>
      <c r="G1769" s="155"/>
      <c r="H1769" s="155"/>
      <c r="I1769" s="155"/>
      <c r="J1769" s="155"/>
      <c r="K1769" s="155"/>
      <c r="L1769" s="155"/>
      <c r="M1769" s="155"/>
      <c r="N1769" s="155"/>
      <c r="O1769" s="155"/>
      <c r="P1769" s="155"/>
      <c r="Q1769" s="155"/>
      <c r="R1769" s="155"/>
      <c r="S1769" s="155"/>
      <c r="T1769" s="155"/>
      <c r="U1769" s="155"/>
      <c r="V1769" s="155"/>
      <c r="W1769" s="155"/>
      <c r="GL1769" s="155"/>
      <c r="GM1769" s="155"/>
      <c r="GN1769" s="155"/>
      <c r="GO1769" s="155"/>
      <c r="GP1769" s="155"/>
      <c r="GQ1769" s="155"/>
      <c r="GR1769" s="155"/>
      <c r="GS1769" s="155"/>
      <c r="GT1769" s="155"/>
      <c r="GU1769" s="155"/>
      <c r="GV1769" s="155"/>
      <c r="GW1769" s="155"/>
      <c r="GX1769" s="155"/>
      <c r="GY1769" s="155"/>
      <c r="GZ1769" s="155"/>
      <c r="HA1769" s="155"/>
      <c r="HB1769" s="155"/>
      <c r="HC1769" s="155"/>
      <c r="HD1769" s="155"/>
      <c r="HE1769" s="155"/>
    </row>
    <row r="1770" spans="2:213" s="156" customFormat="1" hidden="1">
      <c r="B1770" s="155"/>
      <c r="C1770" s="155"/>
      <c r="D1770" s="155"/>
      <c r="E1770" s="155"/>
      <c r="F1770" s="155"/>
      <c r="G1770" s="155"/>
      <c r="H1770" s="155"/>
      <c r="I1770" s="155"/>
      <c r="J1770" s="155"/>
      <c r="K1770" s="155"/>
      <c r="L1770" s="155"/>
      <c r="M1770" s="155"/>
      <c r="N1770" s="155"/>
      <c r="O1770" s="155"/>
      <c r="P1770" s="155"/>
      <c r="Q1770" s="155"/>
      <c r="R1770" s="155"/>
      <c r="S1770" s="155"/>
      <c r="T1770" s="155"/>
      <c r="U1770" s="155"/>
      <c r="V1770" s="155"/>
      <c r="W1770" s="155"/>
      <c r="GL1770" s="155"/>
      <c r="GM1770" s="155"/>
      <c r="GN1770" s="155"/>
      <c r="GO1770" s="155"/>
      <c r="GP1770" s="155"/>
      <c r="GQ1770" s="155"/>
      <c r="GR1770" s="155"/>
      <c r="GS1770" s="155"/>
      <c r="GT1770" s="155"/>
      <c r="GU1770" s="155"/>
      <c r="GV1770" s="155"/>
      <c r="GW1770" s="155"/>
      <c r="GX1770" s="155"/>
      <c r="GY1770" s="155"/>
      <c r="GZ1770" s="155"/>
      <c r="HA1770" s="155"/>
      <c r="HB1770" s="155"/>
      <c r="HC1770" s="155"/>
      <c r="HD1770" s="155"/>
      <c r="HE1770" s="155"/>
    </row>
    <row r="1771" spans="2:213" s="156" customFormat="1" hidden="1">
      <c r="B1771" s="155"/>
      <c r="C1771" s="155"/>
      <c r="D1771" s="155"/>
      <c r="E1771" s="155"/>
      <c r="F1771" s="155"/>
      <c r="G1771" s="155"/>
      <c r="H1771" s="155"/>
      <c r="I1771" s="155"/>
      <c r="J1771" s="155"/>
      <c r="K1771" s="155"/>
      <c r="L1771" s="155"/>
      <c r="M1771" s="155"/>
      <c r="N1771" s="155"/>
      <c r="O1771" s="155"/>
      <c r="P1771" s="155"/>
      <c r="Q1771" s="155"/>
      <c r="R1771" s="155"/>
      <c r="S1771" s="155"/>
      <c r="T1771" s="155"/>
      <c r="U1771" s="155"/>
      <c r="V1771" s="155"/>
      <c r="W1771" s="155"/>
      <c r="GL1771" s="155"/>
      <c r="GM1771" s="155"/>
      <c r="GN1771" s="155"/>
      <c r="GO1771" s="155"/>
      <c r="GP1771" s="155"/>
      <c r="GQ1771" s="155"/>
      <c r="GR1771" s="155"/>
      <c r="GS1771" s="155"/>
      <c r="GT1771" s="155"/>
      <c r="GU1771" s="155"/>
      <c r="GV1771" s="155"/>
      <c r="GW1771" s="155"/>
      <c r="GX1771" s="155"/>
      <c r="GY1771" s="155"/>
      <c r="GZ1771" s="155"/>
      <c r="HA1771" s="155"/>
      <c r="HB1771" s="155"/>
      <c r="HC1771" s="155"/>
      <c r="HD1771" s="155"/>
      <c r="HE1771" s="155"/>
    </row>
    <row r="1772" spans="2:213" s="156" customFormat="1" hidden="1">
      <c r="B1772" s="155"/>
      <c r="C1772" s="155"/>
      <c r="D1772" s="155"/>
      <c r="E1772" s="155"/>
      <c r="F1772" s="155"/>
      <c r="G1772" s="155"/>
      <c r="H1772" s="155"/>
      <c r="I1772" s="155"/>
      <c r="J1772" s="155"/>
      <c r="K1772" s="155"/>
      <c r="L1772" s="155"/>
      <c r="M1772" s="155"/>
      <c r="N1772" s="155"/>
      <c r="O1772" s="155"/>
      <c r="P1772" s="155"/>
      <c r="Q1772" s="155"/>
      <c r="R1772" s="155"/>
      <c r="S1772" s="155"/>
      <c r="T1772" s="155"/>
      <c r="U1772" s="155"/>
      <c r="V1772" s="155"/>
      <c r="W1772" s="155"/>
      <c r="GL1772" s="155"/>
      <c r="GM1772" s="155"/>
      <c r="GN1772" s="155"/>
      <c r="GO1772" s="155"/>
      <c r="GP1772" s="155"/>
      <c r="GQ1772" s="155"/>
      <c r="GR1772" s="155"/>
      <c r="GS1772" s="155"/>
      <c r="GT1772" s="155"/>
      <c r="GU1772" s="155"/>
      <c r="GV1772" s="155"/>
      <c r="GW1772" s="155"/>
      <c r="GX1772" s="155"/>
      <c r="GY1772" s="155"/>
      <c r="GZ1772" s="155"/>
      <c r="HA1772" s="155"/>
      <c r="HB1772" s="155"/>
      <c r="HC1772" s="155"/>
      <c r="HD1772" s="155"/>
      <c r="HE1772" s="155"/>
    </row>
    <row r="1773" spans="2:213" s="156" customFormat="1" hidden="1">
      <c r="B1773" s="155"/>
      <c r="C1773" s="155"/>
      <c r="D1773" s="155"/>
      <c r="E1773" s="155"/>
      <c r="F1773" s="155"/>
      <c r="G1773" s="155"/>
      <c r="H1773" s="155"/>
      <c r="I1773" s="155"/>
      <c r="J1773" s="155"/>
      <c r="K1773" s="155"/>
      <c r="L1773" s="155"/>
      <c r="M1773" s="155"/>
      <c r="N1773" s="155"/>
      <c r="O1773" s="155"/>
      <c r="P1773" s="155"/>
      <c r="Q1773" s="155"/>
      <c r="R1773" s="155"/>
      <c r="S1773" s="155"/>
      <c r="T1773" s="155"/>
      <c r="U1773" s="155"/>
      <c r="V1773" s="155"/>
      <c r="W1773" s="155"/>
      <c r="GL1773" s="155"/>
      <c r="GM1773" s="155"/>
      <c r="GN1773" s="155"/>
      <c r="GO1773" s="155"/>
      <c r="GP1773" s="155"/>
      <c r="GQ1773" s="155"/>
      <c r="GR1773" s="155"/>
      <c r="GS1773" s="155"/>
      <c r="GT1773" s="155"/>
      <c r="GU1773" s="155"/>
      <c r="GV1773" s="155"/>
      <c r="GW1773" s="155"/>
      <c r="GX1773" s="155"/>
      <c r="GY1773" s="155"/>
      <c r="GZ1773" s="155"/>
      <c r="HA1773" s="155"/>
      <c r="HB1773" s="155"/>
      <c r="HC1773" s="155"/>
      <c r="HD1773" s="155"/>
      <c r="HE1773" s="155"/>
    </row>
    <row r="1774" spans="2:213" s="156" customFormat="1" hidden="1">
      <c r="B1774" s="155"/>
      <c r="C1774" s="155"/>
      <c r="D1774" s="155"/>
      <c r="E1774" s="155"/>
      <c r="F1774" s="155"/>
      <c r="G1774" s="155"/>
      <c r="H1774" s="155"/>
      <c r="I1774" s="155"/>
      <c r="J1774" s="155"/>
      <c r="K1774" s="155"/>
      <c r="L1774" s="155"/>
      <c r="M1774" s="155"/>
      <c r="N1774" s="155"/>
      <c r="O1774" s="155"/>
      <c r="P1774" s="155"/>
      <c r="Q1774" s="155"/>
      <c r="R1774" s="155"/>
      <c r="S1774" s="155"/>
      <c r="T1774" s="155"/>
      <c r="U1774" s="155"/>
      <c r="V1774" s="155"/>
      <c r="W1774" s="155"/>
      <c r="GL1774" s="155"/>
      <c r="GM1774" s="155"/>
      <c r="GN1774" s="155"/>
      <c r="GO1774" s="155"/>
      <c r="GP1774" s="155"/>
      <c r="GQ1774" s="155"/>
      <c r="GR1774" s="155"/>
      <c r="GS1774" s="155"/>
      <c r="GT1774" s="155"/>
      <c r="GU1774" s="155"/>
      <c r="GV1774" s="155"/>
      <c r="GW1774" s="155"/>
      <c r="GX1774" s="155"/>
      <c r="GY1774" s="155"/>
      <c r="GZ1774" s="155"/>
      <c r="HA1774" s="155"/>
      <c r="HB1774" s="155"/>
      <c r="HC1774" s="155"/>
      <c r="HD1774" s="155"/>
      <c r="HE1774" s="155"/>
    </row>
    <row r="1775" spans="2:213" s="156" customFormat="1" hidden="1">
      <c r="B1775" s="155"/>
      <c r="C1775" s="155"/>
      <c r="D1775" s="155"/>
      <c r="E1775" s="155"/>
      <c r="F1775" s="155"/>
      <c r="G1775" s="155"/>
      <c r="H1775" s="155"/>
      <c r="I1775" s="155"/>
      <c r="J1775" s="155"/>
      <c r="K1775" s="155"/>
      <c r="L1775" s="155"/>
      <c r="M1775" s="155"/>
      <c r="N1775" s="155"/>
      <c r="O1775" s="155"/>
      <c r="P1775" s="155"/>
      <c r="Q1775" s="155"/>
      <c r="R1775" s="155"/>
      <c r="S1775" s="155"/>
      <c r="T1775" s="155"/>
      <c r="U1775" s="155"/>
      <c r="V1775" s="155"/>
      <c r="W1775" s="155"/>
      <c r="GL1775" s="155"/>
      <c r="GM1775" s="155"/>
      <c r="GN1775" s="155"/>
      <c r="GO1775" s="155"/>
      <c r="GP1775" s="155"/>
      <c r="GQ1775" s="155"/>
      <c r="GR1775" s="155"/>
      <c r="GS1775" s="155"/>
      <c r="GT1775" s="155"/>
      <c r="GU1775" s="155"/>
      <c r="GV1775" s="155"/>
      <c r="GW1775" s="155"/>
      <c r="GX1775" s="155"/>
      <c r="GY1775" s="155"/>
      <c r="GZ1775" s="155"/>
      <c r="HA1775" s="155"/>
      <c r="HB1775" s="155"/>
      <c r="HC1775" s="155"/>
      <c r="HD1775" s="155"/>
      <c r="HE1775" s="155"/>
    </row>
    <row r="1776" spans="2:213" s="156" customFormat="1" hidden="1">
      <c r="B1776" s="155"/>
      <c r="C1776" s="155"/>
      <c r="D1776" s="155"/>
      <c r="E1776" s="155"/>
      <c r="F1776" s="155"/>
      <c r="G1776" s="155"/>
      <c r="H1776" s="155"/>
      <c r="I1776" s="155"/>
      <c r="J1776" s="155"/>
      <c r="K1776" s="155"/>
      <c r="L1776" s="155"/>
      <c r="M1776" s="155"/>
      <c r="N1776" s="155"/>
      <c r="O1776" s="155"/>
      <c r="P1776" s="155"/>
      <c r="Q1776" s="155"/>
      <c r="R1776" s="155"/>
      <c r="S1776" s="155"/>
      <c r="T1776" s="155"/>
      <c r="U1776" s="155"/>
      <c r="V1776" s="155"/>
      <c r="W1776" s="155"/>
      <c r="GL1776" s="155"/>
      <c r="GM1776" s="155"/>
      <c r="GN1776" s="155"/>
      <c r="GO1776" s="155"/>
      <c r="GP1776" s="155"/>
      <c r="GQ1776" s="155"/>
      <c r="GR1776" s="155"/>
      <c r="GS1776" s="155"/>
      <c r="GT1776" s="155"/>
      <c r="GU1776" s="155"/>
      <c r="GV1776" s="155"/>
      <c r="GW1776" s="155"/>
      <c r="GX1776" s="155"/>
      <c r="GY1776" s="155"/>
      <c r="GZ1776" s="155"/>
      <c r="HA1776" s="155"/>
      <c r="HB1776" s="155"/>
      <c r="HC1776" s="155"/>
      <c r="HD1776" s="155"/>
      <c r="HE1776" s="155"/>
    </row>
    <row r="1777" spans="2:213" s="156" customFormat="1" hidden="1">
      <c r="B1777" s="155"/>
      <c r="C1777" s="155"/>
      <c r="D1777" s="155"/>
      <c r="E1777" s="155"/>
      <c r="F1777" s="155"/>
      <c r="G1777" s="155"/>
      <c r="H1777" s="155"/>
      <c r="I1777" s="155"/>
      <c r="J1777" s="155"/>
      <c r="K1777" s="155"/>
      <c r="L1777" s="155"/>
      <c r="M1777" s="155"/>
      <c r="N1777" s="155"/>
      <c r="O1777" s="155"/>
      <c r="P1777" s="155"/>
      <c r="Q1777" s="155"/>
      <c r="R1777" s="155"/>
      <c r="S1777" s="155"/>
      <c r="T1777" s="155"/>
      <c r="U1777" s="155"/>
      <c r="V1777" s="155"/>
      <c r="W1777" s="155"/>
      <c r="GL1777" s="155"/>
      <c r="GM1777" s="155"/>
      <c r="GN1777" s="155"/>
      <c r="GO1777" s="155"/>
      <c r="GP1777" s="155"/>
      <c r="GQ1777" s="155"/>
      <c r="GR1777" s="155"/>
      <c r="GS1777" s="155"/>
      <c r="GT1777" s="155"/>
      <c r="GU1777" s="155"/>
      <c r="GV1777" s="155"/>
      <c r="GW1777" s="155"/>
      <c r="GX1777" s="155"/>
      <c r="GY1777" s="155"/>
      <c r="GZ1777" s="155"/>
      <c r="HA1777" s="155"/>
      <c r="HB1777" s="155"/>
      <c r="HC1777" s="155"/>
      <c r="HD1777" s="155"/>
      <c r="HE1777" s="155"/>
    </row>
    <row r="1778" spans="2:213" s="156" customFormat="1" hidden="1">
      <c r="B1778" s="155"/>
      <c r="C1778" s="155"/>
      <c r="D1778" s="155"/>
      <c r="E1778" s="155"/>
      <c r="F1778" s="155"/>
      <c r="G1778" s="155"/>
      <c r="H1778" s="155"/>
      <c r="I1778" s="155"/>
      <c r="J1778" s="155"/>
      <c r="K1778" s="155"/>
      <c r="L1778" s="155"/>
      <c r="M1778" s="155"/>
      <c r="N1778" s="155"/>
      <c r="O1778" s="155"/>
      <c r="P1778" s="155"/>
      <c r="Q1778" s="155"/>
      <c r="R1778" s="155"/>
      <c r="S1778" s="155"/>
      <c r="T1778" s="155"/>
      <c r="U1778" s="155"/>
      <c r="V1778" s="155"/>
      <c r="W1778" s="155"/>
      <c r="GL1778" s="155"/>
      <c r="GM1778" s="155"/>
      <c r="GN1778" s="155"/>
      <c r="GO1778" s="155"/>
      <c r="GP1778" s="155"/>
      <c r="GQ1778" s="155"/>
      <c r="GR1778" s="155"/>
      <c r="GS1778" s="155"/>
      <c r="GT1778" s="155"/>
      <c r="GU1778" s="155"/>
      <c r="GV1778" s="155"/>
      <c r="GW1778" s="155"/>
      <c r="GX1778" s="155"/>
      <c r="GY1778" s="155"/>
      <c r="GZ1778" s="155"/>
      <c r="HA1778" s="155"/>
      <c r="HB1778" s="155"/>
      <c r="HC1778" s="155"/>
      <c r="HD1778" s="155"/>
      <c r="HE1778" s="155"/>
    </row>
    <row r="1779" spans="2:213" s="156" customFormat="1" hidden="1">
      <c r="B1779" s="155"/>
      <c r="C1779" s="155"/>
      <c r="D1779" s="155"/>
      <c r="E1779" s="155"/>
      <c r="F1779" s="155"/>
      <c r="G1779" s="155"/>
      <c r="H1779" s="155"/>
      <c r="I1779" s="155"/>
      <c r="J1779" s="155"/>
      <c r="K1779" s="155"/>
      <c r="L1779" s="155"/>
      <c r="M1779" s="155"/>
      <c r="N1779" s="155"/>
      <c r="O1779" s="155"/>
      <c r="P1779" s="155"/>
      <c r="Q1779" s="155"/>
      <c r="R1779" s="155"/>
      <c r="S1779" s="155"/>
      <c r="T1779" s="155"/>
      <c r="U1779" s="155"/>
      <c r="V1779" s="155"/>
      <c r="W1779" s="155"/>
      <c r="GL1779" s="155"/>
      <c r="GM1779" s="155"/>
      <c r="GN1779" s="155"/>
      <c r="GO1779" s="155"/>
      <c r="GP1779" s="155"/>
      <c r="GQ1779" s="155"/>
      <c r="GR1779" s="155"/>
      <c r="GS1779" s="155"/>
      <c r="GT1779" s="155"/>
      <c r="GU1779" s="155"/>
      <c r="GV1779" s="155"/>
      <c r="GW1779" s="155"/>
      <c r="GX1779" s="155"/>
      <c r="GY1779" s="155"/>
      <c r="GZ1779" s="155"/>
      <c r="HA1779" s="155"/>
      <c r="HB1779" s="155"/>
      <c r="HC1779" s="155"/>
      <c r="HD1779" s="155"/>
      <c r="HE1779" s="155"/>
    </row>
    <row r="1780" spans="2:213" s="156" customFormat="1" hidden="1">
      <c r="B1780" s="155"/>
      <c r="C1780" s="155"/>
      <c r="D1780" s="155"/>
      <c r="E1780" s="155"/>
      <c r="F1780" s="155"/>
      <c r="G1780" s="155"/>
      <c r="H1780" s="155"/>
      <c r="I1780" s="155"/>
      <c r="J1780" s="155"/>
      <c r="K1780" s="155"/>
      <c r="L1780" s="155"/>
      <c r="M1780" s="155"/>
      <c r="N1780" s="155"/>
      <c r="O1780" s="155"/>
      <c r="P1780" s="155"/>
      <c r="Q1780" s="155"/>
      <c r="R1780" s="155"/>
      <c r="S1780" s="155"/>
      <c r="T1780" s="155"/>
      <c r="U1780" s="155"/>
      <c r="V1780" s="155"/>
      <c r="W1780" s="155"/>
      <c r="GL1780" s="155"/>
      <c r="GM1780" s="155"/>
      <c r="GN1780" s="155"/>
      <c r="GO1780" s="155"/>
      <c r="GP1780" s="155"/>
      <c r="GQ1780" s="155"/>
      <c r="GR1780" s="155"/>
      <c r="GS1780" s="155"/>
      <c r="GT1780" s="155"/>
      <c r="GU1780" s="155"/>
      <c r="GV1780" s="155"/>
      <c r="GW1780" s="155"/>
      <c r="GX1780" s="155"/>
      <c r="GY1780" s="155"/>
      <c r="GZ1780" s="155"/>
      <c r="HA1780" s="155"/>
      <c r="HB1780" s="155"/>
      <c r="HC1780" s="155"/>
      <c r="HD1780" s="155"/>
      <c r="HE1780" s="155"/>
    </row>
    <row r="1781" spans="2:213" s="156" customFormat="1" hidden="1">
      <c r="B1781" s="155"/>
      <c r="C1781" s="155"/>
      <c r="D1781" s="155"/>
      <c r="E1781" s="155"/>
      <c r="F1781" s="155"/>
      <c r="G1781" s="155"/>
      <c r="H1781" s="155"/>
      <c r="I1781" s="155"/>
      <c r="J1781" s="155"/>
      <c r="K1781" s="155"/>
      <c r="L1781" s="155"/>
      <c r="M1781" s="155"/>
      <c r="N1781" s="155"/>
      <c r="O1781" s="155"/>
      <c r="P1781" s="155"/>
      <c r="Q1781" s="155"/>
      <c r="R1781" s="155"/>
      <c r="S1781" s="155"/>
      <c r="T1781" s="155"/>
      <c r="U1781" s="155"/>
      <c r="V1781" s="155"/>
      <c r="W1781" s="155"/>
      <c r="GL1781" s="155"/>
      <c r="GM1781" s="155"/>
      <c r="GN1781" s="155"/>
      <c r="GO1781" s="155"/>
      <c r="GP1781" s="155"/>
      <c r="GQ1781" s="155"/>
      <c r="GR1781" s="155"/>
      <c r="GS1781" s="155"/>
      <c r="GT1781" s="155"/>
      <c r="GU1781" s="155"/>
      <c r="GV1781" s="155"/>
      <c r="GW1781" s="155"/>
      <c r="GX1781" s="155"/>
      <c r="GY1781" s="155"/>
      <c r="GZ1781" s="155"/>
      <c r="HA1781" s="155"/>
      <c r="HB1781" s="155"/>
      <c r="HC1781" s="155"/>
      <c r="HD1781" s="155"/>
      <c r="HE1781" s="155"/>
    </row>
    <row r="1782" spans="2:213" s="156" customFormat="1" hidden="1">
      <c r="B1782" s="155"/>
      <c r="C1782" s="155"/>
      <c r="D1782" s="155"/>
      <c r="E1782" s="155"/>
      <c r="F1782" s="155"/>
      <c r="G1782" s="155"/>
      <c r="H1782" s="155"/>
      <c r="I1782" s="155"/>
      <c r="J1782" s="155"/>
      <c r="K1782" s="155"/>
      <c r="L1782" s="155"/>
      <c r="M1782" s="155"/>
      <c r="N1782" s="155"/>
      <c r="O1782" s="155"/>
      <c r="P1782" s="155"/>
      <c r="Q1782" s="155"/>
      <c r="R1782" s="155"/>
      <c r="S1782" s="155"/>
      <c r="T1782" s="155"/>
      <c r="U1782" s="155"/>
      <c r="V1782" s="155"/>
      <c r="W1782" s="155"/>
      <c r="GL1782" s="155"/>
      <c r="GM1782" s="155"/>
      <c r="GN1782" s="155"/>
      <c r="GO1782" s="155"/>
      <c r="GP1782" s="155"/>
      <c r="GQ1782" s="155"/>
      <c r="GR1782" s="155"/>
      <c r="GS1782" s="155"/>
      <c r="GT1782" s="155"/>
      <c r="GU1782" s="155"/>
      <c r="GV1782" s="155"/>
      <c r="GW1782" s="155"/>
      <c r="GX1782" s="155"/>
      <c r="GY1782" s="155"/>
      <c r="GZ1782" s="155"/>
      <c r="HA1782" s="155"/>
      <c r="HB1782" s="155"/>
      <c r="HC1782" s="155"/>
      <c r="HD1782" s="155"/>
      <c r="HE1782" s="155"/>
    </row>
    <row r="1783" spans="2:213" s="156" customFormat="1" hidden="1">
      <c r="B1783" s="155"/>
      <c r="C1783" s="155"/>
      <c r="D1783" s="155"/>
      <c r="E1783" s="155"/>
      <c r="F1783" s="155"/>
      <c r="G1783" s="155"/>
      <c r="H1783" s="155"/>
      <c r="I1783" s="155"/>
      <c r="J1783" s="155"/>
      <c r="K1783" s="155"/>
      <c r="L1783" s="155"/>
      <c r="M1783" s="155"/>
      <c r="N1783" s="155"/>
      <c r="O1783" s="155"/>
      <c r="P1783" s="155"/>
      <c r="Q1783" s="155"/>
      <c r="R1783" s="155"/>
      <c r="S1783" s="155"/>
      <c r="T1783" s="155"/>
      <c r="U1783" s="155"/>
      <c r="V1783" s="155"/>
      <c r="W1783" s="155"/>
      <c r="GL1783" s="155"/>
      <c r="GM1783" s="155"/>
      <c r="GN1783" s="155"/>
      <c r="GO1783" s="155"/>
      <c r="GP1783" s="155"/>
      <c r="GQ1783" s="155"/>
      <c r="GR1783" s="155"/>
      <c r="GS1783" s="155"/>
      <c r="GT1783" s="155"/>
      <c r="GU1783" s="155"/>
      <c r="GV1783" s="155"/>
      <c r="GW1783" s="155"/>
      <c r="GX1783" s="155"/>
      <c r="GY1783" s="155"/>
      <c r="GZ1783" s="155"/>
      <c r="HA1783" s="155"/>
      <c r="HB1783" s="155"/>
      <c r="HC1783" s="155"/>
      <c r="HD1783" s="155"/>
      <c r="HE1783" s="155"/>
    </row>
    <row r="1784" spans="2:213" s="156" customFormat="1" hidden="1">
      <c r="B1784" s="155"/>
      <c r="C1784" s="155"/>
      <c r="D1784" s="155"/>
      <c r="E1784" s="155"/>
      <c r="F1784" s="155"/>
      <c r="G1784" s="155"/>
      <c r="H1784" s="155"/>
      <c r="I1784" s="155"/>
      <c r="J1784" s="155"/>
      <c r="K1784" s="155"/>
      <c r="L1784" s="155"/>
      <c r="M1784" s="155"/>
      <c r="N1784" s="155"/>
      <c r="O1784" s="155"/>
      <c r="P1784" s="155"/>
      <c r="Q1784" s="155"/>
      <c r="R1784" s="155"/>
      <c r="S1784" s="155"/>
      <c r="T1784" s="155"/>
      <c r="U1784" s="155"/>
      <c r="V1784" s="155"/>
      <c r="W1784" s="155"/>
      <c r="GL1784" s="155"/>
      <c r="GM1784" s="155"/>
      <c r="GN1784" s="155"/>
      <c r="GO1784" s="155"/>
      <c r="GP1784" s="155"/>
      <c r="GQ1784" s="155"/>
      <c r="GR1784" s="155"/>
      <c r="GS1784" s="155"/>
      <c r="GT1784" s="155"/>
      <c r="GU1784" s="155"/>
      <c r="GV1784" s="155"/>
      <c r="GW1784" s="155"/>
      <c r="GX1784" s="155"/>
      <c r="GY1784" s="155"/>
      <c r="GZ1784" s="155"/>
      <c r="HA1784" s="155"/>
      <c r="HB1784" s="155"/>
      <c r="HC1784" s="155"/>
      <c r="HD1784" s="155"/>
      <c r="HE1784" s="155"/>
    </row>
    <row r="1785" spans="2:213" s="156" customFormat="1" hidden="1">
      <c r="B1785" s="155"/>
      <c r="C1785" s="155"/>
      <c r="D1785" s="155"/>
      <c r="E1785" s="155"/>
      <c r="F1785" s="155"/>
      <c r="G1785" s="155"/>
      <c r="H1785" s="155"/>
      <c r="I1785" s="155"/>
      <c r="J1785" s="155"/>
      <c r="K1785" s="155"/>
      <c r="L1785" s="155"/>
      <c r="M1785" s="155"/>
      <c r="N1785" s="155"/>
      <c r="O1785" s="155"/>
      <c r="P1785" s="155"/>
      <c r="Q1785" s="155"/>
      <c r="R1785" s="155"/>
      <c r="S1785" s="155"/>
      <c r="T1785" s="155"/>
      <c r="U1785" s="155"/>
      <c r="V1785" s="155"/>
      <c r="W1785" s="155"/>
      <c r="GL1785" s="155"/>
      <c r="GM1785" s="155"/>
      <c r="GN1785" s="155"/>
      <c r="GO1785" s="155"/>
      <c r="GP1785" s="155"/>
      <c r="GQ1785" s="155"/>
      <c r="GR1785" s="155"/>
      <c r="GS1785" s="155"/>
      <c r="GT1785" s="155"/>
      <c r="GU1785" s="155"/>
      <c r="GV1785" s="155"/>
      <c r="GW1785" s="155"/>
      <c r="GX1785" s="155"/>
      <c r="GY1785" s="155"/>
      <c r="GZ1785" s="155"/>
      <c r="HA1785" s="155"/>
      <c r="HB1785" s="155"/>
      <c r="HC1785" s="155"/>
      <c r="HD1785" s="155"/>
      <c r="HE1785" s="155"/>
    </row>
    <row r="1786" spans="2:213" s="156" customFormat="1" hidden="1">
      <c r="B1786" s="155"/>
      <c r="C1786" s="155"/>
      <c r="D1786" s="155"/>
      <c r="E1786" s="155"/>
      <c r="F1786" s="155"/>
      <c r="G1786" s="155"/>
      <c r="H1786" s="155"/>
      <c r="I1786" s="155"/>
      <c r="J1786" s="155"/>
      <c r="K1786" s="155"/>
      <c r="L1786" s="155"/>
      <c r="M1786" s="155"/>
      <c r="N1786" s="155"/>
      <c r="O1786" s="155"/>
      <c r="P1786" s="155"/>
      <c r="Q1786" s="155"/>
      <c r="R1786" s="155"/>
      <c r="S1786" s="155"/>
      <c r="T1786" s="155"/>
      <c r="U1786" s="155"/>
      <c r="V1786" s="155"/>
      <c r="W1786" s="155"/>
      <c r="GL1786" s="155"/>
      <c r="GM1786" s="155"/>
      <c r="GN1786" s="155"/>
      <c r="GO1786" s="155"/>
      <c r="GP1786" s="155"/>
      <c r="GQ1786" s="155"/>
      <c r="GR1786" s="155"/>
      <c r="GS1786" s="155"/>
      <c r="GT1786" s="155"/>
      <c r="GU1786" s="155"/>
      <c r="GV1786" s="155"/>
      <c r="GW1786" s="155"/>
      <c r="GX1786" s="155"/>
      <c r="GY1786" s="155"/>
      <c r="GZ1786" s="155"/>
      <c r="HA1786" s="155"/>
      <c r="HB1786" s="155"/>
      <c r="HC1786" s="155"/>
      <c r="HD1786" s="155"/>
      <c r="HE1786" s="155"/>
    </row>
    <row r="1787" spans="2:213" s="156" customFormat="1" hidden="1">
      <c r="B1787" s="155"/>
      <c r="C1787" s="155"/>
      <c r="D1787" s="155"/>
      <c r="E1787" s="155"/>
      <c r="F1787" s="155"/>
      <c r="G1787" s="155"/>
      <c r="H1787" s="155"/>
      <c r="I1787" s="155"/>
      <c r="J1787" s="155"/>
      <c r="K1787" s="155"/>
      <c r="L1787" s="155"/>
      <c r="M1787" s="155"/>
      <c r="N1787" s="155"/>
      <c r="O1787" s="155"/>
      <c r="P1787" s="155"/>
      <c r="Q1787" s="155"/>
      <c r="R1787" s="155"/>
      <c r="S1787" s="155"/>
      <c r="T1787" s="155"/>
      <c r="U1787" s="155"/>
      <c r="V1787" s="155"/>
      <c r="W1787" s="155"/>
      <c r="GL1787" s="155"/>
      <c r="GM1787" s="155"/>
      <c r="GN1787" s="155"/>
      <c r="GO1787" s="155"/>
      <c r="GP1787" s="155"/>
      <c r="GQ1787" s="155"/>
      <c r="GR1787" s="155"/>
      <c r="GS1787" s="155"/>
      <c r="GT1787" s="155"/>
      <c r="GU1787" s="155"/>
      <c r="GV1787" s="155"/>
      <c r="GW1787" s="155"/>
      <c r="GX1787" s="155"/>
      <c r="GY1787" s="155"/>
      <c r="GZ1787" s="155"/>
      <c r="HA1787" s="155"/>
      <c r="HB1787" s="155"/>
      <c r="HC1787" s="155"/>
      <c r="HD1787" s="155"/>
      <c r="HE1787" s="155"/>
    </row>
    <row r="1788" spans="2:213" s="156" customFormat="1" hidden="1">
      <c r="B1788" s="155"/>
      <c r="C1788" s="155"/>
      <c r="D1788" s="155"/>
      <c r="E1788" s="155"/>
      <c r="F1788" s="155"/>
      <c r="G1788" s="155"/>
      <c r="H1788" s="155"/>
      <c r="I1788" s="155"/>
      <c r="J1788" s="155"/>
      <c r="K1788" s="155"/>
      <c r="L1788" s="155"/>
      <c r="M1788" s="155"/>
      <c r="N1788" s="155"/>
      <c r="O1788" s="155"/>
      <c r="P1788" s="155"/>
      <c r="Q1788" s="155"/>
      <c r="R1788" s="155"/>
      <c r="S1788" s="155"/>
      <c r="T1788" s="155"/>
      <c r="U1788" s="155"/>
      <c r="V1788" s="155"/>
      <c r="W1788" s="155"/>
      <c r="GL1788" s="155"/>
      <c r="GM1788" s="155"/>
      <c r="GN1788" s="155"/>
      <c r="GO1788" s="155"/>
      <c r="GP1788" s="155"/>
      <c r="GQ1788" s="155"/>
      <c r="GR1788" s="155"/>
      <c r="GS1788" s="155"/>
      <c r="GT1788" s="155"/>
      <c r="GU1788" s="155"/>
      <c r="GV1788" s="155"/>
      <c r="GW1788" s="155"/>
      <c r="GX1788" s="155"/>
      <c r="GY1788" s="155"/>
      <c r="GZ1788" s="155"/>
      <c r="HA1788" s="155"/>
      <c r="HB1788" s="155"/>
      <c r="HC1788" s="155"/>
      <c r="HD1788" s="155"/>
      <c r="HE1788" s="155"/>
    </row>
    <row r="1789" spans="2:213" s="156" customFormat="1" hidden="1">
      <c r="B1789" s="155"/>
      <c r="C1789" s="155"/>
      <c r="D1789" s="155"/>
      <c r="E1789" s="155"/>
      <c r="F1789" s="155"/>
      <c r="G1789" s="155"/>
      <c r="H1789" s="155"/>
      <c r="I1789" s="155"/>
      <c r="J1789" s="155"/>
      <c r="K1789" s="155"/>
      <c r="L1789" s="155"/>
      <c r="M1789" s="155"/>
      <c r="N1789" s="155"/>
      <c r="O1789" s="155"/>
      <c r="P1789" s="155"/>
      <c r="Q1789" s="155"/>
      <c r="R1789" s="155"/>
      <c r="S1789" s="155"/>
      <c r="T1789" s="155"/>
      <c r="U1789" s="155"/>
      <c r="V1789" s="155"/>
      <c r="W1789" s="155"/>
      <c r="GL1789" s="155"/>
      <c r="GM1789" s="155"/>
      <c r="GN1789" s="155"/>
      <c r="GO1789" s="155"/>
      <c r="GP1789" s="155"/>
      <c r="GQ1789" s="155"/>
      <c r="GR1789" s="155"/>
      <c r="GS1789" s="155"/>
      <c r="GT1789" s="155"/>
      <c r="GU1789" s="155"/>
      <c r="GV1789" s="155"/>
      <c r="GW1789" s="155"/>
      <c r="GX1789" s="155"/>
      <c r="GY1789" s="155"/>
      <c r="GZ1789" s="155"/>
      <c r="HA1789" s="155"/>
      <c r="HB1789" s="155"/>
      <c r="HC1789" s="155"/>
      <c r="HD1789" s="155"/>
      <c r="HE1789" s="155"/>
    </row>
    <row r="1790" spans="2:213" s="156" customFormat="1" hidden="1">
      <c r="B1790" s="155"/>
      <c r="C1790" s="155"/>
      <c r="D1790" s="155"/>
      <c r="E1790" s="155"/>
      <c r="F1790" s="155"/>
      <c r="G1790" s="155"/>
      <c r="H1790" s="155"/>
      <c r="I1790" s="155"/>
      <c r="J1790" s="155"/>
      <c r="K1790" s="155"/>
      <c r="L1790" s="155"/>
      <c r="M1790" s="155"/>
      <c r="N1790" s="155"/>
      <c r="O1790" s="155"/>
      <c r="P1790" s="155"/>
      <c r="Q1790" s="155"/>
      <c r="R1790" s="155"/>
      <c r="S1790" s="155"/>
      <c r="T1790" s="155"/>
      <c r="U1790" s="155"/>
      <c r="V1790" s="155"/>
      <c r="W1790" s="155"/>
      <c r="GL1790" s="155"/>
      <c r="GM1790" s="155"/>
      <c r="GN1790" s="155"/>
      <c r="GO1790" s="155"/>
      <c r="GP1790" s="155"/>
      <c r="GQ1790" s="155"/>
      <c r="GR1790" s="155"/>
      <c r="GS1790" s="155"/>
      <c r="GT1790" s="155"/>
      <c r="GU1790" s="155"/>
      <c r="GV1790" s="155"/>
      <c r="GW1790" s="155"/>
      <c r="GX1790" s="155"/>
      <c r="GY1790" s="155"/>
      <c r="GZ1790" s="155"/>
      <c r="HA1790" s="155"/>
      <c r="HB1790" s="155"/>
      <c r="HC1790" s="155"/>
      <c r="HD1790" s="155"/>
      <c r="HE1790" s="155"/>
    </row>
    <row r="1791" spans="2:213" s="156" customFormat="1" hidden="1">
      <c r="B1791" s="155"/>
      <c r="C1791" s="155"/>
      <c r="D1791" s="155"/>
      <c r="E1791" s="155"/>
      <c r="F1791" s="155"/>
      <c r="G1791" s="155"/>
      <c r="H1791" s="155"/>
      <c r="I1791" s="155"/>
      <c r="J1791" s="155"/>
      <c r="K1791" s="155"/>
      <c r="L1791" s="155"/>
      <c r="M1791" s="155"/>
      <c r="N1791" s="155"/>
      <c r="O1791" s="155"/>
      <c r="P1791" s="155"/>
      <c r="Q1791" s="155"/>
      <c r="R1791" s="155"/>
      <c r="S1791" s="155"/>
      <c r="T1791" s="155"/>
      <c r="U1791" s="155"/>
      <c r="V1791" s="155"/>
      <c r="W1791" s="155"/>
      <c r="GL1791" s="155"/>
      <c r="GM1791" s="155"/>
      <c r="GN1791" s="155"/>
      <c r="GO1791" s="155"/>
      <c r="GP1791" s="155"/>
      <c r="GQ1791" s="155"/>
      <c r="GR1791" s="155"/>
      <c r="GS1791" s="155"/>
      <c r="GT1791" s="155"/>
      <c r="GU1791" s="155"/>
      <c r="GV1791" s="155"/>
      <c r="GW1791" s="155"/>
      <c r="GX1791" s="155"/>
      <c r="GY1791" s="155"/>
      <c r="GZ1791" s="155"/>
      <c r="HA1791" s="155"/>
      <c r="HB1791" s="155"/>
      <c r="HC1791" s="155"/>
      <c r="HD1791" s="155"/>
      <c r="HE1791" s="155"/>
    </row>
    <row r="1792" spans="2:213" s="156" customFormat="1" hidden="1">
      <c r="B1792" s="155"/>
      <c r="C1792" s="155"/>
      <c r="D1792" s="155"/>
      <c r="E1792" s="155"/>
      <c r="F1792" s="155"/>
      <c r="G1792" s="155"/>
      <c r="H1792" s="155"/>
      <c r="I1792" s="155"/>
      <c r="J1792" s="155"/>
      <c r="K1792" s="155"/>
      <c r="L1792" s="155"/>
      <c r="M1792" s="155"/>
      <c r="N1792" s="155"/>
      <c r="O1792" s="155"/>
      <c r="P1792" s="155"/>
      <c r="Q1792" s="155"/>
      <c r="R1792" s="155"/>
      <c r="S1792" s="155"/>
      <c r="T1792" s="155"/>
      <c r="U1792" s="155"/>
      <c r="V1792" s="155"/>
      <c r="W1792" s="155"/>
      <c r="GL1792" s="155"/>
      <c r="GM1792" s="155"/>
      <c r="GN1792" s="155"/>
      <c r="GO1792" s="155"/>
      <c r="GP1792" s="155"/>
      <c r="GQ1792" s="155"/>
      <c r="GR1792" s="155"/>
      <c r="GS1792" s="155"/>
      <c r="GT1792" s="155"/>
      <c r="GU1792" s="155"/>
      <c r="GV1792" s="155"/>
      <c r="GW1792" s="155"/>
      <c r="GX1792" s="155"/>
      <c r="GY1792" s="155"/>
      <c r="GZ1792" s="155"/>
      <c r="HA1792" s="155"/>
      <c r="HB1792" s="155"/>
      <c r="HC1792" s="155"/>
      <c r="HD1792" s="155"/>
      <c r="HE1792" s="155"/>
    </row>
    <row r="1793" spans="2:213" s="156" customFormat="1" hidden="1">
      <c r="B1793" s="155"/>
      <c r="C1793" s="155"/>
      <c r="D1793" s="155"/>
      <c r="E1793" s="155"/>
      <c r="F1793" s="155"/>
      <c r="G1793" s="155"/>
      <c r="H1793" s="155"/>
      <c r="I1793" s="155"/>
      <c r="J1793" s="155"/>
      <c r="K1793" s="155"/>
      <c r="L1793" s="155"/>
      <c r="M1793" s="155"/>
      <c r="N1793" s="155"/>
      <c r="O1793" s="155"/>
      <c r="P1793" s="155"/>
      <c r="Q1793" s="155"/>
      <c r="R1793" s="155"/>
      <c r="S1793" s="155"/>
      <c r="T1793" s="155"/>
      <c r="U1793" s="155"/>
      <c r="V1793" s="155"/>
      <c r="W1793" s="155"/>
      <c r="GL1793" s="155"/>
      <c r="GM1793" s="155"/>
      <c r="GN1793" s="155"/>
      <c r="GO1793" s="155"/>
      <c r="GP1793" s="155"/>
      <c r="GQ1793" s="155"/>
      <c r="GR1793" s="155"/>
      <c r="GS1793" s="155"/>
      <c r="GT1793" s="155"/>
      <c r="GU1793" s="155"/>
      <c r="GV1793" s="155"/>
      <c r="GW1793" s="155"/>
      <c r="GX1793" s="155"/>
      <c r="GY1793" s="155"/>
      <c r="GZ1793" s="155"/>
      <c r="HA1793" s="155"/>
      <c r="HB1793" s="155"/>
      <c r="HC1793" s="155"/>
      <c r="HD1793" s="155"/>
      <c r="HE1793" s="155"/>
    </row>
    <row r="1794" spans="2:213" s="156" customFormat="1" hidden="1">
      <c r="B1794" s="155"/>
      <c r="C1794" s="155"/>
      <c r="D1794" s="155"/>
      <c r="E1794" s="155"/>
      <c r="F1794" s="155"/>
      <c r="G1794" s="155"/>
      <c r="H1794" s="155"/>
      <c r="I1794" s="155"/>
      <c r="J1794" s="155"/>
      <c r="K1794" s="155"/>
      <c r="L1794" s="155"/>
      <c r="M1794" s="155"/>
      <c r="N1794" s="155"/>
      <c r="O1794" s="155"/>
      <c r="P1794" s="155"/>
      <c r="Q1794" s="155"/>
      <c r="R1794" s="155"/>
      <c r="S1794" s="155"/>
      <c r="T1794" s="155"/>
      <c r="U1794" s="155"/>
      <c r="V1794" s="155"/>
      <c r="W1794" s="155"/>
      <c r="GL1794" s="155"/>
      <c r="GM1794" s="155"/>
      <c r="GN1794" s="155"/>
      <c r="GO1794" s="155"/>
      <c r="GP1794" s="155"/>
      <c r="GQ1794" s="155"/>
      <c r="GR1794" s="155"/>
      <c r="GS1794" s="155"/>
      <c r="GT1794" s="155"/>
      <c r="GU1794" s="155"/>
      <c r="GV1794" s="155"/>
      <c r="GW1794" s="155"/>
      <c r="GX1794" s="155"/>
      <c r="GY1794" s="155"/>
      <c r="GZ1794" s="155"/>
      <c r="HA1794" s="155"/>
      <c r="HB1794" s="155"/>
      <c r="HC1794" s="155"/>
      <c r="HD1794" s="155"/>
      <c r="HE1794" s="155"/>
    </row>
    <row r="1795" spans="2:213" s="156" customFormat="1" hidden="1">
      <c r="B1795" s="155"/>
      <c r="C1795" s="155"/>
      <c r="D1795" s="155"/>
      <c r="E1795" s="155"/>
      <c r="F1795" s="155"/>
      <c r="G1795" s="155"/>
      <c r="H1795" s="155"/>
      <c r="I1795" s="155"/>
      <c r="J1795" s="155"/>
      <c r="K1795" s="155"/>
      <c r="L1795" s="155"/>
      <c r="M1795" s="155"/>
      <c r="N1795" s="155"/>
      <c r="O1795" s="155"/>
      <c r="P1795" s="155"/>
      <c r="Q1795" s="155"/>
      <c r="R1795" s="155"/>
      <c r="S1795" s="155"/>
      <c r="T1795" s="155"/>
      <c r="U1795" s="155"/>
      <c r="V1795" s="155"/>
      <c r="W1795" s="155"/>
      <c r="GL1795" s="155"/>
      <c r="GM1795" s="155"/>
      <c r="GN1795" s="155"/>
      <c r="GO1795" s="155"/>
      <c r="GP1795" s="155"/>
      <c r="GQ1795" s="155"/>
      <c r="GR1795" s="155"/>
      <c r="GS1795" s="155"/>
      <c r="GT1795" s="155"/>
      <c r="GU1795" s="155"/>
      <c r="GV1795" s="155"/>
      <c r="GW1795" s="155"/>
      <c r="GX1795" s="155"/>
      <c r="GY1795" s="155"/>
      <c r="GZ1795" s="155"/>
      <c r="HA1795" s="155"/>
      <c r="HB1795" s="155"/>
      <c r="HC1795" s="155"/>
      <c r="HD1795" s="155"/>
      <c r="HE1795" s="155"/>
    </row>
    <row r="1796" spans="2:213" s="156" customFormat="1" hidden="1">
      <c r="B1796" s="155"/>
      <c r="C1796" s="155"/>
      <c r="D1796" s="155"/>
      <c r="E1796" s="155"/>
      <c r="F1796" s="155"/>
      <c r="G1796" s="155"/>
      <c r="H1796" s="155"/>
      <c r="I1796" s="155"/>
      <c r="J1796" s="155"/>
      <c r="K1796" s="155"/>
      <c r="L1796" s="155"/>
      <c r="M1796" s="155"/>
      <c r="N1796" s="155"/>
      <c r="O1796" s="155"/>
      <c r="P1796" s="155"/>
      <c r="Q1796" s="155"/>
      <c r="R1796" s="155"/>
      <c r="S1796" s="155"/>
      <c r="T1796" s="155"/>
      <c r="U1796" s="155"/>
      <c r="V1796" s="155"/>
      <c r="W1796" s="155"/>
      <c r="GL1796" s="155"/>
      <c r="GM1796" s="155"/>
      <c r="GN1796" s="155"/>
      <c r="GO1796" s="155"/>
      <c r="GP1796" s="155"/>
      <c r="GQ1796" s="155"/>
      <c r="GR1796" s="155"/>
      <c r="GS1796" s="155"/>
      <c r="GT1796" s="155"/>
      <c r="GU1796" s="155"/>
      <c r="GV1796" s="155"/>
      <c r="GW1796" s="155"/>
      <c r="GX1796" s="155"/>
      <c r="GY1796" s="155"/>
      <c r="GZ1796" s="155"/>
      <c r="HA1796" s="155"/>
      <c r="HB1796" s="155"/>
      <c r="HC1796" s="155"/>
      <c r="HD1796" s="155"/>
      <c r="HE1796" s="155"/>
    </row>
    <row r="1797" spans="2:213" s="156" customFormat="1" hidden="1">
      <c r="B1797" s="155"/>
      <c r="C1797" s="155"/>
      <c r="D1797" s="155"/>
      <c r="E1797" s="155"/>
      <c r="F1797" s="155"/>
      <c r="G1797" s="155"/>
      <c r="H1797" s="155"/>
      <c r="I1797" s="155"/>
      <c r="J1797" s="155"/>
      <c r="K1797" s="155"/>
      <c r="L1797" s="155"/>
      <c r="M1797" s="155"/>
      <c r="N1797" s="155"/>
      <c r="O1797" s="155"/>
      <c r="P1797" s="155"/>
      <c r="Q1797" s="155"/>
      <c r="R1797" s="155"/>
      <c r="S1797" s="155"/>
      <c r="T1797" s="155"/>
      <c r="U1797" s="155"/>
      <c r="V1797" s="155"/>
      <c r="W1797" s="155"/>
      <c r="GL1797" s="155"/>
      <c r="GM1797" s="155"/>
      <c r="GN1797" s="155"/>
      <c r="GO1797" s="155"/>
      <c r="GP1797" s="155"/>
      <c r="GQ1797" s="155"/>
      <c r="GR1797" s="155"/>
      <c r="GS1797" s="155"/>
      <c r="GT1797" s="155"/>
      <c r="GU1797" s="155"/>
      <c r="GV1797" s="155"/>
      <c r="GW1797" s="155"/>
      <c r="GX1797" s="155"/>
      <c r="GY1797" s="155"/>
      <c r="GZ1797" s="155"/>
      <c r="HA1797" s="155"/>
      <c r="HB1797" s="155"/>
      <c r="HC1797" s="155"/>
      <c r="HD1797" s="155"/>
      <c r="HE1797" s="155"/>
    </row>
    <row r="1798" spans="2:213" s="156" customFormat="1" hidden="1">
      <c r="B1798" s="155"/>
      <c r="C1798" s="155"/>
      <c r="D1798" s="155"/>
      <c r="E1798" s="155"/>
      <c r="F1798" s="155"/>
      <c r="G1798" s="155"/>
      <c r="H1798" s="155"/>
      <c r="I1798" s="155"/>
      <c r="J1798" s="155"/>
      <c r="K1798" s="155"/>
      <c r="L1798" s="155"/>
      <c r="M1798" s="155"/>
      <c r="N1798" s="155"/>
      <c r="O1798" s="155"/>
      <c r="P1798" s="155"/>
      <c r="Q1798" s="155"/>
      <c r="R1798" s="155"/>
      <c r="S1798" s="155"/>
      <c r="T1798" s="155"/>
      <c r="U1798" s="155"/>
      <c r="V1798" s="155"/>
      <c r="W1798" s="155"/>
      <c r="GL1798" s="155"/>
      <c r="GM1798" s="155"/>
      <c r="GN1798" s="155"/>
      <c r="GO1798" s="155"/>
      <c r="GP1798" s="155"/>
      <c r="GQ1798" s="155"/>
      <c r="GR1798" s="155"/>
      <c r="GS1798" s="155"/>
      <c r="GT1798" s="155"/>
      <c r="GU1798" s="155"/>
      <c r="GV1798" s="155"/>
      <c r="GW1798" s="155"/>
      <c r="GX1798" s="155"/>
      <c r="GY1798" s="155"/>
      <c r="GZ1798" s="155"/>
      <c r="HA1798" s="155"/>
      <c r="HB1798" s="155"/>
      <c r="HC1798" s="155"/>
      <c r="HD1798" s="155"/>
      <c r="HE1798" s="155"/>
    </row>
    <row r="1799" spans="2:213" s="156" customFormat="1" hidden="1">
      <c r="B1799" s="155"/>
      <c r="C1799" s="155"/>
      <c r="D1799" s="155"/>
      <c r="E1799" s="155"/>
      <c r="F1799" s="155"/>
      <c r="G1799" s="155"/>
      <c r="H1799" s="155"/>
      <c r="I1799" s="155"/>
      <c r="J1799" s="155"/>
      <c r="K1799" s="155"/>
      <c r="L1799" s="155"/>
      <c r="M1799" s="155"/>
      <c r="N1799" s="155"/>
      <c r="O1799" s="155"/>
      <c r="P1799" s="155"/>
      <c r="Q1799" s="155"/>
      <c r="R1799" s="155"/>
      <c r="S1799" s="155"/>
      <c r="T1799" s="155"/>
      <c r="U1799" s="155"/>
      <c r="V1799" s="155"/>
      <c r="W1799" s="155"/>
      <c r="GL1799" s="155"/>
      <c r="GM1799" s="155"/>
      <c r="GN1799" s="155"/>
      <c r="GO1799" s="155"/>
      <c r="GP1799" s="155"/>
      <c r="GQ1799" s="155"/>
      <c r="GR1799" s="155"/>
      <c r="GS1799" s="155"/>
      <c r="GT1799" s="155"/>
      <c r="GU1799" s="155"/>
      <c r="GV1799" s="155"/>
      <c r="GW1799" s="155"/>
      <c r="GX1799" s="155"/>
      <c r="GY1799" s="155"/>
      <c r="GZ1799" s="155"/>
      <c r="HA1799" s="155"/>
      <c r="HB1799" s="155"/>
      <c r="HC1799" s="155"/>
      <c r="HD1799" s="155"/>
      <c r="HE1799" s="155"/>
    </row>
    <row r="1800" spans="2:213" s="156" customFormat="1" hidden="1">
      <c r="B1800" s="155"/>
      <c r="C1800" s="155"/>
      <c r="D1800" s="155"/>
      <c r="E1800" s="155"/>
      <c r="F1800" s="155"/>
      <c r="G1800" s="155"/>
      <c r="H1800" s="155"/>
      <c r="I1800" s="155"/>
      <c r="J1800" s="155"/>
      <c r="K1800" s="155"/>
      <c r="L1800" s="155"/>
      <c r="M1800" s="155"/>
      <c r="N1800" s="155"/>
      <c r="O1800" s="155"/>
      <c r="P1800" s="155"/>
      <c r="Q1800" s="155"/>
      <c r="R1800" s="155"/>
      <c r="S1800" s="155"/>
      <c r="T1800" s="155"/>
      <c r="U1800" s="155"/>
      <c r="V1800" s="155"/>
      <c r="W1800" s="155"/>
      <c r="GL1800" s="155"/>
      <c r="GM1800" s="155"/>
      <c r="GN1800" s="155"/>
      <c r="GO1800" s="155"/>
      <c r="GP1800" s="155"/>
      <c r="GQ1800" s="155"/>
      <c r="GR1800" s="155"/>
      <c r="GS1800" s="155"/>
      <c r="GT1800" s="155"/>
      <c r="GU1800" s="155"/>
      <c r="GV1800" s="155"/>
      <c r="GW1800" s="155"/>
      <c r="GX1800" s="155"/>
      <c r="GY1800" s="155"/>
      <c r="GZ1800" s="155"/>
      <c r="HA1800" s="155"/>
      <c r="HB1800" s="155"/>
      <c r="HC1800" s="155"/>
      <c r="HD1800" s="155"/>
      <c r="HE1800" s="155"/>
    </row>
    <row r="1801" spans="2:213" s="156" customFormat="1" hidden="1">
      <c r="B1801" s="155"/>
      <c r="C1801" s="155"/>
      <c r="D1801" s="155"/>
      <c r="E1801" s="155"/>
      <c r="F1801" s="155"/>
      <c r="G1801" s="155"/>
      <c r="H1801" s="155"/>
      <c r="I1801" s="155"/>
      <c r="J1801" s="155"/>
      <c r="K1801" s="155"/>
      <c r="L1801" s="155"/>
      <c r="M1801" s="155"/>
      <c r="N1801" s="155"/>
      <c r="O1801" s="155"/>
      <c r="P1801" s="155"/>
      <c r="Q1801" s="155"/>
      <c r="R1801" s="155"/>
      <c r="S1801" s="155"/>
      <c r="T1801" s="155"/>
      <c r="U1801" s="155"/>
      <c r="V1801" s="155"/>
      <c r="W1801" s="155"/>
      <c r="GL1801" s="155"/>
      <c r="GM1801" s="155"/>
      <c r="GN1801" s="155"/>
      <c r="GO1801" s="155"/>
      <c r="GP1801" s="155"/>
      <c r="GQ1801" s="155"/>
      <c r="GR1801" s="155"/>
      <c r="GS1801" s="155"/>
      <c r="GT1801" s="155"/>
      <c r="GU1801" s="155"/>
      <c r="GV1801" s="155"/>
      <c r="GW1801" s="155"/>
      <c r="GX1801" s="155"/>
      <c r="GY1801" s="155"/>
      <c r="GZ1801" s="155"/>
      <c r="HA1801" s="155"/>
      <c r="HB1801" s="155"/>
      <c r="HC1801" s="155"/>
      <c r="HD1801" s="155"/>
      <c r="HE1801" s="155"/>
    </row>
    <row r="1802" spans="2:213" s="156" customFormat="1" hidden="1">
      <c r="B1802" s="155"/>
      <c r="C1802" s="155"/>
      <c r="D1802" s="155"/>
      <c r="E1802" s="155"/>
      <c r="F1802" s="155"/>
      <c r="G1802" s="155"/>
      <c r="H1802" s="155"/>
      <c r="I1802" s="155"/>
      <c r="J1802" s="155"/>
      <c r="K1802" s="155"/>
      <c r="L1802" s="155"/>
      <c r="M1802" s="155"/>
      <c r="N1802" s="155"/>
      <c r="O1802" s="155"/>
      <c r="P1802" s="155"/>
      <c r="Q1802" s="155"/>
      <c r="R1802" s="155"/>
      <c r="S1802" s="155"/>
      <c r="T1802" s="155"/>
      <c r="U1802" s="155"/>
      <c r="V1802" s="155"/>
      <c r="W1802" s="155"/>
      <c r="GL1802" s="155"/>
      <c r="GM1802" s="155"/>
      <c r="GN1802" s="155"/>
      <c r="GO1802" s="155"/>
      <c r="GP1802" s="155"/>
      <c r="GQ1802" s="155"/>
      <c r="GR1802" s="155"/>
      <c r="GS1802" s="155"/>
      <c r="GT1802" s="155"/>
      <c r="GU1802" s="155"/>
      <c r="GV1802" s="155"/>
      <c r="GW1802" s="155"/>
      <c r="GX1802" s="155"/>
      <c r="GY1802" s="155"/>
      <c r="GZ1802" s="155"/>
      <c r="HA1802" s="155"/>
      <c r="HB1802" s="155"/>
      <c r="HC1802" s="155"/>
      <c r="HD1802" s="155"/>
      <c r="HE1802" s="155"/>
    </row>
    <row r="1803" spans="2:213" s="156" customFormat="1" hidden="1">
      <c r="B1803" s="155"/>
      <c r="C1803" s="155"/>
      <c r="D1803" s="155"/>
      <c r="E1803" s="155"/>
      <c r="F1803" s="155"/>
      <c r="G1803" s="155"/>
      <c r="H1803" s="155"/>
      <c r="I1803" s="155"/>
      <c r="J1803" s="155"/>
      <c r="K1803" s="155"/>
      <c r="L1803" s="155"/>
      <c r="M1803" s="155"/>
      <c r="N1803" s="155"/>
      <c r="O1803" s="155"/>
      <c r="P1803" s="155"/>
      <c r="Q1803" s="155"/>
      <c r="R1803" s="155"/>
      <c r="S1803" s="155"/>
      <c r="T1803" s="155"/>
      <c r="U1803" s="155"/>
      <c r="V1803" s="155"/>
      <c r="W1803" s="155"/>
      <c r="GL1803" s="155"/>
      <c r="GM1803" s="155"/>
      <c r="GN1803" s="155"/>
      <c r="GO1803" s="155"/>
      <c r="GP1803" s="155"/>
      <c r="GQ1803" s="155"/>
      <c r="GR1803" s="155"/>
      <c r="GS1803" s="155"/>
      <c r="GT1803" s="155"/>
      <c r="GU1803" s="155"/>
      <c r="GV1803" s="155"/>
      <c r="GW1803" s="155"/>
      <c r="GX1803" s="155"/>
      <c r="GY1803" s="155"/>
      <c r="GZ1803" s="155"/>
      <c r="HA1803" s="155"/>
      <c r="HB1803" s="155"/>
      <c r="HC1803" s="155"/>
      <c r="HD1803" s="155"/>
      <c r="HE1803" s="155"/>
    </row>
    <row r="1804" spans="2:213" s="156" customFormat="1" hidden="1">
      <c r="B1804" s="155"/>
      <c r="C1804" s="155"/>
      <c r="D1804" s="155"/>
      <c r="E1804" s="155"/>
      <c r="F1804" s="155"/>
      <c r="G1804" s="155"/>
      <c r="H1804" s="155"/>
      <c r="I1804" s="155"/>
      <c r="J1804" s="155"/>
      <c r="K1804" s="155"/>
      <c r="L1804" s="155"/>
      <c r="M1804" s="155"/>
      <c r="N1804" s="155"/>
      <c r="O1804" s="155"/>
      <c r="P1804" s="155"/>
      <c r="Q1804" s="155"/>
      <c r="R1804" s="155"/>
      <c r="S1804" s="155"/>
      <c r="T1804" s="155"/>
      <c r="U1804" s="155"/>
      <c r="V1804" s="155"/>
      <c r="W1804" s="155"/>
      <c r="GL1804" s="155"/>
      <c r="GM1804" s="155"/>
      <c r="GN1804" s="155"/>
      <c r="GO1804" s="155"/>
      <c r="GP1804" s="155"/>
      <c r="GQ1804" s="155"/>
      <c r="GR1804" s="155"/>
      <c r="GS1804" s="155"/>
      <c r="GT1804" s="155"/>
      <c r="GU1804" s="155"/>
      <c r="GV1804" s="155"/>
      <c r="GW1804" s="155"/>
      <c r="GX1804" s="155"/>
      <c r="GY1804" s="155"/>
      <c r="GZ1804" s="155"/>
      <c r="HA1804" s="155"/>
      <c r="HB1804" s="155"/>
      <c r="HC1804" s="155"/>
      <c r="HD1804" s="155"/>
      <c r="HE1804" s="155"/>
    </row>
    <row r="1805" spans="2:213" s="156" customFormat="1" hidden="1">
      <c r="B1805" s="155"/>
      <c r="C1805" s="155"/>
      <c r="D1805" s="155"/>
      <c r="E1805" s="155"/>
      <c r="F1805" s="155"/>
      <c r="G1805" s="155"/>
      <c r="H1805" s="155"/>
      <c r="I1805" s="155"/>
      <c r="J1805" s="155"/>
      <c r="K1805" s="155"/>
      <c r="L1805" s="155"/>
      <c r="M1805" s="155"/>
      <c r="N1805" s="155"/>
      <c r="O1805" s="155"/>
      <c r="P1805" s="155"/>
      <c r="Q1805" s="155"/>
      <c r="R1805" s="155"/>
      <c r="S1805" s="155"/>
      <c r="T1805" s="155"/>
      <c r="U1805" s="155"/>
      <c r="V1805" s="155"/>
      <c r="W1805" s="155"/>
      <c r="GL1805" s="155"/>
      <c r="GM1805" s="155"/>
      <c r="GN1805" s="155"/>
      <c r="GO1805" s="155"/>
      <c r="GP1805" s="155"/>
      <c r="GQ1805" s="155"/>
      <c r="GR1805" s="155"/>
      <c r="GS1805" s="155"/>
      <c r="GT1805" s="155"/>
      <c r="GU1805" s="155"/>
      <c r="GV1805" s="155"/>
      <c r="GW1805" s="155"/>
      <c r="GX1805" s="155"/>
      <c r="GY1805" s="155"/>
      <c r="GZ1805" s="155"/>
      <c r="HA1805" s="155"/>
      <c r="HB1805" s="155"/>
      <c r="HC1805" s="155"/>
      <c r="HD1805" s="155"/>
      <c r="HE1805" s="155"/>
    </row>
    <row r="1806" spans="2:213" s="156" customFormat="1" hidden="1">
      <c r="B1806" s="155"/>
      <c r="C1806" s="155"/>
      <c r="D1806" s="155"/>
      <c r="E1806" s="155"/>
      <c r="F1806" s="155"/>
      <c r="G1806" s="155"/>
      <c r="H1806" s="155"/>
      <c r="I1806" s="155"/>
      <c r="J1806" s="155"/>
      <c r="K1806" s="155"/>
      <c r="L1806" s="155"/>
      <c r="M1806" s="155"/>
      <c r="N1806" s="155"/>
      <c r="O1806" s="155"/>
      <c r="P1806" s="155"/>
      <c r="Q1806" s="155"/>
      <c r="R1806" s="155"/>
      <c r="S1806" s="155"/>
      <c r="T1806" s="155"/>
      <c r="U1806" s="155"/>
      <c r="V1806" s="155"/>
      <c r="W1806" s="155"/>
      <c r="GL1806" s="155"/>
      <c r="GM1806" s="155"/>
      <c r="GN1806" s="155"/>
      <c r="GO1806" s="155"/>
      <c r="GP1806" s="155"/>
      <c r="GQ1806" s="155"/>
      <c r="GR1806" s="155"/>
      <c r="GS1806" s="155"/>
      <c r="GT1806" s="155"/>
      <c r="GU1806" s="155"/>
      <c r="GV1806" s="155"/>
      <c r="GW1806" s="155"/>
      <c r="GX1806" s="155"/>
      <c r="GY1806" s="155"/>
      <c r="GZ1806" s="155"/>
      <c r="HA1806" s="155"/>
      <c r="HB1806" s="155"/>
      <c r="HC1806" s="155"/>
      <c r="HD1806" s="155"/>
      <c r="HE1806" s="155"/>
    </row>
    <row r="1807" spans="2:213" s="156" customFormat="1" hidden="1">
      <c r="B1807" s="155"/>
      <c r="C1807" s="155"/>
      <c r="D1807" s="155"/>
      <c r="E1807" s="155"/>
      <c r="F1807" s="155"/>
      <c r="G1807" s="155"/>
      <c r="H1807" s="155"/>
      <c r="I1807" s="155"/>
      <c r="J1807" s="155"/>
      <c r="K1807" s="155"/>
      <c r="L1807" s="155"/>
      <c r="M1807" s="155"/>
      <c r="N1807" s="155"/>
      <c r="O1807" s="155"/>
      <c r="P1807" s="155"/>
      <c r="Q1807" s="155"/>
      <c r="R1807" s="155"/>
      <c r="S1807" s="155"/>
      <c r="T1807" s="155"/>
      <c r="U1807" s="155"/>
      <c r="V1807" s="155"/>
      <c r="W1807" s="155"/>
      <c r="GL1807" s="155"/>
      <c r="GM1807" s="155"/>
      <c r="GN1807" s="155"/>
      <c r="GO1807" s="155"/>
      <c r="GP1807" s="155"/>
      <c r="GQ1807" s="155"/>
      <c r="GR1807" s="155"/>
      <c r="GS1807" s="155"/>
      <c r="GT1807" s="155"/>
      <c r="GU1807" s="155"/>
      <c r="GV1807" s="155"/>
      <c r="GW1807" s="155"/>
      <c r="GX1807" s="155"/>
      <c r="GY1807" s="155"/>
      <c r="GZ1807" s="155"/>
      <c r="HA1807" s="155"/>
      <c r="HB1807" s="155"/>
      <c r="HC1807" s="155"/>
      <c r="HD1807" s="155"/>
      <c r="HE1807" s="155"/>
    </row>
    <row r="1808" spans="2:213" s="156" customFormat="1" hidden="1">
      <c r="B1808" s="155"/>
      <c r="C1808" s="155"/>
      <c r="D1808" s="155"/>
      <c r="E1808" s="155"/>
      <c r="F1808" s="155"/>
      <c r="G1808" s="155"/>
      <c r="H1808" s="155"/>
      <c r="I1808" s="155"/>
      <c r="J1808" s="155"/>
      <c r="K1808" s="155"/>
      <c r="L1808" s="155"/>
      <c r="M1808" s="155"/>
      <c r="N1808" s="155"/>
      <c r="O1808" s="155"/>
      <c r="P1808" s="155"/>
      <c r="Q1808" s="155"/>
      <c r="R1808" s="155"/>
      <c r="S1808" s="155"/>
      <c r="T1808" s="155"/>
      <c r="U1808" s="155"/>
      <c r="V1808" s="155"/>
      <c r="W1808" s="155"/>
      <c r="GL1808" s="155"/>
      <c r="GM1808" s="155"/>
      <c r="GN1808" s="155"/>
      <c r="GO1808" s="155"/>
      <c r="GP1808" s="155"/>
      <c r="GQ1808" s="155"/>
      <c r="GR1808" s="155"/>
      <c r="GS1808" s="155"/>
      <c r="GT1808" s="155"/>
      <c r="GU1808" s="155"/>
      <c r="GV1808" s="155"/>
      <c r="GW1808" s="155"/>
      <c r="GX1808" s="155"/>
      <c r="GY1808" s="155"/>
      <c r="GZ1808" s="155"/>
      <c r="HA1808" s="155"/>
      <c r="HB1808" s="155"/>
      <c r="HC1808" s="155"/>
      <c r="HD1808" s="155"/>
      <c r="HE1808" s="155"/>
    </row>
    <row r="1809" spans="2:213" s="156" customFormat="1" hidden="1">
      <c r="B1809" s="155"/>
      <c r="C1809" s="155"/>
      <c r="D1809" s="155"/>
      <c r="E1809" s="155"/>
      <c r="F1809" s="155"/>
      <c r="G1809" s="155"/>
      <c r="H1809" s="155"/>
      <c r="I1809" s="155"/>
      <c r="J1809" s="155"/>
      <c r="K1809" s="155"/>
      <c r="L1809" s="155"/>
      <c r="M1809" s="155"/>
      <c r="N1809" s="155"/>
      <c r="O1809" s="155"/>
      <c r="P1809" s="155"/>
      <c r="Q1809" s="155"/>
      <c r="R1809" s="155"/>
      <c r="S1809" s="155"/>
      <c r="T1809" s="155"/>
      <c r="U1809" s="155"/>
      <c r="V1809" s="155"/>
      <c r="W1809" s="155"/>
      <c r="GL1809" s="155"/>
      <c r="GM1809" s="155"/>
      <c r="GN1809" s="155"/>
      <c r="GO1809" s="155"/>
      <c r="GP1809" s="155"/>
      <c r="GQ1809" s="155"/>
      <c r="GR1809" s="155"/>
      <c r="GS1809" s="155"/>
      <c r="GT1809" s="155"/>
      <c r="GU1809" s="155"/>
      <c r="GV1809" s="155"/>
      <c r="GW1809" s="155"/>
      <c r="GX1809" s="155"/>
      <c r="GY1809" s="155"/>
      <c r="GZ1809" s="155"/>
      <c r="HA1809" s="155"/>
      <c r="HB1809" s="155"/>
      <c r="HC1809" s="155"/>
      <c r="HD1809" s="155"/>
      <c r="HE1809" s="155"/>
    </row>
    <row r="1810" spans="2:213" s="156" customFormat="1" hidden="1">
      <c r="B1810" s="155"/>
      <c r="C1810" s="155"/>
      <c r="D1810" s="155"/>
      <c r="E1810" s="155"/>
      <c r="F1810" s="155"/>
      <c r="G1810" s="155"/>
      <c r="H1810" s="155"/>
      <c r="I1810" s="155"/>
      <c r="J1810" s="155"/>
      <c r="K1810" s="155"/>
      <c r="L1810" s="155"/>
      <c r="M1810" s="155"/>
      <c r="N1810" s="155"/>
      <c r="O1810" s="155"/>
      <c r="P1810" s="155"/>
      <c r="Q1810" s="155"/>
      <c r="R1810" s="155"/>
      <c r="S1810" s="155"/>
      <c r="T1810" s="155"/>
      <c r="U1810" s="155"/>
      <c r="V1810" s="155"/>
      <c r="W1810" s="155"/>
      <c r="GL1810" s="155"/>
      <c r="GM1810" s="155"/>
      <c r="GN1810" s="155"/>
      <c r="GO1810" s="155"/>
      <c r="GP1810" s="155"/>
      <c r="GQ1810" s="155"/>
      <c r="GR1810" s="155"/>
      <c r="GS1810" s="155"/>
      <c r="GT1810" s="155"/>
      <c r="GU1810" s="155"/>
      <c r="GV1810" s="155"/>
      <c r="GW1810" s="155"/>
      <c r="GX1810" s="155"/>
      <c r="GY1810" s="155"/>
      <c r="GZ1810" s="155"/>
      <c r="HA1810" s="155"/>
      <c r="HB1810" s="155"/>
      <c r="HC1810" s="155"/>
      <c r="HD1810" s="155"/>
      <c r="HE1810" s="155"/>
    </row>
    <row r="1811" spans="2:213" s="156" customFormat="1" hidden="1">
      <c r="B1811" s="155"/>
      <c r="C1811" s="155"/>
      <c r="D1811" s="155"/>
      <c r="E1811" s="155"/>
      <c r="F1811" s="155"/>
      <c r="G1811" s="155"/>
      <c r="H1811" s="155"/>
      <c r="I1811" s="155"/>
      <c r="J1811" s="155"/>
      <c r="K1811" s="155"/>
      <c r="L1811" s="155"/>
      <c r="M1811" s="155"/>
      <c r="N1811" s="155"/>
      <c r="O1811" s="155"/>
      <c r="P1811" s="155"/>
      <c r="Q1811" s="155"/>
      <c r="R1811" s="155"/>
      <c r="S1811" s="155"/>
      <c r="T1811" s="155"/>
      <c r="U1811" s="155"/>
      <c r="V1811" s="155"/>
      <c r="W1811" s="155"/>
      <c r="GL1811" s="155"/>
      <c r="GM1811" s="155"/>
      <c r="GN1811" s="155"/>
      <c r="GO1811" s="155"/>
      <c r="GP1811" s="155"/>
      <c r="GQ1811" s="155"/>
      <c r="GR1811" s="155"/>
      <c r="GS1811" s="155"/>
      <c r="GT1811" s="155"/>
      <c r="GU1811" s="155"/>
      <c r="GV1811" s="155"/>
      <c r="GW1811" s="155"/>
      <c r="GX1811" s="155"/>
      <c r="GY1811" s="155"/>
      <c r="GZ1811" s="155"/>
      <c r="HA1811" s="155"/>
      <c r="HB1811" s="155"/>
      <c r="HC1811" s="155"/>
      <c r="HD1811" s="155"/>
      <c r="HE1811" s="155"/>
    </row>
    <row r="1812" spans="2:213" s="156" customFormat="1" hidden="1">
      <c r="B1812" s="155"/>
      <c r="C1812" s="155"/>
      <c r="D1812" s="155"/>
      <c r="E1812" s="155"/>
      <c r="F1812" s="155"/>
      <c r="G1812" s="155"/>
      <c r="H1812" s="155"/>
      <c r="I1812" s="155"/>
      <c r="J1812" s="155"/>
      <c r="K1812" s="155"/>
      <c r="L1812" s="155"/>
      <c r="M1812" s="155"/>
      <c r="N1812" s="155"/>
      <c r="O1812" s="155"/>
      <c r="P1812" s="155"/>
      <c r="Q1812" s="155"/>
      <c r="R1812" s="155"/>
      <c r="S1812" s="155"/>
      <c r="T1812" s="155"/>
      <c r="U1812" s="155"/>
      <c r="V1812" s="155"/>
      <c r="W1812" s="155"/>
      <c r="GL1812" s="155"/>
      <c r="GM1812" s="155"/>
      <c r="GN1812" s="155"/>
      <c r="GO1812" s="155"/>
      <c r="GP1812" s="155"/>
      <c r="GQ1812" s="155"/>
      <c r="GR1812" s="155"/>
      <c r="GS1812" s="155"/>
      <c r="GT1812" s="155"/>
      <c r="GU1812" s="155"/>
      <c r="GV1812" s="155"/>
      <c r="GW1812" s="155"/>
      <c r="GX1812" s="155"/>
      <c r="GY1812" s="155"/>
      <c r="GZ1812" s="155"/>
      <c r="HA1812" s="155"/>
      <c r="HB1812" s="155"/>
      <c r="HC1812" s="155"/>
      <c r="HD1812" s="155"/>
      <c r="HE1812" s="155"/>
    </row>
    <row r="1813" spans="2:213" s="156" customFormat="1" hidden="1">
      <c r="B1813" s="155"/>
      <c r="C1813" s="155"/>
      <c r="D1813" s="155"/>
      <c r="E1813" s="155"/>
      <c r="F1813" s="155"/>
      <c r="G1813" s="155"/>
      <c r="H1813" s="155"/>
      <c r="I1813" s="155"/>
      <c r="J1813" s="155"/>
      <c r="K1813" s="155"/>
      <c r="L1813" s="155"/>
      <c r="M1813" s="155"/>
      <c r="N1813" s="155"/>
      <c r="O1813" s="155"/>
      <c r="P1813" s="155"/>
      <c r="Q1813" s="155"/>
      <c r="R1813" s="155"/>
      <c r="S1813" s="155"/>
      <c r="T1813" s="155"/>
      <c r="U1813" s="155"/>
      <c r="V1813" s="155"/>
      <c r="W1813" s="155"/>
      <c r="GL1813" s="155"/>
      <c r="GM1813" s="155"/>
      <c r="GN1813" s="155"/>
      <c r="GO1813" s="155"/>
      <c r="GP1813" s="155"/>
      <c r="GQ1813" s="155"/>
      <c r="GR1813" s="155"/>
      <c r="GS1813" s="155"/>
      <c r="GT1813" s="155"/>
      <c r="GU1813" s="155"/>
      <c r="GV1813" s="155"/>
      <c r="GW1813" s="155"/>
      <c r="GX1813" s="155"/>
      <c r="GY1813" s="155"/>
      <c r="GZ1813" s="155"/>
      <c r="HA1813" s="155"/>
      <c r="HB1813" s="155"/>
      <c r="HC1813" s="155"/>
      <c r="HD1813" s="155"/>
      <c r="HE1813" s="155"/>
    </row>
    <row r="1814" spans="2:213" s="156" customFormat="1" hidden="1">
      <c r="B1814" s="155"/>
      <c r="C1814" s="155"/>
      <c r="D1814" s="155"/>
      <c r="E1814" s="155"/>
      <c r="F1814" s="155"/>
      <c r="G1814" s="155"/>
      <c r="H1814" s="155"/>
      <c r="I1814" s="155"/>
      <c r="J1814" s="155"/>
      <c r="K1814" s="155"/>
      <c r="L1814" s="155"/>
      <c r="M1814" s="155"/>
      <c r="N1814" s="155"/>
      <c r="O1814" s="155"/>
      <c r="P1814" s="155"/>
      <c r="Q1814" s="155"/>
      <c r="R1814" s="155"/>
      <c r="S1814" s="155"/>
      <c r="T1814" s="155"/>
      <c r="U1814" s="155"/>
      <c r="V1814" s="155"/>
      <c r="W1814" s="155"/>
      <c r="GL1814" s="155"/>
      <c r="GM1814" s="155"/>
      <c r="GN1814" s="155"/>
      <c r="GO1814" s="155"/>
      <c r="GP1814" s="155"/>
      <c r="GQ1814" s="155"/>
      <c r="GR1814" s="155"/>
      <c r="GS1814" s="155"/>
      <c r="GT1814" s="155"/>
      <c r="GU1814" s="155"/>
      <c r="GV1814" s="155"/>
      <c r="GW1814" s="155"/>
      <c r="GX1814" s="155"/>
      <c r="GY1814" s="155"/>
      <c r="GZ1814" s="155"/>
      <c r="HA1814" s="155"/>
      <c r="HB1814" s="155"/>
      <c r="HC1814" s="155"/>
      <c r="HD1814" s="155"/>
      <c r="HE1814" s="155"/>
    </row>
    <row r="1815" spans="2:213" s="156" customFormat="1" hidden="1">
      <c r="B1815" s="155"/>
      <c r="C1815" s="155"/>
      <c r="D1815" s="155"/>
      <c r="E1815" s="155"/>
      <c r="F1815" s="155"/>
      <c r="G1815" s="155"/>
      <c r="H1815" s="155"/>
      <c r="I1815" s="155"/>
      <c r="J1815" s="155"/>
      <c r="K1815" s="155"/>
      <c r="L1815" s="155"/>
      <c r="M1815" s="155"/>
      <c r="N1815" s="155"/>
      <c r="O1815" s="155"/>
      <c r="P1815" s="155"/>
      <c r="Q1815" s="155"/>
      <c r="R1815" s="155"/>
      <c r="S1815" s="155"/>
      <c r="T1815" s="155"/>
      <c r="U1815" s="155"/>
      <c r="V1815" s="155"/>
      <c r="W1815" s="155"/>
      <c r="GL1815" s="155"/>
      <c r="GM1815" s="155"/>
      <c r="GN1815" s="155"/>
      <c r="GO1815" s="155"/>
      <c r="GP1815" s="155"/>
      <c r="GQ1815" s="155"/>
      <c r="GR1815" s="155"/>
      <c r="GS1815" s="155"/>
      <c r="GT1815" s="155"/>
      <c r="GU1815" s="155"/>
      <c r="GV1815" s="155"/>
      <c r="GW1815" s="155"/>
      <c r="GX1815" s="155"/>
      <c r="GY1815" s="155"/>
      <c r="GZ1815" s="155"/>
      <c r="HA1815" s="155"/>
      <c r="HB1815" s="155"/>
      <c r="HC1815" s="155"/>
      <c r="HD1815" s="155"/>
      <c r="HE1815" s="155"/>
    </row>
    <row r="1816" spans="2:213" s="156" customFormat="1" hidden="1">
      <c r="B1816" s="155"/>
      <c r="C1816" s="155"/>
      <c r="D1816" s="155"/>
      <c r="E1816" s="155"/>
      <c r="F1816" s="155"/>
      <c r="G1816" s="155"/>
      <c r="H1816" s="155"/>
      <c r="I1816" s="155"/>
      <c r="J1816" s="155"/>
      <c r="K1816" s="155"/>
      <c r="L1816" s="155"/>
      <c r="M1816" s="155"/>
      <c r="N1816" s="155"/>
      <c r="O1816" s="155"/>
      <c r="P1816" s="155"/>
      <c r="Q1816" s="155"/>
      <c r="R1816" s="155"/>
      <c r="S1816" s="155"/>
      <c r="T1816" s="155"/>
      <c r="U1816" s="155"/>
      <c r="V1816" s="155"/>
      <c r="W1816" s="155"/>
      <c r="GL1816" s="155"/>
      <c r="GM1816" s="155"/>
      <c r="GN1816" s="155"/>
      <c r="GO1816" s="155"/>
      <c r="GP1816" s="155"/>
      <c r="GQ1816" s="155"/>
      <c r="GR1816" s="155"/>
      <c r="GS1816" s="155"/>
      <c r="GT1816" s="155"/>
      <c r="GU1816" s="155"/>
      <c r="GV1816" s="155"/>
      <c r="GW1816" s="155"/>
      <c r="GX1816" s="155"/>
      <c r="GY1816" s="155"/>
      <c r="GZ1816" s="155"/>
      <c r="HA1816" s="155"/>
      <c r="HB1816" s="155"/>
      <c r="HC1816" s="155"/>
      <c r="HD1816" s="155"/>
      <c r="HE1816" s="155"/>
    </row>
    <row r="1817" spans="2:213" s="156" customFormat="1" hidden="1">
      <c r="B1817" s="155"/>
      <c r="C1817" s="155"/>
      <c r="D1817" s="155"/>
      <c r="E1817" s="155"/>
      <c r="F1817" s="155"/>
      <c r="G1817" s="155"/>
      <c r="H1817" s="155"/>
      <c r="I1817" s="155"/>
      <c r="J1817" s="155"/>
      <c r="K1817" s="155"/>
      <c r="L1817" s="155"/>
      <c r="M1817" s="155"/>
      <c r="N1817" s="155"/>
      <c r="O1817" s="155"/>
      <c r="P1817" s="155"/>
      <c r="Q1817" s="155"/>
      <c r="R1817" s="155"/>
      <c r="S1817" s="155"/>
      <c r="T1817" s="155"/>
      <c r="U1817" s="155"/>
      <c r="V1817" s="155"/>
      <c r="W1817" s="155"/>
      <c r="GL1817" s="155"/>
      <c r="GM1817" s="155"/>
      <c r="GN1817" s="155"/>
      <c r="GO1817" s="155"/>
      <c r="GP1817" s="155"/>
      <c r="GQ1817" s="155"/>
      <c r="GR1817" s="155"/>
      <c r="GS1817" s="155"/>
      <c r="GT1817" s="155"/>
      <c r="GU1817" s="155"/>
      <c r="GV1817" s="155"/>
      <c r="GW1817" s="155"/>
      <c r="GX1817" s="155"/>
      <c r="GY1817" s="155"/>
      <c r="GZ1817" s="155"/>
      <c r="HA1817" s="155"/>
      <c r="HB1817" s="155"/>
      <c r="HC1817" s="155"/>
      <c r="HD1817" s="155"/>
      <c r="HE1817" s="155"/>
    </row>
    <row r="1818" spans="2:213" s="156" customFormat="1" hidden="1">
      <c r="B1818" s="155"/>
      <c r="C1818" s="155"/>
      <c r="D1818" s="155"/>
      <c r="E1818" s="155"/>
      <c r="F1818" s="155"/>
      <c r="G1818" s="155"/>
      <c r="H1818" s="155"/>
      <c r="I1818" s="155"/>
      <c r="J1818" s="155"/>
      <c r="K1818" s="155"/>
      <c r="L1818" s="155"/>
      <c r="M1818" s="155"/>
      <c r="N1818" s="155"/>
      <c r="O1818" s="155"/>
      <c r="P1818" s="155"/>
      <c r="Q1818" s="155"/>
      <c r="R1818" s="155"/>
      <c r="S1818" s="155"/>
      <c r="T1818" s="155"/>
      <c r="U1818" s="155"/>
      <c r="V1818" s="155"/>
      <c r="W1818" s="155"/>
      <c r="GL1818" s="155"/>
      <c r="GM1818" s="155"/>
      <c r="GN1818" s="155"/>
      <c r="GO1818" s="155"/>
      <c r="GP1818" s="155"/>
      <c r="GQ1818" s="155"/>
      <c r="GR1818" s="155"/>
      <c r="GS1818" s="155"/>
      <c r="GT1818" s="155"/>
      <c r="GU1818" s="155"/>
      <c r="GV1818" s="155"/>
      <c r="GW1818" s="155"/>
      <c r="GX1818" s="155"/>
      <c r="GY1818" s="155"/>
      <c r="GZ1818" s="155"/>
      <c r="HA1818" s="155"/>
      <c r="HB1818" s="155"/>
      <c r="HC1818" s="155"/>
      <c r="HD1818" s="155"/>
      <c r="HE1818" s="155"/>
    </row>
    <row r="1819" spans="2:213" s="156" customFormat="1" hidden="1">
      <c r="B1819" s="155"/>
      <c r="C1819" s="155"/>
      <c r="D1819" s="155"/>
      <c r="E1819" s="155"/>
      <c r="F1819" s="155"/>
      <c r="G1819" s="155"/>
      <c r="H1819" s="155"/>
      <c r="I1819" s="155"/>
      <c r="J1819" s="155"/>
      <c r="K1819" s="155"/>
      <c r="L1819" s="155"/>
      <c r="M1819" s="155"/>
      <c r="N1819" s="155"/>
      <c r="O1819" s="155"/>
      <c r="P1819" s="155"/>
      <c r="Q1819" s="155"/>
      <c r="R1819" s="155"/>
      <c r="S1819" s="155"/>
      <c r="T1819" s="155"/>
      <c r="U1819" s="155"/>
      <c r="V1819" s="155"/>
      <c r="W1819" s="155"/>
      <c r="GL1819" s="155"/>
      <c r="GM1819" s="155"/>
      <c r="GN1819" s="155"/>
      <c r="GO1819" s="155"/>
      <c r="GP1819" s="155"/>
      <c r="GQ1819" s="155"/>
      <c r="GR1819" s="155"/>
      <c r="GS1819" s="155"/>
      <c r="GT1819" s="155"/>
      <c r="GU1819" s="155"/>
      <c r="GV1819" s="155"/>
      <c r="GW1819" s="155"/>
      <c r="GX1819" s="155"/>
      <c r="GY1819" s="155"/>
      <c r="GZ1819" s="155"/>
      <c r="HA1819" s="155"/>
      <c r="HB1819" s="155"/>
      <c r="HC1819" s="155"/>
      <c r="HD1819" s="155"/>
      <c r="HE1819" s="155"/>
    </row>
    <row r="1820" spans="2:213" s="156" customFormat="1" hidden="1">
      <c r="B1820" s="155"/>
      <c r="C1820" s="155"/>
      <c r="D1820" s="155"/>
      <c r="E1820" s="155"/>
      <c r="F1820" s="155"/>
      <c r="G1820" s="155"/>
      <c r="H1820" s="155"/>
      <c r="I1820" s="155"/>
      <c r="J1820" s="155"/>
      <c r="K1820" s="155"/>
      <c r="L1820" s="155"/>
      <c r="M1820" s="155"/>
      <c r="N1820" s="155"/>
      <c r="O1820" s="155"/>
      <c r="P1820" s="155"/>
      <c r="Q1820" s="155"/>
      <c r="R1820" s="155"/>
      <c r="S1820" s="155"/>
      <c r="T1820" s="155"/>
      <c r="U1820" s="155"/>
      <c r="V1820" s="155"/>
      <c r="W1820" s="155"/>
      <c r="GL1820" s="155"/>
      <c r="GM1820" s="155"/>
      <c r="GN1820" s="155"/>
      <c r="GO1820" s="155"/>
      <c r="GP1820" s="155"/>
      <c r="GQ1820" s="155"/>
      <c r="GR1820" s="155"/>
      <c r="GS1820" s="155"/>
      <c r="GT1820" s="155"/>
      <c r="GU1820" s="155"/>
      <c r="GV1820" s="155"/>
      <c r="GW1820" s="155"/>
      <c r="GX1820" s="155"/>
      <c r="GY1820" s="155"/>
      <c r="GZ1820" s="155"/>
      <c r="HA1820" s="155"/>
      <c r="HB1820" s="155"/>
      <c r="HC1820" s="155"/>
      <c r="HD1820" s="155"/>
      <c r="HE1820" s="155"/>
    </row>
    <row r="1821" spans="2:213" s="156" customFormat="1" hidden="1">
      <c r="B1821" s="155"/>
      <c r="C1821" s="155"/>
      <c r="D1821" s="155"/>
      <c r="E1821" s="155"/>
      <c r="F1821" s="155"/>
      <c r="G1821" s="155"/>
      <c r="H1821" s="155"/>
      <c r="I1821" s="155"/>
      <c r="J1821" s="155"/>
      <c r="K1821" s="155"/>
      <c r="L1821" s="155"/>
      <c r="M1821" s="155"/>
      <c r="N1821" s="155"/>
      <c r="O1821" s="155"/>
      <c r="P1821" s="155"/>
      <c r="Q1821" s="155"/>
      <c r="R1821" s="155"/>
      <c r="S1821" s="155"/>
      <c r="T1821" s="155"/>
      <c r="U1821" s="155"/>
      <c r="V1821" s="155"/>
      <c r="W1821" s="155"/>
      <c r="GL1821" s="155"/>
      <c r="GM1821" s="155"/>
      <c r="GN1821" s="155"/>
      <c r="GO1821" s="155"/>
      <c r="GP1821" s="155"/>
      <c r="GQ1821" s="155"/>
      <c r="GR1821" s="155"/>
      <c r="GS1821" s="155"/>
      <c r="GT1821" s="155"/>
      <c r="GU1821" s="155"/>
      <c r="GV1821" s="155"/>
      <c r="GW1821" s="155"/>
      <c r="GX1821" s="155"/>
      <c r="GY1821" s="155"/>
      <c r="GZ1821" s="155"/>
      <c r="HA1821" s="155"/>
      <c r="HB1821" s="155"/>
      <c r="HC1821" s="155"/>
      <c r="HD1821" s="155"/>
      <c r="HE1821" s="155"/>
    </row>
    <row r="1822" spans="2:213" s="156" customFormat="1" hidden="1">
      <c r="B1822" s="155"/>
      <c r="C1822" s="155"/>
      <c r="D1822" s="155"/>
      <c r="E1822" s="155"/>
      <c r="F1822" s="155"/>
      <c r="G1822" s="155"/>
      <c r="H1822" s="155"/>
      <c r="I1822" s="155"/>
      <c r="J1822" s="155"/>
      <c r="K1822" s="155"/>
      <c r="L1822" s="155"/>
      <c r="M1822" s="155"/>
      <c r="N1822" s="155"/>
      <c r="O1822" s="155"/>
      <c r="P1822" s="155"/>
      <c r="Q1822" s="155"/>
      <c r="R1822" s="155"/>
      <c r="S1822" s="155"/>
      <c r="T1822" s="155"/>
      <c r="U1822" s="155"/>
      <c r="V1822" s="155"/>
      <c r="W1822" s="155"/>
      <c r="GL1822" s="155"/>
      <c r="GM1822" s="155"/>
      <c r="GN1822" s="155"/>
      <c r="GO1822" s="155"/>
      <c r="GP1822" s="155"/>
      <c r="GQ1822" s="155"/>
      <c r="GR1822" s="155"/>
      <c r="GS1822" s="155"/>
      <c r="GT1822" s="155"/>
      <c r="GU1822" s="155"/>
      <c r="GV1822" s="155"/>
      <c r="GW1822" s="155"/>
      <c r="GX1822" s="155"/>
      <c r="GY1822" s="155"/>
      <c r="GZ1822" s="155"/>
      <c r="HA1822" s="155"/>
      <c r="HB1822" s="155"/>
      <c r="HC1822" s="155"/>
      <c r="HD1822" s="155"/>
      <c r="HE1822" s="155"/>
    </row>
    <row r="1823" spans="2:213" s="156" customFormat="1" hidden="1">
      <c r="B1823" s="155"/>
      <c r="C1823" s="155"/>
      <c r="D1823" s="155"/>
      <c r="E1823" s="155"/>
      <c r="F1823" s="155"/>
      <c r="G1823" s="155"/>
      <c r="H1823" s="155"/>
      <c r="I1823" s="155"/>
      <c r="J1823" s="155"/>
      <c r="K1823" s="155"/>
      <c r="L1823" s="155"/>
      <c r="M1823" s="155"/>
      <c r="N1823" s="155"/>
      <c r="O1823" s="155"/>
      <c r="P1823" s="155"/>
      <c r="Q1823" s="155"/>
      <c r="R1823" s="155"/>
      <c r="S1823" s="155"/>
      <c r="T1823" s="155"/>
      <c r="U1823" s="155"/>
      <c r="V1823" s="155"/>
      <c r="W1823" s="155"/>
      <c r="GL1823" s="155"/>
      <c r="GM1823" s="155"/>
      <c r="GN1823" s="155"/>
      <c r="GO1823" s="155"/>
      <c r="GP1823" s="155"/>
      <c r="GQ1823" s="155"/>
      <c r="GR1823" s="155"/>
      <c r="GS1823" s="155"/>
      <c r="GT1823" s="155"/>
      <c r="GU1823" s="155"/>
      <c r="GV1823" s="155"/>
      <c r="GW1823" s="155"/>
      <c r="GX1823" s="155"/>
      <c r="GY1823" s="155"/>
      <c r="GZ1823" s="155"/>
      <c r="HA1823" s="155"/>
      <c r="HB1823" s="155"/>
      <c r="HC1823" s="155"/>
      <c r="HD1823" s="155"/>
      <c r="HE1823" s="155"/>
    </row>
    <row r="1824" spans="2:213" s="156" customFormat="1" hidden="1">
      <c r="B1824" s="155"/>
      <c r="C1824" s="155"/>
      <c r="D1824" s="155"/>
      <c r="E1824" s="155"/>
      <c r="F1824" s="155"/>
      <c r="G1824" s="155"/>
      <c r="H1824" s="155"/>
      <c r="I1824" s="155"/>
      <c r="J1824" s="155"/>
      <c r="K1824" s="155"/>
      <c r="L1824" s="155"/>
      <c r="M1824" s="155"/>
      <c r="N1824" s="155"/>
      <c r="O1824" s="155"/>
      <c r="P1824" s="155"/>
      <c r="Q1824" s="155"/>
      <c r="R1824" s="155"/>
      <c r="S1824" s="155"/>
      <c r="T1824" s="155"/>
      <c r="U1824" s="155"/>
      <c r="V1824" s="155"/>
      <c r="W1824" s="155"/>
      <c r="GL1824" s="155"/>
      <c r="GM1824" s="155"/>
      <c r="GN1824" s="155"/>
      <c r="GO1824" s="155"/>
      <c r="GP1824" s="155"/>
      <c r="GQ1824" s="155"/>
      <c r="GR1824" s="155"/>
      <c r="GS1824" s="155"/>
      <c r="GT1824" s="155"/>
      <c r="GU1824" s="155"/>
      <c r="GV1824" s="155"/>
      <c r="GW1824" s="155"/>
      <c r="GX1824" s="155"/>
      <c r="GY1824" s="155"/>
      <c r="GZ1824" s="155"/>
      <c r="HA1824" s="155"/>
      <c r="HB1824" s="155"/>
      <c r="HC1824" s="155"/>
      <c r="HD1824" s="155"/>
      <c r="HE1824" s="155"/>
    </row>
    <row r="1825" spans="2:213" s="156" customFormat="1" hidden="1">
      <c r="B1825" s="155"/>
      <c r="C1825" s="155"/>
      <c r="D1825" s="155"/>
      <c r="E1825" s="155"/>
      <c r="F1825" s="155"/>
      <c r="G1825" s="155"/>
      <c r="H1825" s="155"/>
      <c r="I1825" s="155"/>
      <c r="J1825" s="155"/>
      <c r="K1825" s="155"/>
      <c r="L1825" s="155"/>
      <c r="M1825" s="155"/>
      <c r="N1825" s="155"/>
      <c r="O1825" s="155"/>
      <c r="P1825" s="155"/>
      <c r="Q1825" s="155"/>
      <c r="R1825" s="155"/>
      <c r="S1825" s="155"/>
      <c r="T1825" s="155"/>
      <c r="U1825" s="155"/>
      <c r="V1825" s="155"/>
      <c r="W1825" s="155"/>
      <c r="GL1825" s="155"/>
      <c r="GM1825" s="155"/>
      <c r="GN1825" s="155"/>
      <c r="GO1825" s="155"/>
      <c r="GP1825" s="155"/>
      <c r="GQ1825" s="155"/>
      <c r="GR1825" s="155"/>
      <c r="GS1825" s="155"/>
      <c r="GT1825" s="155"/>
      <c r="GU1825" s="155"/>
      <c r="GV1825" s="155"/>
      <c r="GW1825" s="155"/>
      <c r="GX1825" s="155"/>
      <c r="GY1825" s="155"/>
      <c r="GZ1825" s="155"/>
      <c r="HA1825" s="155"/>
      <c r="HB1825" s="155"/>
      <c r="HC1825" s="155"/>
      <c r="HD1825" s="155"/>
      <c r="HE1825" s="155"/>
    </row>
    <row r="1826" spans="2:213" s="156" customFormat="1" hidden="1">
      <c r="B1826" s="155"/>
      <c r="C1826" s="155"/>
      <c r="D1826" s="155"/>
      <c r="E1826" s="155"/>
      <c r="F1826" s="155"/>
      <c r="G1826" s="155"/>
      <c r="H1826" s="155"/>
      <c r="I1826" s="155"/>
      <c r="J1826" s="155"/>
      <c r="K1826" s="155"/>
      <c r="L1826" s="155"/>
      <c r="M1826" s="155"/>
      <c r="N1826" s="155"/>
      <c r="O1826" s="155"/>
      <c r="P1826" s="155"/>
      <c r="Q1826" s="155"/>
      <c r="R1826" s="155"/>
      <c r="S1826" s="155"/>
      <c r="T1826" s="155"/>
      <c r="U1826" s="155"/>
      <c r="V1826" s="155"/>
      <c r="W1826" s="155"/>
      <c r="GL1826" s="155"/>
      <c r="GM1826" s="155"/>
      <c r="GN1826" s="155"/>
      <c r="GO1826" s="155"/>
      <c r="GP1826" s="155"/>
      <c r="GQ1826" s="155"/>
      <c r="GR1826" s="155"/>
      <c r="GS1826" s="155"/>
      <c r="GT1826" s="155"/>
      <c r="GU1826" s="155"/>
      <c r="GV1826" s="155"/>
      <c r="GW1826" s="155"/>
      <c r="GX1826" s="155"/>
      <c r="GY1826" s="155"/>
      <c r="GZ1826" s="155"/>
      <c r="HA1826" s="155"/>
      <c r="HB1826" s="155"/>
      <c r="HC1826" s="155"/>
      <c r="HD1826" s="155"/>
      <c r="HE1826" s="155"/>
    </row>
    <row r="1827" spans="2:213" s="156" customFormat="1" hidden="1">
      <c r="B1827" s="155"/>
      <c r="C1827" s="155"/>
      <c r="D1827" s="155"/>
      <c r="E1827" s="155"/>
      <c r="F1827" s="155"/>
      <c r="G1827" s="155"/>
      <c r="H1827" s="155"/>
      <c r="I1827" s="155"/>
      <c r="J1827" s="155"/>
      <c r="K1827" s="155"/>
      <c r="L1827" s="155"/>
      <c r="M1827" s="155"/>
      <c r="N1827" s="155"/>
      <c r="O1827" s="155"/>
      <c r="P1827" s="155"/>
      <c r="Q1827" s="155"/>
      <c r="R1827" s="155"/>
      <c r="S1827" s="155"/>
      <c r="T1827" s="155"/>
      <c r="U1827" s="155"/>
      <c r="V1827" s="155"/>
      <c r="W1827" s="155"/>
      <c r="GL1827" s="155"/>
      <c r="GM1827" s="155"/>
      <c r="GN1827" s="155"/>
      <c r="GO1827" s="155"/>
      <c r="GP1827" s="155"/>
      <c r="GQ1827" s="155"/>
      <c r="GR1827" s="155"/>
      <c r="GS1827" s="155"/>
      <c r="GT1827" s="155"/>
      <c r="GU1827" s="155"/>
      <c r="GV1827" s="155"/>
      <c r="GW1827" s="155"/>
      <c r="GX1827" s="155"/>
      <c r="GY1827" s="155"/>
      <c r="GZ1827" s="155"/>
      <c r="HA1827" s="155"/>
      <c r="HB1827" s="155"/>
      <c r="HC1827" s="155"/>
      <c r="HD1827" s="155"/>
      <c r="HE1827" s="155"/>
    </row>
    <row r="1828" spans="2:213" s="156" customFormat="1" hidden="1">
      <c r="B1828" s="155"/>
      <c r="C1828" s="155"/>
      <c r="D1828" s="155"/>
      <c r="E1828" s="155"/>
      <c r="F1828" s="155"/>
      <c r="G1828" s="155"/>
      <c r="H1828" s="155"/>
      <c r="I1828" s="155"/>
      <c r="J1828" s="155"/>
      <c r="K1828" s="155"/>
      <c r="L1828" s="155"/>
      <c r="M1828" s="155"/>
      <c r="N1828" s="155"/>
      <c r="O1828" s="155"/>
      <c r="P1828" s="155"/>
      <c r="Q1828" s="155"/>
      <c r="R1828" s="155"/>
      <c r="S1828" s="155"/>
      <c r="T1828" s="155"/>
      <c r="U1828" s="155"/>
      <c r="V1828" s="155"/>
      <c r="W1828" s="155"/>
      <c r="GL1828" s="155"/>
      <c r="GM1828" s="155"/>
      <c r="GN1828" s="155"/>
      <c r="GO1828" s="155"/>
      <c r="GP1828" s="155"/>
      <c r="GQ1828" s="155"/>
      <c r="GR1828" s="155"/>
      <c r="GS1828" s="155"/>
      <c r="GT1828" s="155"/>
      <c r="GU1828" s="155"/>
      <c r="GV1828" s="155"/>
      <c r="GW1828" s="155"/>
      <c r="GX1828" s="155"/>
      <c r="GY1828" s="155"/>
      <c r="GZ1828" s="155"/>
      <c r="HA1828" s="155"/>
      <c r="HB1828" s="155"/>
      <c r="HC1828" s="155"/>
      <c r="HD1828" s="155"/>
      <c r="HE1828" s="155"/>
    </row>
    <row r="1829" spans="2:213" s="156" customFormat="1" hidden="1">
      <c r="B1829" s="155"/>
      <c r="C1829" s="155"/>
      <c r="D1829" s="155"/>
      <c r="E1829" s="155"/>
      <c r="F1829" s="155"/>
      <c r="G1829" s="155"/>
      <c r="H1829" s="155"/>
      <c r="I1829" s="155"/>
      <c r="J1829" s="155"/>
      <c r="K1829" s="155"/>
      <c r="L1829" s="155"/>
      <c r="M1829" s="155"/>
      <c r="N1829" s="155"/>
      <c r="O1829" s="155"/>
      <c r="P1829" s="155"/>
      <c r="Q1829" s="155"/>
      <c r="R1829" s="155"/>
      <c r="S1829" s="155"/>
      <c r="T1829" s="155"/>
      <c r="U1829" s="155"/>
      <c r="V1829" s="155"/>
      <c r="W1829" s="155"/>
      <c r="GL1829" s="155"/>
      <c r="GM1829" s="155"/>
      <c r="GN1829" s="155"/>
      <c r="GO1829" s="155"/>
      <c r="GP1829" s="155"/>
      <c r="GQ1829" s="155"/>
      <c r="GR1829" s="155"/>
      <c r="GS1829" s="155"/>
      <c r="GT1829" s="155"/>
      <c r="GU1829" s="155"/>
      <c r="GV1829" s="155"/>
      <c r="GW1829" s="155"/>
      <c r="GX1829" s="155"/>
      <c r="GY1829" s="155"/>
      <c r="GZ1829" s="155"/>
      <c r="HA1829" s="155"/>
      <c r="HB1829" s="155"/>
      <c r="HC1829" s="155"/>
      <c r="HD1829" s="155"/>
      <c r="HE1829" s="155"/>
    </row>
    <row r="1830" spans="2:213" s="156" customFormat="1" hidden="1">
      <c r="B1830" s="155"/>
      <c r="C1830" s="155"/>
      <c r="D1830" s="155"/>
      <c r="E1830" s="155"/>
      <c r="F1830" s="155"/>
      <c r="G1830" s="155"/>
      <c r="H1830" s="155"/>
      <c r="I1830" s="155"/>
      <c r="J1830" s="155"/>
      <c r="K1830" s="155"/>
      <c r="L1830" s="155"/>
      <c r="M1830" s="155"/>
      <c r="N1830" s="155"/>
      <c r="O1830" s="155"/>
      <c r="P1830" s="155"/>
      <c r="Q1830" s="155"/>
      <c r="R1830" s="155"/>
      <c r="S1830" s="155"/>
      <c r="T1830" s="155"/>
      <c r="U1830" s="155"/>
      <c r="V1830" s="155"/>
      <c r="W1830" s="155"/>
      <c r="GL1830" s="155"/>
      <c r="GM1830" s="155"/>
      <c r="GN1830" s="155"/>
      <c r="GO1830" s="155"/>
      <c r="GP1830" s="155"/>
      <c r="GQ1830" s="155"/>
      <c r="GR1830" s="155"/>
      <c r="GS1830" s="155"/>
      <c r="GT1830" s="155"/>
      <c r="GU1830" s="155"/>
      <c r="GV1830" s="155"/>
      <c r="GW1830" s="155"/>
      <c r="GX1830" s="155"/>
      <c r="GY1830" s="155"/>
      <c r="GZ1830" s="155"/>
      <c r="HA1830" s="155"/>
      <c r="HB1830" s="155"/>
      <c r="HC1830" s="155"/>
      <c r="HD1830" s="155"/>
      <c r="HE1830" s="155"/>
    </row>
    <row r="1831" spans="2:213" s="156" customFormat="1" hidden="1">
      <c r="B1831" s="155"/>
      <c r="C1831" s="155"/>
      <c r="D1831" s="155"/>
      <c r="E1831" s="155"/>
      <c r="F1831" s="155"/>
      <c r="G1831" s="155"/>
      <c r="H1831" s="155"/>
      <c r="I1831" s="155"/>
      <c r="J1831" s="155"/>
      <c r="K1831" s="155"/>
      <c r="L1831" s="155"/>
      <c r="M1831" s="155"/>
      <c r="N1831" s="155"/>
      <c r="O1831" s="155"/>
      <c r="P1831" s="155"/>
      <c r="Q1831" s="155"/>
      <c r="R1831" s="155"/>
      <c r="S1831" s="155"/>
      <c r="T1831" s="155"/>
      <c r="U1831" s="155"/>
      <c r="V1831" s="155"/>
      <c r="W1831" s="155"/>
      <c r="GL1831" s="155"/>
      <c r="GM1831" s="155"/>
      <c r="GN1831" s="155"/>
      <c r="GO1831" s="155"/>
      <c r="GP1831" s="155"/>
      <c r="GQ1831" s="155"/>
      <c r="GR1831" s="155"/>
      <c r="GS1831" s="155"/>
      <c r="GT1831" s="155"/>
      <c r="GU1831" s="155"/>
      <c r="GV1831" s="155"/>
      <c r="GW1831" s="155"/>
      <c r="GX1831" s="155"/>
      <c r="GY1831" s="155"/>
      <c r="GZ1831" s="155"/>
      <c r="HA1831" s="155"/>
      <c r="HB1831" s="155"/>
      <c r="HC1831" s="155"/>
      <c r="HD1831" s="155"/>
      <c r="HE1831" s="155"/>
    </row>
    <row r="1832" spans="2:213" s="156" customFormat="1" hidden="1">
      <c r="B1832" s="155"/>
      <c r="C1832" s="155"/>
      <c r="D1832" s="155"/>
      <c r="E1832" s="155"/>
      <c r="F1832" s="155"/>
      <c r="G1832" s="155"/>
      <c r="H1832" s="155"/>
      <c r="I1832" s="155"/>
      <c r="J1832" s="155"/>
      <c r="K1832" s="155"/>
      <c r="L1832" s="155"/>
      <c r="M1832" s="155"/>
      <c r="N1832" s="155"/>
      <c r="O1832" s="155"/>
      <c r="P1832" s="155"/>
      <c r="Q1832" s="155"/>
      <c r="R1832" s="155"/>
      <c r="S1832" s="155"/>
      <c r="T1832" s="155"/>
      <c r="U1832" s="155"/>
      <c r="V1832" s="155"/>
      <c r="W1832" s="155"/>
      <c r="GL1832" s="155"/>
      <c r="GM1832" s="155"/>
      <c r="GN1832" s="155"/>
      <c r="GO1832" s="155"/>
      <c r="GP1832" s="155"/>
      <c r="GQ1832" s="155"/>
      <c r="GR1832" s="155"/>
      <c r="GS1832" s="155"/>
      <c r="GT1832" s="155"/>
      <c r="GU1832" s="155"/>
      <c r="GV1832" s="155"/>
      <c r="GW1832" s="155"/>
      <c r="GX1832" s="155"/>
      <c r="GY1832" s="155"/>
      <c r="GZ1832" s="155"/>
      <c r="HA1832" s="155"/>
      <c r="HB1832" s="155"/>
      <c r="HC1832" s="155"/>
      <c r="HD1832" s="155"/>
      <c r="HE1832" s="155"/>
    </row>
    <row r="1833" spans="2:213" s="156" customFormat="1" hidden="1">
      <c r="B1833" s="155"/>
      <c r="C1833" s="155"/>
      <c r="D1833" s="155"/>
      <c r="E1833" s="155"/>
      <c r="F1833" s="155"/>
      <c r="G1833" s="155"/>
      <c r="H1833" s="155"/>
      <c r="I1833" s="155"/>
      <c r="J1833" s="155"/>
      <c r="K1833" s="155"/>
      <c r="L1833" s="155"/>
      <c r="M1833" s="155"/>
      <c r="N1833" s="155"/>
      <c r="O1833" s="155"/>
      <c r="P1833" s="155"/>
      <c r="Q1833" s="155"/>
      <c r="R1833" s="155"/>
      <c r="S1833" s="155"/>
      <c r="T1833" s="155"/>
      <c r="U1833" s="155"/>
      <c r="V1833" s="155"/>
      <c r="W1833" s="155"/>
      <c r="GL1833" s="155"/>
      <c r="GM1833" s="155"/>
      <c r="GN1833" s="155"/>
      <c r="GO1833" s="155"/>
      <c r="GP1833" s="155"/>
      <c r="GQ1833" s="155"/>
      <c r="GR1833" s="155"/>
      <c r="GS1833" s="155"/>
      <c r="GT1833" s="155"/>
      <c r="GU1833" s="155"/>
      <c r="GV1833" s="155"/>
      <c r="GW1833" s="155"/>
      <c r="GX1833" s="155"/>
      <c r="GY1833" s="155"/>
      <c r="GZ1833" s="155"/>
      <c r="HA1833" s="155"/>
      <c r="HB1833" s="155"/>
      <c r="HC1833" s="155"/>
      <c r="HD1833" s="155"/>
      <c r="HE1833" s="155"/>
    </row>
    <row r="1834" spans="2:213" s="156" customFormat="1" hidden="1">
      <c r="B1834" s="155"/>
      <c r="C1834" s="155"/>
      <c r="D1834" s="155"/>
      <c r="E1834" s="155"/>
      <c r="F1834" s="155"/>
      <c r="G1834" s="155"/>
      <c r="H1834" s="155"/>
      <c r="I1834" s="155"/>
      <c r="J1834" s="155"/>
      <c r="K1834" s="155"/>
      <c r="L1834" s="155"/>
      <c r="M1834" s="155"/>
      <c r="N1834" s="155"/>
      <c r="O1834" s="155"/>
      <c r="P1834" s="155"/>
      <c r="Q1834" s="155"/>
      <c r="R1834" s="155"/>
      <c r="S1834" s="155"/>
      <c r="T1834" s="155"/>
      <c r="U1834" s="155"/>
      <c r="V1834" s="155"/>
      <c r="W1834" s="155"/>
      <c r="GL1834" s="155"/>
      <c r="GM1834" s="155"/>
      <c r="GN1834" s="155"/>
      <c r="GO1834" s="155"/>
      <c r="GP1834" s="155"/>
      <c r="GQ1834" s="155"/>
      <c r="GR1834" s="155"/>
      <c r="GS1834" s="155"/>
      <c r="GT1834" s="155"/>
      <c r="GU1834" s="155"/>
      <c r="GV1834" s="155"/>
      <c r="GW1834" s="155"/>
      <c r="GX1834" s="155"/>
      <c r="GY1834" s="155"/>
      <c r="GZ1834" s="155"/>
      <c r="HA1834" s="155"/>
      <c r="HB1834" s="155"/>
      <c r="HC1834" s="155"/>
      <c r="HD1834" s="155"/>
      <c r="HE1834" s="155"/>
    </row>
    <row r="1835" spans="2:213" s="156" customFormat="1" hidden="1">
      <c r="B1835" s="155"/>
      <c r="C1835" s="155"/>
      <c r="D1835" s="155"/>
      <c r="E1835" s="155"/>
      <c r="F1835" s="155"/>
      <c r="G1835" s="155"/>
      <c r="H1835" s="155"/>
      <c r="I1835" s="155"/>
      <c r="J1835" s="155"/>
      <c r="K1835" s="155"/>
      <c r="L1835" s="155"/>
      <c r="M1835" s="155"/>
      <c r="N1835" s="155"/>
      <c r="O1835" s="155"/>
      <c r="P1835" s="155"/>
      <c r="Q1835" s="155"/>
      <c r="R1835" s="155"/>
      <c r="S1835" s="155"/>
      <c r="T1835" s="155"/>
      <c r="U1835" s="155"/>
      <c r="V1835" s="155"/>
      <c r="W1835" s="155"/>
      <c r="GL1835" s="155"/>
      <c r="GM1835" s="155"/>
      <c r="GN1835" s="155"/>
      <c r="GO1835" s="155"/>
      <c r="GP1835" s="155"/>
      <c r="GQ1835" s="155"/>
      <c r="GR1835" s="155"/>
      <c r="GS1835" s="155"/>
      <c r="GT1835" s="155"/>
      <c r="GU1835" s="155"/>
      <c r="GV1835" s="155"/>
      <c r="GW1835" s="155"/>
      <c r="GX1835" s="155"/>
      <c r="GY1835" s="155"/>
      <c r="GZ1835" s="155"/>
      <c r="HA1835" s="155"/>
      <c r="HB1835" s="155"/>
      <c r="HC1835" s="155"/>
      <c r="HD1835" s="155"/>
      <c r="HE1835" s="155"/>
    </row>
    <row r="1836" spans="2:213" s="156" customFormat="1" hidden="1">
      <c r="B1836" s="155"/>
      <c r="C1836" s="155"/>
      <c r="D1836" s="155"/>
      <c r="E1836" s="155"/>
      <c r="F1836" s="155"/>
      <c r="G1836" s="155"/>
      <c r="H1836" s="155"/>
      <c r="I1836" s="155"/>
      <c r="J1836" s="155"/>
      <c r="K1836" s="155"/>
      <c r="L1836" s="155"/>
      <c r="M1836" s="155"/>
      <c r="N1836" s="155"/>
      <c r="O1836" s="155"/>
      <c r="P1836" s="155"/>
      <c r="Q1836" s="155"/>
      <c r="R1836" s="155"/>
      <c r="S1836" s="155"/>
      <c r="T1836" s="155"/>
      <c r="U1836" s="155"/>
      <c r="V1836" s="155"/>
      <c r="W1836" s="155"/>
      <c r="GL1836" s="155"/>
      <c r="GM1836" s="155"/>
      <c r="GN1836" s="155"/>
      <c r="GO1836" s="155"/>
      <c r="GP1836" s="155"/>
      <c r="GQ1836" s="155"/>
      <c r="GR1836" s="155"/>
      <c r="GS1836" s="155"/>
      <c r="GT1836" s="155"/>
      <c r="GU1836" s="155"/>
      <c r="GV1836" s="155"/>
      <c r="GW1836" s="155"/>
      <c r="GX1836" s="155"/>
      <c r="GY1836" s="155"/>
      <c r="GZ1836" s="155"/>
      <c r="HA1836" s="155"/>
      <c r="HB1836" s="155"/>
      <c r="HC1836" s="155"/>
      <c r="HD1836" s="155"/>
      <c r="HE1836" s="155"/>
    </row>
    <row r="1837" spans="2:213" s="156" customFormat="1" hidden="1">
      <c r="B1837" s="155"/>
      <c r="C1837" s="155"/>
      <c r="D1837" s="155"/>
      <c r="E1837" s="155"/>
      <c r="F1837" s="155"/>
      <c r="G1837" s="155"/>
      <c r="H1837" s="155"/>
      <c r="I1837" s="155"/>
      <c r="J1837" s="155"/>
      <c r="K1837" s="155"/>
      <c r="L1837" s="155"/>
      <c r="M1837" s="155"/>
      <c r="N1837" s="155"/>
      <c r="O1837" s="155"/>
      <c r="P1837" s="155"/>
      <c r="Q1837" s="155"/>
      <c r="R1837" s="155"/>
      <c r="S1837" s="155"/>
      <c r="T1837" s="155"/>
      <c r="U1837" s="155"/>
      <c r="V1837" s="155"/>
      <c r="W1837" s="155"/>
      <c r="GL1837" s="155"/>
      <c r="GM1837" s="155"/>
      <c r="GN1837" s="155"/>
      <c r="GO1837" s="155"/>
      <c r="GP1837" s="155"/>
      <c r="GQ1837" s="155"/>
      <c r="GR1837" s="155"/>
      <c r="GS1837" s="155"/>
      <c r="GT1837" s="155"/>
      <c r="GU1837" s="155"/>
      <c r="GV1837" s="155"/>
      <c r="GW1837" s="155"/>
      <c r="GX1837" s="155"/>
      <c r="GY1837" s="155"/>
      <c r="GZ1837" s="155"/>
      <c r="HA1837" s="155"/>
      <c r="HB1837" s="155"/>
      <c r="HC1837" s="155"/>
      <c r="HD1837" s="155"/>
      <c r="HE1837" s="155"/>
    </row>
    <row r="1838" spans="2:213" s="156" customFormat="1" hidden="1">
      <c r="B1838" s="155"/>
      <c r="C1838" s="155"/>
      <c r="D1838" s="155"/>
      <c r="E1838" s="155"/>
      <c r="F1838" s="155"/>
      <c r="G1838" s="155"/>
      <c r="H1838" s="155"/>
      <c r="I1838" s="155"/>
      <c r="J1838" s="155"/>
      <c r="K1838" s="155"/>
      <c r="L1838" s="155"/>
      <c r="M1838" s="155"/>
      <c r="N1838" s="155"/>
      <c r="O1838" s="155"/>
      <c r="P1838" s="155"/>
      <c r="Q1838" s="155"/>
      <c r="R1838" s="155"/>
      <c r="S1838" s="155"/>
      <c r="T1838" s="155"/>
      <c r="U1838" s="155"/>
      <c r="V1838" s="155"/>
      <c r="W1838" s="155"/>
      <c r="GL1838" s="155"/>
      <c r="GM1838" s="155"/>
      <c r="GN1838" s="155"/>
      <c r="GO1838" s="155"/>
      <c r="GP1838" s="155"/>
      <c r="GQ1838" s="155"/>
      <c r="GR1838" s="155"/>
      <c r="GS1838" s="155"/>
      <c r="GT1838" s="155"/>
      <c r="GU1838" s="155"/>
      <c r="GV1838" s="155"/>
      <c r="GW1838" s="155"/>
      <c r="GX1838" s="155"/>
      <c r="GY1838" s="155"/>
      <c r="GZ1838" s="155"/>
      <c r="HA1838" s="155"/>
      <c r="HB1838" s="155"/>
      <c r="HC1838" s="155"/>
      <c r="HD1838" s="155"/>
      <c r="HE1838" s="155"/>
    </row>
    <row r="1839" spans="2:213" s="156" customFormat="1" hidden="1">
      <c r="B1839" s="155"/>
      <c r="C1839" s="155"/>
      <c r="D1839" s="155"/>
      <c r="E1839" s="155"/>
      <c r="F1839" s="155"/>
      <c r="G1839" s="155"/>
      <c r="H1839" s="155"/>
      <c r="I1839" s="155"/>
      <c r="J1839" s="155"/>
      <c r="K1839" s="155"/>
      <c r="L1839" s="155"/>
      <c r="M1839" s="155"/>
      <c r="N1839" s="155"/>
      <c r="O1839" s="155"/>
      <c r="P1839" s="155"/>
      <c r="Q1839" s="155"/>
      <c r="R1839" s="155"/>
      <c r="S1839" s="155"/>
      <c r="T1839" s="155"/>
      <c r="U1839" s="155"/>
      <c r="V1839" s="155"/>
      <c r="W1839" s="155"/>
      <c r="GL1839" s="155"/>
      <c r="GM1839" s="155"/>
      <c r="GN1839" s="155"/>
      <c r="GO1839" s="155"/>
      <c r="GP1839" s="155"/>
      <c r="GQ1839" s="155"/>
      <c r="GR1839" s="155"/>
      <c r="GS1839" s="155"/>
      <c r="GT1839" s="155"/>
      <c r="GU1839" s="155"/>
      <c r="GV1839" s="155"/>
      <c r="GW1839" s="155"/>
      <c r="GX1839" s="155"/>
      <c r="GY1839" s="155"/>
      <c r="GZ1839" s="155"/>
      <c r="HA1839" s="155"/>
      <c r="HB1839" s="155"/>
      <c r="HC1839" s="155"/>
      <c r="HD1839" s="155"/>
      <c r="HE1839" s="155"/>
    </row>
    <row r="1840" spans="2:213" s="156" customFormat="1" hidden="1">
      <c r="B1840" s="155"/>
      <c r="C1840" s="155"/>
      <c r="D1840" s="155"/>
      <c r="E1840" s="155"/>
      <c r="F1840" s="155"/>
      <c r="G1840" s="155"/>
      <c r="H1840" s="155"/>
      <c r="I1840" s="155"/>
      <c r="J1840" s="155"/>
      <c r="K1840" s="155"/>
      <c r="L1840" s="155"/>
      <c r="M1840" s="155"/>
      <c r="N1840" s="155"/>
      <c r="O1840" s="155"/>
      <c r="P1840" s="155"/>
      <c r="Q1840" s="155"/>
      <c r="R1840" s="155"/>
      <c r="S1840" s="155"/>
      <c r="T1840" s="155"/>
      <c r="U1840" s="155"/>
      <c r="V1840" s="155"/>
      <c r="W1840" s="155"/>
      <c r="GL1840" s="155"/>
      <c r="GM1840" s="155"/>
      <c r="GN1840" s="155"/>
      <c r="GO1840" s="155"/>
      <c r="GP1840" s="155"/>
      <c r="GQ1840" s="155"/>
      <c r="GR1840" s="155"/>
      <c r="GS1840" s="155"/>
      <c r="GT1840" s="155"/>
      <c r="GU1840" s="155"/>
      <c r="GV1840" s="155"/>
      <c r="GW1840" s="155"/>
      <c r="GX1840" s="155"/>
      <c r="GY1840" s="155"/>
      <c r="GZ1840" s="155"/>
      <c r="HA1840" s="155"/>
      <c r="HB1840" s="155"/>
      <c r="HC1840" s="155"/>
      <c r="HD1840" s="155"/>
      <c r="HE1840" s="155"/>
    </row>
    <row r="1841" spans="2:213" s="156" customFormat="1" hidden="1">
      <c r="B1841" s="155"/>
      <c r="C1841" s="155"/>
      <c r="D1841" s="155"/>
      <c r="E1841" s="155"/>
      <c r="F1841" s="155"/>
      <c r="G1841" s="155"/>
      <c r="H1841" s="155"/>
      <c r="I1841" s="155"/>
      <c r="J1841" s="155"/>
      <c r="K1841" s="155"/>
      <c r="L1841" s="155"/>
      <c r="M1841" s="155"/>
      <c r="N1841" s="155"/>
      <c r="O1841" s="155"/>
      <c r="P1841" s="155"/>
      <c r="Q1841" s="155"/>
      <c r="R1841" s="155"/>
      <c r="S1841" s="155"/>
      <c r="T1841" s="155"/>
      <c r="U1841" s="155"/>
      <c r="V1841" s="155"/>
      <c r="W1841" s="155"/>
      <c r="GL1841" s="155"/>
      <c r="GM1841" s="155"/>
      <c r="GN1841" s="155"/>
      <c r="GO1841" s="155"/>
      <c r="GP1841" s="155"/>
      <c r="GQ1841" s="155"/>
      <c r="GR1841" s="155"/>
      <c r="GS1841" s="155"/>
      <c r="GT1841" s="155"/>
      <c r="GU1841" s="155"/>
      <c r="GV1841" s="155"/>
      <c r="GW1841" s="155"/>
      <c r="GX1841" s="155"/>
      <c r="GY1841" s="155"/>
      <c r="GZ1841" s="155"/>
      <c r="HA1841" s="155"/>
      <c r="HB1841" s="155"/>
      <c r="HC1841" s="155"/>
      <c r="HD1841" s="155"/>
      <c r="HE1841" s="155"/>
    </row>
    <row r="1842" spans="2:213" s="156" customFormat="1" hidden="1">
      <c r="B1842" s="155"/>
      <c r="C1842" s="155"/>
      <c r="D1842" s="155"/>
      <c r="E1842" s="155"/>
      <c r="F1842" s="155"/>
      <c r="G1842" s="155"/>
      <c r="H1842" s="155"/>
      <c r="I1842" s="155"/>
      <c r="J1842" s="155"/>
      <c r="K1842" s="155"/>
      <c r="L1842" s="155"/>
      <c r="M1842" s="155"/>
      <c r="N1842" s="155"/>
      <c r="O1842" s="155"/>
      <c r="P1842" s="155"/>
      <c r="Q1842" s="155"/>
      <c r="R1842" s="155"/>
      <c r="S1842" s="155"/>
      <c r="T1842" s="155"/>
      <c r="U1842" s="155"/>
      <c r="V1842" s="155"/>
      <c r="W1842" s="155"/>
      <c r="GL1842" s="155"/>
      <c r="GM1842" s="155"/>
      <c r="GN1842" s="155"/>
      <c r="GO1842" s="155"/>
      <c r="GP1842" s="155"/>
      <c r="GQ1842" s="155"/>
      <c r="GR1842" s="155"/>
      <c r="GS1842" s="155"/>
      <c r="GT1842" s="155"/>
      <c r="GU1842" s="155"/>
      <c r="GV1842" s="155"/>
      <c r="GW1842" s="155"/>
      <c r="GX1842" s="155"/>
      <c r="GY1842" s="155"/>
      <c r="GZ1842" s="155"/>
      <c r="HA1842" s="155"/>
      <c r="HB1842" s="155"/>
      <c r="HC1842" s="155"/>
      <c r="HD1842" s="155"/>
      <c r="HE1842" s="155"/>
    </row>
    <row r="1843" spans="2:213" s="156" customFormat="1" hidden="1">
      <c r="B1843" s="155"/>
      <c r="C1843" s="155"/>
      <c r="D1843" s="155"/>
      <c r="E1843" s="155"/>
      <c r="F1843" s="155"/>
      <c r="G1843" s="155"/>
      <c r="H1843" s="155"/>
      <c r="I1843" s="155"/>
      <c r="J1843" s="155"/>
      <c r="K1843" s="155"/>
      <c r="L1843" s="155"/>
      <c r="M1843" s="155"/>
      <c r="N1843" s="155"/>
      <c r="O1843" s="155"/>
      <c r="P1843" s="155"/>
      <c r="Q1843" s="155"/>
      <c r="R1843" s="155"/>
      <c r="S1843" s="155"/>
      <c r="T1843" s="155"/>
      <c r="U1843" s="155"/>
      <c r="V1843" s="155"/>
      <c r="W1843" s="155"/>
      <c r="GL1843" s="155"/>
      <c r="GM1843" s="155"/>
      <c r="GN1843" s="155"/>
      <c r="GO1843" s="155"/>
      <c r="GP1843" s="155"/>
      <c r="GQ1843" s="155"/>
      <c r="GR1843" s="155"/>
      <c r="GS1843" s="155"/>
      <c r="GT1843" s="155"/>
      <c r="GU1843" s="155"/>
      <c r="GV1843" s="155"/>
      <c r="GW1843" s="155"/>
      <c r="GX1843" s="155"/>
      <c r="GY1843" s="155"/>
      <c r="GZ1843" s="155"/>
      <c r="HA1843" s="155"/>
      <c r="HB1843" s="155"/>
      <c r="HC1843" s="155"/>
      <c r="HD1843" s="155"/>
      <c r="HE1843" s="155"/>
    </row>
    <row r="1844" spans="2:213" s="156" customFormat="1" hidden="1">
      <c r="B1844" s="155"/>
      <c r="C1844" s="155"/>
      <c r="D1844" s="155"/>
      <c r="E1844" s="155"/>
      <c r="F1844" s="155"/>
      <c r="G1844" s="155"/>
      <c r="H1844" s="155"/>
      <c r="I1844" s="155"/>
      <c r="J1844" s="155"/>
      <c r="K1844" s="155"/>
      <c r="L1844" s="155"/>
      <c r="M1844" s="155"/>
      <c r="N1844" s="155"/>
      <c r="O1844" s="155"/>
      <c r="P1844" s="155"/>
      <c r="Q1844" s="155"/>
      <c r="R1844" s="155"/>
      <c r="S1844" s="155"/>
      <c r="T1844" s="155"/>
      <c r="U1844" s="155"/>
      <c r="V1844" s="155"/>
      <c r="W1844" s="155"/>
      <c r="GL1844" s="155"/>
      <c r="GM1844" s="155"/>
      <c r="GN1844" s="155"/>
      <c r="GO1844" s="155"/>
      <c r="GP1844" s="155"/>
      <c r="GQ1844" s="155"/>
      <c r="GR1844" s="155"/>
      <c r="GS1844" s="155"/>
      <c r="GT1844" s="155"/>
      <c r="GU1844" s="155"/>
      <c r="GV1844" s="155"/>
      <c r="GW1844" s="155"/>
      <c r="GX1844" s="155"/>
      <c r="GY1844" s="155"/>
      <c r="GZ1844" s="155"/>
      <c r="HA1844" s="155"/>
      <c r="HB1844" s="155"/>
      <c r="HC1844" s="155"/>
      <c r="HD1844" s="155"/>
      <c r="HE1844" s="155"/>
    </row>
    <row r="1845" spans="2:213" s="156" customFormat="1" hidden="1">
      <c r="B1845" s="155"/>
      <c r="C1845" s="155"/>
      <c r="D1845" s="155"/>
      <c r="E1845" s="155"/>
      <c r="F1845" s="155"/>
      <c r="G1845" s="155"/>
      <c r="H1845" s="155"/>
      <c r="I1845" s="155"/>
      <c r="J1845" s="155"/>
      <c r="K1845" s="155"/>
      <c r="L1845" s="155"/>
      <c r="M1845" s="155"/>
      <c r="N1845" s="155"/>
      <c r="O1845" s="155"/>
      <c r="P1845" s="155"/>
      <c r="Q1845" s="155"/>
      <c r="R1845" s="155"/>
      <c r="S1845" s="155"/>
      <c r="T1845" s="155"/>
      <c r="U1845" s="155"/>
      <c r="V1845" s="155"/>
      <c r="W1845" s="155"/>
      <c r="GL1845" s="155"/>
      <c r="GM1845" s="155"/>
      <c r="GN1845" s="155"/>
      <c r="GO1845" s="155"/>
      <c r="GP1845" s="155"/>
      <c r="GQ1845" s="155"/>
      <c r="GR1845" s="155"/>
      <c r="GS1845" s="155"/>
      <c r="GT1845" s="155"/>
      <c r="GU1845" s="155"/>
      <c r="GV1845" s="155"/>
      <c r="GW1845" s="155"/>
      <c r="GX1845" s="155"/>
      <c r="GY1845" s="155"/>
      <c r="GZ1845" s="155"/>
      <c r="HA1845" s="155"/>
      <c r="HB1845" s="155"/>
      <c r="HC1845" s="155"/>
      <c r="HD1845" s="155"/>
      <c r="HE1845" s="155"/>
    </row>
    <row r="1846" spans="2:213" s="156" customFormat="1" hidden="1">
      <c r="B1846" s="155"/>
      <c r="C1846" s="155"/>
      <c r="D1846" s="155"/>
      <c r="E1846" s="155"/>
      <c r="F1846" s="155"/>
      <c r="G1846" s="155"/>
      <c r="H1846" s="155"/>
      <c r="I1846" s="155"/>
      <c r="J1846" s="155"/>
      <c r="K1846" s="155"/>
      <c r="L1846" s="155"/>
      <c r="M1846" s="155"/>
      <c r="N1846" s="155"/>
      <c r="O1846" s="155"/>
      <c r="P1846" s="155"/>
      <c r="Q1846" s="155"/>
      <c r="R1846" s="155"/>
      <c r="S1846" s="155"/>
      <c r="T1846" s="155"/>
      <c r="U1846" s="155"/>
      <c r="V1846" s="155"/>
      <c r="W1846" s="155"/>
      <c r="GL1846" s="155"/>
      <c r="GM1846" s="155"/>
      <c r="GN1846" s="155"/>
      <c r="GO1846" s="155"/>
      <c r="GP1846" s="155"/>
      <c r="GQ1846" s="155"/>
      <c r="GR1846" s="155"/>
      <c r="GS1846" s="155"/>
      <c r="GT1846" s="155"/>
      <c r="GU1846" s="155"/>
      <c r="GV1846" s="155"/>
      <c r="GW1846" s="155"/>
      <c r="GX1846" s="155"/>
      <c r="GY1846" s="155"/>
      <c r="GZ1846" s="155"/>
      <c r="HA1846" s="155"/>
      <c r="HB1846" s="155"/>
      <c r="HC1846" s="155"/>
      <c r="HD1846" s="155"/>
      <c r="HE1846" s="155"/>
    </row>
    <row r="1847" spans="2:213" s="156" customFormat="1" hidden="1">
      <c r="B1847" s="155"/>
      <c r="C1847" s="155"/>
      <c r="D1847" s="155"/>
      <c r="E1847" s="155"/>
      <c r="F1847" s="155"/>
      <c r="G1847" s="155"/>
      <c r="H1847" s="155"/>
      <c r="I1847" s="155"/>
      <c r="J1847" s="155"/>
      <c r="K1847" s="155"/>
      <c r="L1847" s="155"/>
      <c r="M1847" s="155"/>
      <c r="N1847" s="155"/>
      <c r="O1847" s="155"/>
      <c r="P1847" s="155"/>
      <c r="Q1847" s="155"/>
      <c r="R1847" s="155"/>
      <c r="S1847" s="155"/>
      <c r="T1847" s="155"/>
      <c r="U1847" s="155"/>
      <c r="V1847" s="155"/>
      <c r="W1847" s="155"/>
      <c r="GL1847" s="155"/>
      <c r="GM1847" s="155"/>
      <c r="GN1847" s="155"/>
      <c r="GO1847" s="155"/>
      <c r="GP1847" s="155"/>
      <c r="GQ1847" s="155"/>
      <c r="GR1847" s="155"/>
      <c r="GS1847" s="155"/>
      <c r="GT1847" s="155"/>
      <c r="GU1847" s="155"/>
      <c r="GV1847" s="155"/>
      <c r="GW1847" s="155"/>
      <c r="GX1847" s="155"/>
      <c r="GY1847" s="155"/>
      <c r="GZ1847" s="155"/>
      <c r="HA1847" s="155"/>
      <c r="HB1847" s="155"/>
      <c r="HC1847" s="155"/>
      <c r="HD1847" s="155"/>
      <c r="HE1847" s="155"/>
    </row>
    <row r="1848" spans="2:213" s="156" customFormat="1" hidden="1">
      <c r="B1848" s="155"/>
      <c r="C1848" s="155"/>
      <c r="D1848" s="155"/>
      <c r="E1848" s="155"/>
      <c r="F1848" s="155"/>
      <c r="G1848" s="155"/>
      <c r="H1848" s="155"/>
      <c r="I1848" s="155"/>
      <c r="J1848" s="155"/>
      <c r="K1848" s="155"/>
      <c r="L1848" s="155"/>
      <c r="M1848" s="155"/>
      <c r="N1848" s="155"/>
      <c r="O1848" s="155"/>
      <c r="P1848" s="155"/>
      <c r="Q1848" s="155"/>
      <c r="R1848" s="155"/>
      <c r="S1848" s="155"/>
      <c r="T1848" s="155"/>
      <c r="U1848" s="155"/>
      <c r="V1848" s="155"/>
      <c r="W1848" s="155"/>
      <c r="GL1848" s="155"/>
      <c r="GM1848" s="155"/>
      <c r="GN1848" s="155"/>
      <c r="GO1848" s="155"/>
      <c r="GP1848" s="155"/>
      <c r="GQ1848" s="155"/>
      <c r="GR1848" s="155"/>
      <c r="GS1848" s="155"/>
      <c r="GT1848" s="155"/>
      <c r="GU1848" s="155"/>
      <c r="GV1848" s="155"/>
      <c r="GW1848" s="155"/>
      <c r="GX1848" s="155"/>
      <c r="GY1848" s="155"/>
      <c r="GZ1848" s="155"/>
      <c r="HA1848" s="155"/>
      <c r="HB1848" s="155"/>
      <c r="HC1848" s="155"/>
      <c r="HD1848" s="155"/>
      <c r="HE1848" s="155"/>
    </row>
    <row r="1849" spans="2:213" s="156" customFormat="1" hidden="1">
      <c r="B1849" s="155"/>
      <c r="C1849" s="155"/>
      <c r="D1849" s="155"/>
      <c r="E1849" s="155"/>
      <c r="F1849" s="155"/>
      <c r="G1849" s="155"/>
      <c r="H1849" s="155"/>
      <c r="I1849" s="155"/>
      <c r="J1849" s="155"/>
      <c r="K1849" s="155"/>
      <c r="L1849" s="155"/>
      <c r="M1849" s="155"/>
      <c r="N1849" s="155"/>
      <c r="O1849" s="155"/>
      <c r="P1849" s="155"/>
      <c r="Q1849" s="155"/>
      <c r="R1849" s="155"/>
      <c r="S1849" s="155"/>
      <c r="T1849" s="155"/>
      <c r="U1849" s="155"/>
      <c r="V1849" s="155"/>
      <c r="W1849" s="155"/>
      <c r="GL1849" s="155"/>
      <c r="GM1849" s="155"/>
      <c r="GN1849" s="155"/>
      <c r="GO1849" s="155"/>
      <c r="GP1849" s="155"/>
      <c r="GQ1849" s="155"/>
      <c r="GR1849" s="155"/>
      <c r="GS1849" s="155"/>
      <c r="GT1849" s="155"/>
      <c r="GU1849" s="155"/>
      <c r="GV1849" s="155"/>
      <c r="GW1849" s="155"/>
      <c r="GX1849" s="155"/>
      <c r="GY1849" s="155"/>
      <c r="GZ1849" s="155"/>
      <c r="HA1849" s="155"/>
      <c r="HB1849" s="155"/>
      <c r="HC1849" s="155"/>
      <c r="HD1849" s="155"/>
      <c r="HE1849" s="155"/>
    </row>
    <row r="1850" spans="2:213" s="156" customFormat="1" hidden="1">
      <c r="B1850" s="155"/>
      <c r="C1850" s="155"/>
      <c r="D1850" s="155"/>
      <c r="E1850" s="155"/>
      <c r="F1850" s="155"/>
      <c r="G1850" s="155"/>
      <c r="H1850" s="155"/>
      <c r="I1850" s="155"/>
      <c r="J1850" s="155"/>
      <c r="K1850" s="155"/>
      <c r="L1850" s="155"/>
      <c r="M1850" s="155"/>
      <c r="N1850" s="155"/>
      <c r="O1850" s="155"/>
      <c r="P1850" s="155"/>
      <c r="Q1850" s="155"/>
      <c r="R1850" s="155"/>
      <c r="S1850" s="155"/>
      <c r="T1850" s="155"/>
      <c r="U1850" s="155"/>
      <c r="V1850" s="155"/>
      <c r="W1850" s="155"/>
      <c r="GL1850" s="155"/>
      <c r="GM1850" s="155"/>
      <c r="GN1850" s="155"/>
      <c r="GO1850" s="155"/>
      <c r="GP1850" s="155"/>
      <c r="GQ1850" s="155"/>
      <c r="GR1850" s="155"/>
      <c r="GS1850" s="155"/>
      <c r="GT1850" s="155"/>
      <c r="GU1850" s="155"/>
      <c r="GV1850" s="155"/>
      <c r="GW1850" s="155"/>
      <c r="GX1850" s="155"/>
      <c r="GY1850" s="155"/>
      <c r="GZ1850" s="155"/>
      <c r="HA1850" s="155"/>
      <c r="HB1850" s="155"/>
      <c r="HC1850" s="155"/>
      <c r="HD1850" s="155"/>
      <c r="HE1850" s="155"/>
    </row>
    <row r="1851" spans="2:213" s="156" customFormat="1" hidden="1">
      <c r="B1851" s="155"/>
      <c r="C1851" s="155"/>
      <c r="D1851" s="155"/>
      <c r="E1851" s="155"/>
      <c r="F1851" s="155"/>
      <c r="G1851" s="155"/>
      <c r="H1851" s="155"/>
      <c r="I1851" s="155"/>
      <c r="J1851" s="155"/>
      <c r="K1851" s="155"/>
      <c r="L1851" s="155"/>
      <c r="M1851" s="155"/>
      <c r="N1851" s="155"/>
      <c r="O1851" s="155"/>
      <c r="P1851" s="155"/>
      <c r="Q1851" s="155"/>
      <c r="R1851" s="155"/>
      <c r="S1851" s="155"/>
      <c r="T1851" s="155"/>
      <c r="U1851" s="155"/>
      <c r="V1851" s="155"/>
      <c r="W1851" s="155"/>
      <c r="GL1851" s="155"/>
      <c r="GM1851" s="155"/>
      <c r="GN1851" s="155"/>
      <c r="GO1851" s="155"/>
      <c r="GP1851" s="155"/>
      <c r="GQ1851" s="155"/>
      <c r="GR1851" s="155"/>
      <c r="GS1851" s="155"/>
      <c r="GT1851" s="155"/>
      <c r="GU1851" s="155"/>
      <c r="GV1851" s="155"/>
      <c r="GW1851" s="155"/>
      <c r="GX1851" s="155"/>
      <c r="GY1851" s="155"/>
      <c r="GZ1851" s="155"/>
      <c r="HA1851" s="155"/>
      <c r="HB1851" s="155"/>
      <c r="HC1851" s="155"/>
      <c r="HD1851" s="155"/>
      <c r="HE1851" s="155"/>
    </row>
    <row r="1852" spans="2:213" s="156" customFormat="1" hidden="1">
      <c r="B1852" s="155"/>
      <c r="C1852" s="155"/>
      <c r="D1852" s="155"/>
      <c r="E1852" s="155"/>
      <c r="F1852" s="155"/>
      <c r="G1852" s="155"/>
      <c r="H1852" s="155"/>
      <c r="I1852" s="155"/>
      <c r="J1852" s="155"/>
      <c r="K1852" s="155"/>
      <c r="L1852" s="155"/>
      <c r="M1852" s="155"/>
      <c r="N1852" s="155"/>
      <c r="O1852" s="155"/>
      <c r="P1852" s="155"/>
      <c r="Q1852" s="155"/>
      <c r="R1852" s="155"/>
      <c r="S1852" s="155"/>
      <c r="T1852" s="155"/>
      <c r="U1852" s="155"/>
      <c r="V1852" s="155"/>
      <c r="W1852" s="155"/>
      <c r="GL1852" s="155"/>
      <c r="GM1852" s="155"/>
      <c r="GN1852" s="155"/>
      <c r="GO1852" s="155"/>
      <c r="GP1852" s="155"/>
      <c r="GQ1852" s="155"/>
      <c r="GR1852" s="155"/>
      <c r="GS1852" s="155"/>
      <c r="GT1852" s="155"/>
      <c r="GU1852" s="155"/>
      <c r="GV1852" s="155"/>
      <c r="GW1852" s="155"/>
      <c r="GX1852" s="155"/>
      <c r="GY1852" s="155"/>
      <c r="GZ1852" s="155"/>
      <c r="HA1852" s="155"/>
      <c r="HB1852" s="155"/>
      <c r="HC1852" s="155"/>
      <c r="HD1852" s="155"/>
      <c r="HE1852" s="155"/>
    </row>
    <row r="1853" spans="2:213" s="156" customFormat="1" hidden="1">
      <c r="B1853" s="155"/>
      <c r="C1853" s="155"/>
      <c r="D1853" s="155"/>
      <c r="E1853" s="155"/>
      <c r="F1853" s="155"/>
      <c r="G1853" s="155"/>
      <c r="H1853" s="155"/>
      <c r="I1853" s="155"/>
      <c r="J1853" s="155"/>
      <c r="K1853" s="155"/>
      <c r="L1853" s="155"/>
      <c r="M1853" s="155"/>
      <c r="N1853" s="155"/>
      <c r="O1853" s="155"/>
      <c r="P1853" s="155"/>
      <c r="Q1853" s="155"/>
      <c r="R1853" s="155"/>
      <c r="S1853" s="155"/>
      <c r="T1853" s="155"/>
      <c r="U1853" s="155"/>
      <c r="V1853" s="155"/>
      <c r="W1853" s="155"/>
      <c r="GL1853" s="155"/>
      <c r="GM1853" s="155"/>
      <c r="GN1853" s="155"/>
      <c r="GO1853" s="155"/>
      <c r="GP1853" s="155"/>
      <c r="GQ1853" s="155"/>
      <c r="GR1853" s="155"/>
      <c r="GS1853" s="155"/>
      <c r="GT1853" s="155"/>
      <c r="GU1853" s="155"/>
      <c r="GV1853" s="155"/>
      <c r="GW1853" s="155"/>
      <c r="GX1853" s="155"/>
      <c r="GY1853" s="155"/>
      <c r="GZ1853" s="155"/>
      <c r="HA1853" s="155"/>
      <c r="HB1853" s="155"/>
      <c r="HC1853" s="155"/>
      <c r="HD1853" s="155"/>
      <c r="HE1853" s="155"/>
    </row>
    <row r="1854" spans="2:213" s="156" customFormat="1" hidden="1">
      <c r="B1854" s="155"/>
      <c r="C1854" s="155"/>
      <c r="D1854" s="155"/>
      <c r="E1854" s="155"/>
      <c r="F1854" s="155"/>
      <c r="G1854" s="155"/>
      <c r="H1854" s="155"/>
      <c r="I1854" s="155"/>
      <c r="J1854" s="155"/>
      <c r="K1854" s="155"/>
      <c r="L1854" s="155"/>
      <c r="M1854" s="155"/>
      <c r="N1854" s="155"/>
      <c r="O1854" s="155"/>
      <c r="P1854" s="155"/>
      <c r="Q1854" s="155"/>
      <c r="R1854" s="155"/>
      <c r="S1854" s="155"/>
      <c r="T1854" s="155"/>
      <c r="U1854" s="155"/>
      <c r="V1854" s="155"/>
      <c r="W1854" s="155"/>
      <c r="GL1854" s="155"/>
      <c r="GM1854" s="155"/>
      <c r="GN1854" s="155"/>
      <c r="GO1854" s="155"/>
      <c r="GP1854" s="155"/>
      <c r="GQ1854" s="155"/>
      <c r="GR1854" s="155"/>
      <c r="GS1854" s="155"/>
      <c r="GT1854" s="155"/>
      <c r="GU1854" s="155"/>
      <c r="GV1854" s="155"/>
      <c r="GW1854" s="155"/>
      <c r="GX1854" s="155"/>
      <c r="GY1854" s="155"/>
      <c r="GZ1854" s="155"/>
      <c r="HA1854" s="155"/>
      <c r="HB1854" s="155"/>
      <c r="HC1854" s="155"/>
      <c r="HD1854" s="155"/>
      <c r="HE1854" s="155"/>
    </row>
    <row r="1855" spans="2:213" s="156" customFormat="1" hidden="1">
      <c r="B1855" s="155"/>
      <c r="C1855" s="155"/>
      <c r="D1855" s="155"/>
      <c r="E1855" s="155"/>
      <c r="F1855" s="155"/>
      <c r="G1855" s="155"/>
      <c r="H1855" s="155"/>
      <c r="I1855" s="155"/>
      <c r="J1855" s="155"/>
      <c r="K1855" s="155"/>
      <c r="L1855" s="155"/>
      <c r="M1855" s="155"/>
      <c r="N1855" s="155"/>
      <c r="O1855" s="155"/>
      <c r="P1855" s="155"/>
      <c r="Q1855" s="155"/>
      <c r="R1855" s="155"/>
      <c r="S1855" s="155"/>
      <c r="T1855" s="155"/>
      <c r="U1855" s="155"/>
      <c r="V1855" s="155"/>
      <c r="W1855" s="155"/>
      <c r="GL1855" s="155"/>
      <c r="GM1855" s="155"/>
      <c r="GN1855" s="155"/>
      <c r="GO1855" s="155"/>
      <c r="GP1855" s="155"/>
      <c r="GQ1855" s="155"/>
      <c r="GR1855" s="155"/>
      <c r="GS1855" s="155"/>
      <c r="GT1855" s="155"/>
      <c r="GU1855" s="155"/>
      <c r="GV1855" s="155"/>
      <c r="GW1855" s="155"/>
      <c r="GX1855" s="155"/>
      <c r="GY1855" s="155"/>
      <c r="GZ1855" s="155"/>
      <c r="HA1855" s="155"/>
      <c r="HB1855" s="155"/>
      <c r="HC1855" s="155"/>
      <c r="HD1855" s="155"/>
      <c r="HE1855" s="155"/>
    </row>
    <row r="1856" spans="2:213" s="156" customFormat="1" hidden="1">
      <c r="B1856" s="155"/>
      <c r="C1856" s="155"/>
      <c r="D1856" s="155"/>
      <c r="E1856" s="155"/>
      <c r="F1856" s="155"/>
      <c r="G1856" s="155"/>
      <c r="H1856" s="155"/>
      <c r="I1856" s="155"/>
      <c r="J1856" s="155"/>
      <c r="K1856" s="155"/>
      <c r="L1856" s="155"/>
      <c r="M1856" s="155"/>
      <c r="N1856" s="155"/>
      <c r="O1856" s="155"/>
      <c r="P1856" s="155"/>
      <c r="Q1856" s="155"/>
      <c r="R1856" s="155"/>
      <c r="S1856" s="155"/>
      <c r="T1856" s="155"/>
      <c r="U1856" s="155"/>
      <c r="V1856" s="155"/>
      <c r="W1856" s="155"/>
      <c r="GL1856" s="155"/>
      <c r="GM1856" s="155"/>
      <c r="GN1856" s="155"/>
      <c r="GO1856" s="155"/>
      <c r="GP1856" s="155"/>
      <c r="GQ1856" s="155"/>
      <c r="GR1856" s="155"/>
      <c r="GS1856" s="155"/>
      <c r="GT1856" s="155"/>
      <c r="GU1856" s="155"/>
      <c r="GV1856" s="155"/>
      <c r="GW1856" s="155"/>
      <c r="GX1856" s="155"/>
      <c r="GY1856" s="155"/>
      <c r="GZ1856" s="155"/>
      <c r="HA1856" s="155"/>
      <c r="HB1856" s="155"/>
      <c r="HC1856" s="155"/>
      <c r="HD1856" s="155"/>
      <c r="HE1856" s="155"/>
    </row>
    <row r="1857" spans="2:213" s="156" customFormat="1" hidden="1">
      <c r="B1857" s="155"/>
      <c r="C1857" s="155"/>
      <c r="D1857" s="155"/>
      <c r="E1857" s="155"/>
      <c r="F1857" s="155"/>
      <c r="G1857" s="155"/>
      <c r="H1857" s="155"/>
      <c r="I1857" s="155"/>
      <c r="J1857" s="155"/>
      <c r="K1857" s="155"/>
      <c r="L1857" s="155"/>
      <c r="M1857" s="155"/>
      <c r="N1857" s="155"/>
      <c r="O1857" s="155"/>
      <c r="P1857" s="155"/>
      <c r="Q1857" s="155"/>
      <c r="R1857" s="155"/>
      <c r="S1857" s="155"/>
      <c r="T1857" s="155"/>
      <c r="U1857" s="155"/>
      <c r="V1857" s="155"/>
      <c r="W1857" s="155"/>
      <c r="GL1857" s="155"/>
      <c r="GM1857" s="155"/>
      <c r="GN1857" s="155"/>
      <c r="GO1857" s="155"/>
      <c r="GP1857" s="155"/>
      <c r="GQ1857" s="155"/>
      <c r="GR1857" s="155"/>
      <c r="GS1857" s="155"/>
      <c r="GT1857" s="155"/>
      <c r="GU1857" s="155"/>
      <c r="GV1857" s="155"/>
      <c r="GW1857" s="155"/>
      <c r="GX1857" s="155"/>
      <c r="GY1857" s="155"/>
      <c r="GZ1857" s="155"/>
      <c r="HA1857" s="155"/>
      <c r="HB1857" s="155"/>
      <c r="HC1857" s="155"/>
      <c r="HD1857" s="155"/>
      <c r="HE1857" s="155"/>
    </row>
    <row r="1858" spans="2:213" s="156" customFormat="1" hidden="1">
      <c r="B1858" s="155"/>
      <c r="C1858" s="155"/>
      <c r="D1858" s="155"/>
      <c r="E1858" s="155"/>
      <c r="F1858" s="155"/>
      <c r="G1858" s="155"/>
      <c r="H1858" s="155"/>
      <c r="I1858" s="155"/>
      <c r="J1858" s="155"/>
      <c r="K1858" s="155"/>
      <c r="L1858" s="155"/>
      <c r="M1858" s="155"/>
      <c r="N1858" s="155"/>
      <c r="O1858" s="155"/>
      <c r="P1858" s="155"/>
      <c r="Q1858" s="155"/>
      <c r="R1858" s="155"/>
      <c r="S1858" s="155"/>
      <c r="T1858" s="155"/>
      <c r="U1858" s="155"/>
      <c r="V1858" s="155"/>
      <c r="W1858" s="155"/>
      <c r="GL1858" s="155"/>
      <c r="GM1858" s="155"/>
      <c r="GN1858" s="155"/>
      <c r="GO1858" s="155"/>
      <c r="GP1858" s="155"/>
      <c r="GQ1858" s="155"/>
      <c r="GR1858" s="155"/>
      <c r="GS1858" s="155"/>
      <c r="GT1858" s="155"/>
      <c r="GU1858" s="155"/>
      <c r="GV1858" s="155"/>
      <c r="GW1858" s="155"/>
      <c r="GX1858" s="155"/>
      <c r="GY1858" s="155"/>
      <c r="GZ1858" s="155"/>
      <c r="HA1858" s="155"/>
      <c r="HB1858" s="155"/>
      <c r="HC1858" s="155"/>
      <c r="HD1858" s="155"/>
      <c r="HE1858" s="155"/>
    </row>
    <row r="1859" spans="2:213" s="156" customFormat="1" hidden="1">
      <c r="B1859" s="155"/>
      <c r="C1859" s="155"/>
      <c r="D1859" s="155"/>
      <c r="E1859" s="155"/>
      <c r="F1859" s="155"/>
      <c r="G1859" s="155"/>
      <c r="H1859" s="155"/>
      <c r="I1859" s="155"/>
      <c r="J1859" s="155"/>
      <c r="K1859" s="155"/>
      <c r="L1859" s="155"/>
      <c r="M1859" s="155"/>
      <c r="N1859" s="155"/>
      <c r="O1859" s="155"/>
      <c r="P1859" s="155"/>
      <c r="Q1859" s="155"/>
      <c r="R1859" s="155"/>
      <c r="S1859" s="155"/>
      <c r="T1859" s="155"/>
      <c r="U1859" s="155"/>
      <c r="V1859" s="155"/>
      <c r="W1859" s="155"/>
      <c r="GL1859" s="155"/>
      <c r="GM1859" s="155"/>
      <c r="GN1859" s="155"/>
      <c r="GO1859" s="155"/>
      <c r="GP1859" s="155"/>
      <c r="GQ1859" s="155"/>
      <c r="GR1859" s="155"/>
      <c r="GS1859" s="155"/>
      <c r="GT1859" s="155"/>
      <c r="GU1859" s="155"/>
      <c r="GV1859" s="155"/>
      <c r="GW1859" s="155"/>
      <c r="GX1859" s="155"/>
      <c r="GY1859" s="155"/>
      <c r="GZ1859" s="155"/>
      <c r="HA1859" s="155"/>
      <c r="HB1859" s="155"/>
      <c r="HC1859" s="155"/>
      <c r="HD1859" s="155"/>
      <c r="HE1859" s="155"/>
    </row>
    <row r="1860" spans="2:213" s="156" customFormat="1" hidden="1">
      <c r="B1860" s="155"/>
      <c r="C1860" s="155"/>
      <c r="D1860" s="155"/>
      <c r="E1860" s="155"/>
      <c r="F1860" s="155"/>
      <c r="G1860" s="155"/>
      <c r="H1860" s="155"/>
      <c r="I1860" s="155"/>
      <c r="J1860" s="155"/>
      <c r="K1860" s="155"/>
      <c r="L1860" s="155"/>
      <c r="M1860" s="155"/>
      <c r="N1860" s="155"/>
      <c r="O1860" s="155"/>
      <c r="P1860" s="155"/>
      <c r="Q1860" s="155"/>
      <c r="R1860" s="155"/>
      <c r="S1860" s="155"/>
      <c r="T1860" s="155"/>
      <c r="U1860" s="155"/>
      <c r="V1860" s="155"/>
      <c r="W1860" s="155"/>
      <c r="GL1860" s="155"/>
      <c r="GM1860" s="155"/>
      <c r="GN1860" s="155"/>
      <c r="GO1860" s="155"/>
      <c r="GP1860" s="155"/>
      <c r="GQ1860" s="155"/>
      <c r="GR1860" s="155"/>
      <c r="GS1860" s="155"/>
      <c r="GT1860" s="155"/>
      <c r="GU1860" s="155"/>
      <c r="GV1860" s="155"/>
      <c r="GW1860" s="155"/>
      <c r="GX1860" s="155"/>
      <c r="GY1860" s="155"/>
      <c r="GZ1860" s="155"/>
      <c r="HA1860" s="155"/>
      <c r="HB1860" s="155"/>
      <c r="HC1860" s="155"/>
      <c r="HD1860" s="155"/>
      <c r="HE1860" s="155"/>
    </row>
    <row r="1861" spans="2:213" s="156" customFormat="1" hidden="1">
      <c r="B1861" s="155"/>
      <c r="C1861" s="155"/>
      <c r="D1861" s="155"/>
      <c r="E1861" s="155"/>
      <c r="F1861" s="155"/>
      <c r="G1861" s="155"/>
      <c r="H1861" s="155"/>
      <c r="I1861" s="155"/>
      <c r="J1861" s="155"/>
      <c r="K1861" s="155"/>
      <c r="L1861" s="155"/>
      <c r="M1861" s="155"/>
      <c r="N1861" s="155"/>
      <c r="O1861" s="155"/>
      <c r="P1861" s="155"/>
      <c r="Q1861" s="155"/>
      <c r="R1861" s="155"/>
      <c r="S1861" s="155"/>
      <c r="T1861" s="155"/>
      <c r="U1861" s="155"/>
      <c r="V1861" s="155"/>
      <c r="W1861" s="155"/>
      <c r="GL1861" s="155"/>
      <c r="GM1861" s="155"/>
      <c r="GN1861" s="155"/>
      <c r="GO1861" s="155"/>
      <c r="GP1861" s="155"/>
      <c r="GQ1861" s="155"/>
      <c r="GR1861" s="155"/>
      <c r="GS1861" s="155"/>
      <c r="GT1861" s="155"/>
      <c r="GU1861" s="155"/>
      <c r="GV1861" s="155"/>
      <c r="GW1861" s="155"/>
      <c r="GX1861" s="155"/>
      <c r="GY1861" s="155"/>
      <c r="GZ1861" s="155"/>
      <c r="HA1861" s="155"/>
      <c r="HB1861" s="155"/>
      <c r="HC1861" s="155"/>
      <c r="HD1861" s="155"/>
      <c r="HE1861" s="155"/>
    </row>
    <row r="1862" spans="2:213" s="156" customFormat="1" hidden="1">
      <c r="B1862" s="155"/>
      <c r="C1862" s="155"/>
      <c r="D1862" s="155"/>
      <c r="E1862" s="155"/>
      <c r="F1862" s="155"/>
      <c r="G1862" s="155"/>
      <c r="H1862" s="155"/>
      <c r="I1862" s="155"/>
      <c r="J1862" s="155"/>
      <c r="K1862" s="155"/>
      <c r="L1862" s="155"/>
      <c r="M1862" s="155"/>
      <c r="N1862" s="155"/>
      <c r="O1862" s="155"/>
      <c r="P1862" s="155"/>
      <c r="Q1862" s="155"/>
      <c r="R1862" s="155"/>
      <c r="S1862" s="155"/>
      <c r="T1862" s="155"/>
      <c r="U1862" s="155"/>
      <c r="V1862" s="155"/>
      <c r="W1862" s="155"/>
      <c r="GL1862" s="155"/>
      <c r="GM1862" s="155"/>
      <c r="GN1862" s="155"/>
      <c r="GO1862" s="155"/>
      <c r="GP1862" s="155"/>
      <c r="GQ1862" s="155"/>
      <c r="GR1862" s="155"/>
      <c r="GS1862" s="155"/>
      <c r="GT1862" s="155"/>
      <c r="GU1862" s="155"/>
      <c r="GV1862" s="155"/>
      <c r="GW1862" s="155"/>
      <c r="GX1862" s="155"/>
      <c r="GY1862" s="155"/>
      <c r="GZ1862" s="155"/>
      <c r="HA1862" s="155"/>
      <c r="HB1862" s="155"/>
      <c r="HC1862" s="155"/>
      <c r="HD1862" s="155"/>
      <c r="HE1862" s="155"/>
    </row>
    <row r="1863" spans="2:213" s="156" customFormat="1" hidden="1">
      <c r="B1863" s="155"/>
      <c r="C1863" s="155"/>
      <c r="D1863" s="155"/>
      <c r="E1863" s="155"/>
      <c r="F1863" s="155"/>
      <c r="G1863" s="155"/>
      <c r="H1863" s="155"/>
      <c r="I1863" s="155"/>
      <c r="J1863" s="155"/>
      <c r="K1863" s="155"/>
      <c r="L1863" s="155"/>
      <c r="M1863" s="155"/>
      <c r="N1863" s="155"/>
      <c r="O1863" s="155"/>
      <c r="P1863" s="155"/>
      <c r="Q1863" s="155"/>
      <c r="R1863" s="155"/>
      <c r="S1863" s="155"/>
      <c r="T1863" s="155"/>
      <c r="U1863" s="155"/>
      <c r="V1863" s="155"/>
      <c r="W1863" s="155"/>
      <c r="GL1863" s="155"/>
      <c r="GM1863" s="155"/>
      <c r="GN1863" s="155"/>
      <c r="GO1863" s="155"/>
      <c r="GP1863" s="155"/>
      <c r="GQ1863" s="155"/>
      <c r="GR1863" s="155"/>
      <c r="GS1863" s="155"/>
      <c r="GT1863" s="155"/>
      <c r="GU1863" s="155"/>
      <c r="GV1863" s="155"/>
      <c r="GW1863" s="155"/>
      <c r="GX1863" s="155"/>
      <c r="GY1863" s="155"/>
      <c r="GZ1863" s="155"/>
      <c r="HA1863" s="155"/>
      <c r="HB1863" s="155"/>
      <c r="HC1863" s="155"/>
      <c r="HD1863" s="155"/>
      <c r="HE1863" s="155"/>
    </row>
    <row r="1864" spans="2:213" s="156" customFormat="1" hidden="1">
      <c r="B1864" s="155"/>
      <c r="C1864" s="155"/>
      <c r="D1864" s="155"/>
      <c r="E1864" s="155"/>
      <c r="F1864" s="155"/>
      <c r="G1864" s="155"/>
      <c r="H1864" s="155"/>
      <c r="I1864" s="155"/>
      <c r="J1864" s="155"/>
      <c r="K1864" s="155"/>
      <c r="L1864" s="155"/>
      <c r="M1864" s="155"/>
      <c r="N1864" s="155"/>
      <c r="O1864" s="155"/>
      <c r="P1864" s="155"/>
      <c r="Q1864" s="155"/>
      <c r="R1864" s="155"/>
      <c r="S1864" s="155"/>
      <c r="T1864" s="155"/>
      <c r="U1864" s="155"/>
      <c r="V1864" s="155"/>
      <c r="W1864" s="155"/>
      <c r="GL1864" s="155"/>
      <c r="GM1864" s="155"/>
      <c r="GN1864" s="155"/>
      <c r="GO1864" s="155"/>
      <c r="GP1864" s="155"/>
      <c r="GQ1864" s="155"/>
      <c r="GR1864" s="155"/>
      <c r="GS1864" s="155"/>
      <c r="GT1864" s="155"/>
      <c r="GU1864" s="155"/>
      <c r="GV1864" s="155"/>
      <c r="GW1864" s="155"/>
      <c r="GX1864" s="155"/>
      <c r="GY1864" s="155"/>
      <c r="GZ1864" s="155"/>
      <c r="HA1864" s="155"/>
      <c r="HB1864" s="155"/>
      <c r="HC1864" s="155"/>
      <c r="HD1864" s="155"/>
      <c r="HE1864" s="155"/>
    </row>
    <row r="1865" spans="2:213" s="156" customFormat="1" hidden="1">
      <c r="B1865" s="155"/>
      <c r="C1865" s="155"/>
      <c r="D1865" s="155"/>
      <c r="E1865" s="155"/>
      <c r="F1865" s="155"/>
      <c r="G1865" s="155"/>
      <c r="H1865" s="155"/>
      <c r="I1865" s="155"/>
      <c r="J1865" s="155"/>
      <c r="K1865" s="155"/>
      <c r="L1865" s="155"/>
      <c r="M1865" s="155"/>
      <c r="N1865" s="155"/>
      <c r="O1865" s="155"/>
      <c r="P1865" s="155"/>
      <c r="Q1865" s="155"/>
      <c r="R1865" s="155"/>
      <c r="S1865" s="155"/>
      <c r="T1865" s="155"/>
      <c r="U1865" s="155"/>
      <c r="V1865" s="155"/>
      <c r="W1865" s="155"/>
      <c r="GL1865" s="155"/>
      <c r="GM1865" s="155"/>
      <c r="GN1865" s="155"/>
      <c r="GO1865" s="155"/>
      <c r="GP1865" s="155"/>
      <c r="GQ1865" s="155"/>
      <c r="GR1865" s="155"/>
      <c r="GS1865" s="155"/>
      <c r="GT1865" s="155"/>
      <c r="GU1865" s="155"/>
      <c r="GV1865" s="155"/>
      <c r="GW1865" s="155"/>
      <c r="GX1865" s="155"/>
      <c r="GY1865" s="155"/>
      <c r="GZ1865" s="155"/>
      <c r="HA1865" s="155"/>
      <c r="HB1865" s="155"/>
      <c r="HC1865" s="155"/>
      <c r="HD1865" s="155"/>
      <c r="HE1865" s="155"/>
    </row>
    <row r="1866" spans="2:213" s="156" customFormat="1" hidden="1">
      <c r="B1866" s="155"/>
      <c r="C1866" s="155"/>
      <c r="D1866" s="155"/>
      <c r="E1866" s="155"/>
      <c r="F1866" s="155"/>
      <c r="G1866" s="155"/>
      <c r="H1866" s="155"/>
      <c r="I1866" s="155"/>
      <c r="J1866" s="155"/>
      <c r="K1866" s="155"/>
      <c r="L1866" s="155"/>
      <c r="M1866" s="155"/>
      <c r="N1866" s="155"/>
      <c r="O1866" s="155"/>
      <c r="P1866" s="155"/>
      <c r="Q1866" s="155"/>
      <c r="R1866" s="155"/>
      <c r="S1866" s="155"/>
      <c r="T1866" s="155"/>
      <c r="U1866" s="155"/>
      <c r="V1866" s="155"/>
      <c r="W1866" s="155"/>
      <c r="GL1866" s="155"/>
      <c r="GM1866" s="155"/>
      <c r="GN1866" s="155"/>
      <c r="GO1866" s="155"/>
      <c r="GP1866" s="155"/>
      <c r="GQ1866" s="155"/>
      <c r="GR1866" s="155"/>
      <c r="GS1866" s="155"/>
      <c r="GT1866" s="155"/>
      <c r="GU1866" s="155"/>
      <c r="GV1866" s="155"/>
      <c r="GW1866" s="155"/>
      <c r="GX1866" s="155"/>
      <c r="GY1866" s="155"/>
      <c r="GZ1866" s="155"/>
      <c r="HA1866" s="155"/>
      <c r="HB1866" s="155"/>
      <c r="HC1866" s="155"/>
      <c r="HD1866" s="155"/>
      <c r="HE1866" s="155"/>
    </row>
    <row r="1867" spans="2:213" s="156" customFormat="1" hidden="1">
      <c r="B1867" s="155"/>
      <c r="C1867" s="155"/>
      <c r="D1867" s="155"/>
      <c r="E1867" s="155"/>
      <c r="F1867" s="155"/>
      <c r="G1867" s="155"/>
      <c r="H1867" s="155"/>
      <c r="I1867" s="155"/>
      <c r="J1867" s="155"/>
      <c r="K1867" s="155"/>
      <c r="L1867" s="155"/>
      <c r="M1867" s="155"/>
      <c r="N1867" s="155"/>
      <c r="O1867" s="155"/>
      <c r="P1867" s="155"/>
      <c r="Q1867" s="155"/>
      <c r="R1867" s="155"/>
      <c r="S1867" s="155"/>
      <c r="T1867" s="155"/>
      <c r="U1867" s="155"/>
      <c r="V1867" s="155"/>
      <c r="W1867" s="155"/>
      <c r="GL1867" s="155"/>
      <c r="GM1867" s="155"/>
      <c r="GN1867" s="155"/>
      <c r="GO1867" s="155"/>
      <c r="GP1867" s="155"/>
      <c r="GQ1867" s="155"/>
      <c r="GR1867" s="155"/>
      <c r="GS1867" s="155"/>
      <c r="GT1867" s="155"/>
      <c r="GU1867" s="155"/>
      <c r="GV1867" s="155"/>
      <c r="GW1867" s="155"/>
      <c r="GX1867" s="155"/>
      <c r="GY1867" s="155"/>
      <c r="GZ1867" s="155"/>
      <c r="HA1867" s="155"/>
      <c r="HB1867" s="155"/>
      <c r="HC1867" s="155"/>
      <c r="HD1867" s="155"/>
      <c r="HE1867" s="155"/>
    </row>
    <row r="1868" spans="2:213" s="156" customFormat="1" hidden="1">
      <c r="B1868" s="155"/>
      <c r="C1868" s="155"/>
      <c r="D1868" s="155"/>
      <c r="E1868" s="155"/>
      <c r="F1868" s="155"/>
      <c r="G1868" s="155"/>
      <c r="H1868" s="155"/>
      <c r="I1868" s="155"/>
      <c r="J1868" s="155"/>
      <c r="K1868" s="155"/>
      <c r="L1868" s="155"/>
      <c r="M1868" s="155"/>
      <c r="N1868" s="155"/>
      <c r="O1868" s="155"/>
      <c r="P1868" s="155"/>
      <c r="Q1868" s="155"/>
      <c r="R1868" s="155"/>
      <c r="S1868" s="155"/>
      <c r="T1868" s="155"/>
      <c r="U1868" s="155"/>
      <c r="V1868" s="155"/>
      <c r="W1868" s="155"/>
      <c r="GL1868" s="155"/>
      <c r="GM1868" s="155"/>
      <c r="GN1868" s="155"/>
      <c r="GO1868" s="155"/>
      <c r="GP1868" s="155"/>
      <c r="GQ1868" s="155"/>
      <c r="GR1868" s="155"/>
      <c r="GS1868" s="155"/>
      <c r="GT1868" s="155"/>
      <c r="GU1868" s="155"/>
      <c r="GV1868" s="155"/>
      <c r="GW1868" s="155"/>
      <c r="GX1868" s="155"/>
      <c r="GY1868" s="155"/>
      <c r="GZ1868" s="155"/>
      <c r="HA1868" s="155"/>
      <c r="HB1868" s="155"/>
      <c r="HC1868" s="155"/>
      <c r="HD1868" s="155"/>
      <c r="HE1868" s="155"/>
    </row>
    <row r="1869" spans="2:213" s="156" customFormat="1" hidden="1">
      <c r="B1869" s="155"/>
      <c r="C1869" s="155"/>
      <c r="D1869" s="155"/>
      <c r="E1869" s="155"/>
      <c r="F1869" s="155"/>
      <c r="G1869" s="155"/>
      <c r="H1869" s="155"/>
      <c r="I1869" s="155"/>
      <c r="J1869" s="155"/>
      <c r="K1869" s="155"/>
      <c r="L1869" s="155"/>
      <c r="M1869" s="155"/>
      <c r="N1869" s="155"/>
      <c r="O1869" s="155"/>
      <c r="P1869" s="155"/>
      <c r="Q1869" s="155"/>
      <c r="R1869" s="155"/>
      <c r="S1869" s="155"/>
      <c r="T1869" s="155"/>
      <c r="U1869" s="155"/>
      <c r="V1869" s="155"/>
      <c r="W1869" s="155"/>
      <c r="GL1869" s="155"/>
      <c r="GM1869" s="155"/>
      <c r="GN1869" s="155"/>
      <c r="GO1869" s="155"/>
      <c r="GP1869" s="155"/>
      <c r="GQ1869" s="155"/>
      <c r="GR1869" s="155"/>
      <c r="GS1869" s="155"/>
      <c r="GT1869" s="155"/>
      <c r="GU1869" s="155"/>
      <c r="GV1869" s="155"/>
      <c r="GW1869" s="155"/>
      <c r="GX1869" s="155"/>
      <c r="GY1869" s="155"/>
      <c r="GZ1869" s="155"/>
      <c r="HA1869" s="155"/>
      <c r="HB1869" s="155"/>
      <c r="HC1869" s="155"/>
      <c r="HD1869" s="155"/>
      <c r="HE1869" s="155"/>
    </row>
    <row r="1870" spans="2:213" s="156" customFormat="1" hidden="1">
      <c r="B1870" s="155"/>
      <c r="C1870" s="155"/>
      <c r="D1870" s="155"/>
      <c r="E1870" s="155"/>
      <c r="F1870" s="155"/>
      <c r="G1870" s="155"/>
      <c r="H1870" s="155"/>
      <c r="I1870" s="155"/>
      <c r="J1870" s="155"/>
      <c r="K1870" s="155"/>
      <c r="L1870" s="155"/>
      <c r="M1870" s="155"/>
      <c r="N1870" s="155"/>
      <c r="O1870" s="155"/>
      <c r="P1870" s="155"/>
      <c r="Q1870" s="155"/>
      <c r="R1870" s="155"/>
      <c r="S1870" s="155"/>
      <c r="T1870" s="155"/>
      <c r="U1870" s="155"/>
      <c r="V1870" s="155"/>
      <c r="W1870" s="155"/>
      <c r="GL1870" s="155"/>
      <c r="GM1870" s="155"/>
      <c r="GN1870" s="155"/>
      <c r="GO1870" s="155"/>
      <c r="GP1870" s="155"/>
      <c r="GQ1870" s="155"/>
      <c r="GR1870" s="155"/>
      <c r="GS1870" s="155"/>
      <c r="GT1870" s="155"/>
      <c r="GU1870" s="155"/>
      <c r="GV1870" s="155"/>
      <c r="GW1870" s="155"/>
      <c r="GX1870" s="155"/>
      <c r="GY1870" s="155"/>
      <c r="GZ1870" s="155"/>
      <c r="HA1870" s="155"/>
      <c r="HB1870" s="155"/>
      <c r="HC1870" s="155"/>
      <c r="HD1870" s="155"/>
      <c r="HE1870" s="155"/>
    </row>
    <row r="1871" spans="2:213" s="156" customFormat="1" hidden="1">
      <c r="B1871" s="155"/>
      <c r="C1871" s="155"/>
      <c r="D1871" s="155"/>
      <c r="E1871" s="155"/>
      <c r="F1871" s="155"/>
      <c r="G1871" s="155"/>
      <c r="H1871" s="155"/>
      <c r="I1871" s="155"/>
      <c r="J1871" s="155"/>
      <c r="K1871" s="155"/>
      <c r="L1871" s="155"/>
      <c r="M1871" s="155"/>
      <c r="N1871" s="155"/>
      <c r="O1871" s="155"/>
      <c r="P1871" s="155"/>
      <c r="Q1871" s="155"/>
      <c r="R1871" s="155"/>
      <c r="S1871" s="155"/>
      <c r="T1871" s="155"/>
      <c r="U1871" s="155"/>
      <c r="V1871" s="155"/>
      <c r="W1871" s="155"/>
      <c r="GL1871" s="155"/>
      <c r="GM1871" s="155"/>
      <c r="GN1871" s="155"/>
      <c r="GO1871" s="155"/>
      <c r="GP1871" s="155"/>
      <c r="GQ1871" s="155"/>
      <c r="GR1871" s="155"/>
      <c r="GS1871" s="155"/>
      <c r="GT1871" s="155"/>
      <c r="GU1871" s="155"/>
      <c r="GV1871" s="155"/>
      <c r="GW1871" s="155"/>
      <c r="GX1871" s="155"/>
      <c r="GY1871" s="155"/>
      <c r="GZ1871" s="155"/>
      <c r="HA1871" s="155"/>
      <c r="HB1871" s="155"/>
      <c r="HC1871" s="155"/>
      <c r="HD1871" s="155"/>
      <c r="HE1871" s="155"/>
    </row>
    <row r="1872" spans="2:213" s="156" customFormat="1" hidden="1">
      <c r="B1872" s="155"/>
      <c r="C1872" s="155"/>
      <c r="D1872" s="155"/>
      <c r="E1872" s="155"/>
      <c r="F1872" s="155"/>
      <c r="G1872" s="155"/>
      <c r="H1872" s="155"/>
      <c r="I1872" s="155"/>
      <c r="J1872" s="155"/>
      <c r="K1872" s="155"/>
      <c r="L1872" s="155"/>
      <c r="M1872" s="155"/>
      <c r="N1872" s="155"/>
      <c r="O1872" s="155"/>
      <c r="P1872" s="155"/>
      <c r="Q1872" s="155"/>
      <c r="R1872" s="155"/>
      <c r="S1872" s="155"/>
      <c r="T1872" s="155"/>
      <c r="U1872" s="155"/>
      <c r="V1872" s="155"/>
      <c r="W1872" s="155"/>
      <c r="GL1872" s="155"/>
      <c r="GM1872" s="155"/>
      <c r="GN1872" s="155"/>
      <c r="GO1872" s="155"/>
      <c r="GP1872" s="155"/>
      <c r="GQ1872" s="155"/>
      <c r="GR1872" s="155"/>
      <c r="GS1872" s="155"/>
      <c r="GT1872" s="155"/>
      <c r="GU1872" s="155"/>
      <c r="GV1872" s="155"/>
      <c r="GW1872" s="155"/>
      <c r="GX1872" s="155"/>
      <c r="GY1872" s="155"/>
      <c r="GZ1872" s="155"/>
      <c r="HA1872" s="155"/>
      <c r="HB1872" s="155"/>
      <c r="HC1872" s="155"/>
      <c r="HD1872" s="155"/>
      <c r="HE1872" s="155"/>
    </row>
    <row r="1873" spans="2:213" s="156" customFormat="1" hidden="1">
      <c r="B1873" s="155"/>
      <c r="C1873" s="155"/>
      <c r="D1873" s="155"/>
      <c r="E1873" s="155"/>
      <c r="F1873" s="155"/>
      <c r="G1873" s="155"/>
      <c r="H1873" s="155"/>
      <c r="I1873" s="155"/>
      <c r="J1873" s="155"/>
      <c r="K1873" s="155"/>
      <c r="L1873" s="155"/>
      <c r="M1873" s="155"/>
      <c r="N1873" s="155"/>
      <c r="O1873" s="155"/>
      <c r="P1873" s="155"/>
      <c r="Q1873" s="155"/>
      <c r="R1873" s="155"/>
      <c r="S1873" s="155"/>
      <c r="T1873" s="155"/>
      <c r="U1873" s="155"/>
      <c r="V1873" s="155"/>
      <c r="W1873" s="155"/>
      <c r="GL1873" s="155"/>
      <c r="GM1873" s="155"/>
      <c r="GN1873" s="155"/>
      <c r="GO1873" s="155"/>
      <c r="GP1873" s="155"/>
      <c r="GQ1873" s="155"/>
      <c r="GR1873" s="155"/>
      <c r="GS1873" s="155"/>
      <c r="GT1873" s="155"/>
      <c r="GU1873" s="155"/>
      <c r="GV1873" s="155"/>
      <c r="GW1873" s="155"/>
      <c r="GX1873" s="155"/>
      <c r="GY1873" s="155"/>
      <c r="GZ1873" s="155"/>
      <c r="HA1873" s="155"/>
      <c r="HB1873" s="155"/>
      <c r="HC1873" s="155"/>
      <c r="HD1873" s="155"/>
      <c r="HE1873" s="155"/>
    </row>
    <row r="1874" spans="2:213" s="156" customFormat="1" hidden="1">
      <c r="B1874" s="155"/>
      <c r="C1874" s="155"/>
      <c r="D1874" s="155"/>
      <c r="E1874" s="155"/>
      <c r="F1874" s="155"/>
      <c r="G1874" s="155"/>
      <c r="H1874" s="155"/>
      <c r="I1874" s="155"/>
      <c r="J1874" s="155"/>
      <c r="K1874" s="155"/>
      <c r="L1874" s="155"/>
      <c r="M1874" s="155"/>
      <c r="N1874" s="155"/>
      <c r="O1874" s="155"/>
      <c r="P1874" s="155"/>
      <c r="Q1874" s="155"/>
      <c r="R1874" s="155"/>
      <c r="S1874" s="155"/>
      <c r="T1874" s="155"/>
      <c r="U1874" s="155"/>
      <c r="V1874" s="155"/>
      <c r="W1874" s="155"/>
      <c r="GL1874" s="155"/>
      <c r="GM1874" s="155"/>
      <c r="GN1874" s="155"/>
      <c r="GO1874" s="155"/>
      <c r="GP1874" s="155"/>
      <c r="GQ1874" s="155"/>
      <c r="GR1874" s="155"/>
      <c r="GS1874" s="155"/>
      <c r="GT1874" s="155"/>
      <c r="GU1874" s="155"/>
      <c r="GV1874" s="155"/>
      <c r="GW1874" s="155"/>
      <c r="GX1874" s="155"/>
      <c r="GY1874" s="155"/>
      <c r="GZ1874" s="155"/>
      <c r="HA1874" s="155"/>
      <c r="HB1874" s="155"/>
      <c r="HC1874" s="155"/>
      <c r="HD1874" s="155"/>
      <c r="HE1874" s="155"/>
    </row>
    <row r="1875" spans="2:213" s="156" customFormat="1" hidden="1">
      <c r="B1875" s="155"/>
      <c r="C1875" s="155"/>
      <c r="D1875" s="155"/>
      <c r="E1875" s="155"/>
      <c r="F1875" s="155"/>
      <c r="G1875" s="155"/>
      <c r="H1875" s="155"/>
      <c r="I1875" s="155"/>
      <c r="J1875" s="155"/>
      <c r="K1875" s="155"/>
      <c r="L1875" s="155"/>
      <c r="M1875" s="155"/>
      <c r="N1875" s="155"/>
      <c r="O1875" s="155"/>
      <c r="P1875" s="155"/>
      <c r="Q1875" s="155"/>
      <c r="R1875" s="155"/>
      <c r="S1875" s="155"/>
      <c r="T1875" s="155"/>
      <c r="U1875" s="155"/>
      <c r="V1875" s="155"/>
      <c r="W1875" s="155"/>
      <c r="GL1875" s="155"/>
      <c r="GM1875" s="155"/>
      <c r="GN1875" s="155"/>
      <c r="GO1875" s="155"/>
      <c r="GP1875" s="155"/>
      <c r="GQ1875" s="155"/>
      <c r="GR1875" s="155"/>
      <c r="GS1875" s="155"/>
      <c r="GT1875" s="155"/>
      <c r="GU1875" s="155"/>
      <c r="GV1875" s="155"/>
      <c r="GW1875" s="155"/>
      <c r="GX1875" s="155"/>
      <c r="GY1875" s="155"/>
      <c r="GZ1875" s="155"/>
      <c r="HA1875" s="155"/>
      <c r="HB1875" s="155"/>
      <c r="HC1875" s="155"/>
      <c r="HD1875" s="155"/>
      <c r="HE1875" s="155"/>
    </row>
    <row r="1876" spans="2:213" s="156" customFormat="1" hidden="1">
      <c r="B1876" s="155"/>
      <c r="C1876" s="155"/>
      <c r="D1876" s="155"/>
      <c r="E1876" s="155"/>
      <c r="F1876" s="155"/>
      <c r="G1876" s="155"/>
      <c r="H1876" s="155"/>
      <c r="I1876" s="155"/>
      <c r="J1876" s="155"/>
      <c r="K1876" s="155"/>
      <c r="L1876" s="155"/>
      <c r="M1876" s="155"/>
      <c r="N1876" s="155"/>
      <c r="O1876" s="155"/>
      <c r="P1876" s="155"/>
      <c r="Q1876" s="155"/>
      <c r="R1876" s="155"/>
      <c r="S1876" s="155"/>
      <c r="T1876" s="155"/>
      <c r="U1876" s="155"/>
      <c r="V1876" s="155"/>
      <c r="W1876" s="155"/>
      <c r="GL1876" s="155"/>
      <c r="GM1876" s="155"/>
      <c r="GN1876" s="155"/>
      <c r="GO1876" s="155"/>
      <c r="GP1876" s="155"/>
      <c r="GQ1876" s="155"/>
      <c r="GR1876" s="155"/>
      <c r="GS1876" s="155"/>
      <c r="GT1876" s="155"/>
      <c r="GU1876" s="155"/>
      <c r="GV1876" s="155"/>
      <c r="GW1876" s="155"/>
      <c r="GX1876" s="155"/>
      <c r="GY1876" s="155"/>
      <c r="GZ1876" s="155"/>
      <c r="HA1876" s="155"/>
      <c r="HB1876" s="155"/>
      <c r="HC1876" s="155"/>
      <c r="HD1876" s="155"/>
      <c r="HE1876" s="155"/>
    </row>
    <row r="1877" spans="2:213" s="156" customFormat="1" hidden="1">
      <c r="B1877" s="155"/>
      <c r="C1877" s="155"/>
      <c r="D1877" s="155"/>
      <c r="E1877" s="155"/>
      <c r="F1877" s="155"/>
      <c r="G1877" s="155"/>
      <c r="H1877" s="155"/>
      <c r="I1877" s="155"/>
      <c r="J1877" s="155"/>
      <c r="K1877" s="155"/>
      <c r="L1877" s="155"/>
      <c r="M1877" s="155"/>
      <c r="N1877" s="155"/>
      <c r="O1877" s="155"/>
      <c r="P1877" s="155"/>
      <c r="Q1877" s="155"/>
      <c r="R1877" s="155"/>
      <c r="S1877" s="155"/>
      <c r="T1877" s="155"/>
      <c r="U1877" s="155"/>
      <c r="V1877" s="155"/>
      <c r="W1877" s="155"/>
      <c r="GL1877" s="155"/>
      <c r="GM1877" s="155"/>
      <c r="GN1877" s="155"/>
      <c r="GO1877" s="155"/>
      <c r="GP1877" s="155"/>
      <c r="GQ1877" s="155"/>
      <c r="GR1877" s="155"/>
      <c r="GS1877" s="155"/>
      <c r="GT1877" s="155"/>
      <c r="GU1877" s="155"/>
      <c r="GV1877" s="155"/>
      <c r="GW1877" s="155"/>
      <c r="GX1877" s="155"/>
      <c r="GY1877" s="155"/>
      <c r="GZ1877" s="155"/>
      <c r="HA1877" s="155"/>
      <c r="HB1877" s="155"/>
      <c r="HC1877" s="155"/>
      <c r="HD1877" s="155"/>
      <c r="HE1877" s="155"/>
    </row>
    <row r="1878" spans="2:213" s="156" customFormat="1" hidden="1">
      <c r="B1878" s="155"/>
      <c r="C1878" s="155"/>
      <c r="D1878" s="155"/>
      <c r="E1878" s="155"/>
      <c r="F1878" s="155"/>
      <c r="G1878" s="155"/>
      <c r="H1878" s="155"/>
      <c r="I1878" s="155"/>
      <c r="J1878" s="155"/>
      <c r="K1878" s="155"/>
      <c r="L1878" s="155"/>
      <c r="M1878" s="155"/>
      <c r="N1878" s="155"/>
      <c r="O1878" s="155"/>
      <c r="P1878" s="155"/>
      <c r="Q1878" s="155"/>
      <c r="R1878" s="155"/>
      <c r="S1878" s="155"/>
      <c r="T1878" s="155"/>
      <c r="U1878" s="155"/>
      <c r="V1878" s="155"/>
      <c r="W1878" s="155"/>
      <c r="GL1878" s="155"/>
      <c r="GM1878" s="155"/>
      <c r="GN1878" s="155"/>
      <c r="GO1878" s="155"/>
      <c r="GP1878" s="155"/>
      <c r="GQ1878" s="155"/>
      <c r="GR1878" s="155"/>
      <c r="GS1878" s="155"/>
      <c r="GT1878" s="155"/>
      <c r="GU1878" s="155"/>
      <c r="GV1878" s="155"/>
      <c r="GW1878" s="155"/>
      <c r="GX1878" s="155"/>
      <c r="GY1878" s="155"/>
      <c r="GZ1878" s="155"/>
      <c r="HA1878" s="155"/>
      <c r="HB1878" s="155"/>
      <c r="HC1878" s="155"/>
      <c r="HD1878" s="155"/>
      <c r="HE1878" s="155"/>
    </row>
    <row r="1879" spans="2:213" s="156" customFormat="1" hidden="1">
      <c r="B1879" s="155"/>
      <c r="C1879" s="155"/>
      <c r="D1879" s="155"/>
      <c r="E1879" s="155"/>
      <c r="F1879" s="155"/>
      <c r="G1879" s="155"/>
      <c r="H1879" s="155"/>
      <c r="I1879" s="155"/>
      <c r="J1879" s="155"/>
      <c r="K1879" s="155"/>
      <c r="L1879" s="155"/>
      <c r="M1879" s="155"/>
      <c r="N1879" s="155"/>
      <c r="O1879" s="155"/>
      <c r="P1879" s="155"/>
      <c r="Q1879" s="155"/>
      <c r="R1879" s="155"/>
      <c r="S1879" s="155"/>
      <c r="T1879" s="155"/>
      <c r="U1879" s="155"/>
      <c r="V1879" s="155"/>
      <c r="W1879" s="155"/>
      <c r="GL1879" s="155"/>
      <c r="GM1879" s="155"/>
      <c r="GN1879" s="155"/>
      <c r="GO1879" s="155"/>
      <c r="GP1879" s="155"/>
      <c r="GQ1879" s="155"/>
      <c r="GR1879" s="155"/>
      <c r="GS1879" s="155"/>
      <c r="GT1879" s="155"/>
      <c r="GU1879" s="155"/>
      <c r="GV1879" s="155"/>
      <c r="GW1879" s="155"/>
      <c r="GX1879" s="155"/>
      <c r="GY1879" s="155"/>
      <c r="GZ1879" s="155"/>
      <c r="HA1879" s="155"/>
      <c r="HB1879" s="155"/>
      <c r="HC1879" s="155"/>
      <c r="HD1879" s="155"/>
      <c r="HE1879" s="155"/>
    </row>
    <row r="1880" spans="2:213" s="156" customFormat="1" hidden="1">
      <c r="B1880" s="155"/>
      <c r="C1880" s="155"/>
      <c r="D1880" s="155"/>
      <c r="E1880" s="155"/>
      <c r="F1880" s="155"/>
      <c r="G1880" s="155"/>
      <c r="H1880" s="155"/>
      <c r="I1880" s="155"/>
      <c r="J1880" s="155"/>
      <c r="K1880" s="155"/>
      <c r="L1880" s="155"/>
      <c r="M1880" s="155"/>
      <c r="N1880" s="155"/>
      <c r="O1880" s="155"/>
      <c r="P1880" s="155"/>
      <c r="Q1880" s="155"/>
      <c r="R1880" s="155"/>
      <c r="S1880" s="155"/>
      <c r="T1880" s="155"/>
      <c r="U1880" s="155"/>
      <c r="V1880" s="155"/>
      <c r="W1880" s="155"/>
      <c r="GL1880" s="155"/>
      <c r="GM1880" s="155"/>
      <c r="GN1880" s="155"/>
      <c r="GO1880" s="155"/>
      <c r="GP1880" s="155"/>
      <c r="GQ1880" s="155"/>
      <c r="GR1880" s="155"/>
      <c r="GS1880" s="155"/>
      <c r="GT1880" s="155"/>
      <c r="GU1880" s="155"/>
      <c r="GV1880" s="155"/>
      <c r="GW1880" s="155"/>
      <c r="GX1880" s="155"/>
      <c r="GY1880" s="155"/>
      <c r="GZ1880" s="155"/>
      <c r="HA1880" s="155"/>
      <c r="HB1880" s="155"/>
      <c r="HC1880" s="155"/>
      <c r="HD1880" s="155"/>
      <c r="HE1880" s="155"/>
    </row>
    <row r="1881" spans="2:213" s="156" customFormat="1" hidden="1">
      <c r="B1881" s="155"/>
      <c r="C1881" s="155"/>
      <c r="D1881" s="155"/>
      <c r="E1881" s="155"/>
      <c r="F1881" s="155"/>
      <c r="G1881" s="155"/>
      <c r="H1881" s="155"/>
      <c r="I1881" s="155"/>
      <c r="J1881" s="155"/>
      <c r="K1881" s="155"/>
      <c r="L1881" s="155"/>
      <c r="M1881" s="155"/>
      <c r="N1881" s="155"/>
      <c r="O1881" s="155"/>
      <c r="P1881" s="155"/>
      <c r="Q1881" s="155"/>
      <c r="R1881" s="155"/>
      <c r="S1881" s="155"/>
      <c r="T1881" s="155"/>
      <c r="U1881" s="155"/>
      <c r="V1881" s="155"/>
      <c r="W1881" s="155"/>
      <c r="GL1881" s="155"/>
      <c r="GM1881" s="155"/>
      <c r="GN1881" s="155"/>
      <c r="GO1881" s="155"/>
      <c r="GP1881" s="155"/>
      <c r="GQ1881" s="155"/>
      <c r="GR1881" s="155"/>
      <c r="GS1881" s="155"/>
      <c r="GT1881" s="155"/>
      <c r="GU1881" s="155"/>
      <c r="GV1881" s="155"/>
      <c r="GW1881" s="155"/>
      <c r="GX1881" s="155"/>
      <c r="GY1881" s="155"/>
      <c r="GZ1881" s="155"/>
      <c r="HA1881" s="155"/>
      <c r="HB1881" s="155"/>
      <c r="HC1881" s="155"/>
      <c r="HD1881" s="155"/>
      <c r="HE1881" s="155"/>
    </row>
    <row r="1882" spans="2:213" s="156" customFormat="1" hidden="1">
      <c r="B1882" s="155"/>
      <c r="C1882" s="155"/>
      <c r="D1882" s="155"/>
      <c r="E1882" s="155"/>
      <c r="F1882" s="155"/>
      <c r="G1882" s="155"/>
      <c r="H1882" s="155"/>
      <c r="I1882" s="155"/>
      <c r="J1882" s="155"/>
      <c r="K1882" s="155"/>
      <c r="L1882" s="155"/>
      <c r="M1882" s="155"/>
      <c r="N1882" s="155"/>
      <c r="O1882" s="155"/>
      <c r="P1882" s="155"/>
      <c r="Q1882" s="155"/>
      <c r="R1882" s="155"/>
      <c r="S1882" s="155"/>
      <c r="T1882" s="155"/>
      <c r="U1882" s="155"/>
      <c r="V1882" s="155"/>
      <c r="W1882" s="155"/>
      <c r="GL1882" s="155"/>
      <c r="GM1882" s="155"/>
      <c r="GN1882" s="155"/>
      <c r="GO1882" s="155"/>
      <c r="GP1882" s="155"/>
      <c r="GQ1882" s="155"/>
      <c r="GR1882" s="155"/>
      <c r="GS1882" s="155"/>
      <c r="GT1882" s="155"/>
      <c r="GU1882" s="155"/>
      <c r="GV1882" s="155"/>
      <c r="GW1882" s="155"/>
      <c r="GX1882" s="155"/>
      <c r="GY1882" s="155"/>
      <c r="GZ1882" s="155"/>
      <c r="HA1882" s="155"/>
      <c r="HB1882" s="155"/>
      <c r="HC1882" s="155"/>
      <c r="HD1882" s="155"/>
      <c r="HE1882" s="155"/>
    </row>
    <row r="1883" spans="2:213" s="156" customFormat="1" hidden="1">
      <c r="B1883" s="155"/>
      <c r="C1883" s="155"/>
      <c r="D1883" s="155"/>
      <c r="E1883" s="155"/>
      <c r="F1883" s="155"/>
      <c r="G1883" s="155"/>
      <c r="H1883" s="155"/>
      <c r="I1883" s="155"/>
      <c r="J1883" s="155"/>
      <c r="K1883" s="155"/>
      <c r="L1883" s="155"/>
      <c r="M1883" s="155"/>
      <c r="N1883" s="155"/>
      <c r="O1883" s="155"/>
      <c r="P1883" s="155"/>
      <c r="Q1883" s="155"/>
      <c r="R1883" s="155"/>
      <c r="S1883" s="155"/>
      <c r="T1883" s="155"/>
      <c r="U1883" s="155"/>
      <c r="V1883" s="155"/>
      <c r="W1883" s="155"/>
      <c r="GL1883" s="155"/>
      <c r="GM1883" s="155"/>
      <c r="GN1883" s="155"/>
      <c r="GO1883" s="155"/>
      <c r="GP1883" s="155"/>
      <c r="GQ1883" s="155"/>
      <c r="GR1883" s="155"/>
      <c r="GS1883" s="155"/>
      <c r="GT1883" s="155"/>
      <c r="GU1883" s="155"/>
      <c r="GV1883" s="155"/>
      <c r="GW1883" s="155"/>
      <c r="GX1883" s="155"/>
      <c r="GY1883" s="155"/>
      <c r="GZ1883" s="155"/>
      <c r="HA1883" s="155"/>
      <c r="HB1883" s="155"/>
      <c r="HC1883" s="155"/>
      <c r="HD1883" s="155"/>
      <c r="HE1883" s="155"/>
    </row>
    <row r="1884" spans="2:213" s="156" customFormat="1" hidden="1">
      <c r="B1884" s="155"/>
      <c r="C1884" s="155"/>
      <c r="D1884" s="155"/>
      <c r="E1884" s="155"/>
      <c r="F1884" s="155"/>
      <c r="G1884" s="155"/>
      <c r="H1884" s="155"/>
      <c r="I1884" s="155"/>
      <c r="J1884" s="155"/>
      <c r="K1884" s="155"/>
      <c r="L1884" s="155"/>
      <c r="M1884" s="155"/>
      <c r="N1884" s="155"/>
      <c r="O1884" s="155"/>
      <c r="P1884" s="155"/>
      <c r="Q1884" s="155"/>
      <c r="R1884" s="155"/>
      <c r="S1884" s="155"/>
      <c r="T1884" s="155"/>
      <c r="U1884" s="155"/>
      <c r="V1884" s="155"/>
      <c r="W1884" s="155"/>
      <c r="GL1884" s="155"/>
      <c r="GM1884" s="155"/>
      <c r="GN1884" s="155"/>
      <c r="GO1884" s="155"/>
      <c r="GP1884" s="155"/>
      <c r="GQ1884" s="155"/>
      <c r="GR1884" s="155"/>
      <c r="GS1884" s="155"/>
      <c r="GT1884" s="155"/>
      <c r="GU1884" s="155"/>
      <c r="GV1884" s="155"/>
      <c r="GW1884" s="155"/>
      <c r="GX1884" s="155"/>
      <c r="GY1884" s="155"/>
      <c r="GZ1884" s="155"/>
      <c r="HA1884" s="155"/>
      <c r="HB1884" s="155"/>
      <c r="HC1884" s="155"/>
      <c r="HD1884" s="155"/>
      <c r="HE1884" s="155"/>
    </row>
    <row r="1885" spans="2:213" s="156" customFormat="1" hidden="1">
      <c r="B1885" s="155"/>
      <c r="C1885" s="155"/>
      <c r="D1885" s="155"/>
      <c r="E1885" s="155"/>
      <c r="F1885" s="155"/>
      <c r="G1885" s="155"/>
      <c r="H1885" s="155"/>
      <c r="I1885" s="155"/>
      <c r="J1885" s="155"/>
      <c r="K1885" s="155"/>
      <c r="L1885" s="155"/>
      <c r="M1885" s="155"/>
      <c r="N1885" s="155"/>
      <c r="O1885" s="155"/>
      <c r="P1885" s="155"/>
      <c r="Q1885" s="155"/>
      <c r="R1885" s="155"/>
      <c r="S1885" s="155"/>
      <c r="T1885" s="155"/>
      <c r="U1885" s="155"/>
      <c r="V1885" s="155"/>
      <c r="W1885" s="155"/>
      <c r="GL1885" s="155"/>
      <c r="GM1885" s="155"/>
      <c r="GN1885" s="155"/>
      <c r="GO1885" s="155"/>
      <c r="GP1885" s="155"/>
      <c r="GQ1885" s="155"/>
      <c r="GR1885" s="155"/>
      <c r="GS1885" s="155"/>
      <c r="GT1885" s="155"/>
      <c r="GU1885" s="155"/>
      <c r="GV1885" s="155"/>
      <c r="GW1885" s="155"/>
      <c r="GX1885" s="155"/>
      <c r="GY1885" s="155"/>
      <c r="GZ1885" s="155"/>
      <c r="HA1885" s="155"/>
      <c r="HB1885" s="155"/>
      <c r="HC1885" s="155"/>
      <c r="HD1885" s="155"/>
      <c r="HE1885" s="155"/>
    </row>
    <row r="1886" spans="2:213" s="156" customFormat="1" hidden="1">
      <c r="B1886" s="155"/>
      <c r="C1886" s="155"/>
      <c r="D1886" s="155"/>
      <c r="E1886" s="155"/>
      <c r="F1886" s="155"/>
      <c r="G1886" s="155"/>
      <c r="H1886" s="155"/>
      <c r="I1886" s="155"/>
      <c r="J1886" s="155"/>
      <c r="K1886" s="155"/>
      <c r="L1886" s="155"/>
      <c r="M1886" s="155"/>
      <c r="N1886" s="155"/>
      <c r="O1886" s="155"/>
      <c r="P1886" s="155"/>
      <c r="Q1886" s="155"/>
      <c r="R1886" s="155"/>
      <c r="S1886" s="155"/>
      <c r="T1886" s="155"/>
      <c r="U1886" s="155"/>
      <c r="V1886" s="155"/>
      <c r="W1886" s="155"/>
      <c r="GL1886" s="155"/>
      <c r="GM1886" s="155"/>
      <c r="GN1886" s="155"/>
      <c r="GO1886" s="155"/>
      <c r="GP1886" s="155"/>
      <c r="GQ1886" s="155"/>
      <c r="GR1886" s="155"/>
      <c r="GS1886" s="155"/>
      <c r="GT1886" s="155"/>
      <c r="GU1886" s="155"/>
      <c r="GV1886" s="155"/>
      <c r="GW1886" s="155"/>
      <c r="GX1886" s="155"/>
      <c r="GY1886" s="155"/>
      <c r="GZ1886" s="155"/>
      <c r="HA1886" s="155"/>
      <c r="HB1886" s="155"/>
      <c r="HC1886" s="155"/>
      <c r="HD1886" s="155"/>
      <c r="HE1886" s="155"/>
    </row>
    <row r="1887" spans="2:213" s="156" customFormat="1" hidden="1">
      <c r="B1887" s="155"/>
      <c r="C1887" s="155"/>
      <c r="D1887" s="155"/>
      <c r="E1887" s="155"/>
      <c r="F1887" s="155"/>
      <c r="G1887" s="155"/>
      <c r="H1887" s="155"/>
      <c r="I1887" s="155"/>
      <c r="J1887" s="155"/>
      <c r="K1887" s="155"/>
      <c r="L1887" s="155"/>
      <c r="M1887" s="155"/>
      <c r="N1887" s="155"/>
      <c r="O1887" s="155"/>
      <c r="P1887" s="155"/>
      <c r="Q1887" s="155"/>
      <c r="R1887" s="155"/>
      <c r="S1887" s="155"/>
      <c r="T1887" s="155"/>
      <c r="U1887" s="155"/>
      <c r="V1887" s="155"/>
      <c r="W1887" s="155"/>
      <c r="GL1887" s="155"/>
      <c r="GM1887" s="155"/>
      <c r="GN1887" s="155"/>
      <c r="GO1887" s="155"/>
      <c r="GP1887" s="155"/>
      <c r="GQ1887" s="155"/>
      <c r="GR1887" s="155"/>
      <c r="GS1887" s="155"/>
      <c r="GT1887" s="155"/>
      <c r="GU1887" s="155"/>
      <c r="GV1887" s="155"/>
      <c r="GW1887" s="155"/>
      <c r="GX1887" s="155"/>
      <c r="GY1887" s="155"/>
      <c r="GZ1887" s="155"/>
      <c r="HA1887" s="155"/>
      <c r="HB1887" s="155"/>
      <c r="HC1887" s="155"/>
      <c r="HD1887" s="155"/>
      <c r="HE1887" s="155"/>
    </row>
    <row r="1888" spans="2:213" s="156" customFormat="1" hidden="1">
      <c r="B1888" s="155"/>
      <c r="C1888" s="155"/>
      <c r="D1888" s="155"/>
      <c r="E1888" s="155"/>
      <c r="F1888" s="155"/>
      <c r="G1888" s="155"/>
      <c r="H1888" s="155"/>
      <c r="I1888" s="155"/>
      <c r="J1888" s="155"/>
      <c r="K1888" s="155"/>
      <c r="L1888" s="155"/>
      <c r="M1888" s="155"/>
      <c r="N1888" s="155"/>
      <c r="O1888" s="155"/>
      <c r="P1888" s="155"/>
      <c r="Q1888" s="155"/>
      <c r="R1888" s="155"/>
      <c r="S1888" s="155"/>
      <c r="T1888" s="155"/>
      <c r="U1888" s="155"/>
      <c r="V1888" s="155"/>
      <c r="W1888" s="155"/>
      <c r="GL1888" s="155"/>
      <c r="GM1888" s="155"/>
      <c r="GN1888" s="155"/>
      <c r="GO1888" s="155"/>
      <c r="GP1888" s="155"/>
      <c r="GQ1888" s="155"/>
      <c r="GR1888" s="155"/>
      <c r="GS1888" s="155"/>
      <c r="GT1888" s="155"/>
      <c r="GU1888" s="155"/>
      <c r="GV1888" s="155"/>
      <c r="GW1888" s="155"/>
      <c r="GX1888" s="155"/>
      <c r="GY1888" s="155"/>
      <c r="GZ1888" s="155"/>
      <c r="HA1888" s="155"/>
      <c r="HB1888" s="155"/>
      <c r="HC1888" s="155"/>
      <c r="HD1888" s="155"/>
      <c r="HE1888" s="155"/>
    </row>
    <row r="1889" spans="2:213" s="156" customFormat="1" hidden="1">
      <c r="B1889" s="155"/>
      <c r="C1889" s="155"/>
      <c r="D1889" s="155"/>
      <c r="E1889" s="155"/>
      <c r="F1889" s="155"/>
      <c r="G1889" s="155"/>
      <c r="H1889" s="155"/>
      <c r="I1889" s="155"/>
      <c r="J1889" s="155"/>
      <c r="K1889" s="155"/>
      <c r="L1889" s="155"/>
      <c r="M1889" s="155"/>
      <c r="N1889" s="155"/>
      <c r="O1889" s="155"/>
      <c r="P1889" s="155"/>
      <c r="Q1889" s="155"/>
      <c r="R1889" s="155"/>
      <c r="S1889" s="155"/>
      <c r="T1889" s="155"/>
      <c r="U1889" s="155"/>
      <c r="V1889" s="155"/>
      <c r="W1889" s="155"/>
      <c r="GL1889" s="155"/>
      <c r="GM1889" s="155"/>
      <c r="GN1889" s="155"/>
      <c r="GO1889" s="155"/>
      <c r="GP1889" s="155"/>
      <c r="GQ1889" s="155"/>
      <c r="GR1889" s="155"/>
      <c r="GS1889" s="155"/>
      <c r="GT1889" s="155"/>
      <c r="GU1889" s="155"/>
      <c r="GV1889" s="155"/>
      <c r="GW1889" s="155"/>
      <c r="GX1889" s="155"/>
      <c r="GY1889" s="155"/>
      <c r="GZ1889" s="155"/>
      <c r="HA1889" s="155"/>
      <c r="HB1889" s="155"/>
      <c r="HC1889" s="155"/>
      <c r="HD1889" s="155"/>
      <c r="HE1889" s="155"/>
    </row>
    <row r="1890" spans="2:213" s="156" customFormat="1" hidden="1">
      <c r="B1890" s="155"/>
      <c r="C1890" s="155"/>
      <c r="D1890" s="155"/>
      <c r="E1890" s="155"/>
      <c r="F1890" s="155"/>
      <c r="G1890" s="155"/>
      <c r="H1890" s="155"/>
      <c r="I1890" s="155"/>
      <c r="J1890" s="155"/>
      <c r="K1890" s="155"/>
      <c r="L1890" s="155"/>
      <c r="M1890" s="155"/>
      <c r="N1890" s="155"/>
      <c r="O1890" s="155"/>
      <c r="P1890" s="155"/>
      <c r="Q1890" s="155"/>
      <c r="R1890" s="155"/>
      <c r="S1890" s="155"/>
      <c r="T1890" s="155"/>
      <c r="U1890" s="155"/>
      <c r="V1890" s="155"/>
      <c r="W1890" s="155"/>
      <c r="GL1890" s="155"/>
      <c r="GM1890" s="155"/>
      <c r="GN1890" s="155"/>
      <c r="GO1890" s="155"/>
      <c r="GP1890" s="155"/>
      <c r="GQ1890" s="155"/>
      <c r="GR1890" s="155"/>
      <c r="GS1890" s="155"/>
      <c r="GT1890" s="155"/>
      <c r="GU1890" s="155"/>
      <c r="GV1890" s="155"/>
      <c r="GW1890" s="155"/>
      <c r="GX1890" s="155"/>
      <c r="GY1890" s="155"/>
      <c r="GZ1890" s="155"/>
      <c r="HA1890" s="155"/>
      <c r="HB1890" s="155"/>
      <c r="HC1890" s="155"/>
      <c r="HD1890" s="155"/>
      <c r="HE1890" s="155"/>
    </row>
    <row r="1891" spans="2:213" s="156" customFormat="1" hidden="1">
      <c r="B1891" s="155"/>
      <c r="C1891" s="155"/>
      <c r="D1891" s="155"/>
      <c r="E1891" s="155"/>
      <c r="F1891" s="155"/>
      <c r="G1891" s="155"/>
      <c r="H1891" s="155"/>
      <c r="I1891" s="155"/>
      <c r="J1891" s="155"/>
      <c r="K1891" s="155"/>
      <c r="L1891" s="155"/>
      <c r="M1891" s="155"/>
      <c r="N1891" s="155"/>
      <c r="O1891" s="155"/>
      <c r="P1891" s="155"/>
      <c r="Q1891" s="155"/>
      <c r="R1891" s="155"/>
      <c r="S1891" s="155"/>
      <c r="T1891" s="155"/>
      <c r="U1891" s="155"/>
      <c r="V1891" s="155"/>
      <c r="W1891" s="155"/>
      <c r="GL1891" s="155"/>
      <c r="GM1891" s="155"/>
      <c r="GN1891" s="155"/>
      <c r="GO1891" s="155"/>
      <c r="GP1891" s="155"/>
      <c r="GQ1891" s="155"/>
      <c r="GR1891" s="155"/>
      <c r="GS1891" s="155"/>
      <c r="GT1891" s="155"/>
      <c r="GU1891" s="155"/>
      <c r="GV1891" s="155"/>
      <c r="GW1891" s="155"/>
      <c r="GX1891" s="155"/>
      <c r="GY1891" s="155"/>
      <c r="GZ1891" s="155"/>
      <c r="HA1891" s="155"/>
      <c r="HB1891" s="155"/>
      <c r="HC1891" s="155"/>
      <c r="HD1891" s="155"/>
      <c r="HE1891" s="155"/>
    </row>
    <row r="1892" spans="2:213" s="156" customFormat="1" hidden="1">
      <c r="B1892" s="155"/>
      <c r="C1892" s="155"/>
      <c r="D1892" s="155"/>
      <c r="E1892" s="155"/>
      <c r="F1892" s="155"/>
      <c r="G1892" s="155"/>
      <c r="H1892" s="155"/>
      <c r="I1892" s="155"/>
      <c r="J1892" s="155"/>
      <c r="K1892" s="155"/>
      <c r="L1892" s="155"/>
      <c r="M1892" s="155"/>
      <c r="N1892" s="155"/>
      <c r="O1892" s="155"/>
      <c r="P1892" s="155"/>
      <c r="Q1892" s="155"/>
      <c r="R1892" s="155"/>
      <c r="S1892" s="155"/>
      <c r="T1892" s="155"/>
      <c r="U1892" s="155"/>
      <c r="V1892" s="155"/>
      <c r="W1892" s="155"/>
      <c r="GL1892" s="155"/>
      <c r="GM1892" s="155"/>
      <c r="GN1892" s="155"/>
      <c r="GO1892" s="155"/>
      <c r="GP1892" s="155"/>
      <c r="GQ1892" s="155"/>
      <c r="GR1892" s="155"/>
      <c r="GS1892" s="155"/>
      <c r="GT1892" s="155"/>
      <c r="GU1892" s="155"/>
      <c r="GV1892" s="155"/>
      <c r="GW1892" s="155"/>
      <c r="GX1892" s="155"/>
      <c r="GY1892" s="155"/>
      <c r="GZ1892" s="155"/>
      <c r="HA1892" s="155"/>
      <c r="HB1892" s="155"/>
      <c r="HC1892" s="155"/>
      <c r="HD1892" s="155"/>
      <c r="HE1892" s="155"/>
    </row>
    <row r="1893" spans="2:213" s="156" customFormat="1" hidden="1">
      <c r="B1893" s="155"/>
      <c r="C1893" s="155"/>
      <c r="D1893" s="155"/>
      <c r="E1893" s="155"/>
      <c r="F1893" s="155"/>
      <c r="G1893" s="155"/>
      <c r="H1893" s="155"/>
      <c r="I1893" s="155"/>
      <c r="J1893" s="155"/>
      <c r="K1893" s="155"/>
      <c r="L1893" s="155"/>
      <c r="M1893" s="155"/>
      <c r="N1893" s="155"/>
      <c r="O1893" s="155"/>
      <c r="P1893" s="155"/>
      <c r="Q1893" s="155"/>
      <c r="R1893" s="155"/>
      <c r="S1893" s="155"/>
      <c r="T1893" s="155"/>
      <c r="U1893" s="155"/>
      <c r="V1893" s="155"/>
      <c r="W1893" s="155"/>
      <c r="GL1893" s="155"/>
      <c r="GM1893" s="155"/>
      <c r="GN1893" s="155"/>
      <c r="GO1893" s="155"/>
      <c r="GP1893" s="155"/>
      <c r="GQ1893" s="155"/>
      <c r="GR1893" s="155"/>
      <c r="GS1893" s="155"/>
      <c r="GT1893" s="155"/>
      <c r="GU1893" s="155"/>
      <c r="GV1893" s="155"/>
      <c r="GW1893" s="155"/>
      <c r="GX1893" s="155"/>
      <c r="GY1893" s="155"/>
      <c r="GZ1893" s="155"/>
      <c r="HA1893" s="155"/>
      <c r="HB1893" s="155"/>
      <c r="HC1893" s="155"/>
      <c r="HD1893" s="155"/>
      <c r="HE1893" s="155"/>
    </row>
    <row r="1894" spans="2:213" s="156" customFormat="1" hidden="1">
      <c r="B1894" s="155"/>
      <c r="C1894" s="155"/>
      <c r="D1894" s="155"/>
      <c r="E1894" s="155"/>
      <c r="F1894" s="155"/>
      <c r="G1894" s="155"/>
      <c r="H1894" s="155"/>
      <c r="I1894" s="155"/>
      <c r="J1894" s="155"/>
      <c r="K1894" s="155"/>
      <c r="L1894" s="155"/>
      <c r="M1894" s="155"/>
      <c r="N1894" s="155"/>
      <c r="O1894" s="155"/>
      <c r="P1894" s="155"/>
      <c r="Q1894" s="155"/>
      <c r="R1894" s="155"/>
      <c r="S1894" s="155"/>
      <c r="T1894" s="155"/>
      <c r="U1894" s="155"/>
      <c r="V1894" s="155"/>
      <c r="W1894" s="155"/>
      <c r="GL1894" s="155"/>
      <c r="GM1894" s="155"/>
      <c r="GN1894" s="155"/>
      <c r="GO1894" s="155"/>
      <c r="GP1894" s="155"/>
      <c r="GQ1894" s="155"/>
      <c r="GR1894" s="155"/>
      <c r="GS1894" s="155"/>
      <c r="GT1894" s="155"/>
      <c r="GU1894" s="155"/>
      <c r="GV1894" s="155"/>
      <c r="GW1894" s="155"/>
      <c r="GX1894" s="155"/>
      <c r="GY1894" s="155"/>
      <c r="GZ1894" s="155"/>
      <c r="HA1894" s="155"/>
      <c r="HB1894" s="155"/>
      <c r="HC1894" s="155"/>
      <c r="HD1894" s="155"/>
      <c r="HE1894" s="155"/>
    </row>
    <row r="1895" spans="2:213" s="156" customFormat="1" hidden="1">
      <c r="B1895" s="155"/>
      <c r="C1895" s="155"/>
      <c r="D1895" s="155"/>
      <c r="E1895" s="155"/>
      <c r="F1895" s="155"/>
      <c r="G1895" s="155"/>
      <c r="H1895" s="155"/>
      <c r="I1895" s="155"/>
      <c r="J1895" s="155"/>
      <c r="K1895" s="155"/>
      <c r="L1895" s="155"/>
      <c r="M1895" s="155"/>
      <c r="N1895" s="155"/>
      <c r="O1895" s="155"/>
      <c r="P1895" s="155"/>
      <c r="Q1895" s="155"/>
      <c r="R1895" s="155"/>
      <c r="S1895" s="155"/>
      <c r="T1895" s="155"/>
      <c r="U1895" s="155"/>
      <c r="V1895" s="155"/>
      <c r="W1895" s="155"/>
      <c r="GL1895" s="155"/>
      <c r="GM1895" s="155"/>
      <c r="GN1895" s="155"/>
      <c r="GO1895" s="155"/>
      <c r="GP1895" s="155"/>
      <c r="GQ1895" s="155"/>
      <c r="GR1895" s="155"/>
      <c r="GS1895" s="155"/>
      <c r="GT1895" s="155"/>
      <c r="GU1895" s="155"/>
      <c r="GV1895" s="155"/>
      <c r="GW1895" s="155"/>
      <c r="GX1895" s="155"/>
      <c r="GY1895" s="155"/>
      <c r="GZ1895" s="155"/>
      <c r="HA1895" s="155"/>
      <c r="HB1895" s="155"/>
      <c r="HC1895" s="155"/>
      <c r="HD1895" s="155"/>
      <c r="HE1895" s="155"/>
    </row>
    <row r="1896" spans="2:213" s="156" customFormat="1" hidden="1">
      <c r="B1896" s="155"/>
      <c r="C1896" s="155"/>
      <c r="D1896" s="155"/>
      <c r="E1896" s="155"/>
      <c r="F1896" s="155"/>
      <c r="G1896" s="155"/>
      <c r="H1896" s="155"/>
      <c r="I1896" s="155"/>
      <c r="J1896" s="155"/>
      <c r="K1896" s="155"/>
      <c r="L1896" s="155"/>
      <c r="M1896" s="155"/>
      <c r="N1896" s="155"/>
      <c r="O1896" s="155"/>
      <c r="P1896" s="155"/>
      <c r="Q1896" s="155"/>
      <c r="R1896" s="155"/>
      <c r="S1896" s="155"/>
      <c r="T1896" s="155"/>
      <c r="U1896" s="155"/>
      <c r="V1896" s="155"/>
      <c r="W1896" s="155"/>
      <c r="GL1896" s="155"/>
      <c r="GM1896" s="155"/>
      <c r="GN1896" s="155"/>
      <c r="GO1896" s="155"/>
      <c r="GP1896" s="155"/>
      <c r="GQ1896" s="155"/>
      <c r="GR1896" s="155"/>
      <c r="GS1896" s="155"/>
      <c r="GT1896" s="155"/>
      <c r="GU1896" s="155"/>
      <c r="GV1896" s="155"/>
      <c r="GW1896" s="155"/>
      <c r="GX1896" s="155"/>
      <c r="GY1896" s="155"/>
      <c r="GZ1896" s="155"/>
      <c r="HA1896" s="155"/>
      <c r="HB1896" s="155"/>
      <c r="HC1896" s="155"/>
      <c r="HD1896" s="155"/>
      <c r="HE1896" s="155"/>
    </row>
    <row r="1897" spans="2:213" s="156" customFormat="1" hidden="1">
      <c r="B1897" s="155"/>
      <c r="C1897" s="155"/>
      <c r="D1897" s="155"/>
      <c r="E1897" s="155"/>
      <c r="F1897" s="155"/>
      <c r="G1897" s="155"/>
      <c r="H1897" s="155"/>
      <c r="I1897" s="155"/>
      <c r="J1897" s="155"/>
      <c r="K1897" s="155"/>
      <c r="L1897" s="155"/>
      <c r="M1897" s="155"/>
      <c r="N1897" s="155"/>
      <c r="O1897" s="155"/>
      <c r="P1897" s="155"/>
      <c r="Q1897" s="155"/>
      <c r="R1897" s="155"/>
      <c r="S1897" s="155"/>
      <c r="T1897" s="155"/>
      <c r="U1897" s="155"/>
      <c r="V1897" s="155"/>
      <c r="W1897" s="155"/>
      <c r="GL1897" s="155"/>
      <c r="GM1897" s="155"/>
      <c r="GN1897" s="155"/>
      <c r="GO1897" s="155"/>
      <c r="GP1897" s="155"/>
      <c r="GQ1897" s="155"/>
      <c r="GR1897" s="155"/>
      <c r="GS1897" s="155"/>
      <c r="GT1897" s="155"/>
      <c r="GU1897" s="155"/>
      <c r="GV1897" s="155"/>
      <c r="GW1897" s="155"/>
      <c r="GX1897" s="155"/>
      <c r="GY1897" s="155"/>
      <c r="GZ1897" s="155"/>
      <c r="HA1897" s="155"/>
      <c r="HB1897" s="155"/>
      <c r="HC1897" s="155"/>
      <c r="HD1897" s="155"/>
      <c r="HE1897" s="155"/>
    </row>
    <row r="1898" spans="2:213" s="156" customFormat="1" hidden="1">
      <c r="B1898" s="155"/>
      <c r="C1898" s="155"/>
      <c r="D1898" s="155"/>
      <c r="E1898" s="155"/>
      <c r="F1898" s="155"/>
      <c r="G1898" s="155"/>
      <c r="H1898" s="155"/>
      <c r="I1898" s="155"/>
      <c r="J1898" s="155"/>
      <c r="K1898" s="155"/>
      <c r="L1898" s="155"/>
      <c r="M1898" s="155"/>
      <c r="N1898" s="155"/>
      <c r="O1898" s="155"/>
      <c r="P1898" s="155"/>
      <c r="Q1898" s="155"/>
      <c r="R1898" s="155"/>
      <c r="S1898" s="155"/>
      <c r="T1898" s="155"/>
      <c r="U1898" s="155"/>
      <c r="V1898" s="155"/>
      <c r="W1898" s="155"/>
      <c r="GL1898" s="155"/>
      <c r="GM1898" s="155"/>
      <c r="GN1898" s="155"/>
      <c r="GO1898" s="155"/>
      <c r="GP1898" s="155"/>
      <c r="GQ1898" s="155"/>
      <c r="GR1898" s="155"/>
      <c r="GS1898" s="155"/>
      <c r="GT1898" s="155"/>
      <c r="GU1898" s="155"/>
      <c r="GV1898" s="155"/>
      <c r="GW1898" s="155"/>
      <c r="GX1898" s="155"/>
      <c r="GY1898" s="155"/>
      <c r="GZ1898" s="155"/>
      <c r="HA1898" s="155"/>
      <c r="HB1898" s="155"/>
      <c r="HC1898" s="155"/>
      <c r="HD1898" s="155"/>
      <c r="HE1898" s="155"/>
    </row>
    <row r="1899" spans="2:213" s="156" customFormat="1" hidden="1">
      <c r="B1899" s="155"/>
      <c r="C1899" s="155"/>
      <c r="D1899" s="155"/>
      <c r="E1899" s="155"/>
      <c r="F1899" s="155"/>
      <c r="G1899" s="155"/>
      <c r="H1899" s="155"/>
      <c r="I1899" s="155"/>
      <c r="J1899" s="155"/>
      <c r="K1899" s="155"/>
      <c r="L1899" s="155"/>
      <c r="M1899" s="155"/>
      <c r="N1899" s="155"/>
      <c r="O1899" s="155"/>
      <c r="P1899" s="155"/>
      <c r="Q1899" s="155"/>
      <c r="R1899" s="155"/>
      <c r="S1899" s="155"/>
      <c r="T1899" s="155"/>
      <c r="U1899" s="155"/>
      <c r="V1899" s="155"/>
      <c r="W1899" s="155"/>
      <c r="GL1899" s="155"/>
      <c r="GM1899" s="155"/>
      <c r="GN1899" s="155"/>
      <c r="GO1899" s="155"/>
      <c r="GP1899" s="155"/>
      <c r="GQ1899" s="155"/>
      <c r="GR1899" s="155"/>
      <c r="GS1899" s="155"/>
      <c r="GT1899" s="155"/>
      <c r="GU1899" s="155"/>
      <c r="GV1899" s="155"/>
      <c r="GW1899" s="155"/>
      <c r="GX1899" s="155"/>
      <c r="GY1899" s="155"/>
      <c r="GZ1899" s="155"/>
      <c r="HA1899" s="155"/>
      <c r="HB1899" s="155"/>
      <c r="HC1899" s="155"/>
      <c r="HD1899" s="155"/>
      <c r="HE1899" s="155"/>
    </row>
    <row r="1900" spans="2:213" s="156" customFormat="1" hidden="1">
      <c r="B1900" s="155"/>
      <c r="C1900" s="155"/>
      <c r="D1900" s="155"/>
      <c r="E1900" s="155"/>
      <c r="F1900" s="155"/>
      <c r="G1900" s="155"/>
      <c r="H1900" s="155"/>
      <c r="I1900" s="155"/>
      <c r="J1900" s="155"/>
      <c r="K1900" s="155"/>
      <c r="L1900" s="155"/>
      <c r="M1900" s="155"/>
      <c r="N1900" s="155"/>
      <c r="O1900" s="155"/>
      <c r="P1900" s="155"/>
      <c r="Q1900" s="155"/>
      <c r="R1900" s="155"/>
      <c r="S1900" s="155"/>
      <c r="T1900" s="155"/>
      <c r="U1900" s="155"/>
      <c r="V1900" s="155"/>
      <c r="W1900" s="155"/>
      <c r="GL1900" s="155"/>
      <c r="GM1900" s="155"/>
      <c r="GN1900" s="155"/>
      <c r="GO1900" s="155"/>
      <c r="GP1900" s="155"/>
      <c r="GQ1900" s="155"/>
      <c r="GR1900" s="155"/>
      <c r="GS1900" s="155"/>
      <c r="GT1900" s="155"/>
      <c r="GU1900" s="155"/>
      <c r="GV1900" s="155"/>
      <c r="GW1900" s="155"/>
      <c r="GX1900" s="155"/>
      <c r="GY1900" s="155"/>
      <c r="GZ1900" s="155"/>
      <c r="HA1900" s="155"/>
      <c r="HB1900" s="155"/>
      <c r="HC1900" s="155"/>
      <c r="HD1900" s="155"/>
      <c r="HE1900" s="155"/>
    </row>
    <row r="1901" spans="2:213" s="156" customFormat="1" hidden="1">
      <c r="B1901" s="155"/>
      <c r="C1901" s="155"/>
      <c r="D1901" s="155"/>
      <c r="E1901" s="155"/>
      <c r="F1901" s="155"/>
      <c r="G1901" s="155"/>
      <c r="H1901" s="155"/>
      <c r="I1901" s="155"/>
      <c r="J1901" s="155"/>
      <c r="K1901" s="155"/>
      <c r="L1901" s="155"/>
      <c r="M1901" s="155"/>
      <c r="N1901" s="155"/>
      <c r="O1901" s="155"/>
      <c r="P1901" s="155"/>
      <c r="Q1901" s="155"/>
      <c r="R1901" s="155"/>
      <c r="S1901" s="155"/>
      <c r="T1901" s="155"/>
      <c r="U1901" s="155"/>
      <c r="V1901" s="155"/>
      <c r="W1901" s="155"/>
      <c r="GL1901" s="155"/>
      <c r="GM1901" s="155"/>
      <c r="GN1901" s="155"/>
      <c r="GO1901" s="155"/>
      <c r="GP1901" s="155"/>
      <c r="GQ1901" s="155"/>
      <c r="GR1901" s="155"/>
      <c r="GS1901" s="155"/>
      <c r="GT1901" s="155"/>
      <c r="GU1901" s="155"/>
      <c r="GV1901" s="155"/>
      <c r="GW1901" s="155"/>
      <c r="GX1901" s="155"/>
      <c r="GY1901" s="155"/>
      <c r="GZ1901" s="155"/>
      <c r="HA1901" s="155"/>
      <c r="HB1901" s="155"/>
      <c r="HC1901" s="155"/>
      <c r="HD1901" s="155"/>
      <c r="HE1901" s="155"/>
    </row>
    <row r="1902" spans="2:213" s="156" customFormat="1" hidden="1">
      <c r="B1902" s="155"/>
      <c r="C1902" s="155"/>
      <c r="D1902" s="155"/>
      <c r="E1902" s="155"/>
      <c r="F1902" s="155"/>
      <c r="G1902" s="155"/>
      <c r="H1902" s="155"/>
      <c r="I1902" s="155"/>
      <c r="J1902" s="155"/>
      <c r="K1902" s="155"/>
      <c r="L1902" s="155"/>
      <c r="M1902" s="155"/>
      <c r="N1902" s="155"/>
      <c r="O1902" s="155"/>
      <c r="P1902" s="155"/>
      <c r="Q1902" s="155"/>
      <c r="R1902" s="155"/>
      <c r="S1902" s="155"/>
      <c r="T1902" s="155"/>
      <c r="U1902" s="155"/>
      <c r="V1902" s="155"/>
      <c r="W1902" s="155"/>
      <c r="GL1902" s="155"/>
      <c r="GM1902" s="155"/>
      <c r="GN1902" s="155"/>
      <c r="GO1902" s="155"/>
      <c r="GP1902" s="155"/>
      <c r="GQ1902" s="155"/>
      <c r="GR1902" s="155"/>
      <c r="GS1902" s="155"/>
      <c r="GT1902" s="155"/>
      <c r="GU1902" s="155"/>
      <c r="GV1902" s="155"/>
      <c r="GW1902" s="155"/>
      <c r="GX1902" s="155"/>
      <c r="GY1902" s="155"/>
      <c r="GZ1902" s="155"/>
      <c r="HA1902" s="155"/>
      <c r="HB1902" s="155"/>
      <c r="HC1902" s="155"/>
      <c r="HD1902" s="155"/>
      <c r="HE1902" s="155"/>
    </row>
    <row r="1903" spans="2:213" s="156" customFormat="1" hidden="1">
      <c r="B1903" s="155"/>
      <c r="C1903" s="155"/>
      <c r="D1903" s="155"/>
      <c r="E1903" s="155"/>
      <c r="F1903" s="155"/>
      <c r="G1903" s="155"/>
      <c r="H1903" s="155"/>
      <c r="I1903" s="155"/>
      <c r="J1903" s="155"/>
      <c r="K1903" s="155"/>
      <c r="L1903" s="155"/>
      <c r="M1903" s="155"/>
      <c r="N1903" s="155"/>
      <c r="O1903" s="155"/>
      <c r="P1903" s="155"/>
      <c r="Q1903" s="155"/>
      <c r="R1903" s="155"/>
      <c r="S1903" s="155"/>
      <c r="T1903" s="155"/>
      <c r="U1903" s="155"/>
      <c r="V1903" s="155"/>
      <c r="W1903" s="155"/>
      <c r="GL1903" s="155"/>
      <c r="GM1903" s="155"/>
      <c r="GN1903" s="155"/>
      <c r="GO1903" s="155"/>
      <c r="GP1903" s="155"/>
      <c r="GQ1903" s="155"/>
      <c r="GR1903" s="155"/>
      <c r="GS1903" s="155"/>
      <c r="GT1903" s="155"/>
      <c r="GU1903" s="155"/>
      <c r="GV1903" s="155"/>
      <c r="GW1903" s="155"/>
      <c r="GX1903" s="155"/>
      <c r="GY1903" s="155"/>
      <c r="GZ1903" s="155"/>
      <c r="HA1903" s="155"/>
      <c r="HB1903" s="155"/>
      <c r="HC1903" s="155"/>
      <c r="HD1903" s="155"/>
      <c r="HE1903" s="155"/>
    </row>
    <row r="1904" spans="2:213" s="156" customFormat="1" hidden="1">
      <c r="B1904" s="155"/>
      <c r="C1904" s="155"/>
      <c r="D1904" s="155"/>
      <c r="E1904" s="155"/>
      <c r="F1904" s="155"/>
      <c r="G1904" s="155"/>
      <c r="H1904" s="155"/>
      <c r="I1904" s="155"/>
      <c r="J1904" s="155"/>
      <c r="K1904" s="155"/>
      <c r="L1904" s="155"/>
      <c r="M1904" s="155"/>
      <c r="N1904" s="155"/>
      <c r="O1904" s="155"/>
      <c r="P1904" s="155"/>
      <c r="Q1904" s="155"/>
      <c r="R1904" s="155"/>
      <c r="S1904" s="155"/>
      <c r="T1904" s="155"/>
      <c r="U1904" s="155"/>
      <c r="V1904" s="155"/>
      <c r="W1904" s="155"/>
      <c r="GL1904" s="155"/>
      <c r="GM1904" s="155"/>
      <c r="GN1904" s="155"/>
      <c r="GO1904" s="155"/>
      <c r="GP1904" s="155"/>
      <c r="GQ1904" s="155"/>
      <c r="GR1904" s="155"/>
      <c r="GS1904" s="155"/>
      <c r="GT1904" s="155"/>
      <c r="GU1904" s="155"/>
      <c r="GV1904" s="155"/>
      <c r="GW1904" s="155"/>
      <c r="GX1904" s="155"/>
      <c r="GY1904" s="155"/>
      <c r="GZ1904" s="155"/>
      <c r="HA1904" s="155"/>
      <c r="HB1904" s="155"/>
      <c r="HC1904" s="155"/>
      <c r="HD1904" s="155"/>
      <c r="HE1904" s="155"/>
    </row>
    <row r="1905" spans="2:213" s="156" customFormat="1" hidden="1">
      <c r="B1905" s="155"/>
      <c r="C1905" s="155"/>
      <c r="D1905" s="155"/>
      <c r="E1905" s="155"/>
      <c r="F1905" s="155"/>
      <c r="G1905" s="155"/>
      <c r="H1905" s="155"/>
      <c r="I1905" s="155"/>
      <c r="J1905" s="155"/>
      <c r="K1905" s="155"/>
      <c r="L1905" s="155"/>
      <c r="M1905" s="155"/>
      <c r="N1905" s="155"/>
      <c r="O1905" s="155"/>
      <c r="P1905" s="155"/>
      <c r="Q1905" s="155"/>
      <c r="R1905" s="155"/>
      <c r="S1905" s="155"/>
      <c r="T1905" s="155"/>
      <c r="U1905" s="155"/>
      <c r="V1905" s="155"/>
      <c r="W1905" s="155"/>
      <c r="GL1905" s="155"/>
      <c r="GM1905" s="155"/>
      <c r="GN1905" s="155"/>
      <c r="GO1905" s="155"/>
      <c r="GP1905" s="155"/>
      <c r="GQ1905" s="155"/>
      <c r="GR1905" s="155"/>
      <c r="GS1905" s="155"/>
      <c r="GT1905" s="155"/>
      <c r="GU1905" s="155"/>
      <c r="GV1905" s="155"/>
      <c r="GW1905" s="155"/>
      <c r="GX1905" s="155"/>
      <c r="GY1905" s="155"/>
      <c r="GZ1905" s="155"/>
      <c r="HA1905" s="155"/>
      <c r="HB1905" s="155"/>
      <c r="HC1905" s="155"/>
      <c r="HD1905" s="155"/>
      <c r="HE1905" s="155"/>
    </row>
    <row r="1906" spans="2:213" s="156" customFormat="1" hidden="1">
      <c r="B1906" s="155"/>
      <c r="C1906" s="155"/>
      <c r="D1906" s="155"/>
      <c r="E1906" s="155"/>
      <c r="F1906" s="155"/>
      <c r="G1906" s="155"/>
      <c r="H1906" s="155"/>
      <c r="I1906" s="155"/>
      <c r="J1906" s="155"/>
      <c r="K1906" s="155"/>
      <c r="L1906" s="155"/>
      <c r="M1906" s="155"/>
      <c r="N1906" s="155"/>
      <c r="O1906" s="155"/>
      <c r="P1906" s="155"/>
      <c r="Q1906" s="155"/>
      <c r="R1906" s="155"/>
      <c r="S1906" s="155"/>
      <c r="T1906" s="155"/>
      <c r="U1906" s="155"/>
      <c r="V1906" s="155"/>
      <c r="W1906" s="155"/>
      <c r="GL1906" s="155"/>
      <c r="GM1906" s="155"/>
      <c r="GN1906" s="155"/>
      <c r="GO1906" s="155"/>
      <c r="GP1906" s="155"/>
      <c r="GQ1906" s="155"/>
      <c r="GR1906" s="155"/>
      <c r="GS1906" s="155"/>
      <c r="GT1906" s="155"/>
      <c r="GU1906" s="155"/>
      <c r="GV1906" s="155"/>
      <c r="GW1906" s="155"/>
      <c r="GX1906" s="155"/>
      <c r="GY1906" s="155"/>
      <c r="GZ1906" s="155"/>
      <c r="HA1906" s="155"/>
      <c r="HB1906" s="155"/>
      <c r="HC1906" s="155"/>
      <c r="HD1906" s="155"/>
      <c r="HE1906" s="155"/>
    </row>
    <row r="1907" spans="2:213" s="156" customFormat="1" hidden="1">
      <c r="B1907" s="155"/>
      <c r="C1907" s="155"/>
      <c r="D1907" s="155"/>
      <c r="E1907" s="155"/>
      <c r="F1907" s="155"/>
      <c r="G1907" s="155"/>
      <c r="H1907" s="155"/>
      <c r="I1907" s="155"/>
      <c r="J1907" s="155"/>
      <c r="K1907" s="155"/>
      <c r="L1907" s="155"/>
      <c r="M1907" s="155"/>
      <c r="N1907" s="155"/>
      <c r="O1907" s="155"/>
      <c r="P1907" s="155"/>
      <c r="Q1907" s="155"/>
      <c r="R1907" s="155"/>
      <c r="S1907" s="155"/>
      <c r="T1907" s="155"/>
      <c r="U1907" s="155"/>
      <c r="V1907" s="155"/>
      <c r="W1907" s="155"/>
      <c r="GL1907" s="155"/>
      <c r="GM1907" s="155"/>
      <c r="GN1907" s="155"/>
      <c r="GO1907" s="155"/>
      <c r="GP1907" s="155"/>
      <c r="GQ1907" s="155"/>
      <c r="GR1907" s="155"/>
      <c r="GS1907" s="155"/>
      <c r="GT1907" s="155"/>
      <c r="GU1907" s="155"/>
      <c r="GV1907" s="155"/>
      <c r="GW1907" s="155"/>
      <c r="GX1907" s="155"/>
      <c r="GY1907" s="155"/>
      <c r="GZ1907" s="155"/>
      <c r="HA1907" s="155"/>
      <c r="HB1907" s="155"/>
      <c r="HC1907" s="155"/>
      <c r="HD1907" s="155"/>
      <c r="HE1907" s="155"/>
    </row>
    <row r="1908" spans="2:213" s="156" customFormat="1" hidden="1">
      <c r="B1908" s="155"/>
      <c r="C1908" s="155"/>
      <c r="D1908" s="155"/>
      <c r="E1908" s="155"/>
      <c r="F1908" s="155"/>
      <c r="G1908" s="155"/>
      <c r="H1908" s="155"/>
      <c r="I1908" s="155"/>
      <c r="J1908" s="155"/>
      <c r="K1908" s="155"/>
      <c r="L1908" s="155"/>
      <c r="M1908" s="155"/>
      <c r="N1908" s="155"/>
      <c r="O1908" s="155"/>
      <c r="P1908" s="155"/>
      <c r="Q1908" s="155"/>
      <c r="R1908" s="155"/>
      <c r="S1908" s="155"/>
      <c r="T1908" s="155"/>
      <c r="U1908" s="155"/>
      <c r="V1908" s="155"/>
      <c r="W1908" s="155"/>
      <c r="GL1908" s="155"/>
      <c r="GM1908" s="155"/>
      <c r="GN1908" s="155"/>
      <c r="GO1908" s="155"/>
      <c r="GP1908" s="155"/>
      <c r="GQ1908" s="155"/>
      <c r="GR1908" s="155"/>
      <c r="GS1908" s="155"/>
      <c r="GT1908" s="155"/>
      <c r="GU1908" s="155"/>
      <c r="GV1908" s="155"/>
      <c r="GW1908" s="155"/>
      <c r="GX1908" s="155"/>
      <c r="GY1908" s="155"/>
      <c r="GZ1908" s="155"/>
      <c r="HA1908" s="155"/>
      <c r="HB1908" s="155"/>
      <c r="HC1908" s="155"/>
      <c r="HD1908" s="155"/>
      <c r="HE1908" s="155"/>
    </row>
    <row r="1909" spans="2:213" s="156" customFormat="1" hidden="1">
      <c r="B1909" s="155"/>
      <c r="C1909" s="155"/>
      <c r="D1909" s="155"/>
      <c r="E1909" s="155"/>
      <c r="F1909" s="155"/>
      <c r="G1909" s="155"/>
      <c r="H1909" s="155"/>
      <c r="I1909" s="155"/>
      <c r="J1909" s="155"/>
      <c r="K1909" s="155"/>
      <c r="L1909" s="155"/>
      <c r="M1909" s="155"/>
      <c r="N1909" s="155"/>
      <c r="O1909" s="155"/>
      <c r="P1909" s="155"/>
      <c r="Q1909" s="155"/>
      <c r="R1909" s="155"/>
      <c r="S1909" s="155"/>
      <c r="T1909" s="155"/>
      <c r="U1909" s="155"/>
      <c r="V1909" s="155"/>
      <c r="W1909" s="155"/>
      <c r="GL1909" s="155"/>
      <c r="GM1909" s="155"/>
      <c r="GN1909" s="155"/>
      <c r="GO1909" s="155"/>
      <c r="GP1909" s="155"/>
      <c r="GQ1909" s="155"/>
      <c r="GR1909" s="155"/>
      <c r="GS1909" s="155"/>
      <c r="GT1909" s="155"/>
      <c r="GU1909" s="155"/>
      <c r="GV1909" s="155"/>
      <c r="GW1909" s="155"/>
      <c r="GX1909" s="155"/>
      <c r="GY1909" s="155"/>
      <c r="GZ1909" s="155"/>
      <c r="HA1909" s="155"/>
      <c r="HB1909" s="155"/>
      <c r="HC1909" s="155"/>
      <c r="HD1909" s="155"/>
      <c r="HE1909" s="155"/>
    </row>
    <row r="1910" spans="2:213" s="156" customFormat="1" hidden="1">
      <c r="B1910" s="155"/>
      <c r="C1910" s="155"/>
      <c r="D1910" s="155"/>
      <c r="E1910" s="155"/>
      <c r="F1910" s="155"/>
      <c r="G1910" s="155"/>
      <c r="H1910" s="155"/>
      <c r="I1910" s="155"/>
      <c r="J1910" s="155"/>
      <c r="K1910" s="155"/>
      <c r="L1910" s="155"/>
      <c r="M1910" s="155"/>
      <c r="N1910" s="155"/>
      <c r="O1910" s="155"/>
      <c r="P1910" s="155"/>
      <c r="Q1910" s="155"/>
      <c r="R1910" s="155"/>
      <c r="S1910" s="155"/>
      <c r="T1910" s="155"/>
      <c r="U1910" s="155"/>
      <c r="V1910" s="155"/>
      <c r="W1910" s="155"/>
      <c r="GL1910" s="155"/>
      <c r="GM1910" s="155"/>
      <c r="GN1910" s="155"/>
      <c r="GO1910" s="155"/>
      <c r="GP1910" s="155"/>
      <c r="GQ1910" s="155"/>
      <c r="GR1910" s="155"/>
      <c r="GS1910" s="155"/>
      <c r="GT1910" s="155"/>
      <c r="GU1910" s="155"/>
      <c r="GV1910" s="155"/>
      <c r="GW1910" s="155"/>
      <c r="GX1910" s="155"/>
      <c r="GY1910" s="155"/>
      <c r="GZ1910" s="155"/>
      <c r="HA1910" s="155"/>
      <c r="HB1910" s="155"/>
      <c r="HC1910" s="155"/>
      <c r="HD1910" s="155"/>
      <c r="HE1910" s="155"/>
    </row>
    <row r="1911" spans="2:213" s="156" customFormat="1" hidden="1">
      <c r="B1911" s="155"/>
      <c r="C1911" s="155"/>
      <c r="D1911" s="155"/>
      <c r="E1911" s="155"/>
      <c r="F1911" s="155"/>
      <c r="G1911" s="155"/>
      <c r="H1911" s="155"/>
      <c r="I1911" s="155"/>
      <c r="J1911" s="155"/>
      <c r="K1911" s="155"/>
      <c r="L1911" s="155"/>
      <c r="M1911" s="155"/>
      <c r="N1911" s="155"/>
      <c r="O1911" s="155"/>
      <c r="P1911" s="155"/>
      <c r="Q1911" s="155"/>
      <c r="R1911" s="155"/>
      <c r="S1911" s="155"/>
      <c r="T1911" s="155"/>
      <c r="U1911" s="155"/>
      <c r="V1911" s="155"/>
      <c r="W1911" s="155"/>
      <c r="GL1911" s="155"/>
      <c r="GM1911" s="155"/>
      <c r="GN1911" s="155"/>
      <c r="GO1911" s="155"/>
      <c r="GP1911" s="155"/>
      <c r="GQ1911" s="155"/>
      <c r="GR1911" s="155"/>
      <c r="GS1911" s="155"/>
      <c r="GT1911" s="155"/>
      <c r="GU1911" s="155"/>
      <c r="GV1911" s="155"/>
      <c r="GW1911" s="155"/>
      <c r="GX1911" s="155"/>
      <c r="GY1911" s="155"/>
      <c r="GZ1911" s="155"/>
      <c r="HA1911" s="155"/>
      <c r="HB1911" s="155"/>
      <c r="HC1911" s="155"/>
      <c r="HD1911" s="155"/>
      <c r="HE1911" s="155"/>
    </row>
    <row r="1912" spans="2:213" s="156" customFormat="1" hidden="1">
      <c r="B1912" s="155"/>
      <c r="C1912" s="155"/>
      <c r="D1912" s="155"/>
      <c r="E1912" s="155"/>
      <c r="F1912" s="155"/>
      <c r="G1912" s="155"/>
      <c r="H1912" s="155"/>
      <c r="I1912" s="155"/>
      <c r="J1912" s="155"/>
      <c r="K1912" s="155"/>
      <c r="L1912" s="155"/>
      <c r="M1912" s="155"/>
      <c r="N1912" s="155"/>
      <c r="O1912" s="155"/>
      <c r="P1912" s="155"/>
      <c r="Q1912" s="155"/>
      <c r="R1912" s="155"/>
      <c r="S1912" s="155"/>
      <c r="T1912" s="155"/>
      <c r="U1912" s="155"/>
      <c r="V1912" s="155"/>
      <c r="W1912" s="155"/>
      <c r="GL1912" s="155"/>
      <c r="GM1912" s="155"/>
      <c r="GN1912" s="155"/>
      <c r="GO1912" s="155"/>
      <c r="GP1912" s="155"/>
      <c r="GQ1912" s="155"/>
      <c r="GR1912" s="155"/>
      <c r="GS1912" s="155"/>
      <c r="GT1912" s="155"/>
      <c r="GU1912" s="155"/>
      <c r="GV1912" s="155"/>
      <c r="GW1912" s="155"/>
      <c r="GX1912" s="155"/>
      <c r="GY1912" s="155"/>
      <c r="GZ1912" s="155"/>
      <c r="HA1912" s="155"/>
      <c r="HB1912" s="155"/>
      <c r="HC1912" s="155"/>
      <c r="HD1912" s="155"/>
      <c r="HE1912" s="155"/>
    </row>
    <row r="1913" spans="2:213" s="156" customFormat="1" hidden="1">
      <c r="B1913" s="155"/>
      <c r="C1913" s="155"/>
      <c r="D1913" s="155"/>
      <c r="E1913" s="155"/>
      <c r="F1913" s="155"/>
      <c r="G1913" s="155"/>
      <c r="H1913" s="155"/>
      <c r="I1913" s="155"/>
      <c r="J1913" s="155"/>
      <c r="K1913" s="155"/>
      <c r="L1913" s="155"/>
      <c r="M1913" s="155"/>
      <c r="N1913" s="155"/>
      <c r="O1913" s="155"/>
      <c r="P1913" s="155"/>
      <c r="Q1913" s="155"/>
      <c r="R1913" s="155"/>
      <c r="S1913" s="155"/>
      <c r="T1913" s="155"/>
      <c r="U1913" s="155"/>
      <c r="V1913" s="155"/>
      <c r="W1913" s="155"/>
      <c r="GL1913" s="155"/>
      <c r="GM1913" s="155"/>
      <c r="GN1913" s="155"/>
      <c r="GO1913" s="155"/>
      <c r="GP1913" s="155"/>
      <c r="GQ1913" s="155"/>
      <c r="GR1913" s="155"/>
      <c r="GS1913" s="155"/>
      <c r="GT1913" s="155"/>
      <c r="GU1913" s="155"/>
      <c r="GV1913" s="155"/>
      <c r="GW1913" s="155"/>
      <c r="GX1913" s="155"/>
      <c r="GY1913" s="155"/>
      <c r="GZ1913" s="155"/>
      <c r="HA1913" s="155"/>
      <c r="HB1913" s="155"/>
      <c r="HC1913" s="155"/>
      <c r="HD1913" s="155"/>
      <c r="HE1913" s="155"/>
    </row>
    <row r="1914" spans="2:213" s="156" customFormat="1" hidden="1">
      <c r="B1914" s="155"/>
      <c r="C1914" s="155"/>
      <c r="D1914" s="155"/>
      <c r="E1914" s="155"/>
      <c r="F1914" s="155"/>
      <c r="G1914" s="155"/>
      <c r="H1914" s="155"/>
      <c r="I1914" s="155"/>
      <c r="J1914" s="155"/>
      <c r="K1914" s="155"/>
      <c r="L1914" s="155"/>
      <c r="M1914" s="155"/>
      <c r="N1914" s="155"/>
      <c r="O1914" s="155"/>
      <c r="P1914" s="155"/>
      <c r="Q1914" s="155"/>
      <c r="R1914" s="155"/>
      <c r="S1914" s="155"/>
      <c r="T1914" s="155"/>
      <c r="U1914" s="155"/>
      <c r="V1914" s="155"/>
      <c r="W1914" s="155"/>
      <c r="GL1914" s="155"/>
      <c r="GM1914" s="155"/>
      <c r="GN1914" s="155"/>
      <c r="GO1914" s="155"/>
      <c r="GP1914" s="155"/>
      <c r="GQ1914" s="155"/>
      <c r="GR1914" s="155"/>
      <c r="GS1914" s="155"/>
      <c r="GT1914" s="155"/>
      <c r="GU1914" s="155"/>
      <c r="GV1914" s="155"/>
      <c r="GW1914" s="155"/>
      <c r="GX1914" s="155"/>
      <c r="GY1914" s="155"/>
      <c r="GZ1914" s="155"/>
      <c r="HA1914" s="155"/>
      <c r="HB1914" s="155"/>
      <c r="HC1914" s="155"/>
      <c r="HD1914" s="155"/>
      <c r="HE1914" s="155"/>
    </row>
    <row r="1915" spans="2:213" s="156" customFormat="1" hidden="1">
      <c r="B1915" s="155"/>
      <c r="C1915" s="155"/>
      <c r="D1915" s="155"/>
      <c r="E1915" s="155"/>
      <c r="F1915" s="155"/>
      <c r="G1915" s="155"/>
      <c r="H1915" s="155"/>
      <c r="I1915" s="155"/>
      <c r="J1915" s="155"/>
      <c r="K1915" s="155"/>
      <c r="L1915" s="155"/>
      <c r="M1915" s="155"/>
      <c r="N1915" s="155"/>
      <c r="O1915" s="155"/>
      <c r="P1915" s="155"/>
      <c r="Q1915" s="155"/>
      <c r="R1915" s="155"/>
      <c r="S1915" s="155"/>
      <c r="T1915" s="155"/>
      <c r="U1915" s="155"/>
      <c r="V1915" s="155"/>
      <c r="W1915" s="155"/>
      <c r="GL1915" s="155"/>
      <c r="GM1915" s="155"/>
      <c r="GN1915" s="155"/>
      <c r="GO1915" s="155"/>
      <c r="GP1915" s="155"/>
      <c r="GQ1915" s="155"/>
      <c r="GR1915" s="155"/>
      <c r="GS1915" s="155"/>
      <c r="GT1915" s="155"/>
      <c r="GU1915" s="155"/>
      <c r="GV1915" s="155"/>
      <c r="GW1915" s="155"/>
      <c r="GX1915" s="155"/>
      <c r="GY1915" s="155"/>
      <c r="GZ1915" s="155"/>
      <c r="HA1915" s="155"/>
      <c r="HB1915" s="155"/>
      <c r="HC1915" s="155"/>
      <c r="HD1915" s="155"/>
      <c r="HE1915" s="155"/>
    </row>
    <row r="1916" spans="2:213" s="156" customFormat="1" hidden="1">
      <c r="B1916" s="155"/>
      <c r="C1916" s="155"/>
      <c r="D1916" s="155"/>
      <c r="E1916" s="155"/>
      <c r="F1916" s="155"/>
      <c r="G1916" s="155"/>
      <c r="H1916" s="155"/>
      <c r="I1916" s="155"/>
      <c r="J1916" s="155"/>
      <c r="K1916" s="155"/>
      <c r="L1916" s="155"/>
      <c r="M1916" s="155"/>
      <c r="N1916" s="155"/>
      <c r="O1916" s="155"/>
      <c r="P1916" s="155"/>
      <c r="Q1916" s="155"/>
      <c r="R1916" s="155"/>
      <c r="S1916" s="155"/>
      <c r="T1916" s="155"/>
      <c r="U1916" s="155"/>
      <c r="V1916" s="155"/>
      <c r="W1916" s="155"/>
      <c r="GL1916" s="155"/>
      <c r="GM1916" s="155"/>
      <c r="GN1916" s="155"/>
      <c r="GO1916" s="155"/>
      <c r="GP1916" s="155"/>
      <c r="GQ1916" s="155"/>
      <c r="GR1916" s="155"/>
      <c r="GS1916" s="155"/>
      <c r="GT1916" s="155"/>
      <c r="GU1916" s="155"/>
      <c r="GV1916" s="155"/>
      <c r="GW1916" s="155"/>
      <c r="GX1916" s="155"/>
      <c r="GY1916" s="155"/>
      <c r="GZ1916" s="155"/>
      <c r="HA1916" s="155"/>
      <c r="HB1916" s="155"/>
      <c r="HC1916" s="155"/>
      <c r="HD1916" s="155"/>
      <c r="HE1916" s="155"/>
    </row>
    <row r="1917" spans="2:213" s="156" customFormat="1" hidden="1">
      <c r="B1917" s="155"/>
      <c r="C1917" s="155"/>
      <c r="D1917" s="155"/>
      <c r="E1917" s="155"/>
      <c r="F1917" s="155"/>
      <c r="G1917" s="155"/>
      <c r="H1917" s="155"/>
      <c r="I1917" s="155"/>
      <c r="J1917" s="155"/>
      <c r="K1917" s="155"/>
      <c r="L1917" s="155"/>
      <c r="M1917" s="155"/>
      <c r="N1917" s="155"/>
      <c r="O1917" s="155"/>
      <c r="P1917" s="155"/>
      <c r="Q1917" s="155"/>
      <c r="R1917" s="155"/>
      <c r="S1917" s="155"/>
      <c r="T1917" s="155"/>
      <c r="U1917" s="155"/>
      <c r="V1917" s="155"/>
      <c r="W1917" s="155"/>
      <c r="GL1917" s="155"/>
      <c r="GM1917" s="155"/>
      <c r="GN1917" s="155"/>
      <c r="GO1917" s="155"/>
      <c r="GP1917" s="155"/>
      <c r="GQ1917" s="155"/>
      <c r="GR1917" s="155"/>
      <c r="GS1917" s="155"/>
      <c r="GT1917" s="155"/>
      <c r="GU1917" s="155"/>
      <c r="GV1917" s="155"/>
      <c r="GW1917" s="155"/>
      <c r="GX1917" s="155"/>
      <c r="GY1917" s="155"/>
      <c r="GZ1917" s="155"/>
      <c r="HA1917" s="155"/>
      <c r="HB1917" s="155"/>
      <c r="HC1917" s="155"/>
      <c r="HD1917" s="155"/>
      <c r="HE1917" s="155"/>
    </row>
    <row r="1918" spans="2:213" s="156" customFormat="1" hidden="1">
      <c r="B1918" s="155"/>
      <c r="C1918" s="155"/>
      <c r="D1918" s="155"/>
      <c r="E1918" s="155"/>
      <c r="F1918" s="155"/>
      <c r="G1918" s="155"/>
      <c r="H1918" s="155"/>
      <c r="I1918" s="155"/>
      <c r="J1918" s="155"/>
      <c r="K1918" s="155"/>
      <c r="L1918" s="155"/>
      <c r="M1918" s="155"/>
      <c r="N1918" s="155"/>
      <c r="O1918" s="155"/>
      <c r="P1918" s="155"/>
      <c r="Q1918" s="155"/>
      <c r="R1918" s="155"/>
      <c r="S1918" s="155"/>
      <c r="T1918" s="155"/>
      <c r="U1918" s="155"/>
      <c r="V1918" s="155"/>
      <c r="W1918" s="155"/>
      <c r="GL1918" s="155"/>
      <c r="GM1918" s="155"/>
      <c r="GN1918" s="155"/>
      <c r="GO1918" s="155"/>
      <c r="GP1918" s="155"/>
      <c r="GQ1918" s="155"/>
      <c r="GR1918" s="155"/>
      <c r="GS1918" s="155"/>
      <c r="GT1918" s="155"/>
      <c r="GU1918" s="155"/>
      <c r="GV1918" s="155"/>
      <c r="GW1918" s="155"/>
      <c r="GX1918" s="155"/>
      <c r="GY1918" s="155"/>
      <c r="GZ1918" s="155"/>
      <c r="HA1918" s="155"/>
      <c r="HB1918" s="155"/>
      <c r="HC1918" s="155"/>
      <c r="HD1918" s="155"/>
      <c r="HE1918" s="155"/>
    </row>
    <row r="1919" spans="2:213" s="156" customFormat="1" hidden="1">
      <c r="B1919" s="155"/>
      <c r="C1919" s="155"/>
      <c r="D1919" s="155"/>
      <c r="E1919" s="155"/>
      <c r="F1919" s="155"/>
      <c r="G1919" s="155"/>
      <c r="H1919" s="155"/>
      <c r="I1919" s="155"/>
      <c r="J1919" s="155"/>
      <c r="K1919" s="155"/>
      <c r="L1919" s="155"/>
      <c r="M1919" s="155"/>
      <c r="N1919" s="155"/>
      <c r="O1919" s="155"/>
      <c r="P1919" s="155"/>
      <c r="Q1919" s="155"/>
      <c r="R1919" s="155"/>
      <c r="S1919" s="155"/>
      <c r="T1919" s="155"/>
      <c r="U1919" s="155"/>
      <c r="V1919" s="155"/>
      <c r="W1919" s="155"/>
      <c r="GL1919" s="155"/>
      <c r="GM1919" s="155"/>
      <c r="GN1919" s="155"/>
      <c r="GO1919" s="155"/>
      <c r="GP1919" s="155"/>
      <c r="GQ1919" s="155"/>
      <c r="GR1919" s="155"/>
      <c r="GS1919" s="155"/>
      <c r="GT1919" s="155"/>
      <c r="GU1919" s="155"/>
      <c r="GV1919" s="155"/>
      <c r="GW1919" s="155"/>
      <c r="GX1919" s="155"/>
      <c r="GY1919" s="155"/>
      <c r="GZ1919" s="155"/>
      <c r="HA1919" s="155"/>
      <c r="HB1919" s="155"/>
      <c r="HC1919" s="155"/>
      <c r="HD1919" s="155"/>
      <c r="HE1919" s="155"/>
    </row>
    <row r="1920" spans="2:213" s="156" customFormat="1" hidden="1">
      <c r="B1920" s="155"/>
      <c r="C1920" s="155"/>
      <c r="D1920" s="155"/>
      <c r="E1920" s="155"/>
      <c r="F1920" s="155"/>
      <c r="G1920" s="155"/>
      <c r="H1920" s="155"/>
      <c r="I1920" s="155"/>
      <c r="J1920" s="155"/>
      <c r="K1920" s="155"/>
      <c r="L1920" s="155"/>
      <c r="M1920" s="155"/>
      <c r="N1920" s="155"/>
      <c r="O1920" s="155"/>
      <c r="P1920" s="155"/>
      <c r="Q1920" s="155"/>
      <c r="R1920" s="155"/>
      <c r="S1920" s="155"/>
      <c r="T1920" s="155"/>
      <c r="U1920" s="155"/>
      <c r="V1920" s="155"/>
      <c r="W1920" s="155"/>
      <c r="GL1920" s="155"/>
      <c r="GM1920" s="155"/>
      <c r="GN1920" s="155"/>
      <c r="GO1920" s="155"/>
      <c r="GP1920" s="155"/>
      <c r="GQ1920" s="155"/>
      <c r="GR1920" s="155"/>
      <c r="GS1920" s="155"/>
      <c r="GT1920" s="155"/>
      <c r="GU1920" s="155"/>
      <c r="GV1920" s="155"/>
      <c r="GW1920" s="155"/>
      <c r="GX1920" s="155"/>
      <c r="GY1920" s="155"/>
      <c r="GZ1920" s="155"/>
      <c r="HA1920" s="155"/>
      <c r="HB1920" s="155"/>
      <c r="HC1920" s="155"/>
      <c r="HD1920" s="155"/>
      <c r="HE1920" s="155"/>
    </row>
    <row r="1921" spans="2:213" s="156" customFormat="1" hidden="1">
      <c r="B1921" s="155"/>
      <c r="C1921" s="155"/>
      <c r="D1921" s="155"/>
      <c r="E1921" s="155"/>
      <c r="F1921" s="155"/>
      <c r="G1921" s="155"/>
      <c r="H1921" s="155"/>
      <c r="I1921" s="155"/>
      <c r="J1921" s="155"/>
      <c r="K1921" s="155"/>
      <c r="L1921" s="155"/>
      <c r="M1921" s="155"/>
      <c r="N1921" s="155"/>
      <c r="O1921" s="155"/>
      <c r="P1921" s="155"/>
      <c r="Q1921" s="155"/>
      <c r="R1921" s="155"/>
      <c r="S1921" s="155"/>
      <c r="T1921" s="155"/>
      <c r="U1921" s="155"/>
      <c r="V1921" s="155"/>
      <c r="W1921" s="155"/>
      <c r="GL1921" s="155"/>
      <c r="GM1921" s="155"/>
      <c r="GN1921" s="155"/>
      <c r="GO1921" s="155"/>
      <c r="GP1921" s="155"/>
      <c r="GQ1921" s="155"/>
      <c r="GR1921" s="155"/>
      <c r="GS1921" s="155"/>
      <c r="GT1921" s="155"/>
      <c r="GU1921" s="155"/>
      <c r="GV1921" s="155"/>
      <c r="GW1921" s="155"/>
      <c r="GX1921" s="155"/>
      <c r="GY1921" s="155"/>
      <c r="GZ1921" s="155"/>
      <c r="HA1921" s="155"/>
      <c r="HB1921" s="155"/>
      <c r="HC1921" s="155"/>
      <c r="HD1921" s="155"/>
      <c r="HE1921" s="155"/>
    </row>
    <row r="1922" spans="2:213" s="156" customFormat="1" hidden="1">
      <c r="B1922" s="155"/>
      <c r="C1922" s="155"/>
      <c r="D1922" s="155"/>
      <c r="E1922" s="155"/>
      <c r="F1922" s="155"/>
      <c r="G1922" s="155"/>
      <c r="H1922" s="155"/>
      <c r="I1922" s="155"/>
      <c r="J1922" s="155"/>
      <c r="K1922" s="155"/>
      <c r="L1922" s="155"/>
      <c r="M1922" s="155"/>
      <c r="N1922" s="155"/>
      <c r="O1922" s="155"/>
      <c r="P1922" s="155"/>
      <c r="Q1922" s="155"/>
      <c r="R1922" s="155"/>
      <c r="S1922" s="155"/>
      <c r="T1922" s="155"/>
      <c r="U1922" s="155"/>
      <c r="V1922" s="155"/>
      <c r="W1922" s="155"/>
      <c r="GL1922" s="155"/>
      <c r="GM1922" s="155"/>
      <c r="GN1922" s="155"/>
      <c r="GO1922" s="155"/>
      <c r="GP1922" s="155"/>
      <c r="GQ1922" s="155"/>
      <c r="GR1922" s="155"/>
      <c r="GS1922" s="155"/>
      <c r="GT1922" s="155"/>
      <c r="GU1922" s="155"/>
      <c r="GV1922" s="155"/>
      <c r="GW1922" s="155"/>
      <c r="GX1922" s="155"/>
      <c r="GY1922" s="155"/>
      <c r="GZ1922" s="155"/>
      <c r="HA1922" s="155"/>
      <c r="HB1922" s="155"/>
      <c r="HC1922" s="155"/>
      <c r="HD1922" s="155"/>
      <c r="HE1922" s="155"/>
    </row>
    <row r="1923" spans="2:213" s="156" customFormat="1" hidden="1">
      <c r="B1923" s="155"/>
      <c r="C1923" s="155"/>
      <c r="D1923" s="155"/>
      <c r="E1923" s="155"/>
      <c r="F1923" s="155"/>
      <c r="G1923" s="155"/>
      <c r="H1923" s="155"/>
      <c r="I1923" s="155"/>
      <c r="J1923" s="155"/>
      <c r="K1923" s="155"/>
      <c r="L1923" s="155"/>
      <c r="M1923" s="155"/>
      <c r="N1923" s="155"/>
      <c r="O1923" s="155"/>
      <c r="P1923" s="155"/>
      <c r="Q1923" s="155"/>
      <c r="R1923" s="155"/>
      <c r="S1923" s="155"/>
      <c r="T1923" s="155"/>
      <c r="U1923" s="155"/>
      <c r="V1923" s="155"/>
      <c r="W1923" s="155"/>
      <c r="GL1923" s="155"/>
      <c r="GM1923" s="155"/>
      <c r="GN1923" s="155"/>
      <c r="GO1923" s="155"/>
      <c r="GP1923" s="155"/>
      <c r="GQ1923" s="155"/>
      <c r="GR1923" s="155"/>
      <c r="GS1923" s="155"/>
      <c r="GT1923" s="155"/>
      <c r="GU1923" s="155"/>
      <c r="GV1923" s="155"/>
      <c r="GW1923" s="155"/>
      <c r="GX1923" s="155"/>
      <c r="GY1923" s="155"/>
      <c r="GZ1923" s="155"/>
      <c r="HA1923" s="155"/>
      <c r="HB1923" s="155"/>
      <c r="HC1923" s="155"/>
      <c r="HD1923" s="155"/>
      <c r="HE1923" s="155"/>
    </row>
    <row r="1924" spans="2:213" s="156" customFormat="1" hidden="1">
      <c r="B1924" s="155"/>
      <c r="C1924" s="155"/>
      <c r="D1924" s="155"/>
      <c r="E1924" s="155"/>
      <c r="F1924" s="155"/>
      <c r="G1924" s="155"/>
      <c r="H1924" s="155"/>
      <c r="I1924" s="155"/>
      <c r="J1924" s="155"/>
      <c r="K1924" s="155"/>
      <c r="L1924" s="155"/>
      <c r="M1924" s="155"/>
      <c r="N1924" s="155"/>
      <c r="O1924" s="155"/>
      <c r="P1924" s="155"/>
      <c r="Q1924" s="155"/>
      <c r="R1924" s="155"/>
      <c r="S1924" s="155"/>
      <c r="T1924" s="155"/>
      <c r="U1924" s="155"/>
      <c r="V1924" s="155"/>
      <c r="W1924" s="155"/>
      <c r="GL1924" s="155"/>
      <c r="GM1924" s="155"/>
      <c r="GN1924" s="155"/>
      <c r="GO1924" s="155"/>
      <c r="GP1924" s="155"/>
      <c r="GQ1924" s="155"/>
      <c r="GR1924" s="155"/>
      <c r="GS1924" s="155"/>
      <c r="GT1924" s="155"/>
      <c r="GU1924" s="155"/>
      <c r="GV1924" s="155"/>
      <c r="GW1924" s="155"/>
      <c r="GX1924" s="155"/>
      <c r="GY1924" s="155"/>
      <c r="GZ1924" s="155"/>
      <c r="HA1924" s="155"/>
      <c r="HB1924" s="155"/>
      <c r="HC1924" s="155"/>
      <c r="HD1924" s="155"/>
      <c r="HE1924" s="155"/>
    </row>
    <row r="1925" spans="2:213" s="156" customFormat="1" hidden="1">
      <c r="B1925" s="155"/>
      <c r="C1925" s="155"/>
      <c r="D1925" s="155"/>
      <c r="E1925" s="155"/>
      <c r="F1925" s="155"/>
      <c r="G1925" s="155"/>
      <c r="H1925" s="155"/>
      <c r="I1925" s="155"/>
      <c r="J1925" s="155"/>
      <c r="K1925" s="155"/>
      <c r="L1925" s="155"/>
      <c r="M1925" s="155"/>
      <c r="N1925" s="155"/>
      <c r="O1925" s="155"/>
      <c r="P1925" s="155"/>
      <c r="Q1925" s="155"/>
      <c r="R1925" s="155"/>
      <c r="S1925" s="155"/>
      <c r="T1925" s="155"/>
      <c r="U1925" s="155"/>
      <c r="V1925" s="155"/>
      <c r="W1925" s="155"/>
      <c r="GL1925" s="155"/>
      <c r="GM1925" s="155"/>
      <c r="GN1925" s="155"/>
      <c r="GO1925" s="155"/>
      <c r="GP1925" s="155"/>
      <c r="GQ1925" s="155"/>
      <c r="GR1925" s="155"/>
      <c r="GS1925" s="155"/>
      <c r="GT1925" s="155"/>
      <c r="GU1925" s="155"/>
      <c r="GV1925" s="155"/>
      <c r="GW1925" s="155"/>
      <c r="GX1925" s="155"/>
      <c r="GY1925" s="155"/>
      <c r="GZ1925" s="155"/>
      <c r="HA1925" s="155"/>
      <c r="HB1925" s="155"/>
      <c r="HC1925" s="155"/>
      <c r="HD1925" s="155"/>
      <c r="HE1925" s="155"/>
    </row>
    <row r="1926" spans="2:213" s="156" customFormat="1" hidden="1">
      <c r="B1926" s="155"/>
      <c r="C1926" s="155"/>
      <c r="D1926" s="155"/>
      <c r="E1926" s="155"/>
      <c r="F1926" s="155"/>
      <c r="G1926" s="155"/>
      <c r="H1926" s="155"/>
      <c r="I1926" s="155"/>
      <c r="J1926" s="155"/>
      <c r="K1926" s="155"/>
      <c r="L1926" s="155"/>
      <c r="M1926" s="155"/>
      <c r="N1926" s="155"/>
      <c r="O1926" s="155"/>
      <c r="P1926" s="155"/>
      <c r="Q1926" s="155"/>
      <c r="R1926" s="155"/>
      <c r="S1926" s="155"/>
      <c r="T1926" s="155"/>
      <c r="U1926" s="155"/>
      <c r="V1926" s="155"/>
      <c r="W1926" s="155"/>
      <c r="GL1926" s="155"/>
      <c r="GM1926" s="155"/>
      <c r="GN1926" s="155"/>
      <c r="GO1926" s="155"/>
      <c r="GP1926" s="155"/>
      <c r="GQ1926" s="155"/>
      <c r="GR1926" s="155"/>
      <c r="GS1926" s="155"/>
      <c r="GT1926" s="155"/>
      <c r="GU1926" s="155"/>
      <c r="GV1926" s="155"/>
      <c r="GW1926" s="155"/>
      <c r="GX1926" s="155"/>
      <c r="GY1926" s="155"/>
      <c r="GZ1926" s="155"/>
      <c r="HA1926" s="155"/>
      <c r="HB1926" s="155"/>
      <c r="HC1926" s="155"/>
      <c r="HD1926" s="155"/>
      <c r="HE1926" s="155"/>
    </row>
    <row r="1927" spans="2:213" s="156" customFormat="1" hidden="1">
      <c r="B1927" s="155"/>
      <c r="C1927" s="155"/>
      <c r="D1927" s="155"/>
      <c r="E1927" s="155"/>
      <c r="F1927" s="155"/>
      <c r="G1927" s="155"/>
      <c r="H1927" s="155"/>
      <c r="I1927" s="155"/>
      <c r="J1927" s="155"/>
      <c r="K1927" s="155"/>
      <c r="L1927" s="155"/>
      <c r="M1927" s="155"/>
      <c r="N1927" s="155"/>
      <c r="O1927" s="155"/>
      <c r="P1927" s="155"/>
      <c r="Q1927" s="155"/>
      <c r="R1927" s="155"/>
      <c r="S1927" s="155"/>
      <c r="T1927" s="155"/>
      <c r="U1927" s="155"/>
      <c r="V1927" s="155"/>
      <c r="W1927" s="155"/>
      <c r="GL1927" s="155"/>
      <c r="GM1927" s="155"/>
      <c r="GN1927" s="155"/>
      <c r="GO1927" s="155"/>
      <c r="GP1927" s="155"/>
      <c r="GQ1927" s="155"/>
      <c r="GR1927" s="155"/>
      <c r="GS1927" s="155"/>
      <c r="GT1927" s="155"/>
      <c r="GU1927" s="155"/>
      <c r="GV1927" s="155"/>
      <c r="GW1927" s="155"/>
      <c r="GX1927" s="155"/>
      <c r="GY1927" s="155"/>
      <c r="GZ1927" s="155"/>
      <c r="HA1927" s="155"/>
      <c r="HB1927" s="155"/>
      <c r="HC1927" s="155"/>
      <c r="HD1927" s="155"/>
      <c r="HE1927" s="155"/>
    </row>
    <row r="1928" spans="2:213" s="156" customFormat="1" hidden="1">
      <c r="B1928" s="155"/>
      <c r="C1928" s="155"/>
      <c r="D1928" s="155"/>
      <c r="E1928" s="155"/>
      <c r="F1928" s="155"/>
      <c r="G1928" s="155"/>
      <c r="H1928" s="155"/>
      <c r="I1928" s="155"/>
      <c r="J1928" s="155"/>
      <c r="K1928" s="155"/>
      <c r="L1928" s="155"/>
      <c r="M1928" s="155"/>
      <c r="N1928" s="155"/>
      <c r="O1928" s="155"/>
      <c r="P1928" s="155"/>
      <c r="Q1928" s="155"/>
      <c r="R1928" s="155"/>
      <c r="S1928" s="155"/>
      <c r="T1928" s="155"/>
      <c r="U1928" s="155"/>
      <c r="V1928" s="155"/>
      <c r="W1928" s="155"/>
      <c r="GL1928" s="155"/>
      <c r="GM1928" s="155"/>
      <c r="GN1928" s="155"/>
      <c r="GO1928" s="155"/>
      <c r="GP1928" s="155"/>
      <c r="GQ1928" s="155"/>
      <c r="GR1928" s="155"/>
      <c r="GS1928" s="155"/>
      <c r="GT1928" s="155"/>
      <c r="GU1928" s="155"/>
      <c r="GV1928" s="155"/>
      <c r="GW1928" s="155"/>
      <c r="GX1928" s="155"/>
      <c r="GY1928" s="155"/>
      <c r="GZ1928" s="155"/>
      <c r="HA1928" s="155"/>
      <c r="HB1928" s="155"/>
      <c r="HC1928" s="155"/>
      <c r="HD1928" s="155"/>
      <c r="HE1928" s="155"/>
    </row>
    <row r="1929" spans="2:213" s="156" customFormat="1" hidden="1">
      <c r="B1929" s="155"/>
      <c r="C1929" s="155"/>
      <c r="D1929" s="155"/>
      <c r="E1929" s="155"/>
      <c r="F1929" s="155"/>
      <c r="G1929" s="155"/>
      <c r="H1929" s="155"/>
      <c r="I1929" s="155"/>
      <c r="J1929" s="155"/>
      <c r="K1929" s="155"/>
      <c r="L1929" s="155"/>
      <c r="M1929" s="155"/>
      <c r="N1929" s="155"/>
      <c r="O1929" s="155"/>
      <c r="P1929" s="155"/>
      <c r="Q1929" s="155"/>
      <c r="R1929" s="155"/>
      <c r="S1929" s="155"/>
      <c r="T1929" s="155"/>
      <c r="U1929" s="155"/>
      <c r="V1929" s="155"/>
      <c r="W1929" s="155"/>
      <c r="GL1929" s="155"/>
      <c r="GM1929" s="155"/>
      <c r="GN1929" s="155"/>
      <c r="GO1929" s="155"/>
      <c r="GP1929" s="155"/>
      <c r="GQ1929" s="155"/>
      <c r="GR1929" s="155"/>
      <c r="GS1929" s="155"/>
      <c r="GT1929" s="155"/>
      <c r="GU1929" s="155"/>
      <c r="GV1929" s="155"/>
      <c r="GW1929" s="155"/>
      <c r="GX1929" s="155"/>
      <c r="GY1929" s="155"/>
      <c r="GZ1929" s="155"/>
      <c r="HA1929" s="155"/>
      <c r="HB1929" s="155"/>
      <c r="HC1929" s="155"/>
      <c r="HD1929" s="155"/>
      <c r="HE1929" s="155"/>
    </row>
    <row r="1930" spans="2:213" s="156" customFormat="1" hidden="1">
      <c r="B1930" s="155"/>
      <c r="C1930" s="155"/>
      <c r="D1930" s="155"/>
      <c r="E1930" s="155"/>
      <c r="F1930" s="155"/>
      <c r="G1930" s="155"/>
      <c r="H1930" s="155"/>
      <c r="I1930" s="155"/>
      <c r="J1930" s="155"/>
      <c r="K1930" s="155"/>
      <c r="L1930" s="155"/>
      <c r="M1930" s="155"/>
      <c r="N1930" s="155"/>
      <c r="O1930" s="155"/>
      <c r="P1930" s="155"/>
      <c r="Q1930" s="155"/>
      <c r="R1930" s="155"/>
      <c r="S1930" s="155"/>
      <c r="T1930" s="155"/>
      <c r="U1930" s="155"/>
      <c r="V1930" s="155"/>
      <c r="W1930" s="155"/>
      <c r="GL1930" s="155"/>
      <c r="GM1930" s="155"/>
      <c r="GN1930" s="155"/>
      <c r="GO1930" s="155"/>
      <c r="GP1930" s="155"/>
      <c r="GQ1930" s="155"/>
      <c r="GR1930" s="155"/>
      <c r="GS1930" s="155"/>
      <c r="GT1930" s="155"/>
      <c r="GU1930" s="155"/>
      <c r="GV1930" s="155"/>
      <c r="GW1930" s="155"/>
      <c r="GX1930" s="155"/>
      <c r="GY1930" s="155"/>
      <c r="GZ1930" s="155"/>
      <c r="HA1930" s="155"/>
      <c r="HB1930" s="155"/>
      <c r="HC1930" s="155"/>
      <c r="HD1930" s="155"/>
      <c r="HE1930" s="155"/>
    </row>
    <row r="1931" spans="2:213" s="156" customFormat="1" hidden="1">
      <c r="B1931" s="155"/>
      <c r="C1931" s="155"/>
      <c r="D1931" s="155"/>
      <c r="E1931" s="155"/>
      <c r="F1931" s="155"/>
      <c r="G1931" s="155"/>
      <c r="H1931" s="155"/>
      <c r="I1931" s="155"/>
      <c r="J1931" s="155"/>
      <c r="K1931" s="155"/>
      <c r="L1931" s="155"/>
      <c r="M1931" s="155"/>
      <c r="N1931" s="155"/>
      <c r="O1931" s="155"/>
      <c r="P1931" s="155"/>
      <c r="Q1931" s="155"/>
      <c r="R1931" s="155"/>
      <c r="S1931" s="155"/>
      <c r="T1931" s="155"/>
      <c r="U1931" s="155"/>
      <c r="V1931" s="155"/>
      <c r="W1931" s="155"/>
      <c r="GL1931" s="155"/>
      <c r="GM1931" s="155"/>
      <c r="GN1931" s="155"/>
      <c r="GO1931" s="155"/>
      <c r="GP1931" s="155"/>
      <c r="GQ1931" s="155"/>
      <c r="GR1931" s="155"/>
      <c r="GS1931" s="155"/>
      <c r="GT1931" s="155"/>
      <c r="GU1931" s="155"/>
      <c r="GV1931" s="155"/>
      <c r="GW1931" s="155"/>
      <c r="GX1931" s="155"/>
      <c r="GY1931" s="155"/>
      <c r="GZ1931" s="155"/>
      <c r="HA1931" s="155"/>
      <c r="HB1931" s="155"/>
      <c r="HC1931" s="155"/>
      <c r="HD1931" s="155"/>
      <c r="HE1931" s="155"/>
    </row>
    <row r="1932" spans="2:213" s="156" customFormat="1" hidden="1">
      <c r="B1932" s="155"/>
      <c r="C1932" s="155"/>
      <c r="D1932" s="155"/>
      <c r="E1932" s="155"/>
      <c r="F1932" s="155"/>
      <c r="G1932" s="155"/>
      <c r="H1932" s="155"/>
      <c r="I1932" s="155"/>
      <c r="J1932" s="155"/>
      <c r="K1932" s="155"/>
      <c r="L1932" s="155"/>
      <c r="M1932" s="155"/>
      <c r="N1932" s="155"/>
      <c r="O1932" s="155"/>
      <c r="P1932" s="155"/>
      <c r="Q1932" s="155"/>
      <c r="R1932" s="155"/>
      <c r="S1932" s="155"/>
      <c r="T1932" s="155"/>
      <c r="U1932" s="155"/>
      <c r="V1932" s="155"/>
      <c r="W1932" s="155"/>
      <c r="GL1932" s="155"/>
      <c r="GM1932" s="155"/>
      <c r="GN1932" s="155"/>
      <c r="GO1932" s="155"/>
      <c r="GP1932" s="155"/>
      <c r="GQ1932" s="155"/>
      <c r="GR1932" s="155"/>
      <c r="GS1932" s="155"/>
      <c r="GT1932" s="155"/>
      <c r="GU1932" s="155"/>
      <c r="GV1932" s="155"/>
      <c r="GW1932" s="155"/>
      <c r="GX1932" s="155"/>
      <c r="GY1932" s="155"/>
      <c r="GZ1932" s="155"/>
      <c r="HA1932" s="155"/>
      <c r="HB1932" s="155"/>
      <c r="HC1932" s="155"/>
      <c r="HD1932" s="155"/>
      <c r="HE1932" s="155"/>
    </row>
    <row r="1933" spans="2:213" s="156" customFormat="1" hidden="1">
      <c r="B1933" s="155"/>
      <c r="C1933" s="155"/>
      <c r="D1933" s="155"/>
      <c r="E1933" s="155"/>
      <c r="F1933" s="155"/>
      <c r="G1933" s="155"/>
      <c r="H1933" s="155"/>
      <c r="I1933" s="155"/>
      <c r="J1933" s="155"/>
      <c r="K1933" s="155"/>
      <c r="L1933" s="155"/>
      <c r="M1933" s="155"/>
      <c r="N1933" s="155"/>
      <c r="O1933" s="155"/>
      <c r="P1933" s="155"/>
      <c r="Q1933" s="155"/>
      <c r="R1933" s="155"/>
      <c r="S1933" s="155"/>
      <c r="T1933" s="155"/>
      <c r="U1933" s="155"/>
      <c r="V1933" s="155"/>
      <c r="W1933" s="155"/>
      <c r="GL1933" s="155"/>
      <c r="GM1933" s="155"/>
      <c r="GN1933" s="155"/>
      <c r="GO1933" s="155"/>
      <c r="GP1933" s="155"/>
      <c r="GQ1933" s="155"/>
      <c r="GR1933" s="155"/>
      <c r="GS1933" s="155"/>
      <c r="GT1933" s="155"/>
      <c r="GU1933" s="155"/>
      <c r="GV1933" s="155"/>
      <c r="GW1933" s="155"/>
      <c r="GX1933" s="155"/>
      <c r="GY1933" s="155"/>
      <c r="GZ1933" s="155"/>
      <c r="HA1933" s="155"/>
      <c r="HB1933" s="155"/>
      <c r="HC1933" s="155"/>
      <c r="HD1933" s="155"/>
      <c r="HE1933" s="155"/>
    </row>
    <row r="1934" spans="2:213" s="156" customFormat="1" hidden="1">
      <c r="B1934" s="155"/>
      <c r="C1934" s="155"/>
      <c r="D1934" s="155"/>
      <c r="E1934" s="155"/>
      <c r="F1934" s="155"/>
      <c r="G1934" s="155"/>
      <c r="H1934" s="155"/>
      <c r="I1934" s="155"/>
      <c r="J1934" s="155"/>
      <c r="K1934" s="155"/>
      <c r="L1934" s="155"/>
      <c r="M1934" s="155"/>
      <c r="N1934" s="155"/>
      <c r="O1934" s="155"/>
      <c r="P1934" s="155"/>
      <c r="Q1934" s="155"/>
      <c r="R1934" s="155"/>
      <c r="S1934" s="155"/>
      <c r="T1934" s="155"/>
      <c r="U1934" s="155"/>
      <c r="V1934" s="155"/>
      <c r="W1934" s="155"/>
      <c r="GL1934" s="155"/>
      <c r="GM1934" s="155"/>
      <c r="GN1934" s="155"/>
      <c r="GO1934" s="155"/>
      <c r="GP1934" s="155"/>
      <c r="GQ1934" s="155"/>
      <c r="GR1934" s="155"/>
      <c r="GS1934" s="155"/>
      <c r="GT1934" s="155"/>
      <c r="GU1934" s="155"/>
      <c r="GV1934" s="155"/>
      <c r="GW1934" s="155"/>
      <c r="GX1934" s="155"/>
      <c r="GY1934" s="155"/>
      <c r="GZ1934" s="155"/>
      <c r="HA1934" s="155"/>
      <c r="HB1934" s="155"/>
      <c r="HC1934" s="155"/>
      <c r="HD1934" s="155"/>
      <c r="HE1934" s="155"/>
    </row>
    <row r="1935" spans="2:213" s="156" customFormat="1" hidden="1">
      <c r="B1935" s="155"/>
      <c r="C1935" s="155"/>
      <c r="D1935" s="155"/>
      <c r="E1935" s="155"/>
      <c r="F1935" s="155"/>
      <c r="G1935" s="155"/>
      <c r="H1935" s="155"/>
      <c r="I1935" s="155"/>
      <c r="J1935" s="155"/>
      <c r="K1935" s="155"/>
      <c r="L1935" s="155"/>
      <c r="M1935" s="155"/>
      <c r="N1935" s="155"/>
      <c r="O1935" s="155"/>
      <c r="P1935" s="155"/>
      <c r="Q1935" s="155"/>
      <c r="R1935" s="155"/>
      <c r="S1935" s="155"/>
      <c r="T1935" s="155"/>
      <c r="U1935" s="155"/>
      <c r="V1935" s="155"/>
      <c r="W1935" s="155"/>
      <c r="GL1935" s="155"/>
      <c r="GM1935" s="155"/>
      <c r="GN1935" s="155"/>
      <c r="GO1935" s="155"/>
      <c r="GP1935" s="155"/>
      <c r="GQ1935" s="155"/>
      <c r="GR1935" s="155"/>
      <c r="GS1935" s="155"/>
      <c r="GT1935" s="155"/>
      <c r="GU1935" s="155"/>
      <c r="GV1935" s="155"/>
      <c r="GW1935" s="155"/>
      <c r="GX1935" s="155"/>
      <c r="GY1935" s="155"/>
      <c r="GZ1935" s="155"/>
      <c r="HA1935" s="155"/>
      <c r="HB1935" s="155"/>
      <c r="HC1935" s="155"/>
      <c r="HD1935" s="155"/>
      <c r="HE1935" s="155"/>
    </row>
    <row r="1936" spans="2:213" s="156" customFormat="1" hidden="1">
      <c r="B1936" s="155"/>
      <c r="C1936" s="155"/>
      <c r="D1936" s="155"/>
      <c r="E1936" s="155"/>
      <c r="F1936" s="155"/>
      <c r="G1936" s="155"/>
      <c r="H1936" s="155"/>
      <c r="I1936" s="155"/>
      <c r="J1936" s="155"/>
      <c r="K1936" s="155"/>
      <c r="L1936" s="155"/>
      <c r="M1936" s="155"/>
      <c r="N1936" s="155"/>
      <c r="O1936" s="155"/>
      <c r="P1936" s="155"/>
      <c r="Q1936" s="155"/>
      <c r="R1936" s="155"/>
      <c r="S1936" s="155"/>
      <c r="T1936" s="155"/>
      <c r="U1936" s="155"/>
      <c r="V1936" s="155"/>
      <c r="W1936" s="155"/>
      <c r="GL1936" s="155"/>
      <c r="GM1936" s="155"/>
      <c r="GN1936" s="155"/>
      <c r="GO1936" s="155"/>
      <c r="GP1936" s="155"/>
      <c r="GQ1936" s="155"/>
      <c r="GR1936" s="155"/>
      <c r="GS1936" s="155"/>
      <c r="GT1936" s="155"/>
      <c r="GU1936" s="155"/>
      <c r="GV1936" s="155"/>
      <c r="GW1936" s="155"/>
      <c r="GX1936" s="155"/>
      <c r="GY1936" s="155"/>
      <c r="GZ1936" s="155"/>
      <c r="HA1936" s="155"/>
      <c r="HB1936" s="155"/>
      <c r="HC1936" s="155"/>
      <c r="HD1936" s="155"/>
      <c r="HE1936" s="155"/>
    </row>
    <row r="1937" spans="2:213" s="156" customFormat="1" hidden="1">
      <c r="B1937" s="155"/>
      <c r="C1937" s="155"/>
      <c r="D1937" s="155"/>
      <c r="E1937" s="155"/>
      <c r="F1937" s="155"/>
      <c r="G1937" s="155"/>
      <c r="H1937" s="155"/>
      <c r="I1937" s="155"/>
      <c r="J1937" s="155"/>
      <c r="K1937" s="155"/>
      <c r="L1937" s="155"/>
      <c r="M1937" s="155"/>
      <c r="N1937" s="155"/>
      <c r="O1937" s="155"/>
      <c r="P1937" s="155"/>
      <c r="Q1937" s="155"/>
      <c r="R1937" s="155"/>
      <c r="S1937" s="155"/>
      <c r="T1937" s="155"/>
      <c r="U1937" s="155"/>
      <c r="V1937" s="155"/>
      <c r="W1937" s="155"/>
      <c r="GL1937" s="155"/>
      <c r="GM1937" s="155"/>
      <c r="GN1937" s="155"/>
      <c r="GO1937" s="155"/>
      <c r="GP1937" s="155"/>
      <c r="GQ1937" s="155"/>
      <c r="GR1937" s="155"/>
      <c r="GS1937" s="155"/>
      <c r="GT1937" s="155"/>
      <c r="GU1937" s="155"/>
      <c r="GV1937" s="155"/>
      <c r="GW1937" s="155"/>
      <c r="GX1937" s="155"/>
      <c r="GY1937" s="155"/>
      <c r="GZ1937" s="155"/>
      <c r="HA1937" s="155"/>
      <c r="HB1937" s="155"/>
      <c r="HC1937" s="155"/>
      <c r="HD1937" s="155"/>
      <c r="HE1937" s="155"/>
    </row>
    <row r="1938" spans="2:213" s="156" customFormat="1" hidden="1">
      <c r="B1938" s="155"/>
      <c r="C1938" s="155"/>
      <c r="D1938" s="155"/>
      <c r="E1938" s="155"/>
      <c r="F1938" s="155"/>
      <c r="G1938" s="155"/>
      <c r="H1938" s="155"/>
      <c r="I1938" s="155"/>
      <c r="J1938" s="155"/>
      <c r="K1938" s="155"/>
      <c r="L1938" s="155"/>
      <c r="M1938" s="155"/>
      <c r="N1938" s="155"/>
      <c r="O1938" s="155"/>
      <c r="P1938" s="155"/>
      <c r="Q1938" s="155"/>
      <c r="R1938" s="155"/>
      <c r="S1938" s="155"/>
      <c r="T1938" s="155"/>
      <c r="U1938" s="155"/>
      <c r="V1938" s="155"/>
      <c r="W1938" s="155"/>
      <c r="GL1938" s="155"/>
      <c r="GM1938" s="155"/>
      <c r="GN1938" s="155"/>
      <c r="GO1938" s="155"/>
      <c r="GP1938" s="155"/>
      <c r="GQ1938" s="155"/>
      <c r="GR1938" s="155"/>
      <c r="GS1938" s="155"/>
      <c r="GT1938" s="155"/>
      <c r="GU1938" s="155"/>
      <c r="GV1938" s="155"/>
      <c r="GW1938" s="155"/>
      <c r="GX1938" s="155"/>
      <c r="GY1938" s="155"/>
      <c r="GZ1938" s="155"/>
      <c r="HA1938" s="155"/>
      <c r="HB1938" s="155"/>
      <c r="HC1938" s="155"/>
      <c r="HD1938" s="155"/>
      <c r="HE1938" s="155"/>
    </row>
    <row r="1939" spans="2:213" s="156" customFormat="1" hidden="1">
      <c r="B1939" s="155"/>
      <c r="C1939" s="155"/>
      <c r="D1939" s="155"/>
      <c r="E1939" s="155"/>
      <c r="F1939" s="155"/>
      <c r="G1939" s="155"/>
      <c r="H1939" s="155"/>
      <c r="I1939" s="155"/>
      <c r="J1939" s="155"/>
      <c r="K1939" s="155"/>
      <c r="L1939" s="155"/>
      <c r="M1939" s="155"/>
      <c r="N1939" s="155"/>
      <c r="O1939" s="155"/>
      <c r="P1939" s="155"/>
      <c r="Q1939" s="155"/>
      <c r="R1939" s="155"/>
      <c r="S1939" s="155"/>
      <c r="T1939" s="155"/>
      <c r="U1939" s="155"/>
      <c r="V1939" s="155"/>
      <c r="W1939" s="155"/>
      <c r="GL1939" s="155"/>
      <c r="GM1939" s="155"/>
      <c r="GN1939" s="155"/>
      <c r="GO1939" s="155"/>
      <c r="GP1939" s="155"/>
      <c r="GQ1939" s="155"/>
      <c r="GR1939" s="155"/>
      <c r="GS1939" s="155"/>
      <c r="GT1939" s="155"/>
      <c r="GU1939" s="155"/>
      <c r="GV1939" s="155"/>
      <c r="GW1939" s="155"/>
      <c r="GX1939" s="155"/>
      <c r="GY1939" s="155"/>
      <c r="GZ1939" s="155"/>
      <c r="HA1939" s="155"/>
      <c r="HB1939" s="155"/>
      <c r="HC1939" s="155"/>
      <c r="HD1939" s="155"/>
      <c r="HE1939" s="155"/>
    </row>
    <row r="1940" spans="2:213" s="156" customFormat="1" hidden="1">
      <c r="B1940" s="155"/>
      <c r="C1940" s="155"/>
      <c r="D1940" s="155"/>
      <c r="E1940" s="155"/>
      <c r="F1940" s="155"/>
      <c r="G1940" s="155"/>
      <c r="H1940" s="155"/>
      <c r="I1940" s="155"/>
      <c r="J1940" s="155"/>
      <c r="K1940" s="155"/>
      <c r="L1940" s="155"/>
      <c r="M1940" s="155"/>
      <c r="N1940" s="155"/>
      <c r="O1940" s="155"/>
      <c r="P1940" s="155"/>
      <c r="Q1940" s="155"/>
      <c r="R1940" s="155"/>
      <c r="S1940" s="155"/>
      <c r="T1940" s="155"/>
      <c r="U1940" s="155"/>
      <c r="V1940" s="155"/>
      <c r="W1940" s="155"/>
      <c r="GL1940" s="155"/>
      <c r="GM1940" s="155"/>
      <c r="GN1940" s="155"/>
      <c r="GO1940" s="155"/>
      <c r="GP1940" s="155"/>
      <c r="GQ1940" s="155"/>
      <c r="GR1940" s="155"/>
      <c r="GS1940" s="155"/>
      <c r="GT1940" s="155"/>
      <c r="GU1940" s="155"/>
      <c r="GV1940" s="155"/>
      <c r="GW1940" s="155"/>
      <c r="GX1940" s="155"/>
      <c r="GY1940" s="155"/>
      <c r="GZ1940" s="155"/>
      <c r="HA1940" s="155"/>
      <c r="HB1940" s="155"/>
      <c r="HC1940" s="155"/>
      <c r="HD1940" s="155"/>
      <c r="HE1940" s="155"/>
    </row>
    <row r="1941" spans="2:213" s="156" customFormat="1" hidden="1">
      <c r="B1941" s="155"/>
      <c r="C1941" s="155"/>
      <c r="D1941" s="155"/>
      <c r="E1941" s="155"/>
      <c r="F1941" s="155"/>
      <c r="G1941" s="155"/>
      <c r="H1941" s="155"/>
      <c r="I1941" s="155"/>
      <c r="J1941" s="155"/>
      <c r="K1941" s="155"/>
      <c r="L1941" s="155"/>
      <c r="M1941" s="155"/>
      <c r="N1941" s="155"/>
      <c r="O1941" s="155"/>
      <c r="P1941" s="155"/>
      <c r="Q1941" s="155"/>
      <c r="R1941" s="155"/>
      <c r="S1941" s="155"/>
      <c r="T1941" s="155"/>
      <c r="U1941" s="155"/>
      <c r="V1941" s="155"/>
      <c r="W1941" s="155"/>
      <c r="GL1941" s="155"/>
      <c r="GM1941" s="155"/>
      <c r="GN1941" s="155"/>
      <c r="GO1941" s="155"/>
      <c r="GP1941" s="155"/>
      <c r="GQ1941" s="155"/>
      <c r="GR1941" s="155"/>
      <c r="GS1941" s="155"/>
      <c r="GT1941" s="155"/>
      <c r="GU1941" s="155"/>
      <c r="GV1941" s="155"/>
      <c r="GW1941" s="155"/>
      <c r="GX1941" s="155"/>
      <c r="GY1941" s="155"/>
      <c r="GZ1941" s="155"/>
      <c r="HA1941" s="155"/>
      <c r="HB1941" s="155"/>
      <c r="HC1941" s="155"/>
      <c r="HD1941" s="155"/>
      <c r="HE1941" s="155"/>
    </row>
    <row r="1942" spans="2:213" s="156" customFormat="1" hidden="1">
      <c r="B1942" s="155"/>
      <c r="C1942" s="155"/>
      <c r="D1942" s="155"/>
      <c r="E1942" s="155"/>
      <c r="F1942" s="155"/>
      <c r="G1942" s="155"/>
      <c r="H1942" s="155"/>
      <c r="I1942" s="155"/>
      <c r="J1942" s="155"/>
      <c r="K1942" s="155"/>
      <c r="L1942" s="155"/>
      <c r="M1942" s="155"/>
      <c r="N1942" s="155"/>
      <c r="O1942" s="155"/>
      <c r="P1942" s="155"/>
      <c r="Q1942" s="155"/>
      <c r="R1942" s="155"/>
      <c r="S1942" s="155"/>
      <c r="T1942" s="155"/>
      <c r="U1942" s="155"/>
      <c r="V1942" s="155"/>
      <c r="W1942" s="155"/>
      <c r="GL1942" s="155"/>
      <c r="GM1942" s="155"/>
      <c r="GN1942" s="155"/>
      <c r="GO1942" s="155"/>
      <c r="GP1942" s="155"/>
      <c r="GQ1942" s="155"/>
      <c r="GR1942" s="155"/>
      <c r="GS1942" s="155"/>
      <c r="GT1942" s="155"/>
      <c r="GU1942" s="155"/>
      <c r="GV1942" s="155"/>
      <c r="GW1942" s="155"/>
      <c r="GX1942" s="155"/>
      <c r="GY1942" s="155"/>
      <c r="GZ1942" s="155"/>
      <c r="HA1942" s="155"/>
      <c r="HB1942" s="155"/>
      <c r="HC1942" s="155"/>
      <c r="HD1942" s="155"/>
      <c r="HE1942" s="155"/>
    </row>
    <row r="1943" spans="2:213" s="156" customFormat="1" hidden="1">
      <c r="B1943" s="155"/>
      <c r="C1943" s="155"/>
      <c r="D1943" s="155"/>
      <c r="E1943" s="155"/>
      <c r="F1943" s="155"/>
      <c r="G1943" s="155"/>
      <c r="H1943" s="155"/>
      <c r="I1943" s="155"/>
      <c r="J1943" s="155"/>
      <c r="K1943" s="155"/>
      <c r="L1943" s="155"/>
      <c r="M1943" s="155"/>
      <c r="N1943" s="155"/>
      <c r="O1943" s="155"/>
      <c r="P1943" s="155"/>
      <c r="Q1943" s="155"/>
      <c r="R1943" s="155"/>
      <c r="S1943" s="155"/>
      <c r="T1943" s="155"/>
      <c r="U1943" s="155"/>
      <c r="V1943" s="155"/>
      <c r="W1943" s="155"/>
      <c r="GL1943" s="155"/>
      <c r="GM1943" s="155"/>
      <c r="GN1943" s="155"/>
      <c r="GO1943" s="155"/>
      <c r="GP1943" s="155"/>
      <c r="GQ1943" s="155"/>
      <c r="GR1943" s="155"/>
      <c r="GS1943" s="155"/>
      <c r="GT1943" s="155"/>
      <c r="GU1943" s="155"/>
      <c r="GV1943" s="155"/>
      <c r="GW1943" s="155"/>
      <c r="GX1943" s="155"/>
      <c r="GY1943" s="155"/>
      <c r="GZ1943" s="155"/>
      <c r="HA1943" s="155"/>
      <c r="HB1943" s="155"/>
      <c r="HC1943" s="155"/>
      <c r="HD1943" s="155"/>
      <c r="HE1943" s="155"/>
    </row>
    <row r="1944" spans="2:213" s="156" customFormat="1" hidden="1">
      <c r="B1944" s="155"/>
      <c r="C1944" s="155"/>
      <c r="D1944" s="155"/>
      <c r="E1944" s="155"/>
      <c r="F1944" s="155"/>
      <c r="G1944" s="155"/>
      <c r="H1944" s="155"/>
      <c r="I1944" s="155"/>
      <c r="J1944" s="155"/>
      <c r="K1944" s="155"/>
      <c r="L1944" s="155"/>
      <c r="M1944" s="155"/>
      <c r="N1944" s="155"/>
      <c r="O1944" s="155"/>
      <c r="P1944" s="155"/>
      <c r="Q1944" s="155"/>
      <c r="R1944" s="155"/>
      <c r="S1944" s="155"/>
      <c r="T1944" s="155"/>
      <c r="U1944" s="155"/>
      <c r="V1944" s="155"/>
      <c r="W1944" s="155"/>
      <c r="GL1944" s="155"/>
      <c r="GM1944" s="155"/>
      <c r="GN1944" s="155"/>
      <c r="GO1944" s="155"/>
      <c r="GP1944" s="155"/>
      <c r="GQ1944" s="155"/>
      <c r="GR1944" s="155"/>
      <c r="GS1944" s="155"/>
      <c r="GT1944" s="155"/>
      <c r="GU1944" s="155"/>
      <c r="GV1944" s="155"/>
      <c r="GW1944" s="155"/>
      <c r="GX1944" s="155"/>
      <c r="GY1944" s="155"/>
      <c r="GZ1944" s="155"/>
      <c r="HA1944" s="155"/>
      <c r="HB1944" s="155"/>
      <c r="HC1944" s="155"/>
      <c r="HD1944" s="155"/>
      <c r="HE1944" s="155"/>
    </row>
    <row r="1945" spans="2:213" s="156" customFormat="1" hidden="1">
      <c r="B1945" s="155"/>
      <c r="C1945" s="155"/>
      <c r="D1945" s="155"/>
      <c r="E1945" s="155"/>
      <c r="F1945" s="155"/>
      <c r="G1945" s="155"/>
      <c r="H1945" s="155"/>
      <c r="I1945" s="155"/>
      <c r="J1945" s="155"/>
      <c r="K1945" s="155"/>
      <c r="L1945" s="155"/>
      <c r="M1945" s="155"/>
      <c r="N1945" s="155"/>
      <c r="O1945" s="155"/>
      <c r="P1945" s="155"/>
      <c r="Q1945" s="155"/>
      <c r="R1945" s="155"/>
      <c r="S1945" s="155"/>
      <c r="T1945" s="155"/>
      <c r="U1945" s="155"/>
      <c r="V1945" s="155"/>
      <c r="W1945" s="155"/>
      <c r="GL1945" s="155"/>
      <c r="GM1945" s="155"/>
      <c r="GN1945" s="155"/>
      <c r="GO1945" s="155"/>
      <c r="GP1945" s="155"/>
      <c r="GQ1945" s="155"/>
      <c r="GR1945" s="155"/>
      <c r="GS1945" s="155"/>
      <c r="GT1945" s="155"/>
      <c r="GU1945" s="155"/>
      <c r="GV1945" s="155"/>
      <c r="GW1945" s="155"/>
      <c r="GX1945" s="155"/>
      <c r="GY1945" s="155"/>
      <c r="GZ1945" s="155"/>
      <c r="HA1945" s="155"/>
      <c r="HB1945" s="155"/>
      <c r="HC1945" s="155"/>
      <c r="HD1945" s="155"/>
      <c r="HE1945" s="155"/>
    </row>
    <row r="1946" spans="2:213" s="156" customFormat="1" hidden="1">
      <c r="B1946" s="155"/>
      <c r="C1946" s="155"/>
      <c r="D1946" s="155"/>
      <c r="E1946" s="155"/>
      <c r="F1946" s="155"/>
      <c r="G1946" s="155"/>
      <c r="H1946" s="155"/>
      <c r="I1946" s="155"/>
      <c r="J1946" s="155"/>
      <c r="K1946" s="155"/>
      <c r="L1946" s="155"/>
      <c r="M1946" s="155"/>
      <c r="N1946" s="155"/>
      <c r="O1946" s="155"/>
      <c r="P1946" s="155"/>
      <c r="Q1946" s="155"/>
      <c r="R1946" s="155"/>
      <c r="S1946" s="155"/>
      <c r="T1946" s="155"/>
      <c r="U1946" s="155"/>
      <c r="V1946" s="155"/>
      <c r="W1946" s="155"/>
      <c r="GL1946" s="155"/>
      <c r="GM1946" s="155"/>
      <c r="GN1946" s="155"/>
      <c r="GO1946" s="155"/>
      <c r="GP1946" s="155"/>
      <c r="GQ1946" s="155"/>
      <c r="GR1946" s="155"/>
      <c r="GS1946" s="155"/>
      <c r="GT1946" s="155"/>
      <c r="GU1946" s="155"/>
      <c r="GV1946" s="155"/>
      <c r="GW1946" s="155"/>
      <c r="GX1946" s="155"/>
      <c r="GY1946" s="155"/>
      <c r="GZ1946" s="155"/>
      <c r="HA1946" s="155"/>
      <c r="HB1946" s="155"/>
      <c r="HC1946" s="155"/>
      <c r="HD1946" s="155"/>
      <c r="HE1946" s="155"/>
    </row>
    <row r="1947" spans="2:213" s="156" customFormat="1" hidden="1">
      <c r="B1947" s="155"/>
      <c r="C1947" s="155"/>
      <c r="D1947" s="155"/>
      <c r="E1947" s="155"/>
      <c r="F1947" s="155"/>
      <c r="G1947" s="155"/>
      <c r="H1947" s="155"/>
      <c r="I1947" s="155"/>
      <c r="J1947" s="155"/>
      <c r="K1947" s="155"/>
      <c r="L1947" s="155"/>
      <c r="M1947" s="155"/>
      <c r="N1947" s="155"/>
      <c r="O1947" s="155"/>
      <c r="P1947" s="155"/>
      <c r="Q1947" s="155"/>
      <c r="R1947" s="155"/>
      <c r="S1947" s="155"/>
      <c r="T1947" s="155"/>
      <c r="U1947" s="155"/>
      <c r="V1947" s="155"/>
      <c r="W1947" s="155"/>
      <c r="GL1947" s="155"/>
      <c r="GM1947" s="155"/>
      <c r="GN1947" s="155"/>
      <c r="GO1947" s="155"/>
      <c r="GP1947" s="155"/>
      <c r="GQ1947" s="155"/>
      <c r="GR1947" s="155"/>
      <c r="GS1947" s="155"/>
      <c r="GT1947" s="155"/>
      <c r="GU1947" s="155"/>
      <c r="GV1947" s="155"/>
      <c r="GW1947" s="155"/>
      <c r="GX1947" s="155"/>
      <c r="GY1947" s="155"/>
      <c r="GZ1947" s="155"/>
      <c r="HA1947" s="155"/>
      <c r="HB1947" s="155"/>
      <c r="HC1947" s="155"/>
      <c r="HD1947" s="155"/>
      <c r="HE1947" s="155"/>
    </row>
    <row r="1948" spans="2:213" s="156" customFormat="1" hidden="1">
      <c r="B1948" s="155"/>
      <c r="C1948" s="155"/>
      <c r="D1948" s="155"/>
      <c r="E1948" s="155"/>
      <c r="F1948" s="155"/>
      <c r="G1948" s="155"/>
      <c r="H1948" s="155"/>
      <c r="I1948" s="155"/>
      <c r="J1948" s="155"/>
      <c r="K1948" s="155"/>
      <c r="L1948" s="155"/>
      <c r="M1948" s="155"/>
      <c r="N1948" s="155"/>
      <c r="O1948" s="155"/>
      <c r="P1948" s="155"/>
      <c r="Q1948" s="155"/>
      <c r="R1948" s="155"/>
      <c r="S1948" s="155"/>
      <c r="T1948" s="155"/>
      <c r="U1948" s="155"/>
      <c r="V1948" s="155"/>
      <c r="W1948" s="155"/>
      <c r="GL1948" s="155"/>
      <c r="GM1948" s="155"/>
      <c r="GN1948" s="155"/>
      <c r="GO1948" s="155"/>
      <c r="GP1948" s="155"/>
      <c r="GQ1948" s="155"/>
      <c r="GR1948" s="155"/>
      <c r="GS1948" s="155"/>
      <c r="GT1948" s="155"/>
      <c r="GU1948" s="155"/>
      <c r="GV1948" s="155"/>
      <c r="GW1948" s="155"/>
      <c r="GX1948" s="155"/>
      <c r="GY1948" s="155"/>
      <c r="GZ1948" s="155"/>
      <c r="HA1948" s="155"/>
      <c r="HB1948" s="155"/>
      <c r="HC1948" s="155"/>
      <c r="HD1948" s="155"/>
      <c r="HE1948" s="155"/>
    </row>
    <row r="1949" spans="2:213" s="156" customFormat="1" hidden="1">
      <c r="B1949" s="155"/>
      <c r="C1949" s="155"/>
      <c r="D1949" s="155"/>
      <c r="E1949" s="155"/>
      <c r="F1949" s="155"/>
      <c r="G1949" s="155"/>
      <c r="H1949" s="155"/>
      <c r="I1949" s="155"/>
      <c r="J1949" s="155"/>
      <c r="K1949" s="155"/>
      <c r="L1949" s="155"/>
      <c r="M1949" s="155"/>
      <c r="N1949" s="155"/>
      <c r="O1949" s="155"/>
      <c r="P1949" s="155"/>
      <c r="Q1949" s="155"/>
      <c r="R1949" s="155"/>
      <c r="S1949" s="155"/>
      <c r="T1949" s="155"/>
      <c r="U1949" s="155"/>
      <c r="V1949" s="155"/>
      <c r="W1949" s="155"/>
      <c r="GL1949" s="155"/>
      <c r="GM1949" s="155"/>
      <c r="GN1949" s="155"/>
      <c r="GO1949" s="155"/>
      <c r="GP1949" s="155"/>
      <c r="GQ1949" s="155"/>
      <c r="GR1949" s="155"/>
      <c r="GS1949" s="155"/>
      <c r="GT1949" s="155"/>
      <c r="GU1949" s="155"/>
      <c r="GV1949" s="155"/>
      <c r="GW1949" s="155"/>
      <c r="GX1949" s="155"/>
      <c r="GY1949" s="155"/>
      <c r="GZ1949" s="155"/>
      <c r="HA1949" s="155"/>
      <c r="HB1949" s="155"/>
      <c r="HC1949" s="155"/>
      <c r="HD1949" s="155"/>
      <c r="HE1949" s="155"/>
    </row>
    <row r="1950" spans="2:213" s="156" customFormat="1" hidden="1">
      <c r="B1950" s="155"/>
      <c r="C1950" s="155"/>
      <c r="D1950" s="155"/>
      <c r="E1950" s="155"/>
      <c r="F1950" s="155"/>
      <c r="G1950" s="155"/>
      <c r="H1950" s="155"/>
      <c r="I1950" s="155"/>
      <c r="J1950" s="155"/>
      <c r="K1950" s="155"/>
      <c r="L1950" s="155"/>
      <c r="M1950" s="155"/>
      <c r="N1950" s="155"/>
      <c r="O1950" s="155"/>
      <c r="P1950" s="155"/>
      <c r="Q1950" s="155"/>
      <c r="R1950" s="155"/>
      <c r="S1950" s="155"/>
      <c r="T1950" s="155"/>
      <c r="U1950" s="155"/>
      <c r="V1950" s="155"/>
      <c r="W1950" s="155"/>
      <c r="GL1950" s="155"/>
      <c r="GM1950" s="155"/>
      <c r="GN1950" s="155"/>
      <c r="GO1950" s="155"/>
      <c r="GP1950" s="155"/>
      <c r="GQ1950" s="155"/>
      <c r="GR1950" s="155"/>
      <c r="GS1950" s="155"/>
      <c r="GT1950" s="155"/>
      <c r="GU1950" s="155"/>
      <c r="GV1950" s="155"/>
      <c r="GW1950" s="155"/>
      <c r="GX1950" s="155"/>
      <c r="GY1950" s="155"/>
      <c r="GZ1950" s="155"/>
      <c r="HA1950" s="155"/>
      <c r="HB1950" s="155"/>
      <c r="HC1950" s="155"/>
      <c r="HD1950" s="155"/>
      <c r="HE1950" s="155"/>
    </row>
    <row r="1951" spans="2:213" s="156" customFormat="1" hidden="1">
      <c r="B1951" s="155"/>
      <c r="C1951" s="155"/>
      <c r="D1951" s="155"/>
      <c r="E1951" s="155"/>
      <c r="F1951" s="155"/>
      <c r="G1951" s="155"/>
      <c r="H1951" s="155"/>
      <c r="I1951" s="155"/>
      <c r="J1951" s="155"/>
      <c r="K1951" s="155"/>
      <c r="L1951" s="155"/>
      <c r="M1951" s="155"/>
      <c r="N1951" s="155"/>
      <c r="O1951" s="155"/>
      <c r="P1951" s="155"/>
      <c r="Q1951" s="155"/>
      <c r="R1951" s="155"/>
      <c r="S1951" s="155"/>
      <c r="T1951" s="155"/>
      <c r="U1951" s="155"/>
      <c r="V1951" s="155"/>
      <c r="W1951" s="155"/>
      <c r="GL1951" s="155"/>
      <c r="GM1951" s="155"/>
      <c r="GN1951" s="155"/>
      <c r="GO1951" s="155"/>
      <c r="GP1951" s="155"/>
      <c r="GQ1951" s="155"/>
      <c r="GR1951" s="155"/>
      <c r="GS1951" s="155"/>
      <c r="GT1951" s="155"/>
      <c r="GU1951" s="155"/>
      <c r="GV1951" s="155"/>
      <c r="GW1951" s="155"/>
      <c r="GX1951" s="155"/>
      <c r="GY1951" s="155"/>
      <c r="GZ1951" s="155"/>
      <c r="HA1951" s="155"/>
      <c r="HB1951" s="155"/>
      <c r="HC1951" s="155"/>
      <c r="HD1951" s="155"/>
      <c r="HE1951" s="155"/>
    </row>
    <row r="1952" spans="2:213" s="156" customFormat="1" hidden="1">
      <c r="B1952" s="155"/>
      <c r="C1952" s="155"/>
      <c r="D1952" s="155"/>
      <c r="E1952" s="155"/>
      <c r="F1952" s="155"/>
      <c r="G1952" s="155"/>
      <c r="H1952" s="155"/>
      <c r="I1952" s="155"/>
      <c r="J1952" s="155"/>
      <c r="K1952" s="155"/>
      <c r="L1952" s="155"/>
      <c r="M1952" s="155"/>
      <c r="N1952" s="155"/>
      <c r="O1952" s="155"/>
      <c r="P1952" s="155"/>
      <c r="Q1952" s="155"/>
      <c r="R1952" s="155"/>
      <c r="S1952" s="155"/>
      <c r="T1952" s="155"/>
      <c r="U1952" s="155"/>
      <c r="V1952" s="155"/>
      <c r="W1952" s="155"/>
      <c r="GL1952" s="155"/>
      <c r="GM1952" s="155"/>
      <c r="GN1952" s="155"/>
      <c r="GO1952" s="155"/>
      <c r="GP1952" s="155"/>
      <c r="GQ1952" s="155"/>
      <c r="GR1952" s="155"/>
      <c r="GS1952" s="155"/>
      <c r="GT1952" s="155"/>
      <c r="GU1952" s="155"/>
      <c r="GV1952" s="155"/>
      <c r="GW1952" s="155"/>
      <c r="GX1952" s="155"/>
      <c r="GY1952" s="155"/>
      <c r="GZ1952" s="155"/>
      <c r="HA1952" s="155"/>
      <c r="HB1952" s="155"/>
      <c r="HC1952" s="155"/>
      <c r="HD1952" s="155"/>
      <c r="HE1952" s="155"/>
    </row>
    <row r="1953" spans="2:213" s="156" customFormat="1" hidden="1">
      <c r="B1953" s="155"/>
      <c r="C1953" s="155"/>
      <c r="D1953" s="155"/>
      <c r="E1953" s="155"/>
      <c r="F1953" s="155"/>
      <c r="G1953" s="155"/>
      <c r="H1953" s="155"/>
      <c r="I1953" s="155"/>
      <c r="J1953" s="155"/>
      <c r="K1953" s="155"/>
      <c r="L1953" s="155"/>
      <c r="M1953" s="155"/>
      <c r="N1953" s="155"/>
      <c r="O1953" s="155"/>
      <c r="P1953" s="155"/>
      <c r="Q1953" s="155"/>
      <c r="R1953" s="155"/>
      <c r="S1953" s="155"/>
      <c r="T1953" s="155"/>
      <c r="U1953" s="155"/>
      <c r="V1953" s="155"/>
      <c r="W1953" s="155"/>
      <c r="GL1953" s="155"/>
      <c r="GM1953" s="155"/>
      <c r="GN1953" s="155"/>
      <c r="GO1953" s="155"/>
      <c r="GP1953" s="155"/>
      <c r="GQ1953" s="155"/>
      <c r="GR1953" s="155"/>
      <c r="GS1953" s="155"/>
      <c r="GT1953" s="155"/>
      <c r="GU1953" s="155"/>
      <c r="GV1953" s="155"/>
      <c r="GW1953" s="155"/>
      <c r="GX1953" s="155"/>
      <c r="GY1953" s="155"/>
      <c r="GZ1953" s="155"/>
      <c r="HA1953" s="155"/>
      <c r="HB1953" s="155"/>
      <c r="HC1953" s="155"/>
      <c r="HD1953" s="155"/>
      <c r="HE1953" s="155"/>
    </row>
    <row r="1954" spans="2:213" s="156" customFormat="1" hidden="1">
      <c r="B1954" s="155"/>
      <c r="C1954" s="155"/>
      <c r="D1954" s="155"/>
      <c r="E1954" s="155"/>
      <c r="F1954" s="155"/>
      <c r="G1954" s="155"/>
      <c r="H1954" s="155"/>
      <c r="I1954" s="155"/>
      <c r="J1954" s="155"/>
      <c r="K1954" s="155"/>
      <c r="L1954" s="155"/>
      <c r="M1954" s="155"/>
      <c r="N1954" s="155"/>
      <c r="O1954" s="155"/>
      <c r="P1954" s="155"/>
      <c r="Q1954" s="155"/>
      <c r="R1954" s="155"/>
      <c r="S1954" s="155"/>
      <c r="T1954" s="155"/>
      <c r="U1954" s="155"/>
      <c r="V1954" s="155"/>
      <c r="W1954" s="155"/>
      <c r="GL1954" s="155"/>
      <c r="GM1954" s="155"/>
      <c r="GN1954" s="155"/>
      <c r="GO1954" s="155"/>
      <c r="GP1954" s="155"/>
      <c r="GQ1954" s="155"/>
      <c r="GR1954" s="155"/>
      <c r="GS1954" s="155"/>
      <c r="GT1954" s="155"/>
      <c r="GU1954" s="155"/>
      <c r="GV1954" s="155"/>
      <c r="GW1954" s="155"/>
      <c r="GX1954" s="155"/>
      <c r="GY1954" s="155"/>
      <c r="GZ1954" s="155"/>
      <c r="HA1954" s="155"/>
      <c r="HB1954" s="155"/>
      <c r="HC1954" s="155"/>
      <c r="HD1954" s="155"/>
      <c r="HE1954" s="155"/>
    </row>
    <row r="1955" spans="2:213" s="156" customFormat="1" hidden="1">
      <c r="B1955" s="155"/>
      <c r="C1955" s="155"/>
      <c r="D1955" s="155"/>
      <c r="E1955" s="155"/>
      <c r="F1955" s="155"/>
      <c r="G1955" s="155"/>
      <c r="H1955" s="155"/>
      <c r="I1955" s="155"/>
      <c r="J1955" s="155"/>
      <c r="K1955" s="155"/>
      <c r="L1955" s="155"/>
      <c r="M1955" s="155"/>
      <c r="N1955" s="155"/>
      <c r="O1955" s="155"/>
      <c r="P1955" s="155"/>
      <c r="Q1955" s="155"/>
      <c r="R1955" s="155"/>
      <c r="S1955" s="155"/>
      <c r="T1955" s="155"/>
      <c r="U1955" s="155"/>
      <c r="V1955" s="155"/>
      <c r="W1955" s="155"/>
      <c r="GL1955" s="155"/>
      <c r="GM1955" s="155"/>
      <c r="GN1955" s="155"/>
      <c r="GO1955" s="155"/>
      <c r="GP1955" s="155"/>
      <c r="GQ1955" s="155"/>
      <c r="GR1955" s="155"/>
      <c r="GS1955" s="155"/>
      <c r="GT1955" s="155"/>
      <c r="GU1955" s="155"/>
      <c r="GV1955" s="155"/>
      <c r="GW1955" s="155"/>
      <c r="GX1955" s="155"/>
      <c r="GY1955" s="155"/>
      <c r="GZ1955" s="155"/>
      <c r="HA1955" s="155"/>
      <c r="HB1955" s="155"/>
      <c r="HC1955" s="155"/>
      <c r="HD1955" s="155"/>
      <c r="HE1955" s="155"/>
    </row>
    <row r="1956" spans="2:213" s="156" customFormat="1" hidden="1">
      <c r="B1956" s="155"/>
      <c r="C1956" s="155"/>
      <c r="D1956" s="155"/>
      <c r="E1956" s="155"/>
      <c r="F1956" s="155"/>
      <c r="G1956" s="155"/>
      <c r="H1956" s="155"/>
      <c r="I1956" s="155"/>
      <c r="J1956" s="155"/>
      <c r="K1956" s="155"/>
      <c r="L1956" s="155"/>
      <c r="M1956" s="155"/>
      <c r="N1956" s="155"/>
      <c r="O1956" s="155"/>
      <c r="P1956" s="155"/>
      <c r="Q1956" s="155"/>
      <c r="R1956" s="155"/>
      <c r="S1956" s="155"/>
      <c r="T1956" s="155"/>
      <c r="U1956" s="155"/>
      <c r="V1956" s="155"/>
      <c r="W1956" s="155"/>
      <c r="GL1956" s="155"/>
      <c r="GM1956" s="155"/>
      <c r="GN1956" s="155"/>
      <c r="GO1956" s="155"/>
      <c r="GP1956" s="155"/>
      <c r="GQ1956" s="155"/>
      <c r="GR1956" s="155"/>
      <c r="GS1956" s="155"/>
      <c r="GT1956" s="155"/>
      <c r="GU1956" s="155"/>
      <c r="GV1956" s="155"/>
      <c r="GW1956" s="155"/>
      <c r="GX1956" s="155"/>
      <c r="GY1956" s="155"/>
      <c r="GZ1956" s="155"/>
      <c r="HA1956" s="155"/>
      <c r="HB1956" s="155"/>
      <c r="HC1956" s="155"/>
      <c r="HD1956" s="155"/>
      <c r="HE1956" s="155"/>
    </row>
    <row r="1957" spans="2:213" s="156" customFormat="1" hidden="1">
      <c r="B1957" s="155"/>
      <c r="C1957" s="155"/>
      <c r="D1957" s="155"/>
      <c r="E1957" s="155"/>
      <c r="F1957" s="155"/>
      <c r="G1957" s="155"/>
      <c r="H1957" s="155"/>
      <c r="I1957" s="155"/>
      <c r="J1957" s="155"/>
      <c r="K1957" s="155"/>
      <c r="L1957" s="155"/>
      <c r="M1957" s="155"/>
      <c r="N1957" s="155"/>
      <c r="O1957" s="155"/>
      <c r="P1957" s="155"/>
      <c r="Q1957" s="155"/>
      <c r="R1957" s="155"/>
      <c r="S1957" s="155"/>
      <c r="T1957" s="155"/>
      <c r="U1957" s="155"/>
      <c r="V1957" s="155"/>
      <c r="W1957" s="155"/>
      <c r="GL1957" s="155"/>
      <c r="GM1957" s="155"/>
      <c r="GN1957" s="155"/>
      <c r="GO1957" s="155"/>
      <c r="GP1957" s="155"/>
      <c r="GQ1957" s="155"/>
      <c r="GR1957" s="155"/>
      <c r="GS1957" s="155"/>
      <c r="GT1957" s="155"/>
      <c r="GU1957" s="155"/>
      <c r="GV1957" s="155"/>
      <c r="GW1957" s="155"/>
      <c r="GX1957" s="155"/>
      <c r="GY1957" s="155"/>
      <c r="GZ1957" s="155"/>
      <c r="HA1957" s="155"/>
      <c r="HB1957" s="155"/>
      <c r="HC1957" s="155"/>
      <c r="HD1957" s="155"/>
      <c r="HE1957" s="155"/>
    </row>
    <row r="1958" spans="2:213" s="156" customFormat="1" hidden="1">
      <c r="B1958" s="155"/>
      <c r="C1958" s="155"/>
      <c r="D1958" s="155"/>
      <c r="E1958" s="155"/>
      <c r="F1958" s="155"/>
      <c r="G1958" s="155"/>
      <c r="H1958" s="155"/>
      <c r="I1958" s="155"/>
      <c r="J1958" s="155"/>
      <c r="K1958" s="155"/>
      <c r="L1958" s="155"/>
      <c r="M1958" s="155"/>
      <c r="N1958" s="155"/>
      <c r="O1958" s="155"/>
      <c r="P1958" s="155"/>
      <c r="Q1958" s="155"/>
      <c r="R1958" s="155"/>
      <c r="S1958" s="155"/>
      <c r="T1958" s="155"/>
      <c r="U1958" s="155"/>
      <c r="V1958" s="155"/>
      <c r="W1958" s="155"/>
      <c r="GL1958" s="155"/>
      <c r="GM1958" s="155"/>
      <c r="GN1958" s="155"/>
      <c r="GO1958" s="155"/>
      <c r="GP1958" s="155"/>
      <c r="GQ1958" s="155"/>
      <c r="GR1958" s="155"/>
      <c r="GS1958" s="155"/>
      <c r="GT1958" s="155"/>
      <c r="GU1958" s="155"/>
      <c r="GV1958" s="155"/>
      <c r="GW1958" s="155"/>
      <c r="GX1958" s="155"/>
      <c r="GY1958" s="155"/>
      <c r="GZ1958" s="155"/>
      <c r="HA1958" s="155"/>
      <c r="HB1958" s="155"/>
      <c r="HC1958" s="155"/>
      <c r="HD1958" s="155"/>
      <c r="HE1958" s="155"/>
    </row>
    <row r="1959" spans="2:213" s="156" customFormat="1" hidden="1">
      <c r="B1959" s="155"/>
      <c r="C1959" s="155"/>
      <c r="D1959" s="155"/>
      <c r="E1959" s="155"/>
      <c r="F1959" s="155"/>
      <c r="G1959" s="155"/>
      <c r="H1959" s="155"/>
      <c r="I1959" s="155"/>
      <c r="J1959" s="155"/>
      <c r="K1959" s="155"/>
      <c r="L1959" s="155"/>
      <c r="M1959" s="155"/>
      <c r="N1959" s="155"/>
      <c r="O1959" s="155"/>
      <c r="P1959" s="155"/>
      <c r="Q1959" s="155"/>
      <c r="R1959" s="155"/>
      <c r="S1959" s="155"/>
      <c r="T1959" s="155"/>
      <c r="U1959" s="155"/>
      <c r="V1959" s="155"/>
      <c r="W1959" s="155"/>
      <c r="GL1959" s="155"/>
      <c r="GM1959" s="155"/>
      <c r="GN1959" s="155"/>
      <c r="GO1959" s="155"/>
      <c r="GP1959" s="155"/>
      <c r="GQ1959" s="155"/>
      <c r="GR1959" s="155"/>
      <c r="GS1959" s="155"/>
      <c r="GT1959" s="155"/>
      <c r="GU1959" s="155"/>
      <c r="GV1959" s="155"/>
      <c r="GW1959" s="155"/>
      <c r="GX1959" s="155"/>
      <c r="GY1959" s="155"/>
      <c r="GZ1959" s="155"/>
      <c r="HA1959" s="155"/>
      <c r="HB1959" s="155"/>
      <c r="HC1959" s="155"/>
      <c r="HD1959" s="155"/>
      <c r="HE1959" s="155"/>
    </row>
    <row r="1960" spans="2:213" s="156" customFormat="1" hidden="1">
      <c r="B1960" s="155"/>
      <c r="C1960" s="155"/>
      <c r="D1960" s="155"/>
      <c r="E1960" s="155"/>
      <c r="F1960" s="155"/>
      <c r="G1960" s="155"/>
      <c r="H1960" s="155"/>
      <c r="I1960" s="155"/>
      <c r="J1960" s="155"/>
      <c r="K1960" s="155"/>
      <c r="L1960" s="155"/>
      <c r="M1960" s="155"/>
      <c r="N1960" s="155"/>
      <c r="O1960" s="155"/>
      <c r="P1960" s="155"/>
      <c r="Q1960" s="155"/>
      <c r="R1960" s="155"/>
      <c r="S1960" s="155"/>
      <c r="T1960" s="155"/>
      <c r="U1960" s="155"/>
      <c r="V1960" s="155"/>
      <c r="W1960" s="155"/>
      <c r="GL1960" s="155"/>
      <c r="GM1960" s="155"/>
      <c r="GN1960" s="155"/>
      <c r="GO1960" s="155"/>
      <c r="GP1960" s="155"/>
      <c r="GQ1960" s="155"/>
      <c r="GR1960" s="155"/>
      <c r="GS1960" s="155"/>
      <c r="GT1960" s="155"/>
      <c r="GU1960" s="155"/>
      <c r="GV1960" s="155"/>
      <c r="GW1960" s="155"/>
      <c r="GX1960" s="155"/>
      <c r="GY1960" s="155"/>
      <c r="GZ1960" s="155"/>
      <c r="HA1960" s="155"/>
      <c r="HB1960" s="155"/>
      <c r="HC1960" s="155"/>
      <c r="HD1960" s="155"/>
      <c r="HE1960" s="155"/>
    </row>
    <row r="1961" spans="2:213" s="156" customFormat="1" hidden="1">
      <c r="B1961" s="155"/>
      <c r="C1961" s="155"/>
      <c r="D1961" s="155"/>
      <c r="E1961" s="155"/>
      <c r="F1961" s="155"/>
      <c r="G1961" s="155"/>
      <c r="H1961" s="155"/>
      <c r="I1961" s="155"/>
      <c r="J1961" s="155"/>
      <c r="K1961" s="155"/>
      <c r="L1961" s="155"/>
      <c r="M1961" s="155"/>
      <c r="N1961" s="155"/>
      <c r="O1961" s="155"/>
      <c r="P1961" s="155"/>
      <c r="Q1961" s="155"/>
      <c r="R1961" s="155"/>
      <c r="S1961" s="155"/>
      <c r="T1961" s="155"/>
      <c r="U1961" s="155"/>
      <c r="V1961" s="155"/>
      <c r="W1961" s="155"/>
      <c r="GL1961" s="155"/>
      <c r="GM1961" s="155"/>
      <c r="GN1961" s="155"/>
      <c r="GO1961" s="155"/>
      <c r="GP1961" s="155"/>
      <c r="GQ1961" s="155"/>
      <c r="GR1961" s="155"/>
      <c r="GS1961" s="155"/>
      <c r="GT1961" s="155"/>
      <c r="GU1961" s="155"/>
      <c r="GV1961" s="155"/>
      <c r="GW1961" s="155"/>
      <c r="GX1961" s="155"/>
      <c r="GY1961" s="155"/>
      <c r="GZ1961" s="155"/>
      <c r="HA1961" s="155"/>
      <c r="HB1961" s="155"/>
      <c r="HC1961" s="155"/>
      <c r="HD1961" s="155"/>
      <c r="HE1961" s="155"/>
    </row>
    <row r="1962" spans="2:213" s="156" customFormat="1" hidden="1">
      <c r="B1962" s="155"/>
      <c r="C1962" s="155"/>
      <c r="D1962" s="155"/>
      <c r="E1962" s="155"/>
      <c r="F1962" s="155"/>
      <c r="G1962" s="155"/>
      <c r="H1962" s="155"/>
      <c r="I1962" s="155"/>
      <c r="J1962" s="155"/>
      <c r="K1962" s="155"/>
      <c r="L1962" s="155"/>
      <c r="M1962" s="155"/>
      <c r="N1962" s="155"/>
      <c r="O1962" s="155"/>
      <c r="P1962" s="155"/>
      <c r="Q1962" s="155"/>
      <c r="R1962" s="155"/>
      <c r="S1962" s="155"/>
      <c r="T1962" s="155"/>
      <c r="U1962" s="155"/>
      <c r="V1962" s="155"/>
      <c r="W1962" s="155"/>
      <c r="GL1962" s="155"/>
      <c r="GM1962" s="155"/>
      <c r="GN1962" s="155"/>
      <c r="GO1962" s="155"/>
      <c r="GP1962" s="155"/>
      <c r="GQ1962" s="155"/>
      <c r="GR1962" s="155"/>
      <c r="GS1962" s="155"/>
      <c r="GT1962" s="155"/>
      <c r="GU1962" s="155"/>
      <c r="GV1962" s="155"/>
      <c r="GW1962" s="155"/>
      <c r="GX1962" s="155"/>
      <c r="GY1962" s="155"/>
      <c r="GZ1962" s="155"/>
      <c r="HA1962" s="155"/>
      <c r="HB1962" s="155"/>
      <c r="HC1962" s="155"/>
      <c r="HD1962" s="155"/>
      <c r="HE1962" s="155"/>
    </row>
    <row r="1963" spans="2:213" s="156" customFormat="1" hidden="1">
      <c r="B1963" s="155"/>
      <c r="C1963" s="155"/>
      <c r="D1963" s="155"/>
      <c r="E1963" s="155"/>
      <c r="F1963" s="155"/>
      <c r="G1963" s="155"/>
      <c r="H1963" s="155"/>
      <c r="I1963" s="155"/>
      <c r="J1963" s="155"/>
      <c r="K1963" s="155"/>
      <c r="L1963" s="155"/>
      <c r="M1963" s="155"/>
      <c r="N1963" s="155"/>
      <c r="O1963" s="155"/>
      <c r="P1963" s="155"/>
      <c r="Q1963" s="155"/>
      <c r="R1963" s="155"/>
      <c r="S1963" s="155"/>
      <c r="T1963" s="155"/>
      <c r="U1963" s="155"/>
      <c r="V1963" s="155"/>
      <c r="W1963" s="155"/>
      <c r="GL1963" s="155"/>
      <c r="GM1963" s="155"/>
      <c r="GN1963" s="155"/>
      <c r="GO1963" s="155"/>
      <c r="GP1963" s="155"/>
      <c r="GQ1963" s="155"/>
      <c r="GR1963" s="155"/>
      <c r="GS1963" s="155"/>
      <c r="GT1963" s="155"/>
      <c r="GU1963" s="155"/>
      <c r="GV1963" s="155"/>
      <c r="GW1963" s="155"/>
      <c r="GX1963" s="155"/>
      <c r="GY1963" s="155"/>
      <c r="GZ1963" s="155"/>
      <c r="HA1963" s="155"/>
      <c r="HB1963" s="155"/>
      <c r="HC1963" s="155"/>
      <c r="HD1963" s="155"/>
      <c r="HE1963" s="155"/>
    </row>
    <row r="1964" spans="2:213" s="156" customFormat="1" hidden="1">
      <c r="B1964" s="155"/>
      <c r="C1964" s="155"/>
      <c r="D1964" s="155"/>
      <c r="E1964" s="155"/>
      <c r="F1964" s="155"/>
      <c r="G1964" s="155"/>
      <c r="H1964" s="155"/>
      <c r="I1964" s="155"/>
      <c r="J1964" s="155"/>
      <c r="K1964" s="155"/>
      <c r="L1964" s="155"/>
      <c r="M1964" s="155"/>
      <c r="N1964" s="155"/>
      <c r="O1964" s="155"/>
      <c r="P1964" s="155"/>
      <c r="Q1964" s="155"/>
      <c r="R1964" s="155"/>
      <c r="S1964" s="155"/>
      <c r="T1964" s="155"/>
      <c r="U1964" s="155"/>
      <c r="V1964" s="155"/>
      <c r="W1964" s="155"/>
      <c r="GL1964" s="155"/>
      <c r="GM1964" s="155"/>
      <c r="GN1964" s="155"/>
      <c r="GO1964" s="155"/>
      <c r="GP1964" s="155"/>
      <c r="GQ1964" s="155"/>
      <c r="GR1964" s="155"/>
      <c r="GS1964" s="155"/>
      <c r="GT1964" s="155"/>
      <c r="GU1964" s="155"/>
      <c r="GV1964" s="155"/>
      <c r="GW1964" s="155"/>
      <c r="GX1964" s="155"/>
      <c r="GY1964" s="155"/>
      <c r="GZ1964" s="155"/>
      <c r="HA1964" s="155"/>
      <c r="HB1964" s="155"/>
      <c r="HC1964" s="155"/>
      <c r="HD1964" s="155"/>
      <c r="HE1964" s="155"/>
    </row>
    <row r="1965" spans="2:213" s="156" customFormat="1" hidden="1">
      <c r="B1965" s="155"/>
      <c r="C1965" s="155"/>
      <c r="D1965" s="155"/>
      <c r="E1965" s="155"/>
      <c r="F1965" s="155"/>
      <c r="G1965" s="155"/>
      <c r="H1965" s="155"/>
      <c r="I1965" s="155"/>
      <c r="J1965" s="155"/>
      <c r="K1965" s="155"/>
      <c r="L1965" s="155"/>
      <c r="M1965" s="155"/>
      <c r="N1965" s="155"/>
      <c r="O1965" s="155"/>
      <c r="P1965" s="155"/>
      <c r="Q1965" s="155"/>
      <c r="R1965" s="155"/>
      <c r="S1965" s="155"/>
      <c r="T1965" s="155"/>
      <c r="U1965" s="155"/>
      <c r="V1965" s="155"/>
      <c r="W1965" s="155"/>
      <c r="GL1965" s="155"/>
      <c r="GM1965" s="155"/>
      <c r="GN1965" s="155"/>
      <c r="GO1965" s="155"/>
      <c r="GP1965" s="155"/>
      <c r="GQ1965" s="155"/>
      <c r="GR1965" s="155"/>
      <c r="GS1965" s="155"/>
      <c r="GT1965" s="155"/>
      <c r="GU1965" s="155"/>
      <c r="GV1965" s="155"/>
      <c r="GW1965" s="155"/>
      <c r="GX1965" s="155"/>
      <c r="GY1965" s="155"/>
      <c r="GZ1965" s="155"/>
      <c r="HA1965" s="155"/>
      <c r="HB1965" s="155"/>
      <c r="HC1965" s="155"/>
      <c r="HD1965" s="155"/>
      <c r="HE1965" s="155"/>
    </row>
    <row r="1966" spans="2:213" s="156" customFormat="1" hidden="1">
      <c r="B1966" s="155"/>
      <c r="C1966" s="155"/>
      <c r="D1966" s="155"/>
      <c r="E1966" s="155"/>
      <c r="F1966" s="155"/>
      <c r="G1966" s="155"/>
      <c r="H1966" s="155"/>
      <c r="I1966" s="155"/>
      <c r="J1966" s="155"/>
      <c r="K1966" s="155"/>
      <c r="L1966" s="155"/>
      <c r="M1966" s="155"/>
      <c r="N1966" s="155"/>
      <c r="O1966" s="155"/>
      <c r="P1966" s="155"/>
      <c r="Q1966" s="155"/>
      <c r="R1966" s="155"/>
      <c r="S1966" s="155"/>
      <c r="T1966" s="155"/>
      <c r="U1966" s="155"/>
      <c r="V1966" s="155"/>
      <c r="W1966" s="155"/>
      <c r="GL1966" s="155"/>
      <c r="GM1966" s="155"/>
      <c r="GN1966" s="155"/>
      <c r="GO1966" s="155"/>
      <c r="GP1966" s="155"/>
      <c r="GQ1966" s="155"/>
      <c r="GR1966" s="155"/>
      <c r="GS1966" s="155"/>
      <c r="GT1966" s="155"/>
      <c r="GU1966" s="155"/>
      <c r="GV1966" s="155"/>
      <c r="GW1966" s="155"/>
      <c r="GX1966" s="155"/>
      <c r="GY1966" s="155"/>
      <c r="GZ1966" s="155"/>
      <c r="HA1966" s="155"/>
      <c r="HB1966" s="155"/>
      <c r="HC1966" s="155"/>
      <c r="HD1966" s="155"/>
      <c r="HE1966" s="155"/>
    </row>
    <row r="1967" spans="2:213" s="156" customFormat="1" hidden="1">
      <c r="B1967" s="155"/>
      <c r="C1967" s="155"/>
      <c r="D1967" s="155"/>
      <c r="E1967" s="155"/>
      <c r="F1967" s="155"/>
      <c r="G1967" s="155"/>
      <c r="H1967" s="155"/>
      <c r="I1967" s="155"/>
      <c r="J1967" s="155"/>
      <c r="K1967" s="155"/>
      <c r="L1967" s="155"/>
      <c r="M1967" s="155"/>
      <c r="N1967" s="155"/>
      <c r="O1967" s="155"/>
      <c r="P1967" s="155"/>
      <c r="Q1967" s="155"/>
      <c r="R1967" s="155"/>
      <c r="S1967" s="155"/>
      <c r="T1967" s="155"/>
      <c r="U1967" s="155"/>
      <c r="V1967" s="155"/>
      <c r="W1967" s="155"/>
      <c r="GL1967" s="155"/>
      <c r="GM1967" s="155"/>
      <c r="GN1967" s="155"/>
      <c r="GO1967" s="155"/>
      <c r="GP1967" s="155"/>
      <c r="GQ1967" s="155"/>
      <c r="GR1967" s="155"/>
      <c r="GS1967" s="155"/>
      <c r="GT1967" s="155"/>
      <c r="GU1967" s="155"/>
      <c r="GV1967" s="155"/>
      <c r="GW1967" s="155"/>
      <c r="GX1967" s="155"/>
      <c r="GY1967" s="155"/>
      <c r="GZ1967" s="155"/>
      <c r="HA1967" s="155"/>
      <c r="HB1967" s="155"/>
      <c r="HC1967" s="155"/>
      <c r="HD1967" s="155"/>
      <c r="HE1967" s="155"/>
    </row>
    <row r="1968" spans="2:213" s="156" customFormat="1" hidden="1">
      <c r="B1968" s="155"/>
      <c r="C1968" s="155"/>
      <c r="D1968" s="155"/>
      <c r="E1968" s="155"/>
      <c r="F1968" s="155"/>
      <c r="G1968" s="155"/>
      <c r="H1968" s="155"/>
      <c r="I1968" s="155"/>
      <c r="J1968" s="155"/>
      <c r="K1968" s="155"/>
      <c r="L1968" s="155"/>
      <c r="M1968" s="155"/>
      <c r="N1968" s="155"/>
      <c r="O1968" s="155"/>
      <c r="P1968" s="155"/>
      <c r="Q1968" s="155"/>
      <c r="R1968" s="155"/>
      <c r="S1968" s="155"/>
      <c r="T1968" s="155"/>
      <c r="U1968" s="155"/>
      <c r="V1968" s="155"/>
      <c r="W1968" s="155"/>
      <c r="GL1968" s="155"/>
      <c r="GM1968" s="155"/>
      <c r="GN1968" s="155"/>
      <c r="GO1968" s="155"/>
      <c r="GP1968" s="155"/>
      <c r="GQ1968" s="155"/>
      <c r="GR1968" s="155"/>
      <c r="GS1968" s="155"/>
      <c r="GT1968" s="155"/>
      <c r="GU1968" s="155"/>
      <c r="GV1968" s="155"/>
      <c r="GW1968" s="155"/>
      <c r="GX1968" s="155"/>
      <c r="GY1968" s="155"/>
      <c r="GZ1968" s="155"/>
      <c r="HA1968" s="155"/>
      <c r="HB1968" s="155"/>
      <c r="HC1968" s="155"/>
      <c r="HD1968" s="155"/>
      <c r="HE1968" s="155"/>
    </row>
    <row r="1969" spans="2:213" s="156" customFormat="1" hidden="1">
      <c r="B1969" s="155"/>
      <c r="C1969" s="155"/>
      <c r="D1969" s="155"/>
      <c r="E1969" s="155"/>
      <c r="F1969" s="155"/>
      <c r="G1969" s="155"/>
      <c r="H1969" s="155"/>
      <c r="I1969" s="155"/>
      <c r="J1969" s="155"/>
      <c r="K1969" s="155"/>
      <c r="L1969" s="155"/>
      <c r="M1969" s="155"/>
      <c r="N1969" s="155"/>
      <c r="O1969" s="155"/>
      <c r="P1969" s="155"/>
      <c r="Q1969" s="155"/>
      <c r="R1969" s="155"/>
      <c r="S1969" s="155"/>
      <c r="T1969" s="155"/>
      <c r="U1969" s="155"/>
      <c r="V1969" s="155"/>
      <c r="W1969" s="155"/>
      <c r="GL1969" s="155"/>
      <c r="GM1969" s="155"/>
      <c r="GN1969" s="155"/>
      <c r="GO1969" s="155"/>
      <c r="GP1969" s="155"/>
      <c r="GQ1969" s="155"/>
      <c r="GR1969" s="155"/>
      <c r="GS1969" s="155"/>
      <c r="GT1969" s="155"/>
      <c r="GU1969" s="155"/>
      <c r="GV1969" s="155"/>
      <c r="GW1969" s="155"/>
      <c r="GX1969" s="155"/>
      <c r="GY1969" s="155"/>
      <c r="GZ1969" s="155"/>
      <c r="HA1969" s="155"/>
      <c r="HB1969" s="155"/>
      <c r="HC1969" s="155"/>
      <c r="HD1969" s="155"/>
      <c r="HE1969" s="155"/>
    </row>
    <row r="1970" spans="2:213" s="156" customFormat="1" hidden="1">
      <c r="B1970" s="155"/>
      <c r="C1970" s="155"/>
      <c r="D1970" s="155"/>
      <c r="E1970" s="155"/>
      <c r="F1970" s="155"/>
      <c r="G1970" s="155"/>
      <c r="H1970" s="155"/>
      <c r="I1970" s="155"/>
      <c r="J1970" s="155"/>
      <c r="K1970" s="155"/>
      <c r="L1970" s="155"/>
      <c r="M1970" s="155"/>
      <c r="N1970" s="155"/>
      <c r="O1970" s="155"/>
      <c r="P1970" s="155"/>
      <c r="Q1970" s="155"/>
      <c r="R1970" s="155"/>
      <c r="S1970" s="155"/>
      <c r="T1970" s="155"/>
      <c r="U1970" s="155"/>
      <c r="V1970" s="155"/>
      <c r="W1970" s="155"/>
      <c r="GL1970" s="155"/>
      <c r="GM1970" s="155"/>
      <c r="GN1970" s="155"/>
      <c r="GO1970" s="155"/>
      <c r="GP1970" s="155"/>
      <c r="GQ1970" s="155"/>
      <c r="GR1970" s="155"/>
      <c r="GS1970" s="155"/>
      <c r="GT1970" s="155"/>
      <c r="GU1970" s="155"/>
      <c r="GV1970" s="155"/>
      <c r="GW1970" s="155"/>
      <c r="GX1970" s="155"/>
      <c r="GY1970" s="155"/>
      <c r="GZ1970" s="155"/>
      <c r="HA1970" s="155"/>
      <c r="HB1970" s="155"/>
      <c r="HC1970" s="155"/>
      <c r="HD1970" s="155"/>
      <c r="HE1970" s="155"/>
    </row>
    <row r="1971" spans="2:213" s="156" customFormat="1" hidden="1">
      <c r="B1971" s="155"/>
      <c r="C1971" s="155"/>
      <c r="D1971" s="155"/>
      <c r="E1971" s="155"/>
      <c r="F1971" s="155"/>
      <c r="G1971" s="155"/>
      <c r="H1971" s="155"/>
      <c r="I1971" s="155"/>
      <c r="J1971" s="155"/>
      <c r="K1971" s="155"/>
      <c r="L1971" s="155"/>
      <c r="M1971" s="155"/>
      <c r="N1971" s="155"/>
      <c r="O1971" s="155"/>
      <c r="P1971" s="155"/>
      <c r="Q1971" s="155"/>
      <c r="R1971" s="155"/>
      <c r="S1971" s="155"/>
      <c r="T1971" s="155"/>
      <c r="U1971" s="155"/>
      <c r="V1971" s="155"/>
      <c r="W1971" s="155"/>
      <c r="GL1971" s="155"/>
      <c r="GM1971" s="155"/>
      <c r="GN1971" s="155"/>
      <c r="GO1971" s="155"/>
      <c r="GP1971" s="155"/>
      <c r="GQ1971" s="155"/>
      <c r="GR1971" s="155"/>
      <c r="GS1971" s="155"/>
      <c r="GT1971" s="155"/>
      <c r="GU1971" s="155"/>
      <c r="GV1971" s="155"/>
      <c r="GW1971" s="155"/>
      <c r="GX1971" s="155"/>
      <c r="GY1971" s="155"/>
      <c r="GZ1971" s="155"/>
      <c r="HA1971" s="155"/>
      <c r="HB1971" s="155"/>
      <c r="HC1971" s="155"/>
      <c r="HD1971" s="155"/>
      <c r="HE1971" s="155"/>
    </row>
    <row r="1972" spans="2:213" s="156" customFormat="1" hidden="1">
      <c r="B1972" s="155"/>
      <c r="C1972" s="155"/>
      <c r="D1972" s="155"/>
      <c r="E1972" s="155"/>
      <c r="F1972" s="155"/>
      <c r="G1972" s="155"/>
      <c r="H1972" s="155"/>
      <c r="I1972" s="155"/>
      <c r="J1972" s="155"/>
      <c r="K1972" s="155"/>
      <c r="L1972" s="155"/>
      <c r="M1972" s="155"/>
      <c r="N1972" s="155"/>
      <c r="O1972" s="155"/>
      <c r="P1972" s="155"/>
      <c r="Q1972" s="155"/>
      <c r="R1972" s="155"/>
      <c r="S1972" s="155"/>
      <c r="T1972" s="155"/>
      <c r="U1972" s="155"/>
      <c r="V1972" s="155"/>
      <c r="W1972" s="155"/>
      <c r="GL1972" s="155"/>
      <c r="GM1972" s="155"/>
      <c r="GN1972" s="155"/>
      <c r="GO1972" s="155"/>
      <c r="GP1972" s="155"/>
      <c r="GQ1972" s="155"/>
      <c r="GR1972" s="155"/>
      <c r="GS1972" s="155"/>
      <c r="GT1972" s="155"/>
      <c r="GU1972" s="155"/>
      <c r="GV1972" s="155"/>
      <c r="GW1972" s="155"/>
      <c r="GX1972" s="155"/>
      <c r="GY1972" s="155"/>
      <c r="GZ1972" s="155"/>
      <c r="HA1972" s="155"/>
      <c r="HB1972" s="155"/>
      <c r="HC1972" s="155"/>
      <c r="HD1972" s="155"/>
      <c r="HE1972" s="155"/>
    </row>
    <row r="1973" spans="2:213" s="156" customFormat="1" hidden="1">
      <c r="B1973" s="155"/>
      <c r="C1973" s="155"/>
      <c r="D1973" s="155"/>
      <c r="E1973" s="155"/>
      <c r="F1973" s="155"/>
      <c r="G1973" s="155"/>
      <c r="H1973" s="155"/>
      <c r="I1973" s="155"/>
      <c r="J1973" s="155"/>
      <c r="K1973" s="155"/>
      <c r="L1973" s="155"/>
      <c r="M1973" s="155"/>
      <c r="N1973" s="155"/>
      <c r="O1973" s="155"/>
      <c r="P1973" s="155"/>
      <c r="Q1973" s="155"/>
      <c r="R1973" s="155"/>
      <c r="S1973" s="155"/>
      <c r="T1973" s="155"/>
      <c r="U1973" s="155"/>
      <c r="V1973" s="155"/>
      <c r="W1973" s="155"/>
      <c r="GL1973" s="155"/>
      <c r="GM1973" s="155"/>
      <c r="GN1973" s="155"/>
      <c r="GO1973" s="155"/>
      <c r="GP1973" s="155"/>
      <c r="GQ1973" s="155"/>
      <c r="GR1973" s="155"/>
      <c r="GS1973" s="155"/>
      <c r="GT1973" s="155"/>
      <c r="GU1973" s="155"/>
      <c r="GV1973" s="155"/>
      <c r="GW1973" s="155"/>
      <c r="GX1973" s="155"/>
      <c r="GY1973" s="155"/>
      <c r="GZ1973" s="155"/>
      <c r="HA1973" s="155"/>
      <c r="HB1973" s="155"/>
      <c r="HC1973" s="155"/>
      <c r="HD1973" s="155"/>
      <c r="HE1973" s="155"/>
    </row>
    <row r="1974" spans="2:213" s="156" customFormat="1" hidden="1">
      <c r="B1974" s="155"/>
      <c r="C1974" s="155"/>
      <c r="D1974" s="155"/>
      <c r="E1974" s="155"/>
      <c r="F1974" s="155"/>
      <c r="G1974" s="155"/>
      <c r="H1974" s="155"/>
      <c r="I1974" s="155"/>
      <c r="J1974" s="155"/>
      <c r="K1974" s="155"/>
      <c r="L1974" s="155"/>
      <c r="M1974" s="155"/>
      <c r="N1974" s="155"/>
      <c r="O1974" s="155"/>
      <c r="P1974" s="155"/>
      <c r="Q1974" s="155"/>
      <c r="R1974" s="155"/>
      <c r="S1974" s="155"/>
      <c r="T1974" s="155"/>
      <c r="U1974" s="155"/>
      <c r="V1974" s="155"/>
      <c r="W1974" s="155"/>
      <c r="GL1974" s="155"/>
      <c r="GM1974" s="155"/>
      <c r="GN1974" s="155"/>
      <c r="GO1974" s="155"/>
      <c r="GP1974" s="155"/>
      <c r="GQ1974" s="155"/>
      <c r="GR1974" s="155"/>
      <c r="GS1974" s="155"/>
      <c r="GT1974" s="155"/>
      <c r="GU1974" s="155"/>
      <c r="GV1974" s="155"/>
      <c r="GW1974" s="155"/>
      <c r="GX1974" s="155"/>
      <c r="GY1974" s="155"/>
      <c r="GZ1974" s="155"/>
      <c r="HA1974" s="155"/>
      <c r="HB1974" s="155"/>
      <c r="HC1974" s="155"/>
      <c r="HD1974" s="155"/>
      <c r="HE1974" s="155"/>
    </row>
    <row r="1975" spans="2:213" s="156" customFormat="1" hidden="1">
      <c r="B1975" s="155"/>
      <c r="C1975" s="155"/>
      <c r="D1975" s="155"/>
      <c r="E1975" s="155"/>
      <c r="F1975" s="155"/>
      <c r="G1975" s="155"/>
      <c r="H1975" s="155"/>
      <c r="I1975" s="155"/>
      <c r="J1975" s="155"/>
      <c r="K1975" s="155"/>
      <c r="L1975" s="155"/>
      <c r="M1975" s="155"/>
      <c r="N1975" s="155"/>
      <c r="O1975" s="155"/>
      <c r="P1975" s="155"/>
      <c r="Q1975" s="155"/>
      <c r="R1975" s="155"/>
      <c r="S1975" s="155"/>
      <c r="T1975" s="155"/>
      <c r="U1975" s="155"/>
      <c r="V1975" s="155"/>
      <c r="W1975" s="155"/>
      <c r="GL1975" s="155"/>
      <c r="GM1975" s="155"/>
      <c r="GN1975" s="155"/>
      <c r="GO1975" s="155"/>
      <c r="GP1975" s="155"/>
      <c r="GQ1975" s="155"/>
      <c r="GR1975" s="155"/>
      <c r="GS1975" s="155"/>
      <c r="GT1975" s="155"/>
      <c r="GU1975" s="155"/>
      <c r="GV1975" s="155"/>
      <c r="GW1975" s="155"/>
      <c r="GX1975" s="155"/>
      <c r="GY1975" s="155"/>
      <c r="GZ1975" s="155"/>
      <c r="HA1975" s="155"/>
      <c r="HB1975" s="155"/>
      <c r="HC1975" s="155"/>
      <c r="HD1975" s="155"/>
      <c r="HE1975" s="155"/>
    </row>
    <row r="1976" spans="2:213" s="156" customFormat="1" hidden="1">
      <c r="B1976" s="155"/>
      <c r="C1976" s="155"/>
      <c r="D1976" s="155"/>
      <c r="E1976" s="155"/>
      <c r="F1976" s="155"/>
      <c r="G1976" s="155"/>
      <c r="H1976" s="155"/>
      <c r="I1976" s="155"/>
      <c r="J1976" s="155"/>
      <c r="K1976" s="155"/>
      <c r="L1976" s="155"/>
      <c r="M1976" s="155"/>
      <c r="N1976" s="155"/>
      <c r="O1976" s="155"/>
      <c r="P1976" s="155"/>
      <c r="Q1976" s="155"/>
      <c r="R1976" s="155"/>
      <c r="S1976" s="155"/>
      <c r="T1976" s="155"/>
      <c r="U1976" s="155"/>
      <c r="V1976" s="155"/>
      <c r="W1976" s="155"/>
      <c r="GL1976" s="155"/>
      <c r="GM1976" s="155"/>
      <c r="GN1976" s="155"/>
      <c r="GO1976" s="155"/>
      <c r="GP1976" s="155"/>
      <c r="GQ1976" s="155"/>
      <c r="GR1976" s="155"/>
      <c r="GS1976" s="155"/>
      <c r="GT1976" s="155"/>
      <c r="GU1976" s="155"/>
      <c r="GV1976" s="155"/>
      <c r="GW1976" s="155"/>
      <c r="GX1976" s="155"/>
      <c r="GY1976" s="155"/>
      <c r="GZ1976" s="155"/>
      <c r="HA1976" s="155"/>
      <c r="HB1976" s="155"/>
      <c r="HC1976" s="155"/>
      <c r="HD1976" s="155"/>
      <c r="HE1976" s="155"/>
    </row>
    <row r="1977" spans="2:213" s="156" customFormat="1" hidden="1">
      <c r="B1977" s="155"/>
      <c r="C1977" s="155"/>
      <c r="D1977" s="155"/>
      <c r="E1977" s="155"/>
      <c r="F1977" s="155"/>
      <c r="G1977" s="155"/>
      <c r="H1977" s="155"/>
      <c r="I1977" s="155"/>
      <c r="J1977" s="155"/>
      <c r="K1977" s="155"/>
      <c r="L1977" s="155"/>
      <c r="M1977" s="155"/>
      <c r="N1977" s="155"/>
      <c r="O1977" s="155"/>
      <c r="P1977" s="155"/>
      <c r="Q1977" s="155"/>
      <c r="R1977" s="155"/>
      <c r="S1977" s="155"/>
      <c r="T1977" s="155"/>
      <c r="U1977" s="155"/>
      <c r="V1977" s="155"/>
      <c r="W1977" s="155"/>
      <c r="GL1977" s="155"/>
      <c r="GM1977" s="155"/>
      <c r="GN1977" s="155"/>
      <c r="GO1977" s="155"/>
      <c r="GP1977" s="155"/>
      <c r="GQ1977" s="155"/>
      <c r="GR1977" s="155"/>
      <c r="GS1977" s="155"/>
      <c r="GT1977" s="155"/>
      <c r="GU1977" s="155"/>
      <c r="GV1977" s="155"/>
      <c r="GW1977" s="155"/>
      <c r="GX1977" s="155"/>
      <c r="GY1977" s="155"/>
      <c r="GZ1977" s="155"/>
      <c r="HA1977" s="155"/>
      <c r="HB1977" s="155"/>
      <c r="HC1977" s="155"/>
      <c r="HD1977" s="155"/>
      <c r="HE1977" s="155"/>
    </row>
    <row r="1978" spans="2:213" s="156" customFormat="1" hidden="1">
      <c r="B1978" s="155"/>
      <c r="C1978" s="155"/>
      <c r="D1978" s="155"/>
      <c r="E1978" s="155"/>
      <c r="F1978" s="155"/>
      <c r="G1978" s="155"/>
      <c r="H1978" s="155"/>
      <c r="I1978" s="155"/>
      <c r="J1978" s="155"/>
      <c r="K1978" s="155"/>
      <c r="L1978" s="155"/>
      <c r="M1978" s="155"/>
      <c r="N1978" s="155"/>
      <c r="O1978" s="155"/>
      <c r="P1978" s="155"/>
      <c r="Q1978" s="155"/>
      <c r="R1978" s="155"/>
      <c r="S1978" s="155"/>
      <c r="T1978" s="155"/>
      <c r="U1978" s="155"/>
      <c r="V1978" s="155"/>
      <c r="W1978" s="155"/>
      <c r="GL1978" s="155"/>
      <c r="GM1978" s="155"/>
      <c r="GN1978" s="155"/>
      <c r="GO1978" s="155"/>
      <c r="GP1978" s="155"/>
      <c r="GQ1978" s="155"/>
      <c r="GR1978" s="155"/>
      <c r="GS1978" s="155"/>
      <c r="GT1978" s="155"/>
      <c r="GU1978" s="155"/>
      <c r="GV1978" s="155"/>
      <c r="GW1978" s="155"/>
      <c r="GX1978" s="155"/>
      <c r="GY1978" s="155"/>
      <c r="GZ1978" s="155"/>
      <c r="HA1978" s="155"/>
      <c r="HB1978" s="155"/>
      <c r="HC1978" s="155"/>
      <c r="HD1978" s="155"/>
      <c r="HE1978" s="155"/>
    </row>
    <row r="1979" spans="2:213" s="156" customFormat="1" hidden="1">
      <c r="B1979" s="155"/>
      <c r="C1979" s="155"/>
      <c r="D1979" s="155"/>
      <c r="E1979" s="155"/>
      <c r="F1979" s="155"/>
      <c r="G1979" s="155"/>
      <c r="H1979" s="155"/>
      <c r="I1979" s="155"/>
      <c r="J1979" s="155"/>
      <c r="K1979" s="155"/>
      <c r="L1979" s="155"/>
      <c r="M1979" s="155"/>
      <c r="N1979" s="155"/>
      <c r="O1979" s="155"/>
      <c r="P1979" s="155"/>
      <c r="Q1979" s="155"/>
      <c r="R1979" s="155"/>
      <c r="S1979" s="155"/>
      <c r="T1979" s="155"/>
      <c r="U1979" s="155"/>
      <c r="V1979" s="155"/>
      <c r="W1979" s="155"/>
      <c r="GL1979" s="155"/>
      <c r="GM1979" s="155"/>
      <c r="GN1979" s="155"/>
      <c r="GO1979" s="155"/>
      <c r="GP1979" s="155"/>
      <c r="GQ1979" s="155"/>
      <c r="GR1979" s="155"/>
      <c r="GS1979" s="155"/>
      <c r="GT1979" s="155"/>
      <c r="GU1979" s="155"/>
      <c r="GV1979" s="155"/>
      <c r="GW1979" s="155"/>
      <c r="GX1979" s="155"/>
      <c r="GY1979" s="155"/>
      <c r="GZ1979" s="155"/>
      <c r="HA1979" s="155"/>
      <c r="HB1979" s="155"/>
      <c r="HC1979" s="155"/>
      <c r="HD1979" s="155"/>
      <c r="HE1979" s="155"/>
    </row>
    <row r="1980" spans="2:213" s="156" customFormat="1" hidden="1">
      <c r="B1980" s="155"/>
      <c r="C1980" s="155"/>
      <c r="D1980" s="155"/>
      <c r="E1980" s="155"/>
      <c r="F1980" s="155"/>
      <c r="G1980" s="155"/>
      <c r="H1980" s="155"/>
      <c r="I1980" s="155"/>
      <c r="J1980" s="155"/>
      <c r="K1980" s="155"/>
      <c r="L1980" s="155"/>
      <c r="M1980" s="155"/>
      <c r="N1980" s="155"/>
      <c r="O1980" s="155"/>
      <c r="P1980" s="155"/>
      <c r="Q1980" s="155"/>
      <c r="R1980" s="155"/>
      <c r="S1980" s="155"/>
      <c r="T1980" s="155"/>
      <c r="U1980" s="155"/>
      <c r="V1980" s="155"/>
      <c r="W1980" s="155"/>
      <c r="GL1980" s="155"/>
      <c r="GM1980" s="155"/>
      <c r="GN1980" s="155"/>
      <c r="GO1980" s="155"/>
      <c r="GP1980" s="155"/>
      <c r="GQ1980" s="155"/>
      <c r="GR1980" s="155"/>
      <c r="GS1980" s="155"/>
      <c r="GT1980" s="155"/>
      <c r="GU1980" s="155"/>
      <c r="GV1980" s="155"/>
      <c r="GW1980" s="155"/>
      <c r="GX1980" s="155"/>
      <c r="GY1980" s="155"/>
      <c r="GZ1980" s="155"/>
      <c r="HA1980" s="155"/>
      <c r="HB1980" s="155"/>
      <c r="HC1980" s="155"/>
      <c r="HD1980" s="155"/>
      <c r="HE1980" s="155"/>
    </row>
    <row r="1981" spans="2:213" s="156" customFormat="1" hidden="1">
      <c r="B1981" s="155"/>
      <c r="C1981" s="155"/>
      <c r="D1981" s="155"/>
      <c r="E1981" s="155"/>
      <c r="F1981" s="155"/>
      <c r="G1981" s="155"/>
      <c r="H1981" s="155"/>
      <c r="I1981" s="155"/>
      <c r="J1981" s="155"/>
      <c r="K1981" s="155"/>
      <c r="L1981" s="155"/>
      <c r="M1981" s="155"/>
      <c r="N1981" s="155"/>
      <c r="O1981" s="155"/>
      <c r="P1981" s="155"/>
      <c r="Q1981" s="155"/>
      <c r="R1981" s="155"/>
      <c r="S1981" s="155"/>
      <c r="T1981" s="155"/>
      <c r="U1981" s="155"/>
      <c r="V1981" s="155"/>
      <c r="W1981" s="155"/>
      <c r="GL1981" s="155"/>
      <c r="GM1981" s="155"/>
      <c r="GN1981" s="155"/>
      <c r="GO1981" s="155"/>
      <c r="GP1981" s="155"/>
      <c r="GQ1981" s="155"/>
      <c r="GR1981" s="155"/>
      <c r="GS1981" s="155"/>
      <c r="GT1981" s="155"/>
      <c r="GU1981" s="155"/>
      <c r="GV1981" s="155"/>
      <c r="GW1981" s="155"/>
      <c r="GX1981" s="155"/>
      <c r="GY1981" s="155"/>
      <c r="GZ1981" s="155"/>
      <c r="HA1981" s="155"/>
      <c r="HB1981" s="155"/>
      <c r="HC1981" s="155"/>
      <c r="HD1981" s="155"/>
      <c r="HE1981" s="155"/>
    </row>
    <row r="1982" spans="2:213" s="156" customFormat="1" hidden="1">
      <c r="B1982" s="155"/>
      <c r="C1982" s="155"/>
      <c r="D1982" s="155"/>
      <c r="E1982" s="155"/>
      <c r="F1982" s="155"/>
      <c r="G1982" s="155"/>
      <c r="H1982" s="155"/>
      <c r="I1982" s="155"/>
      <c r="J1982" s="155"/>
      <c r="K1982" s="155"/>
      <c r="L1982" s="155"/>
      <c r="M1982" s="155"/>
      <c r="N1982" s="155"/>
      <c r="O1982" s="155"/>
      <c r="P1982" s="155"/>
      <c r="Q1982" s="155"/>
      <c r="R1982" s="155"/>
      <c r="S1982" s="155"/>
      <c r="T1982" s="155"/>
      <c r="U1982" s="155"/>
      <c r="V1982" s="155"/>
      <c r="W1982" s="155"/>
      <c r="GL1982" s="155"/>
      <c r="GM1982" s="155"/>
      <c r="GN1982" s="155"/>
      <c r="GO1982" s="155"/>
      <c r="GP1982" s="155"/>
      <c r="GQ1982" s="155"/>
      <c r="GR1982" s="155"/>
      <c r="GS1982" s="155"/>
      <c r="GT1982" s="155"/>
      <c r="GU1982" s="155"/>
      <c r="GV1982" s="155"/>
      <c r="GW1982" s="155"/>
      <c r="GX1982" s="155"/>
      <c r="GY1982" s="155"/>
      <c r="GZ1982" s="155"/>
      <c r="HA1982" s="155"/>
      <c r="HB1982" s="155"/>
      <c r="HC1982" s="155"/>
      <c r="HD1982" s="155"/>
      <c r="HE1982" s="155"/>
    </row>
    <row r="1983" spans="2:213" s="156" customFormat="1" hidden="1">
      <c r="B1983" s="155"/>
      <c r="C1983" s="155"/>
      <c r="D1983" s="155"/>
      <c r="E1983" s="155"/>
      <c r="F1983" s="155"/>
      <c r="G1983" s="155"/>
      <c r="H1983" s="155"/>
      <c r="I1983" s="155"/>
      <c r="J1983" s="155"/>
      <c r="K1983" s="155"/>
      <c r="L1983" s="155"/>
      <c r="M1983" s="155"/>
      <c r="N1983" s="155"/>
      <c r="O1983" s="155"/>
      <c r="P1983" s="155"/>
      <c r="Q1983" s="155"/>
      <c r="R1983" s="155"/>
      <c r="S1983" s="155"/>
      <c r="T1983" s="155"/>
      <c r="U1983" s="155"/>
      <c r="V1983" s="155"/>
      <c r="W1983" s="155"/>
      <c r="GL1983" s="155"/>
      <c r="GM1983" s="155"/>
      <c r="GN1983" s="155"/>
      <c r="GO1983" s="155"/>
      <c r="GP1983" s="155"/>
      <c r="GQ1983" s="155"/>
      <c r="GR1983" s="155"/>
      <c r="GS1983" s="155"/>
      <c r="GT1983" s="155"/>
      <c r="GU1983" s="155"/>
      <c r="GV1983" s="155"/>
      <c r="GW1983" s="155"/>
      <c r="GX1983" s="155"/>
      <c r="GY1983" s="155"/>
      <c r="GZ1983" s="155"/>
      <c r="HA1983" s="155"/>
      <c r="HB1983" s="155"/>
      <c r="HC1983" s="155"/>
      <c r="HD1983" s="155"/>
      <c r="HE1983" s="155"/>
    </row>
    <row r="1984" spans="2:213" s="156" customFormat="1" hidden="1">
      <c r="B1984" s="155"/>
      <c r="C1984" s="155"/>
      <c r="D1984" s="155"/>
      <c r="E1984" s="155"/>
      <c r="F1984" s="155"/>
      <c r="G1984" s="155"/>
      <c r="H1984" s="155"/>
      <c r="I1984" s="155"/>
      <c r="J1984" s="155"/>
      <c r="K1984" s="155"/>
      <c r="L1984" s="155"/>
      <c r="M1984" s="155"/>
      <c r="N1984" s="155"/>
      <c r="O1984" s="155"/>
      <c r="P1984" s="155"/>
      <c r="Q1984" s="155"/>
      <c r="R1984" s="155"/>
      <c r="S1984" s="155"/>
      <c r="T1984" s="155"/>
      <c r="U1984" s="155"/>
      <c r="V1984" s="155"/>
      <c r="W1984" s="155"/>
      <c r="GL1984" s="155"/>
      <c r="GM1984" s="155"/>
      <c r="GN1984" s="155"/>
      <c r="GO1984" s="155"/>
      <c r="GP1984" s="155"/>
      <c r="GQ1984" s="155"/>
      <c r="GR1984" s="155"/>
      <c r="GS1984" s="155"/>
      <c r="GT1984" s="155"/>
      <c r="GU1984" s="155"/>
      <c r="GV1984" s="155"/>
      <c r="GW1984" s="155"/>
      <c r="GX1984" s="155"/>
      <c r="GY1984" s="155"/>
      <c r="GZ1984" s="155"/>
      <c r="HA1984" s="155"/>
      <c r="HB1984" s="155"/>
      <c r="HC1984" s="155"/>
      <c r="HD1984" s="155"/>
      <c r="HE1984" s="155"/>
    </row>
    <row r="1985" spans="2:213" s="156" customFormat="1" hidden="1">
      <c r="B1985" s="155"/>
      <c r="C1985" s="155"/>
      <c r="D1985" s="155"/>
      <c r="E1985" s="155"/>
      <c r="F1985" s="155"/>
      <c r="G1985" s="155"/>
      <c r="H1985" s="155"/>
      <c r="I1985" s="155"/>
      <c r="J1985" s="155"/>
      <c r="K1985" s="155"/>
      <c r="L1985" s="155"/>
      <c r="M1985" s="155"/>
      <c r="N1985" s="155"/>
      <c r="O1985" s="155"/>
      <c r="P1985" s="155"/>
      <c r="Q1985" s="155"/>
      <c r="R1985" s="155"/>
      <c r="S1985" s="155"/>
      <c r="T1985" s="155"/>
      <c r="U1985" s="155"/>
      <c r="V1985" s="155"/>
      <c r="W1985" s="155"/>
      <c r="GL1985" s="155"/>
      <c r="GM1985" s="155"/>
      <c r="GN1985" s="155"/>
      <c r="GO1985" s="155"/>
      <c r="GP1985" s="155"/>
      <c r="GQ1985" s="155"/>
      <c r="GR1985" s="155"/>
      <c r="GS1985" s="155"/>
      <c r="GT1985" s="155"/>
      <c r="GU1985" s="155"/>
      <c r="GV1985" s="155"/>
      <c r="GW1985" s="155"/>
      <c r="GX1985" s="155"/>
      <c r="GY1985" s="155"/>
      <c r="GZ1985" s="155"/>
      <c r="HA1985" s="155"/>
      <c r="HB1985" s="155"/>
      <c r="HC1985" s="155"/>
      <c r="HD1985" s="155"/>
      <c r="HE1985" s="155"/>
    </row>
    <row r="1986" spans="2:213" s="156" customFormat="1" hidden="1">
      <c r="B1986" s="155"/>
      <c r="C1986" s="155"/>
      <c r="D1986" s="155"/>
      <c r="E1986" s="155"/>
      <c r="F1986" s="155"/>
      <c r="G1986" s="155"/>
      <c r="H1986" s="155"/>
      <c r="I1986" s="155"/>
      <c r="J1986" s="155"/>
      <c r="K1986" s="155"/>
      <c r="L1986" s="155"/>
      <c r="M1986" s="155"/>
      <c r="N1986" s="155"/>
      <c r="O1986" s="155"/>
      <c r="P1986" s="155"/>
      <c r="Q1986" s="155"/>
      <c r="R1986" s="155"/>
      <c r="S1986" s="155"/>
      <c r="T1986" s="155"/>
      <c r="U1986" s="155"/>
      <c r="V1986" s="155"/>
      <c r="W1986" s="155"/>
      <c r="GL1986" s="155"/>
      <c r="GM1986" s="155"/>
      <c r="GN1986" s="155"/>
      <c r="GO1986" s="155"/>
      <c r="GP1986" s="155"/>
      <c r="GQ1986" s="155"/>
      <c r="GR1986" s="155"/>
      <c r="GS1986" s="155"/>
      <c r="GT1986" s="155"/>
      <c r="GU1986" s="155"/>
      <c r="GV1986" s="155"/>
      <c r="GW1986" s="155"/>
      <c r="GX1986" s="155"/>
      <c r="GY1986" s="155"/>
      <c r="GZ1986" s="155"/>
      <c r="HA1986" s="155"/>
      <c r="HB1986" s="155"/>
      <c r="HC1986" s="155"/>
      <c r="HD1986" s="155"/>
      <c r="HE1986" s="155"/>
    </row>
    <row r="1987" spans="2:213" s="156" customFormat="1" hidden="1">
      <c r="B1987" s="155"/>
      <c r="C1987" s="155"/>
      <c r="D1987" s="155"/>
      <c r="E1987" s="155"/>
      <c r="F1987" s="155"/>
      <c r="G1987" s="155"/>
      <c r="H1987" s="155"/>
      <c r="I1987" s="155"/>
      <c r="J1987" s="155"/>
      <c r="K1987" s="155"/>
      <c r="L1987" s="155"/>
      <c r="M1987" s="155"/>
      <c r="N1987" s="155"/>
      <c r="O1987" s="155"/>
      <c r="P1987" s="155"/>
      <c r="Q1987" s="155"/>
      <c r="R1987" s="155"/>
      <c r="S1987" s="155"/>
      <c r="T1987" s="155"/>
      <c r="U1987" s="155"/>
      <c r="V1987" s="155"/>
      <c r="W1987" s="155"/>
      <c r="GL1987" s="155"/>
      <c r="GM1987" s="155"/>
      <c r="GN1987" s="155"/>
      <c r="GO1987" s="155"/>
      <c r="GP1987" s="155"/>
      <c r="GQ1987" s="155"/>
      <c r="GR1987" s="155"/>
      <c r="GS1987" s="155"/>
      <c r="GT1987" s="155"/>
      <c r="GU1987" s="155"/>
      <c r="GV1987" s="155"/>
      <c r="GW1987" s="155"/>
      <c r="GX1987" s="155"/>
      <c r="GY1987" s="155"/>
      <c r="GZ1987" s="155"/>
      <c r="HA1987" s="155"/>
      <c r="HB1987" s="155"/>
      <c r="HC1987" s="155"/>
      <c r="HD1987" s="155"/>
      <c r="HE1987" s="155"/>
    </row>
    <row r="1988" spans="2:213" s="156" customFormat="1" hidden="1">
      <c r="B1988" s="155"/>
      <c r="C1988" s="155"/>
      <c r="D1988" s="155"/>
      <c r="E1988" s="155"/>
      <c r="F1988" s="155"/>
      <c r="G1988" s="155"/>
      <c r="H1988" s="155"/>
      <c r="I1988" s="155"/>
      <c r="J1988" s="155"/>
      <c r="K1988" s="155"/>
      <c r="L1988" s="155"/>
      <c r="M1988" s="155"/>
      <c r="N1988" s="155"/>
      <c r="O1988" s="155"/>
      <c r="P1988" s="155"/>
      <c r="Q1988" s="155"/>
      <c r="R1988" s="155"/>
      <c r="S1988" s="155"/>
      <c r="T1988" s="155"/>
      <c r="U1988" s="155"/>
      <c r="V1988" s="155"/>
      <c r="W1988" s="155"/>
      <c r="GL1988" s="155"/>
      <c r="GM1988" s="155"/>
      <c r="GN1988" s="155"/>
      <c r="GO1988" s="155"/>
      <c r="GP1988" s="155"/>
      <c r="GQ1988" s="155"/>
      <c r="GR1988" s="155"/>
      <c r="GS1988" s="155"/>
      <c r="GT1988" s="155"/>
      <c r="GU1988" s="155"/>
      <c r="GV1988" s="155"/>
      <c r="GW1988" s="155"/>
      <c r="GX1988" s="155"/>
      <c r="GY1988" s="155"/>
      <c r="GZ1988" s="155"/>
      <c r="HA1988" s="155"/>
      <c r="HB1988" s="155"/>
      <c r="HC1988" s="155"/>
      <c r="HD1988" s="155"/>
      <c r="HE1988" s="155"/>
    </row>
    <row r="1989" spans="2:213" s="156" customFormat="1" hidden="1">
      <c r="B1989" s="155"/>
      <c r="C1989" s="155"/>
      <c r="D1989" s="155"/>
      <c r="E1989" s="155"/>
      <c r="F1989" s="155"/>
      <c r="G1989" s="155"/>
      <c r="H1989" s="155"/>
      <c r="I1989" s="155"/>
      <c r="J1989" s="155"/>
      <c r="K1989" s="155"/>
      <c r="L1989" s="155"/>
      <c r="M1989" s="155"/>
      <c r="N1989" s="155"/>
      <c r="O1989" s="155"/>
      <c r="P1989" s="155"/>
      <c r="Q1989" s="155"/>
      <c r="R1989" s="155"/>
      <c r="S1989" s="155"/>
      <c r="T1989" s="155"/>
      <c r="U1989" s="155"/>
      <c r="V1989" s="155"/>
      <c r="W1989" s="155"/>
      <c r="GL1989" s="155"/>
      <c r="GM1989" s="155"/>
      <c r="GN1989" s="155"/>
      <c r="GO1989" s="155"/>
      <c r="GP1989" s="155"/>
      <c r="GQ1989" s="155"/>
      <c r="GR1989" s="155"/>
      <c r="GS1989" s="155"/>
      <c r="GT1989" s="155"/>
      <c r="GU1989" s="155"/>
      <c r="GV1989" s="155"/>
      <c r="GW1989" s="155"/>
      <c r="GX1989" s="155"/>
      <c r="GY1989" s="155"/>
      <c r="GZ1989" s="155"/>
      <c r="HA1989" s="155"/>
      <c r="HB1989" s="155"/>
      <c r="HC1989" s="155"/>
      <c r="HD1989" s="155"/>
      <c r="HE1989" s="155"/>
    </row>
    <row r="1990" spans="2:213" s="156" customFormat="1" hidden="1">
      <c r="B1990" s="155"/>
      <c r="C1990" s="155"/>
      <c r="D1990" s="155"/>
      <c r="E1990" s="155"/>
      <c r="F1990" s="155"/>
      <c r="G1990" s="155"/>
      <c r="H1990" s="155"/>
      <c r="I1990" s="155"/>
      <c r="J1990" s="155"/>
      <c r="K1990" s="155"/>
      <c r="L1990" s="155"/>
      <c r="M1990" s="155"/>
      <c r="N1990" s="155"/>
      <c r="O1990" s="155"/>
      <c r="P1990" s="155"/>
      <c r="Q1990" s="155"/>
      <c r="R1990" s="155"/>
      <c r="S1990" s="155"/>
      <c r="T1990" s="155"/>
      <c r="U1990" s="155"/>
      <c r="V1990" s="155"/>
      <c r="W1990" s="155"/>
      <c r="GL1990" s="155"/>
      <c r="GM1990" s="155"/>
      <c r="GN1990" s="155"/>
      <c r="GO1990" s="155"/>
      <c r="GP1990" s="155"/>
      <c r="GQ1990" s="155"/>
      <c r="GR1990" s="155"/>
      <c r="GS1990" s="155"/>
      <c r="GT1990" s="155"/>
      <c r="GU1990" s="155"/>
      <c r="GV1990" s="155"/>
      <c r="GW1990" s="155"/>
      <c r="GX1990" s="155"/>
      <c r="GY1990" s="155"/>
      <c r="GZ1990" s="155"/>
      <c r="HA1990" s="155"/>
      <c r="HB1990" s="155"/>
      <c r="HC1990" s="155"/>
      <c r="HD1990" s="155"/>
      <c r="HE1990" s="155"/>
    </row>
    <row r="1991" spans="2:213" s="156" customFormat="1" hidden="1">
      <c r="B1991" s="155"/>
      <c r="C1991" s="155"/>
      <c r="D1991" s="155"/>
      <c r="E1991" s="155"/>
      <c r="F1991" s="155"/>
      <c r="G1991" s="155"/>
      <c r="H1991" s="155"/>
      <c r="I1991" s="155"/>
      <c r="J1991" s="155"/>
      <c r="K1991" s="155"/>
      <c r="L1991" s="155"/>
      <c r="M1991" s="155"/>
      <c r="N1991" s="155"/>
      <c r="O1991" s="155"/>
      <c r="P1991" s="155"/>
      <c r="Q1991" s="155"/>
      <c r="R1991" s="155"/>
      <c r="S1991" s="155"/>
      <c r="T1991" s="155"/>
      <c r="U1991" s="155"/>
      <c r="V1991" s="155"/>
      <c r="W1991" s="155"/>
      <c r="GL1991" s="155"/>
      <c r="GM1991" s="155"/>
      <c r="GN1991" s="155"/>
      <c r="GO1991" s="155"/>
      <c r="GP1991" s="155"/>
      <c r="GQ1991" s="155"/>
      <c r="GR1991" s="155"/>
      <c r="GS1991" s="155"/>
      <c r="GT1991" s="155"/>
      <c r="GU1991" s="155"/>
      <c r="GV1991" s="155"/>
      <c r="GW1991" s="155"/>
      <c r="GX1991" s="155"/>
      <c r="GY1991" s="155"/>
      <c r="GZ1991" s="155"/>
      <c r="HA1991" s="155"/>
      <c r="HB1991" s="155"/>
      <c r="HC1991" s="155"/>
      <c r="HD1991" s="155"/>
      <c r="HE1991" s="155"/>
    </row>
    <row r="1992" spans="2:213" s="156" customFormat="1" hidden="1">
      <c r="B1992" s="155"/>
      <c r="C1992" s="155"/>
      <c r="D1992" s="155"/>
      <c r="E1992" s="155"/>
      <c r="F1992" s="155"/>
      <c r="G1992" s="155"/>
      <c r="H1992" s="155"/>
      <c r="I1992" s="155"/>
      <c r="J1992" s="155"/>
      <c r="K1992" s="155"/>
      <c r="L1992" s="155"/>
      <c r="M1992" s="155"/>
      <c r="N1992" s="155"/>
      <c r="O1992" s="155"/>
      <c r="P1992" s="155"/>
      <c r="Q1992" s="155"/>
      <c r="R1992" s="155"/>
      <c r="S1992" s="155"/>
      <c r="T1992" s="155"/>
      <c r="U1992" s="155"/>
      <c r="V1992" s="155"/>
      <c r="W1992" s="155"/>
      <c r="GL1992" s="155"/>
      <c r="GM1992" s="155"/>
      <c r="GN1992" s="155"/>
      <c r="GO1992" s="155"/>
      <c r="GP1992" s="155"/>
      <c r="GQ1992" s="155"/>
      <c r="GR1992" s="155"/>
      <c r="GS1992" s="155"/>
      <c r="GT1992" s="155"/>
      <c r="GU1992" s="155"/>
      <c r="GV1992" s="155"/>
      <c r="GW1992" s="155"/>
      <c r="GX1992" s="155"/>
      <c r="GY1992" s="155"/>
      <c r="GZ1992" s="155"/>
      <c r="HA1992" s="155"/>
      <c r="HB1992" s="155"/>
      <c r="HC1992" s="155"/>
      <c r="HD1992" s="155"/>
      <c r="HE1992" s="155"/>
    </row>
    <row r="1993" spans="2:213" s="156" customFormat="1" hidden="1">
      <c r="B1993" s="155"/>
      <c r="C1993" s="155"/>
      <c r="D1993" s="155"/>
      <c r="E1993" s="155"/>
      <c r="F1993" s="155"/>
      <c r="G1993" s="155"/>
      <c r="H1993" s="155"/>
      <c r="I1993" s="155"/>
      <c r="J1993" s="155"/>
      <c r="K1993" s="155"/>
      <c r="L1993" s="155"/>
      <c r="M1993" s="155"/>
      <c r="N1993" s="155"/>
      <c r="O1993" s="155"/>
      <c r="P1993" s="155"/>
      <c r="Q1993" s="155"/>
      <c r="R1993" s="155"/>
      <c r="S1993" s="155"/>
      <c r="T1993" s="155"/>
      <c r="U1993" s="155"/>
      <c r="V1993" s="155"/>
      <c r="W1993" s="155"/>
      <c r="GL1993" s="155"/>
      <c r="GM1993" s="155"/>
      <c r="GN1993" s="155"/>
      <c r="GO1993" s="155"/>
      <c r="GP1993" s="155"/>
      <c r="GQ1993" s="155"/>
      <c r="GR1993" s="155"/>
      <c r="GS1993" s="155"/>
      <c r="GT1993" s="155"/>
      <c r="GU1993" s="155"/>
      <c r="GV1993" s="155"/>
      <c r="GW1993" s="155"/>
      <c r="GX1993" s="155"/>
      <c r="GY1993" s="155"/>
      <c r="GZ1993" s="155"/>
      <c r="HA1993" s="155"/>
      <c r="HB1993" s="155"/>
      <c r="HC1993" s="155"/>
      <c r="HD1993" s="155"/>
      <c r="HE1993" s="155"/>
    </row>
    <row r="1994" spans="2:213" s="156" customFormat="1" hidden="1">
      <c r="B1994" s="155"/>
      <c r="C1994" s="155"/>
      <c r="D1994" s="155"/>
      <c r="E1994" s="155"/>
      <c r="F1994" s="155"/>
      <c r="G1994" s="155"/>
      <c r="H1994" s="155"/>
      <c r="I1994" s="155"/>
      <c r="J1994" s="155"/>
      <c r="K1994" s="155"/>
      <c r="L1994" s="155"/>
      <c r="M1994" s="155"/>
      <c r="N1994" s="155"/>
      <c r="O1994" s="155"/>
      <c r="P1994" s="155"/>
      <c r="Q1994" s="155"/>
      <c r="R1994" s="155"/>
      <c r="S1994" s="155"/>
      <c r="T1994" s="155"/>
      <c r="U1994" s="155"/>
      <c r="V1994" s="155"/>
      <c r="W1994" s="155"/>
      <c r="GL1994" s="155"/>
      <c r="GM1994" s="155"/>
      <c r="GN1994" s="155"/>
      <c r="GO1994" s="155"/>
      <c r="GP1994" s="155"/>
      <c r="GQ1994" s="155"/>
      <c r="GR1994" s="155"/>
      <c r="GS1994" s="155"/>
      <c r="GT1994" s="155"/>
      <c r="GU1994" s="155"/>
      <c r="GV1994" s="155"/>
      <c r="GW1994" s="155"/>
      <c r="GX1994" s="155"/>
      <c r="GY1994" s="155"/>
      <c r="GZ1994" s="155"/>
      <c r="HA1994" s="155"/>
      <c r="HB1994" s="155"/>
      <c r="HC1994" s="155"/>
      <c r="HD1994" s="155"/>
      <c r="HE1994" s="155"/>
    </row>
    <row r="1995" spans="2:213" s="156" customFormat="1" hidden="1">
      <c r="B1995" s="155"/>
      <c r="C1995" s="155"/>
      <c r="D1995" s="155"/>
      <c r="E1995" s="155"/>
      <c r="F1995" s="155"/>
      <c r="G1995" s="155"/>
      <c r="H1995" s="155"/>
      <c r="I1995" s="155"/>
      <c r="J1995" s="155"/>
      <c r="K1995" s="155"/>
      <c r="L1995" s="155"/>
      <c r="M1995" s="155"/>
      <c r="N1995" s="155"/>
      <c r="O1995" s="155"/>
      <c r="P1995" s="155"/>
      <c r="Q1995" s="155"/>
      <c r="R1995" s="155"/>
      <c r="S1995" s="155"/>
      <c r="T1995" s="155"/>
      <c r="U1995" s="155"/>
      <c r="V1995" s="155"/>
      <c r="W1995" s="155"/>
      <c r="GL1995" s="155"/>
      <c r="GM1995" s="155"/>
      <c r="GN1995" s="155"/>
      <c r="GO1995" s="155"/>
      <c r="GP1995" s="155"/>
      <c r="GQ1995" s="155"/>
      <c r="GR1995" s="155"/>
      <c r="GS1995" s="155"/>
      <c r="GT1995" s="155"/>
      <c r="GU1995" s="155"/>
      <c r="GV1995" s="155"/>
      <c r="GW1995" s="155"/>
      <c r="GX1995" s="155"/>
      <c r="GY1995" s="155"/>
      <c r="GZ1995" s="155"/>
      <c r="HA1995" s="155"/>
      <c r="HB1995" s="155"/>
      <c r="HC1995" s="155"/>
      <c r="HD1995" s="155"/>
      <c r="HE1995" s="155"/>
    </row>
    <row r="1996" spans="2:213" s="156" customFormat="1" hidden="1">
      <c r="B1996" s="155"/>
      <c r="C1996" s="155"/>
      <c r="D1996" s="155"/>
      <c r="E1996" s="155"/>
      <c r="F1996" s="155"/>
      <c r="G1996" s="155"/>
      <c r="H1996" s="155"/>
      <c r="I1996" s="155"/>
      <c r="J1996" s="155"/>
      <c r="K1996" s="155"/>
      <c r="L1996" s="155"/>
      <c r="M1996" s="155"/>
      <c r="N1996" s="155"/>
      <c r="O1996" s="155"/>
      <c r="P1996" s="155"/>
      <c r="Q1996" s="155"/>
      <c r="R1996" s="155"/>
      <c r="S1996" s="155"/>
      <c r="T1996" s="155"/>
      <c r="U1996" s="155"/>
      <c r="V1996" s="155"/>
      <c r="W1996" s="155"/>
      <c r="GL1996" s="155"/>
      <c r="GM1996" s="155"/>
      <c r="GN1996" s="155"/>
      <c r="GO1996" s="155"/>
      <c r="GP1996" s="155"/>
      <c r="GQ1996" s="155"/>
      <c r="GR1996" s="155"/>
      <c r="GS1996" s="155"/>
      <c r="GT1996" s="155"/>
      <c r="GU1996" s="155"/>
      <c r="GV1996" s="155"/>
      <c r="GW1996" s="155"/>
      <c r="GX1996" s="155"/>
      <c r="GY1996" s="155"/>
      <c r="GZ1996" s="155"/>
      <c r="HA1996" s="155"/>
      <c r="HB1996" s="155"/>
      <c r="HC1996" s="155"/>
      <c r="HD1996" s="155"/>
      <c r="HE1996" s="155"/>
    </row>
    <row r="1997" spans="2:213" s="156" customFormat="1" hidden="1">
      <c r="B1997" s="155"/>
      <c r="C1997" s="155"/>
      <c r="D1997" s="155"/>
      <c r="E1997" s="155"/>
      <c r="F1997" s="155"/>
      <c r="G1997" s="155"/>
      <c r="H1997" s="155"/>
      <c r="I1997" s="155"/>
      <c r="J1997" s="155"/>
      <c r="K1997" s="155"/>
      <c r="L1997" s="155"/>
      <c r="M1997" s="155"/>
      <c r="N1997" s="155"/>
      <c r="O1997" s="155"/>
      <c r="P1997" s="155"/>
      <c r="Q1997" s="155"/>
      <c r="R1997" s="155"/>
      <c r="S1997" s="155"/>
      <c r="T1997" s="155"/>
      <c r="U1997" s="155"/>
      <c r="V1997" s="155"/>
      <c r="W1997" s="155"/>
      <c r="GL1997" s="155"/>
      <c r="GM1997" s="155"/>
      <c r="GN1997" s="155"/>
      <c r="GO1997" s="155"/>
      <c r="GP1997" s="155"/>
      <c r="GQ1997" s="155"/>
      <c r="GR1997" s="155"/>
      <c r="GS1997" s="155"/>
      <c r="GT1997" s="155"/>
      <c r="GU1997" s="155"/>
      <c r="GV1997" s="155"/>
      <c r="GW1997" s="155"/>
      <c r="GX1997" s="155"/>
      <c r="GY1997" s="155"/>
      <c r="GZ1997" s="155"/>
      <c r="HA1997" s="155"/>
      <c r="HB1997" s="155"/>
      <c r="HC1997" s="155"/>
      <c r="HD1997" s="155"/>
      <c r="HE1997" s="155"/>
    </row>
    <row r="1998" spans="2:213" s="156" customFormat="1" hidden="1">
      <c r="B1998" s="155"/>
      <c r="C1998" s="155"/>
      <c r="D1998" s="155"/>
      <c r="E1998" s="155"/>
      <c r="F1998" s="155"/>
      <c r="G1998" s="155"/>
      <c r="H1998" s="155"/>
      <c r="I1998" s="155"/>
      <c r="J1998" s="155"/>
      <c r="K1998" s="155"/>
      <c r="L1998" s="155"/>
      <c r="M1998" s="155"/>
      <c r="N1998" s="155"/>
      <c r="O1998" s="155"/>
      <c r="P1998" s="155"/>
      <c r="Q1998" s="155"/>
      <c r="R1998" s="155"/>
      <c r="S1998" s="155"/>
      <c r="T1998" s="155"/>
      <c r="U1998" s="155"/>
      <c r="V1998" s="155"/>
      <c r="W1998" s="155"/>
      <c r="GL1998" s="155"/>
      <c r="GM1998" s="155"/>
      <c r="GN1998" s="155"/>
      <c r="GO1998" s="155"/>
      <c r="GP1998" s="155"/>
      <c r="GQ1998" s="155"/>
      <c r="GR1998" s="155"/>
      <c r="GS1998" s="155"/>
      <c r="GT1998" s="155"/>
      <c r="GU1998" s="155"/>
      <c r="GV1998" s="155"/>
      <c r="GW1998" s="155"/>
      <c r="GX1998" s="155"/>
      <c r="GY1998" s="155"/>
      <c r="GZ1998" s="155"/>
      <c r="HA1998" s="155"/>
      <c r="HB1998" s="155"/>
      <c r="HC1998" s="155"/>
      <c r="HD1998" s="155"/>
      <c r="HE1998" s="155"/>
    </row>
    <row r="1999" spans="2:213" s="156" customFormat="1" hidden="1">
      <c r="B1999" s="155"/>
      <c r="C1999" s="155"/>
      <c r="D1999" s="155"/>
      <c r="E1999" s="155"/>
      <c r="F1999" s="155"/>
      <c r="G1999" s="155"/>
      <c r="H1999" s="155"/>
      <c r="I1999" s="155"/>
      <c r="J1999" s="155"/>
      <c r="K1999" s="155"/>
      <c r="L1999" s="155"/>
      <c r="M1999" s="155"/>
      <c r="N1999" s="155"/>
      <c r="O1999" s="155"/>
      <c r="P1999" s="155"/>
      <c r="Q1999" s="155"/>
      <c r="R1999" s="155"/>
      <c r="S1999" s="155"/>
      <c r="T1999" s="155"/>
      <c r="U1999" s="155"/>
      <c r="V1999" s="155"/>
      <c r="W1999" s="155"/>
      <c r="GL1999" s="155"/>
      <c r="GM1999" s="155"/>
      <c r="GN1999" s="155"/>
      <c r="GO1999" s="155"/>
      <c r="GP1999" s="155"/>
      <c r="GQ1999" s="155"/>
      <c r="GR1999" s="155"/>
      <c r="GS1999" s="155"/>
      <c r="GT1999" s="155"/>
      <c r="GU1999" s="155"/>
      <c r="GV1999" s="155"/>
      <c r="GW1999" s="155"/>
      <c r="GX1999" s="155"/>
      <c r="GY1999" s="155"/>
      <c r="GZ1999" s="155"/>
      <c r="HA1999" s="155"/>
      <c r="HB1999" s="155"/>
      <c r="HC1999" s="155"/>
      <c r="HD1999" s="155"/>
      <c r="HE1999" s="155"/>
    </row>
    <row r="2000" spans="2:213" s="156" customFormat="1" hidden="1">
      <c r="B2000" s="155"/>
      <c r="C2000" s="155"/>
      <c r="D2000" s="155"/>
      <c r="E2000" s="155"/>
      <c r="F2000" s="155"/>
      <c r="G2000" s="155"/>
      <c r="H2000" s="155"/>
      <c r="I2000" s="155"/>
      <c r="J2000" s="155"/>
      <c r="K2000" s="155"/>
      <c r="L2000" s="155"/>
      <c r="M2000" s="155"/>
      <c r="N2000" s="155"/>
      <c r="O2000" s="155"/>
      <c r="P2000" s="155"/>
      <c r="Q2000" s="155"/>
      <c r="R2000" s="155"/>
      <c r="S2000" s="155"/>
      <c r="T2000" s="155"/>
      <c r="U2000" s="155"/>
      <c r="V2000" s="155"/>
      <c r="W2000" s="155"/>
      <c r="GL2000" s="155"/>
      <c r="GM2000" s="155"/>
      <c r="GN2000" s="155"/>
      <c r="GO2000" s="155"/>
      <c r="GP2000" s="155"/>
      <c r="GQ2000" s="155"/>
      <c r="GR2000" s="155"/>
      <c r="GS2000" s="155"/>
      <c r="GT2000" s="155"/>
      <c r="GU2000" s="155"/>
      <c r="GV2000" s="155"/>
      <c r="GW2000" s="155"/>
      <c r="GX2000" s="155"/>
      <c r="GY2000" s="155"/>
      <c r="GZ2000" s="155"/>
      <c r="HA2000" s="155"/>
      <c r="HB2000" s="155"/>
      <c r="HC2000" s="155"/>
      <c r="HD2000" s="155"/>
      <c r="HE2000" s="155"/>
    </row>
    <row r="2001" spans="2:213" s="156" customFormat="1" hidden="1">
      <c r="B2001" s="155"/>
      <c r="C2001" s="155"/>
      <c r="D2001" s="155"/>
      <c r="E2001" s="155"/>
      <c r="F2001" s="155"/>
      <c r="G2001" s="155"/>
      <c r="H2001" s="155"/>
      <c r="I2001" s="155"/>
      <c r="J2001" s="155"/>
      <c r="K2001" s="155"/>
      <c r="L2001" s="155"/>
      <c r="M2001" s="155"/>
      <c r="N2001" s="155"/>
      <c r="O2001" s="155"/>
      <c r="P2001" s="155"/>
      <c r="Q2001" s="155"/>
      <c r="R2001" s="155"/>
      <c r="S2001" s="155"/>
      <c r="T2001" s="155"/>
      <c r="U2001" s="155"/>
      <c r="V2001" s="155"/>
      <c r="W2001" s="155"/>
      <c r="GL2001" s="155"/>
      <c r="GM2001" s="155"/>
      <c r="GN2001" s="155"/>
      <c r="GO2001" s="155"/>
      <c r="GP2001" s="155"/>
      <c r="GQ2001" s="155"/>
      <c r="GR2001" s="155"/>
      <c r="GS2001" s="155"/>
      <c r="GT2001" s="155"/>
      <c r="GU2001" s="155"/>
      <c r="GV2001" s="155"/>
      <c r="GW2001" s="155"/>
      <c r="GX2001" s="155"/>
      <c r="GY2001" s="155"/>
      <c r="GZ2001" s="155"/>
      <c r="HA2001" s="155"/>
      <c r="HB2001" s="155"/>
      <c r="HC2001" s="155"/>
      <c r="HD2001" s="155"/>
      <c r="HE2001" s="155"/>
    </row>
    <row r="2002" spans="2:213" s="156" customFormat="1" hidden="1">
      <c r="B2002" s="155"/>
      <c r="C2002" s="155"/>
      <c r="D2002" s="155"/>
      <c r="E2002" s="155"/>
      <c r="F2002" s="155"/>
      <c r="G2002" s="155"/>
      <c r="H2002" s="155"/>
      <c r="I2002" s="155"/>
      <c r="J2002" s="155"/>
      <c r="K2002" s="155"/>
      <c r="L2002" s="155"/>
      <c r="M2002" s="155"/>
      <c r="N2002" s="155"/>
      <c r="O2002" s="155"/>
      <c r="P2002" s="155"/>
      <c r="Q2002" s="155"/>
      <c r="R2002" s="155"/>
      <c r="S2002" s="155"/>
      <c r="T2002" s="155"/>
      <c r="U2002" s="155"/>
      <c r="V2002" s="155"/>
      <c r="W2002" s="155"/>
      <c r="GL2002" s="155"/>
      <c r="GM2002" s="155"/>
      <c r="GN2002" s="155"/>
      <c r="GO2002" s="155"/>
      <c r="GP2002" s="155"/>
      <c r="GQ2002" s="155"/>
      <c r="GR2002" s="155"/>
      <c r="GS2002" s="155"/>
      <c r="GT2002" s="155"/>
      <c r="GU2002" s="155"/>
      <c r="GV2002" s="155"/>
      <c r="GW2002" s="155"/>
      <c r="GX2002" s="155"/>
      <c r="GY2002" s="155"/>
      <c r="GZ2002" s="155"/>
      <c r="HA2002" s="155"/>
      <c r="HB2002" s="155"/>
      <c r="HC2002" s="155"/>
      <c r="HD2002" s="155"/>
      <c r="HE2002" s="155"/>
    </row>
    <row r="2003" spans="2:213" s="156" customFormat="1" hidden="1">
      <c r="B2003" s="155"/>
      <c r="C2003" s="155"/>
      <c r="D2003" s="155"/>
      <c r="E2003" s="155"/>
      <c r="F2003" s="155"/>
      <c r="G2003" s="155"/>
      <c r="H2003" s="155"/>
      <c r="I2003" s="155"/>
      <c r="J2003" s="155"/>
      <c r="K2003" s="155"/>
      <c r="L2003" s="155"/>
      <c r="M2003" s="155"/>
      <c r="N2003" s="155"/>
      <c r="O2003" s="155"/>
      <c r="P2003" s="155"/>
      <c r="Q2003" s="155"/>
      <c r="R2003" s="155"/>
      <c r="S2003" s="155"/>
      <c r="T2003" s="155"/>
      <c r="U2003" s="155"/>
      <c r="V2003" s="155"/>
      <c r="W2003" s="155"/>
      <c r="GL2003" s="155"/>
      <c r="GM2003" s="155"/>
      <c r="GN2003" s="155"/>
      <c r="GO2003" s="155"/>
      <c r="GP2003" s="155"/>
      <c r="GQ2003" s="155"/>
      <c r="GR2003" s="155"/>
      <c r="GS2003" s="155"/>
      <c r="GT2003" s="155"/>
      <c r="GU2003" s="155"/>
      <c r="GV2003" s="155"/>
      <c r="GW2003" s="155"/>
      <c r="GX2003" s="155"/>
      <c r="GY2003" s="155"/>
      <c r="GZ2003" s="155"/>
      <c r="HA2003" s="155"/>
      <c r="HB2003" s="155"/>
      <c r="HC2003" s="155"/>
      <c r="HD2003" s="155"/>
      <c r="HE2003" s="155"/>
    </row>
    <row r="2004" spans="2:213" s="156" customFormat="1" hidden="1">
      <c r="B2004" s="155"/>
      <c r="C2004" s="155"/>
      <c r="D2004" s="155"/>
      <c r="E2004" s="155"/>
      <c r="F2004" s="155"/>
      <c r="G2004" s="155"/>
      <c r="H2004" s="155"/>
      <c r="I2004" s="155"/>
      <c r="J2004" s="155"/>
      <c r="K2004" s="155"/>
      <c r="L2004" s="155"/>
      <c r="M2004" s="155"/>
      <c r="N2004" s="155"/>
      <c r="O2004" s="155"/>
      <c r="P2004" s="155"/>
      <c r="Q2004" s="155"/>
      <c r="R2004" s="155"/>
      <c r="S2004" s="155"/>
      <c r="T2004" s="155"/>
      <c r="U2004" s="155"/>
      <c r="V2004" s="155"/>
      <c r="W2004" s="155"/>
      <c r="GL2004" s="155"/>
      <c r="GM2004" s="155"/>
      <c r="GN2004" s="155"/>
      <c r="GO2004" s="155"/>
      <c r="GP2004" s="155"/>
      <c r="GQ2004" s="155"/>
      <c r="GR2004" s="155"/>
      <c r="GS2004" s="155"/>
      <c r="GT2004" s="155"/>
      <c r="GU2004" s="155"/>
      <c r="GV2004" s="155"/>
      <c r="GW2004" s="155"/>
      <c r="GX2004" s="155"/>
      <c r="GY2004" s="155"/>
      <c r="GZ2004" s="155"/>
      <c r="HA2004" s="155"/>
      <c r="HB2004" s="155"/>
      <c r="HC2004" s="155"/>
      <c r="HD2004" s="155"/>
      <c r="HE2004" s="155"/>
    </row>
    <row r="2005" spans="2:213" s="156" customFormat="1" hidden="1">
      <c r="B2005" s="155"/>
      <c r="C2005" s="155"/>
      <c r="D2005" s="155"/>
      <c r="E2005" s="155"/>
      <c r="F2005" s="155"/>
      <c r="G2005" s="155"/>
      <c r="H2005" s="155"/>
      <c r="I2005" s="155"/>
      <c r="J2005" s="155"/>
      <c r="K2005" s="155"/>
      <c r="L2005" s="155"/>
      <c r="M2005" s="155"/>
      <c r="N2005" s="155"/>
      <c r="O2005" s="155"/>
      <c r="P2005" s="155"/>
      <c r="Q2005" s="155"/>
      <c r="R2005" s="155"/>
      <c r="S2005" s="155"/>
      <c r="T2005" s="155"/>
      <c r="U2005" s="155"/>
      <c r="V2005" s="155"/>
      <c r="W2005" s="155"/>
      <c r="GL2005" s="155"/>
      <c r="GM2005" s="155"/>
      <c r="GN2005" s="155"/>
      <c r="GO2005" s="155"/>
      <c r="GP2005" s="155"/>
      <c r="GQ2005" s="155"/>
      <c r="GR2005" s="155"/>
      <c r="GS2005" s="155"/>
      <c r="GT2005" s="155"/>
      <c r="GU2005" s="155"/>
      <c r="GV2005" s="155"/>
      <c r="GW2005" s="155"/>
      <c r="GX2005" s="155"/>
      <c r="GY2005" s="155"/>
      <c r="GZ2005" s="155"/>
      <c r="HA2005" s="155"/>
      <c r="HB2005" s="155"/>
      <c r="HC2005" s="155"/>
      <c r="HD2005" s="155"/>
      <c r="HE2005" s="155"/>
    </row>
    <row r="2006" spans="2:213" s="156" customFormat="1" hidden="1">
      <c r="B2006" s="155"/>
      <c r="C2006" s="155"/>
      <c r="D2006" s="155"/>
      <c r="E2006" s="155"/>
      <c r="F2006" s="155"/>
      <c r="G2006" s="155"/>
      <c r="H2006" s="155"/>
      <c r="I2006" s="155"/>
      <c r="J2006" s="155"/>
      <c r="K2006" s="155"/>
      <c r="L2006" s="155"/>
      <c r="M2006" s="155"/>
      <c r="N2006" s="155"/>
      <c r="O2006" s="155"/>
      <c r="P2006" s="155"/>
      <c r="Q2006" s="155"/>
      <c r="R2006" s="155"/>
      <c r="S2006" s="155"/>
      <c r="T2006" s="155"/>
      <c r="U2006" s="155"/>
      <c r="V2006" s="155"/>
      <c r="W2006" s="155"/>
      <c r="GL2006" s="155"/>
      <c r="GM2006" s="155"/>
      <c r="GN2006" s="155"/>
      <c r="GO2006" s="155"/>
      <c r="GP2006" s="155"/>
      <c r="GQ2006" s="155"/>
      <c r="GR2006" s="155"/>
      <c r="GS2006" s="155"/>
      <c r="GT2006" s="155"/>
      <c r="GU2006" s="155"/>
      <c r="GV2006" s="155"/>
      <c r="GW2006" s="155"/>
      <c r="GX2006" s="155"/>
      <c r="GY2006" s="155"/>
      <c r="GZ2006" s="155"/>
      <c r="HA2006" s="155"/>
      <c r="HB2006" s="155"/>
      <c r="HC2006" s="155"/>
      <c r="HD2006" s="155"/>
      <c r="HE2006" s="155"/>
    </row>
    <row r="2007" spans="2:213" s="156" customFormat="1" hidden="1">
      <c r="B2007" s="155"/>
      <c r="C2007" s="155"/>
      <c r="D2007" s="155"/>
      <c r="E2007" s="155"/>
      <c r="F2007" s="155"/>
      <c r="G2007" s="155"/>
      <c r="H2007" s="155"/>
      <c r="I2007" s="155"/>
      <c r="J2007" s="155"/>
      <c r="K2007" s="155"/>
      <c r="L2007" s="155"/>
      <c r="M2007" s="155"/>
      <c r="N2007" s="155"/>
      <c r="O2007" s="155"/>
      <c r="P2007" s="155"/>
      <c r="Q2007" s="155"/>
      <c r="R2007" s="155"/>
      <c r="S2007" s="155"/>
      <c r="T2007" s="155"/>
      <c r="U2007" s="155"/>
      <c r="V2007" s="155"/>
      <c r="W2007" s="155"/>
      <c r="GL2007" s="155"/>
      <c r="GM2007" s="155"/>
      <c r="GN2007" s="155"/>
      <c r="GO2007" s="155"/>
      <c r="GP2007" s="155"/>
      <c r="GQ2007" s="155"/>
      <c r="GR2007" s="155"/>
      <c r="GS2007" s="155"/>
      <c r="GT2007" s="155"/>
      <c r="GU2007" s="155"/>
      <c r="GV2007" s="155"/>
      <c r="GW2007" s="155"/>
      <c r="GX2007" s="155"/>
      <c r="GY2007" s="155"/>
      <c r="GZ2007" s="155"/>
      <c r="HA2007" s="155"/>
      <c r="HB2007" s="155"/>
      <c r="HC2007" s="155"/>
      <c r="HD2007" s="155"/>
      <c r="HE2007" s="155"/>
    </row>
    <row r="2008" spans="2:213" s="156" customFormat="1" hidden="1">
      <c r="B2008" s="155"/>
      <c r="C2008" s="155"/>
      <c r="D2008" s="155"/>
      <c r="E2008" s="155"/>
      <c r="F2008" s="155"/>
      <c r="G2008" s="155"/>
      <c r="H2008" s="155"/>
      <c r="I2008" s="155"/>
      <c r="J2008" s="155"/>
      <c r="K2008" s="155"/>
      <c r="L2008" s="155"/>
      <c r="M2008" s="155"/>
      <c r="N2008" s="155"/>
      <c r="O2008" s="155"/>
      <c r="P2008" s="155"/>
      <c r="Q2008" s="155"/>
      <c r="R2008" s="155"/>
      <c r="S2008" s="155"/>
      <c r="T2008" s="155"/>
      <c r="U2008" s="155"/>
      <c r="V2008" s="155"/>
      <c r="W2008" s="155"/>
      <c r="GL2008" s="155"/>
      <c r="GM2008" s="155"/>
      <c r="GN2008" s="155"/>
      <c r="GO2008" s="155"/>
      <c r="GP2008" s="155"/>
      <c r="GQ2008" s="155"/>
      <c r="GR2008" s="155"/>
      <c r="GS2008" s="155"/>
      <c r="GT2008" s="155"/>
      <c r="GU2008" s="155"/>
      <c r="GV2008" s="155"/>
      <c r="GW2008" s="155"/>
      <c r="GX2008" s="155"/>
      <c r="GY2008" s="155"/>
      <c r="GZ2008" s="155"/>
      <c r="HA2008" s="155"/>
      <c r="HB2008" s="155"/>
      <c r="HC2008" s="155"/>
      <c r="HD2008" s="155"/>
      <c r="HE2008" s="155"/>
    </row>
    <row r="2009" spans="2:213" s="156" customFormat="1" hidden="1">
      <c r="B2009" s="155"/>
      <c r="C2009" s="155"/>
      <c r="D2009" s="155"/>
      <c r="E2009" s="155"/>
      <c r="F2009" s="155"/>
      <c r="G2009" s="155"/>
      <c r="H2009" s="155"/>
      <c r="I2009" s="155"/>
      <c r="J2009" s="155"/>
      <c r="K2009" s="155"/>
      <c r="L2009" s="155"/>
      <c r="M2009" s="155"/>
      <c r="N2009" s="155"/>
      <c r="O2009" s="155"/>
      <c r="P2009" s="155"/>
      <c r="Q2009" s="155"/>
      <c r="R2009" s="155"/>
      <c r="S2009" s="155"/>
      <c r="T2009" s="155"/>
      <c r="U2009" s="155"/>
      <c r="V2009" s="155"/>
      <c r="W2009" s="155"/>
      <c r="GL2009" s="155"/>
      <c r="GM2009" s="155"/>
      <c r="GN2009" s="155"/>
      <c r="GO2009" s="155"/>
      <c r="GP2009" s="155"/>
      <c r="GQ2009" s="155"/>
      <c r="GR2009" s="155"/>
      <c r="GS2009" s="155"/>
      <c r="GT2009" s="155"/>
      <c r="GU2009" s="155"/>
      <c r="GV2009" s="155"/>
      <c r="GW2009" s="155"/>
      <c r="GX2009" s="155"/>
      <c r="GY2009" s="155"/>
      <c r="GZ2009" s="155"/>
      <c r="HA2009" s="155"/>
      <c r="HB2009" s="155"/>
      <c r="HC2009" s="155"/>
      <c r="HD2009" s="155"/>
      <c r="HE2009" s="155"/>
    </row>
    <row r="2010" spans="2:213" s="156" customFormat="1" hidden="1">
      <c r="B2010" s="155"/>
      <c r="C2010" s="155"/>
      <c r="D2010" s="155"/>
      <c r="E2010" s="155"/>
      <c r="F2010" s="155"/>
      <c r="G2010" s="155"/>
      <c r="H2010" s="155"/>
      <c r="I2010" s="155"/>
      <c r="J2010" s="155"/>
      <c r="K2010" s="155"/>
      <c r="L2010" s="155"/>
      <c r="M2010" s="155"/>
      <c r="N2010" s="155"/>
      <c r="O2010" s="155"/>
      <c r="P2010" s="155"/>
      <c r="Q2010" s="155"/>
      <c r="R2010" s="155"/>
      <c r="S2010" s="155"/>
      <c r="T2010" s="155"/>
      <c r="U2010" s="155"/>
      <c r="V2010" s="155"/>
      <c r="W2010" s="155"/>
      <c r="GL2010" s="155"/>
      <c r="GM2010" s="155"/>
      <c r="GN2010" s="155"/>
      <c r="GO2010" s="155"/>
      <c r="GP2010" s="155"/>
      <c r="GQ2010" s="155"/>
      <c r="GR2010" s="155"/>
      <c r="GS2010" s="155"/>
      <c r="GT2010" s="155"/>
      <c r="GU2010" s="155"/>
      <c r="GV2010" s="155"/>
      <c r="GW2010" s="155"/>
      <c r="GX2010" s="155"/>
      <c r="GY2010" s="155"/>
      <c r="GZ2010" s="155"/>
      <c r="HA2010" s="155"/>
      <c r="HB2010" s="155"/>
      <c r="HC2010" s="155"/>
      <c r="HD2010" s="155"/>
      <c r="HE2010" s="155"/>
    </row>
    <row r="2011" spans="2:213" s="156" customFormat="1" hidden="1">
      <c r="B2011" s="155"/>
      <c r="C2011" s="155"/>
      <c r="D2011" s="155"/>
      <c r="E2011" s="155"/>
      <c r="F2011" s="155"/>
      <c r="G2011" s="155"/>
      <c r="H2011" s="155"/>
      <c r="I2011" s="155"/>
      <c r="J2011" s="155"/>
      <c r="K2011" s="155"/>
      <c r="L2011" s="155"/>
      <c r="M2011" s="155"/>
      <c r="N2011" s="155"/>
      <c r="O2011" s="155"/>
      <c r="P2011" s="155"/>
      <c r="Q2011" s="155"/>
      <c r="R2011" s="155"/>
      <c r="S2011" s="155"/>
      <c r="T2011" s="155"/>
      <c r="U2011" s="155"/>
      <c r="V2011" s="155"/>
      <c r="W2011" s="155"/>
      <c r="GL2011" s="155"/>
      <c r="GM2011" s="155"/>
      <c r="GN2011" s="155"/>
      <c r="GO2011" s="155"/>
      <c r="GP2011" s="155"/>
      <c r="GQ2011" s="155"/>
      <c r="GR2011" s="155"/>
      <c r="GS2011" s="155"/>
      <c r="GT2011" s="155"/>
      <c r="GU2011" s="155"/>
      <c r="GV2011" s="155"/>
      <c r="GW2011" s="155"/>
      <c r="GX2011" s="155"/>
      <c r="GY2011" s="155"/>
      <c r="GZ2011" s="155"/>
      <c r="HA2011" s="155"/>
      <c r="HB2011" s="155"/>
      <c r="HC2011" s="155"/>
      <c r="HD2011" s="155"/>
      <c r="HE2011" s="155"/>
    </row>
    <row r="2012" spans="2:213" s="156" customFormat="1" hidden="1">
      <c r="B2012" s="155"/>
      <c r="C2012" s="155"/>
      <c r="D2012" s="155"/>
      <c r="E2012" s="155"/>
      <c r="F2012" s="155"/>
      <c r="G2012" s="155"/>
      <c r="H2012" s="155"/>
      <c r="I2012" s="155"/>
      <c r="J2012" s="155"/>
      <c r="K2012" s="155"/>
      <c r="L2012" s="155"/>
      <c r="M2012" s="155"/>
      <c r="N2012" s="155"/>
      <c r="O2012" s="155"/>
      <c r="P2012" s="155"/>
      <c r="Q2012" s="155"/>
      <c r="R2012" s="155"/>
      <c r="S2012" s="155"/>
      <c r="T2012" s="155"/>
      <c r="U2012" s="155"/>
      <c r="V2012" s="155"/>
      <c r="W2012" s="155"/>
      <c r="GL2012" s="155"/>
      <c r="GM2012" s="155"/>
      <c r="GN2012" s="155"/>
      <c r="GO2012" s="155"/>
      <c r="GP2012" s="155"/>
      <c r="GQ2012" s="155"/>
      <c r="GR2012" s="155"/>
      <c r="GS2012" s="155"/>
      <c r="GT2012" s="155"/>
      <c r="GU2012" s="155"/>
      <c r="GV2012" s="155"/>
      <c r="GW2012" s="155"/>
      <c r="GX2012" s="155"/>
      <c r="GY2012" s="155"/>
      <c r="GZ2012" s="155"/>
      <c r="HA2012" s="155"/>
      <c r="HB2012" s="155"/>
      <c r="HC2012" s="155"/>
      <c r="HD2012" s="155"/>
      <c r="HE2012" s="155"/>
    </row>
    <row r="2013" spans="2:213" s="156" customFormat="1" hidden="1">
      <c r="B2013" s="155"/>
      <c r="C2013" s="155"/>
      <c r="D2013" s="155"/>
      <c r="E2013" s="155"/>
      <c r="F2013" s="155"/>
      <c r="G2013" s="155"/>
      <c r="H2013" s="155"/>
      <c r="I2013" s="155"/>
      <c r="J2013" s="155"/>
      <c r="K2013" s="155"/>
      <c r="L2013" s="155"/>
      <c r="M2013" s="155"/>
      <c r="N2013" s="155"/>
      <c r="O2013" s="155"/>
      <c r="P2013" s="155"/>
      <c r="Q2013" s="155"/>
      <c r="R2013" s="155"/>
      <c r="S2013" s="155"/>
      <c r="T2013" s="155"/>
      <c r="U2013" s="155"/>
      <c r="V2013" s="155"/>
      <c r="W2013" s="155"/>
      <c r="GL2013" s="155"/>
      <c r="GM2013" s="155"/>
      <c r="GN2013" s="155"/>
      <c r="GO2013" s="155"/>
      <c r="GP2013" s="155"/>
      <c r="GQ2013" s="155"/>
      <c r="GR2013" s="155"/>
      <c r="GS2013" s="155"/>
      <c r="GT2013" s="155"/>
      <c r="GU2013" s="155"/>
      <c r="GV2013" s="155"/>
      <c r="GW2013" s="155"/>
      <c r="GX2013" s="155"/>
      <c r="GY2013" s="155"/>
      <c r="GZ2013" s="155"/>
      <c r="HA2013" s="155"/>
      <c r="HB2013" s="155"/>
      <c r="HC2013" s="155"/>
      <c r="HD2013" s="155"/>
      <c r="HE2013" s="155"/>
    </row>
    <row r="2014" spans="2:213" s="156" customFormat="1" hidden="1">
      <c r="B2014" s="155"/>
      <c r="C2014" s="155"/>
      <c r="D2014" s="155"/>
      <c r="E2014" s="155"/>
      <c r="F2014" s="155"/>
      <c r="G2014" s="155"/>
      <c r="H2014" s="155"/>
      <c r="I2014" s="155"/>
      <c r="J2014" s="155"/>
      <c r="K2014" s="155"/>
      <c r="L2014" s="155"/>
      <c r="M2014" s="155"/>
      <c r="N2014" s="155"/>
      <c r="O2014" s="155"/>
      <c r="P2014" s="155"/>
      <c r="Q2014" s="155"/>
      <c r="R2014" s="155"/>
      <c r="S2014" s="155"/>
      <c r="T2014" s="155"/>
      <c r="U2014" s="155"/>
      <c r="V2014" s="155"/>
      <c r="W2014" s="155"/>
      <c r="GL2014" s="155"/>
      <c r="GM2014" s="155"/>
      <c r="GN2014" s="155"/>
      <c r="GO2014" s="155"/>
      <c r="GP2014" s="155"/>
      <c r="GQ2014" s="155"/>
      <c r="GR2014" s="155"/>
      <c r="GS2014" s="155"/>
      <c r="GT2014" s="155"/>
      <c r="GU2014" s="155"/>
      <c r="GV2014" s="155"/>
      <c r="GW2014" s="155"/>
      <c r="GX2014" s="155"/>
      <c r="GY2014" s="155"/>
      <c r="GZ2014" s="155"/>
      <c r="HA2014" s="155"/>
      <c r="HB2014" s="155"/>
      <c r="HC2014" s="155"/>
      <c r="HD2014" s="155"/>
      <c r="HE2014" s="155"/>
    </row>
    <row r="2015" spans="2:213" s="156" customFormat="1" hidden="1">
      <c r="B2015" s="155"/>
      <c r="C2015" s="155"/>
      <c r="D2015" s="155"/>
      <c r="E2015" s="155"/>
      <c r="F2015" s="155"/>
      <c r="G2015" s="155"/>
      <c r="H2015" s="155"/>
      <c r="I2015" s="155"/>
      <c r="J2015" s="155"/>
      <c r="K2015" s="155"/>
      <c r="L2015" s="155"/>
      <c r="M2015" s="155"/>
      <c r="N2015" s="155"/>
      <c r="O2015" s="155"/>
      <c r="P2015" s="155"/>
      <c r="Q2015" s="155"/>
      <c r="R2015" s="155"/>
      <c r="S2015" s="155"/>
      <c r="T2015" s="155"/>
      <c r="U2015" s="155"/>
      <c r="V2015" s="155"/>
      <c r="W2015" s="155"/>
      <c r="GL2015" s="155"/>
      <c r="GM2015" s="155"/>
      <c r="GN2015" s="155"/>
      <c r="GO2015" s="155"/>
      <c r="GP2015" s="155"/>
      <c r="GQ2015" s="155"/>
      <c r="GR2015" s="155"/>
      <c r="GS2015" s="155"/>
      <c r="GT2015" s="155"/>
      <c r="GU2015" s="155"/>
      <c r="GV2015" s="155"/>
      <c r="GW2015" s="155"/>
      <c r="GX2015" s="155"/>
      <c r="GY2015" s="155"/>
      <c r="GZ2015" s="155"/>
      <c r="HA2015" s="155"/>
      <c r="HB2015" s="155"/>
      <c r="HC2015" s="155"/>
      <c r="HD2015" s="155"/>
      <c r="HE2015" s="155"/>
    </row>
    <row r="2016" spans="2:213" s="156" customFormat="1" hidden="1">
      <c r="B2016" s="155"/>
      <c r="C2016" s="155"/>
      <c r="D2016" s="155"/>
      <c r="E2016" s="155"/>
      <c r="F2016" s="155"/>
      <c r="G2016" s="155"/>
      <c r="H2016" s="155"/>
      <c r="I2016" s="155"/>
      <c r="J2016" s="155"/>
      <c r="K2016" s="155"/>
      <c r="L2016" s="155"/>
      <c r="M2016" s="155"/>
      <c r="N2016" s="155"/>
      <c r="O2016" s="155"/>
      <c r="P2016" s="155"/>
      <c r="Q2016" s="155"/>
      <c r="R2016" s="155"/>
      <c r="S2016" s="155"/>
      <c r="T2016" s="155"/>
      <c r="U2016" s="155"/>
      <c r="V2016" s="155"/>
      <c r="W2016" s="155"/>
      <c r="GL2016" s="155"/>
      <c r="GM2016" s="155"/>
      <c r="GN2016" s="155"/>
      <c r="GO2016" s="155"/>
      <c r="GP2016" s="155"/>
      <c r="GQ2016" s="155"/>
      <c r="GR2016" s="155"/>
      <c r="GS2016" s="155"/>
      <c r="GT2016" s="155"/>
      <c r="GU2016" s="155"/>
      <c r="GV2016" s="155"/>
      <c r="GW2016" s="155"/>
      <c r="GX2016" s="155"/>
      <c r="GY2016" s="155"/>
      <c r="GZ2016" s="155"/>
      <c r="HA2016" s="155"/>
      <c r="HB2016" s="155"/>
      <c r="HC2016" s="155"/>
      <c r="HD2016" s="155"/>
      <c r="HE2016" s="155"/>
    </row>
    <row r="2017" spans="2:213" s="156" customFormat="1" hidden="1">
      <c r="B2017" s="155"/>
      <c r="C2017" s="155"/>
      <c r="D2017" s="155"/>
      <c r="E2017" s="155"/>
      <c r="F2017" s="155"/>
      <c r="G2017" s="155"/>
      <c r="H2017" s="155"/>
      <c r="I2017" s="155"/>
      <c r="J2017" s="155"/>
      <c r="K2017" s="155"/>
      <c r="L2017" s="155"/>
      <c r="M2017" s="155"/>
      <c r="N2017" s="155"/>
      <c r="O2017" s="155"/>
      <c r="P2017" s="155"/>
      <c r="Q2017" s="155"/>
      <c r="R2017" s="155"/>
      <c r="S2017" s="155"/>
      <c r="T2017" s="155"/>
      <c r="U2017" s="155"/>
      <c r="V2017" s="155"/>
      <c r="W2017" s="155"/>
      <c r="GL2017" s="155"/>
      <c r="GM2017" s="155"/>
      <c r="GN2017" s="155"/>
      <c r="GO2017" s="155"/>
      <c r="GP2017" s="155"/>
      <c r="GQ2017" s="155"/>
      <c r="GR2017" s="155"/>
      <c r="GS2017" s="155"/>
      <c r="GT2017" s="155"/>
      <c r="GU2017" s="155"/>
      <c r="GV2017" s="155"/>
      <c r="GW2017" s="155"/>
      <c r="GX2017" s="155"/>
      <c r="GY2017" s="155"/>
      <c r="GZ2017" s="155"/>
      <c r="HA2017" s="155"/>
      <c r="HB2017" s="155"/>
      <c r="HC2017" s="155"/>
      <c r="HD2017" s="155"/>
      <c r="HE2017" s="155"/>
    </row>
    <row r="2018" spans="2:213" s="156" customFormat="1" hidden="1">
      <c r="B2018" s="155"/>
      <c r="C2018" s="155"/>
      <c r="D2018" s="155"/>
      <c r="E2018" s="155"/>
      <c r="F2018" s="155"/>
      <c r="G2018" s="155"/>
      <c r="H2018" s="155"/>
      <c r="I2018" s="155"/>
      <c r="J2018" s="155"/>
      <c r="K2018" s="155"/>
      <c r="L2018" s="155"/>
      <c r="M2018" s="155"/>
      <c r="N2018" s="155"/>
      <c r="O2018" s="155"/>
      <c r="P2018" s="155"/>
      <c r="Q2018" s="155"/>
      <c r="R2018" s="155"/>
      <c r="S2018" s="155"/>
      <c r="T2018" s="155"/>
      <c r="U2018" s="155"/>
      <c r="V2018" s="155"/>
      <c r="W2018" s="155"/>
      <c r="GL2018" s="155"/>
      <c r="GM2018" s="155"/>
      <c r="GN2018" s="155"/>
      <c r="GO2018" s="155"/>
      <c r="GP2018" s="155"/>
      <c r="GQ2018" s="155"/>
      <c r="GR2018" s="155"/>
      <c r="GS2018" s="155"/>
      <c r="GT2018" s="155"/>
      <c r="GU2018" s="155"/>
      <c r="GV2018" s="155"/>
      <c r="GW2018" s="155"/>
      <c r="GX2018" s="155"/>
      <c r="GY2018" s="155"/>
      <c r="GZ2018" s="155"/>
      <c r="HA2018" s="155"/>
      <c r="HB2018" s="155"/>
      <c r="HC2018" s="155"/>
      <c r="HD2018" s="155"/>
      <c r="HE2018" s="155"/>
    </row>
    <row r="2019" spans="2:213" s="156" customFormat="1" hidden="1">
      <c r="B2019" s="155"/>
      <c r="C2019" s="155"/>
      <c r="D2019" s="155"/>
      <c r="E2019" s="155"/>
      <c r="F2019" s="155"/>
      <c r="G2019" s="155"/>
      <c r="H2019" s="155"/>
      <c r="I2019" s="155"/>
      <c r="J2019" s="155"/>
      <c r="K2019" s="155"/>
      <c r="L2019" s="155"/>
      <c r="M2019" s="155"/>
      <c r="N2019" s="155"/>
      <c r="O2019" s="155"/>
      <c r="P2019" s="155"/>
      <c r="Q2019" s="155"/>
      <c r="R2019" s="155"/>
      <c r="S2019" s="155"/>
      <c r="T2019" s="155"/>
      <c r="U2019" s="155"/>
      <c r="V2019" s="155"/>
      <c r="W2019" s="155"/>
      <c r="GL2019" s="155"/>
      <c r="GM2019" s="155"/>
      <c r="GN2019" s="155"/>
      <c r="GO2019" s="155"/>
      <c r="GP2019" s="155"/>
      <c r="GQ2019" s="155"/>
      <c r="GR2019" s="155"/>
      <c r="GS2019" s="155"/>
      <c r="GT2019" s="155"/>
      <c r="GU2019" s="155"/>
      <c r="GV2019" s="155"/>
      <c r="GW2019" s="155"/>
      <c r="GX2019" s="155"/>
      <c r="GY2019" s="155"/>
      <c r="GZ2019" s="155"/>
      <c r="HA2019" s="155"/>
      <c r="HB2019" s="155"/>
      <c r="HC2019" s="155"/>
      <c r="HD2019" s="155"/>
      <c r="HE2019" s="155"/>
    </row>
    <row r="2020" spans="2:213" s="156" customFormat="1" hidden="1">
      <c r="B2020" s="155"/>
      <c r="C2020" s="155"/>
      <c r="D2020" s="155"/>
      <c r="E2020" s="155"/>
      <c r="F2020" s="155"/>
      <c r="G2020" s="155"/>
      <c r="H2020" s="155"/>
      <c r="I2020" s="155"/>
      <c r="J2020" s="155"/>
      <c r="K2020" s="155"/>
      <c r="L2020" s="155"/>
      <c r="M2020" s="155"/>
      <c r="N2020" s="155"/>
      <c r="O2020" s="155"/>
      <c r="P2020" s="155"/>
      <c r="Q2020" s="155"/>
      <c r="R2020" s="155"/>
      <c r="S2020" s="155"/>
      <c r="T2020" s="155"/>
      <c r="U2020" s="155"/>
      <c r="V2020" s="155"/>
      <c r="W2020" s="155"/>
      <c r="GL2020" s="155"/>
      <c r="GM2020" s="155"/>
      <c r="GN2020" s="155"/>
      <c r="GO2020" s="155"/>
      <c r="GP2020" s="155"/>
      <c r="GQ2020" s="155"/>
      <c r="GR2020" s="155"/>
      <c r="GS2020" s="155"/>
      <c r="GT2020" s="155"/>
      <c r="GU2020" s="155"/>
      <c r="GV2020" s="155"/>
      <c r="GW2020" s="155"/>
      <c r="GX2020" s="155"/>
      <c r="GY2020" s="155"/>
      <c r="GZ2020" s="155"/>
      <c r="HA2020" s="155"/>
      <c r="HB2020" s="155"/>
      <c r="HC2020" s="155"/>
      <c r="HD2020" s="155"/>
      <c r="HE2020" s="155"/>
    </row>
    <row r="2021" spans="2:213" s="156" customFormat="1" hidden="1">
      <c r="B2021" s="155"/>
      <c r="C2021" s="155"/>
      <c r="D2021" s="155"/>
      <c r="E2021" s="155"/>
      <c r="F2021" s="155"/>
      <c r="G2021" s="155"/>
      <c r="H2021" s="155"/>
      <c r="I2021" s="155"/>
      <c r="J2021" s="155"/>
      <c r="K2021" s="155"/>
      <c r="L2021" s="155"/>
      <c r="M2021" s="155"/>
      <c r="N2021" s="155"/>
      <c r="O2021" s="155"/>
      <c r="P2021" s="155"/>
      <c r="Q2021" s="155"/>
      <c r="R2021" s="155"/>
      <c r="S2021" s="155"/>
      <c r="T2021" s="155"/>
      <c r="U2021" s="155"/>
      <c r="V2021" s="155"/>
      <c r="W2021" s="155"/>
      <c r="GL2021" s="155"/>
      <c r="GM2021" s="155"/>
      <c r="GN2021" s="155"/>
      <c r="GO2021" s="155"/>
      <c r="GP2021" s="155"/>
      <c r="GQ2021" s="155"/>
      <c r="GR2021" s="155"/>
      <c r="GS2021" s="155"/>
      <c r="GT2021" s="155"/>
      <c r="GU2021" s="155"/>
      <c r="GV2021" s="155"/>
      <c r="GW2021" s="155"/>
      <c r="GX2021" s="155"/>
      <c r="GY2021" s="155"/>
      <c r="GZ2021" s="155"/>
      <c r="HA2021" s="155"/>
      <c r="HB2021" s="155"/>
      <c r="HC2021" s="155"/>
      <c r="HD2021" s="155"/>
      <c r="HE2021" s="155"/>
    </row>
    <row r="2022" spans="2:213" s="156" customFormat="1" hidden="1">
      <c r="B2022" s="155"/>
      <c r="C2022" s="155"/>
      <c r="D2022" s="155"/>
      <c r="E2022" s="155"/>
      <c r="F2022" s="155"/>
      <c r="G2022" s="155"/>
      <c r="H2022" s="155"/>
      <c r="I2022" s="155"/>
      <c r="J2022" s="155"/>
      <c r="K2022" s="155"/>
      <c r="L2022" s="155"/>
      <c r="M2022" s="155"/>
      <c r="N2022" s="155"/>
      <c r="O2022" s="155"/>
      <c r="P2022" s="155"/>
      <c r="Q2022" s="155"/>
      <c r="R2022" s="155"/>
      <c r="S2022" s="155"/>
      <c r="T2022" s="155"/>
      <c r="U2022" s="155"/>
      <c r="V2022" s="155"/>
      <c r="W2022" s="155"/>
      <c r="GL2022" s="155"/>
      <c r="GM2022" s="155"/>
      <c r="GN2022" s="155"/>
      <c r="GO2022" s="155"/>
      <c r="GP2022" s="155"/>
      <c r="GQ2022" s="155"/>
      <c r="GR2022" s="155"/>
      <c r="GS2022" s="155"/>
      <c r="GT2022" s="155"/>
      <c r="GU2022" s="155"/>
      <c r="GV2022" s="155"/>
      <c r="GW2022" s="155"/>
      <c r="GX2022" s="155"/>
      <c r="GY2022" s="155"/>
      <c r="GZ2022" s="155"/>
      <c r="HA2022" s="155"/>
      <c r="HB2022" s="155"/>
      <c r="HC2022" s="155"/>
      <c r="HD2022" s="155"/>
      <c r="HE2022" s="155"/>
    </row>
    <row r="2023" spans="2:213" s="156" customFormat="1" hidden="1">
      <c r="B2023" s="155"/>
      <c r="C2023" s="155"/>
      <c r="D2023" s="155"/>
      <c r="E2023" s="155"/>
      <c r="F2023" s="155"/>
      <c r="G2023" s="155"/>
      <c r="H2023" s="155"/>
      <c r="I2023" s="155"/>
      <c r="J2023" s="155"/>
      <c r="K2023" s="155"/>
      <c r="L2023" s="155"/>
      <c r="M2023" s="155"/>
      <c r="N2023" s="155"/>
      <c r="O2023" s="155"/>
      <c r="P2023" s="155"/>
      <c r="Q2023" s="155"/>
      <c r="R2023" s="155"/>
      <c r="S2023" s="155"/>
      <c r="T2023" s="155"/>
      <c r="U2023" s="155"/>
      <c r="V2023" s="155"/>
      <c r="W2023" s="155"/>
      <c r="GL2023" s="155"/>
      <c r="GM2023" s="155"/>
      <c r="GN2023" s="155"/>
      <c r="GO2023" s="155"/>
      <c r="GP2023" s="155"/>
      <c r="GQ2023" s="155"/>
      <c r="GR2023" s="155"/>
      <c r="GS2023" s="155"/>
      <c r="GT2023" s="155"/>
      <c r="GU2023" s="155"/>
      <c r="GV2023" s="155"/>
      <c r="GW2023" s="155"/>
      <c r="GX2023" s="155"/>
      <c r="GY2023" s="155"/>
      <c r="GZ2023" s="155"/>
      <c r="HA2023" s="155"/>
      <c r="HB2023" s="155"/>
      <c r="HC2023" s="155"/>
      <c r="HD2023" s="155"/>
      <c r="HE2023" s="155"/>
    </row>
    <row r="2024" spans="2:213" s="156" customFormat="1" hidden="1">
      <c r="B2024" s="155"/>
      <c r="C2024" s="155"/>
      <c r="D2024" s="155"/>
      <c r="E2024" s="155"/>
      <c r="F2024" s="155"/>
      <c r="G2024" s="155"/>
      <c r="H2024" s="155"/>
      <c r="I2024" s="155"/>
      <c r="J2024" s="155"/>
      <c r="K2024" s="155"/>
      <c r="L2024" s="155"/>
      <c r="M2024" s="155"/>
      <c r="N2024" s="155"/>
      <c r="O2024" s="155"/>
      <c r="P2024" s="155"/>
      <c r="Q2024" s="155"/>
      <c r="R2024" s="155"/>
      <c r="S2024" s="155"/>
      <c r="T2024" s="155"/>
      <c r="U2024" s="155"/>
      <c r="V2024" s="155"/>
      <c r="W2024" s="155"/>
      <c r="GL2024" s="155"/>
      <c r="GM2024" s="155"/>
      <c r="GN2024" s="155"/>
      <c r="GO2024" s="155"/>
      <c r="GP2024" s="155"/>
      <c r="GQ2024" s="155"/>
      <c r="GR2024" s="155"/>
      <c r="GS2024" s="155"/>
      <c r="GT2024" s="155"/>
      <c r="GU2024" s="155"/>
      <c r="GV2024" s="155"/>
      <c r="GW2024" s="155"/>
      <c r="GX2024" s="155"/>
      <c r="GY2024" s="155"/>
      <c r="GZ2024" s="155"/>
      <c r="HA2024" s="155"/>
      <c r="HB2024" s="155"/>
      <c r="HC2024" s="155"/>
      <c r="HD2024" s="155"/>
      <c r="HE2024" s="155"/>
    </row>
    <row r="2025" spans="2:213" s="156" customFormat="1" hidden="1">
      <c r="B2025" s="155"/>
      <c r="C2025" s="155"/>
      <c r="D2025" s="155"/>
      <c r="E2025" s="155"/>
      <c r="F2025" s="155"/>
      <c r="G2025" s="155"/>
      <c r="H2025" s="155"/>
      <c r="I2025" s="155"/>
      <c r="J2025" s="155"/>
      <c r="K2025" s="155"/>
      <c r="L2025" s="155"/>
      <c r="M2025" s="155"/>
      <c r="N2025" s="155"/>
      <c r="O2025" s="155"/>
      <c r="P2025" s="155"/>
      <c r="Q2025" s="155"/>
      <c r="R2025" s="155"/>
      <c r="S2025" s="155"/>
      <c r="T2025" s="155"/>
      <c r="U2025" s="155"/>
      <c r="V2025" s="155"/>
      <c r="W2025" s="155"/>
      <c r="GL2025" s="155"/>
      <c r="GM2025" s="155"/>
      <c r="GN2025" s="155"/>
      <c r="GO2025" s="155"/>
      <c r="GP2025" s="155"/>
      <c r="GQ2025" s="155"/>
      <c r="GR2025" s="155"/>
      <c r="GS2025" s="155"/>
      <c r="GT2025" s="155"/>
      <c r="GU2025" s="155"/>
      <c r="GV2025" s="155"/>
      <c r="GW2025" s="155"/>
      <c r="GX2025" s="155"/>
      <c r="GY2025" s="155"/>
      <c r="GZ2025" s="155"/>
      <c r="HA2025" s="155"/>
      <c r="HB2025" s="155"/>
      <c r="HC2025" s="155"/>
      <c r="HD2025" s="155"/>
      <c r="HE2025" s="155"/>
    </row>
    <row r="2026" spans="2:213" s="156" customFormat="1" hidden="1">
      <c r="B2026" s="155"/>
      <c r="C2026" s="155"/>
      <c r="D2026" s="155"/>
      <c r="E2026" s="155"/>
      <c r="F2026" s="155"/>
      <c r="G2026" s="155"/>
      <c r="H2026" s="155"/>
      <c r="I2026" s="155"/>
      <c r="J2026" s="155"/>
      <c r="K2026" s="155"/>
      <c r="L2026" s="155"/>
      <c r="M2026" s="155"/>
      <c r="N2026" s="155"/>
      <c r="O2026" s="155"/>
      <c r="P2026" s="155"/>
      <c r="Q2026" s="155"/>
      <c r="R2026" s="155"/>
      <c r="S2026" s="155"/>
      <c r="T2026" s="155"/>
      <c r="U2026" s="155"/>
      <c r="V2026" s="155"/>
      <c r="W2026" s="155"/>
      <c r="GL2026" s="155"/>
      <c r="GM2026" s="155"/>
      <c r="GN2026" s="155"/>
      <c r="GO2026" s="155"/>
      <c r="GP2026" s="155"/>
      <c r="GQ2026" s="155"/>
      <c r="GR2026" s="155"/>
      <c r="GS2026" s="155"/>
      <c r="GT2026" s="155"/>
      <c r="GU2026" s="155"/>
      <c r="GV2026" s="155"/>
      <c r="GW2026" s="155"/>
      <c r="GX2026" s="155"/>
      <c r="GY2026" s="155"/>
      <c r="GZ2026" s="155"/>
      <c r="HA2026" s="155"/>
      <c r="HB2026" s="155"/>
      <c r="HC2026" s="155"/>
      <c r="HD2026" s="155"/>
      <c r="HE2026" s="155"/>
    </row>
    <row r="2027" spans="2:213" s="156" customFormat="1" hidden="1">
      <c r="B2027" s="155"/>
      <c r="C2027" s="155"/>
      <c r="D2027" s="155"/>
      <c r="E2027" s="155"/>
      <c r="F2027" s="155"/>
      <c r="G2027" s="155"/>
      <c r="H2027" s="155"/>
      <c r="I2027" s="155"/>
      <c r="J2027" s="155"/>
      <c r="K2027" s="155"/>
      <c r="L2027" s="155"/>
      <c r="M2027" s="155"/>
      <c r="N2027" s="155"/>
      <c r="O2027" s="155"/>
      <c r="P2027" s="155"/>
      <c r="Q2027" s="155"/>
      <c r="R2027" s="155"/>
      <c r="S2027" s="155"/>
      <c r="T2027" s="155"/>
      <c r="U2027" s="155"/>
      <c r="V2027" s="155"/>
      <c r="W2027" s="155"/>
      <c r="GL2027" s="155"/>
      <c r="GM2027" s="155"/>
      <c r="GN2027" s="155"/>
      <c r="GO2027" s="155"/>
      <c r="GP2027" s="155"/>
      <c r="GQ2027" s="155"/>
      <c r="GR2027" s="155"/>
      <c r="GS2027" s="155"/>
      <c r="GT2027" s="155"/>
      <c r="GU2027" s="155"/>
      <c r="GV2027" s="155"/>
      <c r="GW2027" s="155"/>
      <c r="GX2027" s="155"/>
      <c r="GY2027" s="155"/>
      <c r="GZ2027" s="155"/>
      <c r="HA2027" s="155"/>
      <c r="HB2027" s="155"/>
      <c r="HC2027" s="155"/>
      <c r="HD2027" s="155"/>
      <c r="HE2027" s="155"/>
    </row>
    <row r="2028" spans="2:213" s="156" customFormat="1" hidden="1">
      <c r="B2028" s="155"/>
      <c r="C2028" s="155"/>
      <c r="D2028" s="155"/>
      <c r="E2028" s="155"/>
      <c r="F2028" s="155"/>
      <c r="G2028" s="155"/>
      <c r="H2028" s="155"/>
      <c r="I2028" s="155"/>
      <c r="J2028" s="155"/>
      <c r="K2028" s="155"/>
      <c r="L2028" s="155"/>
      <c r="M2028" s="155"/>
      <c r="N2028" s="155"/>
      <c r="O2028" s="155"/>
      <c r="P2028" s="155"/>
      <c r="Q2028" s="155"/>
      <c r="R2028" s="155"/>
      <c r="S2028" s="155"/>
      <c r="T2028" s="155"/>
      <c r="U2028" s="155"/>
      <c r="V2028" s="155"/>
      <c r="W2028" s="155"/>
      <c r="GL2028" s="155"/>
      <c r="GM2028" s="155"/>
      <c r="GN2028" s="155"/>
      <c r="GO2028" s="155"/>
      <c r="GP2028" s="155"/>
      <c r="GQ2028" s="155"/>
      <c r="GR2028" s="155"/>
      <c r="GS2028" s="155"/>
      <c r="GT2028" s="155"/>
      <c r="GU2028" s="155"/>
      <c r="GV2028" s="155"/>
      <c r="GW2028" s="155"/>
      <c r="GX2028" s="155"/>
      <c r="GY2028" s="155"/>
      <c r="GZ2028" s="155"/>
      <c r="HA2028" s="155"/>
      <c r="HB2028" s="155"/>
      <c r="HC2028" s="155"/>
      <c r="HD2028" s="155"/>
      <c r="HE2028" s="155"/>
    </row>
    <row r="2029" spans="2:213" s="156" customFormat="1" hidden="1">
      <c r="B2029" s="155"/>
      <c r="C2029" s="155"/>
      <c r="D2029" s="155"/>
      <c r="E2029" s="155"/>
      <c r="F2029" s="155"/>
      <c r="G2029" s="155"/>
      <c r="H2029" s="155"/>
      <c r="I2029" s="155"/>
      <c r="J2029" s="155"/>
      <c r="K2029" s="155"/>
      <c r="L2029" s="155"/>
      <c r="M2029" s="155"/>
      <c r="N2029" s="155"/>
      <c r="O2029" s="155"/>
      <c r="P2029" s="155"/>
      <c r="Q2029" s="155"/>
      <c r="R2029" s="155"/>
      <c r="S2029" s="155"/>
      <c r="T2029" s="155"/>
      <c r="U2029" s="155"/>
      <c r="V2029" s="155"/>
      <c r="W2029" s="155"/>
      <c r="GL2029" s="155"/>
      <c r="GM2029" s="155"/>
      <c r="GN2029" s="155"/>
      <c r="GO2029" s="155"/>
      <c r="GP2029" s="155"/>
      <c r="GQ2029" s="155"/>
      <c r="GR2029" s="155"/>
      <c r="GS2029" s="155"/>
      <c r="GT2029" s="155"/>
      <c r="GU2029" s="155"/>
      <c r="GV2029" s="155"/>
      <c r="GW2029" s="155"/>
      <c r="GX2029" s="155"/>
      <c r="GY2029" s="155"/>
      <c r="GZ2029" s="155"/>
      <c r="HA2029" s="155"/>
      <c r="HB2029" s="155"/>
      <c r="HC2029" s="155"/>
      <c r="HD2029" s="155"/>
      <c r="HE2029" s="155"/>
    </row>
    <row r="2030" spans="2:213" s="156" customFormat="1" hidden="1">
      <c r="B2030" s="155"/>
      <c r="C2030" s="155"/>
      <c r="D2030" s="155"/>
      <c r="E2030" s="155"/>
      <c r="F2030" s="155"/>
      <c r="G2030" s="155"/>
      <c r="H2030" s="155"/>
      <c r="I2030" s="155"/>
      <c r="J2030" s="155"/>
      <c r="K2030" s="155"/>
      <c r="L2030" s="155"/>
      <c r="M2030" s="155"/>
      <c r="N2030" s="155"/>
      <c r="O2030" s="155"/>
      <c r="P2030" s="155"/>
      <c r="Q2030" s="155"/>
      <c r="R2030" s="155"/>
      <c r="S2030" s="155"/>
      <c r="T2030" s="155"/>
      <c r="U2030" s="155"/>
      <c r="V2030" s="155"/>
      <c r="W2030" s="155"/>
      <c r="GL2030" s="155"/>
      <c r="GM2030" s="155"/>
      <c r="GN2030" s="155"/>
      <c r="GO2030" s="155"/>
      <c r="GP2030" s="155"/>
      <c r="GQ2030" s="155"/>
      <c r="GR2030" s="155"/>
      <c r="GS2030" s="155"/>
      <c r="GT2030" s="155"/>
      <c r="GU2030" s="155"/>
      <c r="GV2030" s="155"/>
      <c r="GW2030" s="155"/>
      <c r="GX2030" s="155"/>
      <c r="GY2030" s="155"/>
      <c r="GZ2030" s="155"/>
      <c r="HA2030" s="155"/>
      <c r="HB2030" s="155"/>
      <c r="HC2030" s="155"/>
      <c r="HD2030" s="155"/>
      <c r="HE2030" s="155"/>
    </row>
    <row r="2031" spans="2:213" s="156" customFormat="1" hidden="1">
      <c r="B2031" s="155"/>
      <c r="C2031" s="155"/>
      <c r="D2031" s="155"/>
      <c r="E2031" s="155"/>
      <c r="F2031" s="155"/>
      <c r="G2031" s="155"/>
      <c r="H2031" s="155"/>
      <c r="I2031" s="155"/>
      <c r="J2031" s="155"/>
      <c r="K2031" s="155"/>
      <c r="L2031" s="155"/>
      <c r="M2031" s="155"/>
      <c r="N2031" s="155"/>
      <c r="O2031" s="155"/>
      <c r="P2031" s="155"/>
      <c r="Q2031" s="155"/>
      <c r="R2031" s="155"/>
      <c r="S2031" s="155"/>
      <c r="T2031" s="155"/>
      <c r="U2031" s="155"/>
      <c r="V2031" s="155"/>
      <c r="W2031" s="155"/>
      <c r="GL2031" s="155"/>
      <c r="GM2031" s="155"/>
      <c r="GN2031" s="155"/>
      <c r="GO2031" s="155"/>
      <c r="GP2031" s="155"/>
      <c r="GQ2031" s="155"/>
      <c r="GR2031" s="155"/>
      <c r="GS2031" s="155"/>
      <c r="GT2031" s="155"/>
      <c r="GU2031" s="155"/>
      <c r="GV2031" s="155"/>
      <c r="GW2031" s="155"/>
      <c r="GX2031" s="155"/>
      <c r="GY2031" s="155"/>
      <c r="GZ2031" s="155"/>
      <c r="HA2031" s="155"/>
      <c r="HB2031" s="155"/>
      <c r="HC2031" s="155"/>
      <c r="HD2031" s="155"/>
      <c r="HE2031" s="155"/>
    </row>
    <row r="2032" spans="2:213" s="156" customFormat="1" hidden="1">
      <c r="B2032" s="155"/>
      <c r="C2032" s="155"/>
      <c r="D2032" s="155"/>
      <c r="E2032" s="155"/>
      <c r="F2032" s="155"/>
      <c r="G2032" s="155"/>
      <c r="H2032" s="155"/>
      <c r="I2032" s="155"/>
      <c r="J2032" s="155"/>
      <c r="K2032" s="155"/>
      <c r="L2032" s="155"/>
      <c r="M2032" s="155"/>
      <c r="N2032" s="155"/>
      <c r="O2032" s="155"/>
      <c r="P2032" s="155"/>
      <c r="Q2032" s="155"/>
      <c r="R2032" s="155"/>
      <c r="S2032" s="155"/>
      <c r="T2032" s="155"/>
      <c r="U2032" s="155"/>
      <c r="V2032" s="155"/>
      <c r="W2032" s="155"/>
      <c r="GL2032" s="155"/>
      <c r="GM2032" s="155"/>
      <c r="GN2032" s="155"/>
      <c r="GO2032" s="155"/>
      <c r="GP2032" s="155"/>
      <c r="GQ2032" s="155"/>
      <c r="GR2032" s="155"/>
      <c r="GS2032" s="155"/>
      <c r="GT2032" s="155"/>
      <c r="GU2032" s="155"/>
      <c r="GV2032" s="155"/>
      <c r="GW2032" s="155"/>
      <c r="GX2032" s="155"/>
      <c r="GY2032" s="155"/>
      <c r="GZ2032" s="155"/>
      <c r="HA2032" s="155"/>
      <c r="HB2032" s="155"/>
      <c r="HC2032" s="155"/>
      <c r="HD2032" s="155"/>
      <c r="HE2032" s="155"/>
    </row>
    <row r="2033" spans="2:213" s="156" customFormat="1" hidden="1">
      <c r="B2033" s="155"/>
      <c r="C2033" s="155"/>
      <c r="D2033" s="155"/>
      <c r="E2033" s="155"/>
      <c r="F2033" s="155"/>
      <c r="G2033" s="155"/>
      <c r="H2033" s="155"/>
      <c r="I2033" s="155"/>
      <c r="J2033" s="155"/>
      <c r="K2033" s="155"/>
      <c r="L2033" s="155"/>
      <c r="M2033" s="155"/>
      <c r="N2033" s="155"/>
      <c r="O2033" s="155"/>
      <c r="P2033" s="155"/>
      <c r="Q2033" s="155"/>
      <c r="R2033" s="155"/>
      <c r="S2033" s="155"/>
      <c r="T2033" s="155"/>
      <c r="U2033" s="155"/>
      <c r="V2033" s="155"/>
      <c r="W2033" s="155"/>
      <c r="GL2033" s="155"/>
      <c r="GM2033" s="155"/>
      <c r="GN2033" s="155"/>
      <c r="GO2033" s="155"/>
      <c r="GP2033" s="155"/>
      <c r="GQ2033" s="155"/>
      <c r="GR2033" s="155"/>
      <c r="GS2033" s="155"/>
      <c r="GT2033" s="155"/>
      <c r="GU2033" s="155"/>
      <c r="GV2033" s="155"/>
      <c r="GW2033" s="155"/>
      <c r="GX2033" s="155"/>
      <c r="GY2033" s="155"/>
      <c r="GZ2033" s="155"/>
      <c r="HA2033" s="155"/>
      <c r="HB2033" s="155"/>
      <c r="HC2033" s="155"/>
      <c r="HD2033" s="155"/>
      <c r="HE2033" s="155"/>
    </row>
    <row r="2034" spans="2:213" s="156" customFormat="1" hidden="1">
      <c r="B2034" s="155"/>
      <c r="C2034" s="155"/>
      <c r="D2034" s="155"/>
      <c r="E2034" s="155"/>
      <c r="F2034" s="155"/>
      <c r="G2034" s="155"/>
      <c r="H2034" s="155"/>
      <c r="I2034" s="155"/>
      <c r="J2034" s="155"/>
      <c r="K2034" s="155"/>
      <c r="L2034" s="155"/>
      <c r="M2034" s="155"/>
      <c r="N2034" s="155"/>
      <c r="O2034" s="155"/>
      <c r="P2034" s="155"/>
      <c r="Q2034" s="155"/>
      <c r="R2034" s="155"/>
      <c r="S2034" s="155"/>
      <c r="T2034" s="155"/>
      <c r="U2034" s="155"/>
      <c r="V2034" s="155"/>
      <c r="W2034" s="155"/>
      <c r="GL2034" s="155"/>
      <c r="GM2034" s="155"/>
      <c r="GN2034" s="155"/>
      <c r="GO2034" s="155"/>
      <c r="GP2034" s="155"/>
      <c r="GQ2034" s="155"/>
      <c r="GR2034" s="155"/>
      <c r="GS2034" s="155"/>
      <c r="GT2034" s="155"/>
      <c r="GU2034" s="155"/>
      <c r="GV2034" s="155"/>
      <c r="GW2034" s="155"/>
      <c r="GX2034" s="155"/>
      <c r="GY2034" s="155"/>
      <c r="GZ2034" s="155"/>
      <c r="HA2034" s="155"/>
      <c r="HB2034" s="155"/>
      <c r="HC2034" s="155"/>
      <c r="HD2034" s="155"/>
      <c r="HE2034" s="155"/>
    </row>
    <row r="2035" spans="2:213" s="156" customFormat="1" hidden="1">
      <c r="B2035" s="155"/>
      <c r="C2035" s="155"/>
      <c r="D2035" s="155"/>
      <c r="E2035" s="155"/>
      <c r="F2035" s="155"/>
      <c r="G2035" s="155"/>
      <c r="H2035" s="155"/>
      <c r="I2035" s="155"/>
      <c r="J2035" s="155"/>
      <c r="K2035" s="155"/>
      <c r="L2035" s="155"/>
      <c r="M2035" s="155"/>
      <c r="N2035" s="155"/>
      <c r="O2035" s="155"/>
      <c r="P2035" s="155"/>
      <c r="Q2035" s="155"/>
      <c r="R2035" s="155"/>
      <c r="S2035" s="155"/>
      <c r="T2035" s="155"/>
      <c r="U2035" s="155"/>
      <c r="V2035" s="155"/>
      <c r="W2035" s="155"/>
      <c r="GL2035" s="155"/>
      <c r="GM2035" s="155"/>
      <c r="GN2035" s="155"/>
      <c r="GO2035" s="155"/>
      <c r="GP2035" s="155"/>
      <c r="GQ2035" s="155"/>
      <c r="GR2035" s="155"/>
      <c r="GS2035" s="155"/>
      <c r="GT2035" s="155"/>
      <c r="GU2035" s="155"/>
      <c r="GV2035" s="155"/>
      <c r="GW2035" s="155"/>
      <c r="GX2035" s="155"/>
      <c r="GY2035" s="155"/>
      <c r="GZ2035" s="155"/>
      <c r="HA2035" s="155"/>
      <c r="HB2035" s="155"/>
      <c r="HC2035" s="155"/>
      <c r="HD2035" s="155"/>
      <c r="HE2035" s="155"/>
    </row>
    <row r="2036" spans="2:213" s="156" customFormat="1" hidden="1">
      <c r="B2036" s="155"/>
      <c r="C2036" s="155"/>
      <c r="D2036" s="155"/>
      <c r="E2036" s="155"/>
      <c r="F2036" s="155"/>
      <c r="G2036" s="155"/>
      <c r="H2036" s="155"/>
      <c r="I2036" s="155"/>
      <c r="J2036" s="155"/>
      <c r="K2036" s="155"/>
      <c r="L2036" s="155"/>
      <c r="M2036" s="155"/>
      <c r="N2036" s="155"/>
      <c r="O2036" s="155"/>
      <c r="P2036" s="155"/>
      <c r="Q2036" s="155"/>
      <c r="R2036" s="155"/>
      <c r="S2036" s="155"/>
      <c r="T2036" s="155"/>
      <c r="U2036" s="155"/>
      <c r="V2036" s="155"/>
      <c r="W2036" s="155"/>
      <c r="GL2036" s="155"/>
      <c r="GM2036" s="155"/>
      <c r="GN2036" s="155"/>
      <c r="GO2036" s="155"/>
      <c r="GP2036" s="155"/>
      <c r="GQ2036" s="155"/>
      <c r="GR2036" s="155"/>
      <c r="GS2036" s="155"/>
      <c r="GT2036" s="155"/>
      <c r="GU2036" s="155"/>
      <c r="GV2036" s="155"/>
      <c r="GW2036" s="155"/>
      <c r="GX2036" s="155"/>
      <c r="GY2036" s="155"/>
      <c r="GZ2036" s="155"/>
      <c r="HA2036" s="155"/>
      <c r="HB2036" s="155"/>
      <c r="HC2036" s="155"/>
      <c r="HD2036" s="155"/>
      <c r="HE2036" s="155"/>
    </row>
    <row r="2037" spans="2:213" s="156" customFormat="1" hidden="1">
      <c r="B2037" s="155"/>
      <c r="C2037" s="155"/>
      <c r="D2037" s="155"/>
      <c r="E2037" s="155"/>
      <c r="F2037" s="155"/>
      <c r="G2037" s="155"/>
      <c r="H2037" s="155"/>
      <c r="I2037" s="155"/>
      <c r="J2037" s="155"/>
      <c r="K2037" s="155"/>
      <c r="L2037" s="155"/>
      <c r="M2037" s="155"/>
      <c r="N2037" s="155"/>
      <c r="O2037" s="155"/>
      <c r="P2037" s="155"/>
      <c r="Q2037" s="155"/>
      <c r="R2037" s="155"/>
      <c r="S2037" s="155"/>
      <c r="T2037" s="155"/>
      <c r="U2037" s="155"/>
      <c r="V2037" s="155"/>
      <c r="W2037" s="155"/>
      <c r="GL2037" s="155"/>
      <c r="GM2037" s="155"/>
      <c r="GN2037" s="155"/>
      <c r="GO2037" s="155"/>
      <c r="GP2037" s="155"/>
      <c r="GQ2037" s="155"/>
      <c r="GR2037" s="155"/>
      <c r="GS2037" s="155"/>
      <c r="GT2037" s="155"/>
      <c r="GU2037" s="155"/>
      <c r="GV2037" s="155"/>
      <c r="GW2037" s="155"/>
      <c r="GX2037" s="155"/>
      <c r="GY2037" s="155"/>
      <c r="GZ2037" s="155"/>
      <c r="HA2037" s="155"/>
      <c r="HB2037" s="155"/>
      <c r="HC2037" s="155"/>
      <c r="HD2037" s="155"/>
      <c r="HE2037" s="155"/>
    </row>
    <row r="2038" spans="2:213" s="156" customFormat="1" hidden="1">
      <c r="B2038" s="155"/>
      <c r="C2038" s="155"/>
      <c r="D2038" s="155"/>
      <c r="E2038" s="155"/>
      <c r="F2038" s="155"/>
      <c r="G2038" s="155"/>
      <c r="H2038" s="155"/>
      <c r="I2038" s="155"/>
      <c r="J2038" s="155"/>
      <c r="K2038" s="155"/>
      <c r="L2038" s="155"/>
      <c r="M2038" s="155"/>
      <c r="N2038" s="155"/>
      <c r="O2038" s="155"/>
      <c r="P2038" s="155"/>
      <c r="Q2038" s="155"/>
      <c r="R2038" s="155"/>
      <c r="S2038" s="155"/>
      <c r="T2038" s="155"/>
      <c r="U2038" s="155"/>
      <c r="V2038" s="155"/>
      <c r="W2038" s="155"/>
      <c r="GL2038" s="155"/>
      <c r="GM2038" s="155"/>
      <c r="GN2038" s="155"/>
      <c r="GO2038" s="155"/>
      <c r="GP2038" s="155"/>
      <c r="GQ2038" s="155"/>
      <c r="GR2038" s="155"/>
      <c r="GS2038" s="155"/>
      <c r="GT2038" s="155"/>
      <c r="GU2038" s="155"/>
      <c r="GV2038" s="155"/>
      <c r="GW2038" s="155"/>
      <c r="GX2038" s="155"/>
      <c r="GY2038" s="155"/>
      <c r="GZ2038" s="155"/>
      <c r="HA2038" s="155"/>
      <c r="HB2038" s="155"/>
      <c r="HC2038" s="155"/>
      <c r="HD2038" s="155"/>
      <c r="HE2038" s="155"/>
    </row>
    <row r="2039" spans="2:213" s="156" customFormat="1" hidden="1">
      <c r="B2039" s="155"/>
      <c r="C2039" s="155"/>
      <c r="D2039" s="155"/>
      <c r="E2039" s="155"/>
      <c r="F2039" s="155"/>
      <c r="G2039" s="155"/>
      <c r="H2039" s="155"/>
      <c r="I2039" s="155"/>
      <c r="J2039" s="155"/>
      <c r="K2039" s="155"/>
      <c r="L2039" s="155"/>
      <c r="M2039" s="155"/>
      <c r="N2039" s="155"/>
      <c r="O2039" s="155"/>
      <c r="P2039" s="155"/>
      <c r="Q2039" s="155"/>
      <c r="R2039" s="155"/>
      <c r="S2039" s="155"/>
      <c r="T2039" s="155"/>
      <c r="U2039" s="155"/>
      <c r="V2039" s="155"/>
      <c r="W2039" s="155"/>
      <c r="GL2039" s="155"/>
      <c r="GM2039" s="155"/>
      <c r="GN2039" s="155"/>
      <c r="GO2039" s="155"/>
      <c r="GP2039" s="155"/>
      <c r="GQ2039" s="155"/>
      <c r="GR2039" s="155"/>
      <c r="GS2039" s="155"/>
      <c r="GT2039" s="155"/>
      <c r="GU2039" s="155"/>
      <c r="GV2039" s="155"/>
      <c r="GW2039" s="155"/>
      <c r="GX2039" s="155"/>
      <c r="GY2039" s="155"/>
      <c r="GZ2039" s="155"/>
      <c r="HA2039" s="155"/>
      <c r="HB2039" s="155"/>
      <c r="HC2039" s="155"/>
      <c r="HD2039" s="155"/>
      <c r="HE2039" s="155"/>
    </row>
    <row r="2040" spans="2:213" s="156" customFormat="1" hidden="1">
      <c r="B2040" s="155"/>
      <c r="C2040" s="155"/>
      <c r="D2040" s="155"/>
      <c r="E2040" s="155"/>
      <c r="F2040" s="155"/>
      <c r="G2040" s="155"/>
      <c r="H2040" s="155"/>
      <c r="I2040" s="155"/>
      <c r="J2040" s="155"/>
      <c r="K2040" s="155"/>
      <c r="L2040" s="155"/>
      <c r="M2040" s="155"/>
      <c r="N2040" s="155"/>
      <c r="O2040" s="155"/>
      <c r="P2040" s="155"/>
      <c r="Q2040" s="155"/>
      <c r="R2040" s="155"/>
      <c r="S2040" s="155"/>
      <c r="T2040" s="155"/>
      <c r="U2040" s="155"/>
      <c r="V2040" s="155"/>
      <c r="W2040" s="155"/>
      <c r="GL2040" s="155"/>
      <c r="GM2040" s="155"/>
      <c r="GN2040" s="155"/>
      <c r="GO2040" s="155"/>
      <c r="GP2040" s="155"/>
      <c r="GQ2040" s="155"/>
      <c r="GR2040" s="155"/>
      <c r="GS2040" s="155"/>
      <c r="GT2040" s="155"/>
      <c r="GU2040" s="155"/>
      <c r="GV2040" s="155"/>
      <c r="GW2040" s="155"/>
      <c r="GX2040" s="155"/>
      <c r="GY2040" s="155"/>
      <c r="GZ2040" s="155"/>
      <c r="HA2040" s="155"/>
      <c r="HB2040" s="155"/>
      <c r="HC2040" s="155"/>
      <c r="HD2040" s="155"/>
      <c r="HE2040" s="155"/>
    </row>
    <row r="2041" spans="2:213" s="156" customFormat="1" hidden="1">
      <c r="B2041" s="155"/>
      <c r="C2041" s="155"/>
      <c r="D2041" s="155"/>
      <c r="E2041" s="155"/>
      <c r="F2041" s="155"/>
      <c r="G2041" s="155"/>
      <c r="H2041" s="155"/>
      <c r="I2041" s="155"/>
      <c r="J2041" s="155"/>
      <c r="K2041" s="155"/>
      <c r="L2041" s="155"/>
      <c r="M2041" s="155"/>
      <c r="N2041" s="155"/>
      <c r="O2041" s="155"/>
      <c r="P2041" s="155"/>
      <c r="Q2041" s="155"/>
      <c r="R2041" s="155"/>
      <c r="S2041" s="155"/>
      <c r="T2041" s="155"/>
      <c r="U2041" s="155"/>
      <c r="V2041" s="155"/>
      <c r="W2041" s="155"/>
      <c r="GL2041" s="155"/>
      <c r="GM2041" s="155"/>
      <c r="GN2041" s="155"/>
      <c r="GO2041" s="155"/>
      <c r="GP2041" s="155"/>
      <c r="GQ2041" s="155"/>
      <c r="GR2041" s="155"/>
      <c r="GS2041" s="155"/>
      <c r="GT2041" s="155"/>
      <c r="GU2041" s="155"/>
      <c r="GV2041" s="155"/>
      <c r="GW2041" s="155"/>
      <c r="GX2041" s="155"/>
      <c r="GY2041" s="155"/>
      <c r="GZ2041" s="155"/>
      <c r="HA2041" s="155"/>
      <c r="HB2041" s="155"/>
      <c r="HC2041" s="155"/>
      <c r="HD2041" s="155"/>
      <c r="HE2041" s="155"/>
    </row>
    <row r="2042" spans="2:213" s="156" customFormat="1" hidden="1">
      <c r="B2042" s="155"/>
      <c r="C2042" s="155"/>
      <c r="D2042" s="155"/>
      <c r="E2042" s="155"/>
      <c r="F2042" s="155"/>
      <c r="G2042" s="155"/>
      <c r="H2042" s="155"/>
      <c r="I2042" s="155"/>
      <c r="J2042" s="155"/>
      <c r="K2042" s="155"/>
      <c r="L2042" s="155"/>
      <c r="M2042" s="155"/>
      <c r="N2042" s="155"/>
      <c r="O2042" s="155"/>
      <c r="P2042" s="155"/>
      <c r="Q2042" s="155"/>
      <c r="R2042" s="155"/>
      <c r="S2042" s="155"/>
      <c r="T2042" s="155"/>
      <c r="U2042" s="155"/>
      <c r="V2042" s="155"/>
      <c r="W2042" s="155"/>
      <c r="GL2042" s="155"/>
      <c r="GM2042" s="155"/>
      <c r="GN2042" s="155"/>
      <c r="GO2042" s="155"/>
      <c r="GP2042" s="155"/>
      <c r="GQ2042" s="155"/>
      <c r="GR2042" s="155"/>
      <c r="GS2042" s="155"/>
      <c r="GT2042" s="155"/>
      <c r="GU2042" s="155"/>
      <c r="GV2042" s="155"/>
      <c r="GW2042" s="155"/>
      <c r="GX2042" s="155"/>
      <c r="GY2042" s="155"/>
      <c r="GZ2042" s="155"/>
      <c r="HA2042" s="155"/>
      <c r="HB2042" s="155"/>
      <c r="HC2042" s="155"/>
      <c r="HD2042" s="155"/>
      <c r="HE2042" s="155"/>
    </row>
    <row r="2043" spans="2:213" s="156" customFormat="1" hidden="1">
      <c r="B2043" s="155"/>
      <c r="C2043" s="155"/>
      <c r="D2043" s="155"/>
      <c r="E2043" s="155"/>
      <c r="F2043" s="155"/>
      <c r="G2043" s="155"/>
      <c r="H2043" s="155"/>
      <c r="I2043" s="155"/>
      <c r="J2043" s="155"/>
      <c r="K2043" s="155"/>
      <c r="L2043" s="155"/>
      <c r="M2043" s="155"/>
      <c r="N2043" s="155"/>
      <c r="O2043" s="155"/>
      <c r="P2043" s="155"/>
      <c r="Q2043" s="155"/>
      <c r="R2043" s="155"/>
      <c r="S2043" s="155"/>
      <c r="T2043" s="155"/>
      <c r="U2043" s="155"/>
      <c r="V2043" s="155"/>
      <c r="W2043" s="155"/>
      <c r="GL2043" s="155"/>
      <c r="GM2043" s="155"/>
      <c r="GN2043" s="155"/>
      <c r="GO2043" s="155"/>
      <c r="GP2043" s="155"/>
      <c r="GQ2043" s="155"/>
      <c r="GR2043" s="155"/>
      <c r="GS2043" s="155"/>
      <c r="GT2043" s="155"/>
      <c r="GU2043" s="155"/>
      <c r="GV2043" s="155"/>
      <c r="GW2043" s="155"/>
      <c r="GX2043" s="155"/>
      <c r="GY2043" s="155"/>
      <c r="GZ2043" s="155"/>
      <c r="HA2043" s="155"/>
      <c r="HB2043" s="155"/>
      <c r="HC2043" s="155"/>
      <c r="HD2043" s="155"/>
      <c r="HE2043" s="155"/>
    </row>
    <row r="2044" spans="2:213" s="156" customFormat="1" hidden="1">
      <c r="B2044" s="155"/>
      <c r="C2044" s="155"/>
      <c r="D2044" s="155"/>
      <c r="E2044" s="155"/>
      <c r="F2044" s="155"/>
      <c r="G2044" s="155"/>
      <c r="H2044" s="155"/>
      <c r="I2044" s="155"/>
      <c r="J2044" s="155"/>
      <c r="K2044" s="155"/>
      <c r="L2044" s="155"/>
      <c r="M2044" s="155"/>
      <c r="N2044" s="155"/>
      <c r="O2044" s="155"/>
      <c r="P2044" s="155"/>
      <c r="Q2044" s="155"/>
      <c r="R2044" s="155"/>
      <c r="S2044" s="155"/>
      <c r="T2044" s="155"/>
      <c r="U2044" s="155"/>
      <c r="V2044" s="155"/>
      <c r="W2044" s="155"/>
      <c r="GL2044" s="155"/>
      <c r="GM2044" s="155"/>
      <c r="GN2044" s="155"/>
      <c r="GO2044" s="155"/>
      <c r="GP2044" s="155"/>
      <c r="GQ2044" s="155"/>
      <c r="GR2044" s="155"/>
      <c r="GS2044" s="155"/>
      <c r="GT2044" s="155"/>
      <c r="GU2044" s="155"/>
      <c r="GV2044" s="155"/>
      <c r="GW2044" s="155"/>
      <c r="GX2044" s="155"/>
      <c r="GY2044" s="155"/>
      <c r="GZ2044" s="155"/>
      <c r="HA2044" s="155"/>
      <c r="HB2044" s="155"/>
      <c r="HC2044" s="155"/>
      <c r="HD2044" s="155"/>
      <c r="HE2044" s="155"/>
    </row>
    <row r="2045" spans="2:213" s="156" customFormat="1" hidden="1">
      <c r="B2045" s="155"/>
      <c r="C2045" s="155"/>
      <c r="D2045" s="155"/>
      <c r="E2045" s="155"/>
      <c r="F2045" s="155"/>
      <c r="G2045" s="155"/>
      <c r="H2045" s="155"/>
      <c r="I2045" s="155"/>
      <c r="J2045" s="155"/>
      <c r="K2045" s="155"/>
      <c r="L2045" s="155"/>
      <c r="M2045" s="155"/>
      <c r="N2045" s="155"/>
      <c r="O2045" s="155"/>
      <c r="P2045" s="155"/>
      <c r="Q2045" s="155"/>
      <c r="R2045" s="155"/>
      <c r="S2045" s="155"/>
      <c r="T2045" s="155"/>
      <c r="U2045" s="155"/>
      <c r="V2045" s="155"/>
      <c r="W2045" s="155"/>
      <c r="GL2045" s="155"/>
      <c r="GM2045" s="155"/>
      <c r="GN2045" s="155"/>
      <c r="GO2045" s="155"/>
      <c r="GP2045" s="155"/>
      <c r="GQ2045" s="155"/>
      <c r="GR2045" s="155"/>
      <c r="GS2045" s="155"/>
      <c r="GT2045" s="155"/>
      <c r="GU2045" s="155"/>
      <c r="GV2045" s="155"/>
      <c r="GW2045" s="155"/>
      <c r="GX2045" s="155"/>
      <c r="GY2045" s="155"/>
      <c r="GZ2045" s="155"/>
      <c r="HA2045" s="155"/>
      <c r="HB2045" s="155"/>
      <c r="HC2045" s="155"/>
      <c r="HD2045" s="155"/>
      <c r="HE2045" s="155"/>
    </row>
    <row r="2046" spans="2:213" s="156" customFormat="1" hidden="1">
      <c r="B2046" s="155"/>
      <c r="C2046" s="155"/>
      <c r="D2046" s="155"/>
      <c r="E2046" s="155"/>
      <c r="F2046" s="155"/>
      <c r="G2046" s="155"/>
      <c r="H2046" s="155"/>
      <c r="I2046" s="155"/>
      <c r="J2046" s="155"/>
      <c r="K2046" s="155"/>
      <c r="L2046" s="155"/>
      <c r="M2046" s="155"/>
      <c r="N2046" s="155"/>
      <c r="O2046" s="155"/>
      <c r="P2046" s="155"/>
      <c r="Q2046" s="155"/>
      <c r="R2046" s="155"/>
      <c r="S2046" s="155"/>
      <c r="T2046" s="155"/>
      <c r="U2046" s="155"/>
      <c r="V2046" s="155"/>
      <c r="W2046" s="155"/>
      <c r="GL2046" s="155"/>
      <c r="GM2046" s="155"/>
      <c r="GN2046" s="155"/>
      <c r="GO2046" s="155"/>
      <c r="GP2046" s="155"/>
      <c r="GQ2046" s="155"/>
      <c r="GR2046" s="155"/>
      <c r="GS2046" s="155"/>
      <c r="GT2046" s="155"/>
      <c r="GU2046" s="155"/>
      <c r="GV2046" s="155"/>
      <c r="GW2046" s="155"/>
      <c r="GX2046" s="155"/>
      <c r="GY2046" s="155"/>
      <c r="GZ2046" s="155"/>
      <c r="HA2046" s="155"/>
      <c r="HB2046" s="155"/>
      <c r="HC2046" s="155"/>
      <c r="HD2046" s="155"/>
      <c r="HE2046" s="155"/>
    </row>
    <row r="2047" spans="2:213" s="156" customFormat="1" hidden="1">
      <c r="B2047" s="155"/>
      <c r="C2047" s="155"/>
      <c r="D2047" s="155"/>
      <c r="E2047" s="155"/>
      <c r="F2047" s="155"/>
      <c r="G2047" s="155"/>
      <c r="H2047" s="155"/>
      <c r="I2047" s="155"/>
      <c r="J2047" s="155"/>
      <c r="K2047" s="155"/>
      <c r="L2047" s="155"/>
      <c r="M2047" s="155"/>
      <c r="N2047" s="155"/>
      <c r="O2047" s="155"/>
      <c r="P2047" s="155"/>
      <c r="Q2047" s="155"/>
      <c r="R2047" s="155"/>
      <c r="S2047" s="155"/>
      <c r="T2047" s="155"/>
      <c r="U2047" s="155"/>
      <c r="V2047" s="155"/>
      <c r="W2047" s="155"/>
      <c r="GL2047" s="155"/>
      <c r="GM2047" s="155"/>
      <c r="GN2047" s="155"/>
      <c r="GO2047" s="155"/>
      <c r="GP2047" s="155"/>
      <c r="GQ2047" s="155"/>
      <c r="GR2047" s="155"/>
      <c r="GS2047" s="155"/>
      <c r="GT2047" s="155"/>
      <c r="GU2047" s="155"/>
      <c r="GV2047" s="155"/>
      <c r="GW2047" s="155"/>
      <c r="GX2047" s="155"/>
      <c r="GY2047" s="155"/>
      <c r="GZ2047" s="155"/>
      <c r="HA2047" s="155"/>
      <c r="HB2047" s="155"/>
      <c r="HC2047" s="155"/>
      <c r="HD2047" s="155"/>
      <c r="HE2047" s="155"/>
    </row>
    <row r="2048" spans="2:213" s="156" customFormat="1" hidden="1">
      <c r="B2048" s="155"/>
      <c r="C2048" s="155"/>
      <c r="D2048" s="155"/>
      <c r="E2048" s="155"/>
      <c r="F2048" s="155"/>
      <c r="G2048" s="155"/>
      <c r="H2048" s="155"/>
      <c r="I2048" s="155"/>
      <c r="J2048" s="155"/>
      <c r="K2048" s="155"/>
      <c r="L2048" s="155"/>
      <c r="M2048" s="155"/>
      <c r="N2048" s="155"/>
      <c r="O2048" s="155"/>
      <c r="P2048" s="155"/>
      <c r="Q2048" s="155"/>
      <c r="R2048" s="155"/>
      <c r="S2048" s="155"/>
      <c r="T2048" s="155"/>
      <c r="U2048" s="155"/>
      <c r="V2048" s="155"/>
      <c r="W2048" s="155"/>
      <c r="GL2048" s="155"/>
      <c r="GM2048" s="155"/>
      <c r="GN2048" s="155"/>
      <c r="GO2048" s="155"/>
      <c r="GP2048" s="155"/>
      <c r="GQ2048" s="155"/>
      <c r="GR2048" s="155"/>
      <c r="GS2048" s="155"/>
      <c r="GT2048" s="155"/>
      <c r="GU2048" s="155"/>
      <c r="GV2048" s="155"/>
      <c r="GW2048" s="155"/>
      <c r="GX2048" s="155"/>
      <c r="GY2048" s="155"/>
      <c r="GZ2048" s="155"/>
      <c r="HA2048" s="155"/>
      <c r="HB2048" s="155"/>
      <c r="HC2048" s="155"/>
      <c r="HD2048" s="155"/>
      <c r="HE2048" s="155"/>
    </row>
    <row r="2049" spans="2:213" s="156" customFormat="1" hidden="1">
      <c r="B2049" s="155"/>
      <c r="C2049" s="155"/>
      <c r="D2049" s="155"/>
      <c r="E2049" s="155"/>
      <c r="F2049" s="155"/>
      <c r="G2049" s="155"/>
      <c r="H2049" s="155"/>
      <c r="I2049" s="155"/>
      <c r="J2049" s="155"/>
      <c r="K2049" s="155"/>
      <c r="L2049" s="155"/>
      <c r="M2049" s="155"/>
      <c r="N2049" s="155"/>
      <c r="O2049" s="155"/>
      <c r="P2049" s="155"/>
      <c r="Q2049" s="155"/>
      <c r="R2049" s="155"/>
      <c r="S2049" s="155"/>
      <c r="T2049" s="155"/>
      <c r="U2049" s="155"/>
      <c r="V2049" s="155"/>
      <c r="W2049" s="155"/>
      <c r="GL2049" s="155"/>
      <c r="GM2049" s="155"/>
      <c r="GN2049" s="155"/>
      <c r="GO2049" s="155"/>
      <c r="GP2049" s="155"/>
      <c r="GQ2049" s="155"/>
      <c r="GR2049" s="155"/>
      <c r="GS2049" s="155"/>
      <c r="GT2049" s="155"/>
      <c r="GU2049" s="155"/>
      <c r="GV2049" s="155"/>
      <c r="GW2049" s="155"/>
      <c r="GX2049" s="155"/>
      <c r="GY2049" s="155"/>
      <c r="GZ2049" s="155"/>
      <c r="HA2049" s="155"/>
      <c r="HB2049" s="155"/>
      <c r="HC2049" s="155"/>
      <c r="HD2049" s="155"/>
      <c r="HE2049" s="155"/>
    </row>
    <row r="2050" spans="2:213" s="156" customFormat="1" hidden="1">
      <c r="B2050" s="155"/>
      <c r="C2050" s="155"/>
      <c r="D2050" s="155"/>
      <c r="E2050" s="155"/>
      <c r="F2050" s="155"/>
      <c r="G2050" s="155"/>
      <c r="H2050" s="155"/>
      <c r="I2050" s="155"/>
      <c r="J2050" s="155"/>
      <c r="K2050" s="155"/>
      <c r="L2050" s="155"/>
      <c r="M2050" s="155"/>
      <c r="N2050" s="155"/>
      <c r="O2050" s="155"/>
      <c r="P2050" s="155"/>
      <c r="Q2050" s="155"/>
      <c r="R2050" s="155"/>
      <c r="S2050" s="155"/>
      <c r="T2050" s="155"/>
      <c r="U2050" s="155"/>
      <c r="V2050" s="155"/>
      <c r="W2050" s="155"/>
      <c r="GL2050" s="155"/>
      <c r="GM2050" s="155"/>
      <c r="GN2050" s="155"/>
      <c r="GO2050" s="155"/>
      <c r="GP2050" s="155"/>
      <c r="GQ2050" s="155"/>
      <c r="GR2050" s="155"/>
      <c r="GS2050" s="155"/>
      <c r="GT2050" s="155"/>
      <c r="GU2050" s="155"/>
      <c r="GV2050" s="155"/>
      <c r="GW2050" s="155"/>
      <c r="GX2050" s="155"/>
      <c r="GY2050" s="155"/>
      <c r="GZ2050" s="155"/>
      <c r="HA2050" s="155"/>
      <c r="HB2050" s="155"/>
      <c r="HC2050" s="155"/>
      <c r="HD2050" s="155"/>
      <c r="HE2050" s="155"/>
    </row>
    <row r="2051" spans="2:213" s="156" customFormat="1" hidden="1">
      <c r="B2051" s="155"/>
      <c r="C2051" s="155"/>
      <c r="D2051" s="155"/>
      <c r="E2051" s="155"/>
      <c r="F2051" s="155"/>
      <c r="G2051" s="155"/>
      <c r="H2051" s="155"/>
      <c r="I2051" s="155"/>
      <c r="J2051" s="155"/>
      <c r="K2051" s="155"/>
      <c r="L2051" s="155"/>
      <c r="M2051" s="155"/>
      <c r="N2051" s="155"/>
      <c r="O2051" s="155"/>
      <c r="P2051" s="155"/>
      <c r="Q2051" s="155"/>
      <c r="R2051" s="155"/>
      <c r="S2051" s="155"/>
      <c r="T2051" s="155"/>
      <c r="U2051" s="155"/>
      <c r="V2051" s="155"/>
      <c r="W2051" s="155"/>
      <c r="GL2051" s="155"/>
      <c r="GM2051" s="155"/>
      <c r="GN2051" s="155"/>
      <c r="GO2051" s="155"/>
      <c r="GP2051" s="155"/>
      <c r="GQ2051" s="155"/>
      <c r="GR2051" s="155"/>
      <c r="GS2051" s="155"/>
      <c r="GT2051" s="155"/>
      <c r="GU2051" s="155"/>
      <c r="GV2051" s="155"/>
      <c r="GW2051" s="155"/>
      <c r="GX2051" s="155"/>
      <c r="GY2051" s="155"/>
      <c r="GZ2051" s="155"/>
      <c r="HA2051" s="155"/>
      <c r="HB2051" s="155"/>
      <c r="HC2051" s="155"/>
      <c r="HD2051" s="155"/>
      <c r="HE2051" s="155"/>
    </row>
    <row r="2052" spans="2:213" s="156" customFormat="1" hidden="1">
      <c r="B2052" s="155"/>
      <c r="C2052" s="155"/>
      <c r="D2052" s="155"/>
      <c r="E2052" s="155"/>
      <c r="F2052" s="155"/>
      <c r="G2052" s="155"/>
      <c r="H2052" s="155"/>
      <c r="I2052" s="155"/>
      <c r="J2052" s="155"/>
      <c r="K2052" s="155"/>
      <c r="L2052" s="155"/>
      <c r="M2052" s="155"/>
      <c r="N2052" s="155"/>
      <c r="O2052" s="155"/>
      <c r="P2052" s="155"/>
      <c r="Q2052" s="155"/>
      <c r="R2052" s="155"/>
      <c r="S2052" s="155"/>
      <c r="T2052" s="155"/>
      <c r="U2052" s="155"/>
      <c r="V2052" s="155"/>
      <c r="W2052" s="155"/>
      <c r="GL2052" s="155"/>
      <c r="GM2052" s="155"/>
      <c r="GN2052" s="155"/>
      <c r="GO2052" s="155"/>
      <c r="GP2052" s="155"/>
      <c r="GQ2052" s="155"/>
      <c r="GR2052" s="155"/>
      <c r="GS2052" s="155"/>
      <c r="GT2052" s="155"/>
      <c r="GU2052" s="155"/>
      <c r="GV2052" s="155"/>
      <c r="GW2052" s="155"/>
      <c r="GX2052" s="155"/>
      <c r="GY2052" s="155"/>
      <c r="GZ2052" s="155"/>
      <c r="HA2052" s="155"/>
      <c r="HB2052" s="155"/>
      <c r="HC2052" s="155"/>
      <c r="HD2052" s="155"/>
      <c r="HE2052" s="155"/>
    </row>
    <row r="2053" spans="2:213" s="156" customFormat="1" hidden="1">
      <c r="B2053" s="155"/>
      <c r="C2053" s="155"/>
      <c r="D2053" s="155"/>
      <c r="E2053" s="155"/>
      <c r="F2053" s="155"/>
      <c r="G2053" s="155"/>
      <c r="H2053" s="155"/>
      <c r="I2053" s="155"/>
      <c r="J2053" s="155"/>
      <c r="K2053" s="155"/>
      <c r="L2053" s="155"/>
      <c r="M2053" s="155"/>
      <c r="N2053" s="155"/>
      <c r="O2053" s="155"/>
      <c r="P2053" s="155"/>
      <c r="Q2053" s="155"/>
      <c r="R2053" s="155"/>
      <c r="S2053" s="155"/>
      <c r="T2053" s="155"/>
      <c r="U2053" s="155"/>
      <c r="V2053" s="155"/>
      <c r="W2053" s="155"/>
      <c r="GL2053" s="155"/>
      <c r="GM2053" s="155"/>
      <c r="GN2053" s="155"/>
      <c r="GO2053" s="155"/>
      <c r="GP2053" s="155"/>
      <c r="GQ2053" s="155"/>
      <c r="GR2053" s="155"/>
      <c r="GS2053" s="155"/>
      <c r="GT2053" s="155"/>
      <c r="GU2053" s="155"/>
      <c r="GV2053" s="155"/>
      <c r="GW2053" s="155"/>
      <c r="GX2053" s="155"/>
      <c r="GY2053" s="155"/>
      <c r="GZ2053" s="155"/>
      <c r="HA2053" s="155"/>
      <c r="HB2053" s="155"/>
      <c r="HC2053" s="155"/>
      <c r="HD2053" s="155"/>
      <c r="HE2053" s="155"/>
    </row>
    <row r="2054" spans="2:213" s="156" customFormat="1" hidden="1">
      <c r="B2054" s="155"/>
      <c r="C2054" s="155"/>
      <c r="D2054" s="155"/>
      <c r="E2054" s="155"/>
      <c r="F2054" s="155"/>
      <c r="G2054" s="155"/>
      <c r="H2054" s="155"/>
      <c r="I2054" s="155"/>
      <c r="J2054" s="155"/>
      <c r="K2054" s="155"/>
      <c r="L2054" s="155"/>
      <c r="M2054" s="155"/>
      <c r="N2054" s="155"/>
      <c r="O2054" s="155"/>
      <c r="P2054" s="155"/>
      <c r="Q2054" s="155"/>
      <c r="R2054" s="155"/>
      <c r="S2054" s="155"/>
      <c r="T2054" s="155"/>
      <c r="U2054" s="155"/>
      <c r="V2054" s="155"/>
      <c r="W2054" s="155"/>
      <c r="GL2054" s="155"/>
      <c r="GM2054" s="155"/>
      <c r="GN2054" s="155"/>
      <c r="GO2054" s="155"/>
      <c r="GP2054" s="155"/>
      <c r="GQ2054" s="155"/>
      <c r="GR2054" s="155"/>
      <c r="GS2054" s="155"/>
      <c r="GT2054" s="155"/>
      <c r="GU2054" s="155"/>
      <c r="GV2054" s="155"/>
      <c r="GW2054" s="155"/>
      <c r="GX2054" s="155"/>
      <c r="GY2054" s="155"/>
      <c r="GZ2054" s="155"/>
      <c r="HA2054" s="155"/>
      <c r="HB2054" s="155"/>
      <c r="HC2054" s="155"/>
      <c r="HD2054" s="155"/>
      <c r="HE2054" s="155"/>
    </row>
    <row r="2055" spans="2:213" s="156" customFormat="1" hidden="1">
      <c r="B2055" s="155"/>
      <c r="C2055" s="155"/>
      <c r="D2055" s="155"/>
      <c r="E2055" s="155"/>
      <c r="F2055" s="155"/>
      <c r="G2055" s="155"/>
      <c r="H2055" s="155"/>
      <c r="I2055" s="155"/>
      <c r="J2055" s="155"/>
      <c r="K2055" s="155"/>
      <c r="L2055" s="155"/>
      <c r="M2055" s="155"/>
      <c r="N2055" s="155"/>
      <c r="O2055" s="155"/>
      <c r="P2055" s="155"/>
      <c r="Q2055" s="155"/>
      <c r="R2055" s="155"/>
      <c r="S2055" s="155"/>
      <c r="T2055" s="155"/>
      <c r="U2055" s="155"/>
      <c r="V2055" s="155"/>
      <c r="W2055" s="155"/>
      <c r="GL2055" s="155"/>
      <c r="GM2055" s="155"/>
      <c r="GN2055" s="155"/>
      <c r="GO2055" s="155"/>
      <c r="GP2055" s="155"/>
      <c r="GQ2055" s="155"/>
      <c r="GR2055" s="155"/>
      <c r="GS2055" s="155"/>
      <c r="GT2055" s="155"/>
      <c r="GU2055" s="155"/>
      <c r="GV2055" s="155"/>
      <c r="GW2055" s="155"/>
      <c r="GX2055" s="155"/>
      <c r="GY2055" s="155"/>
      <c r="GZ2055" s="155"/>
      <c r="HA2055" s="155"/>
      <c r="HB2055" s="155"/>
      <c r="HC2055" s="155"/>
      <c r="HD2055" s="155"/>
      <c r="HE2055" s="155"/>
    </row>
    <row r="2056" spans="2:213" s="156" customFormat="1" hidden="1">
      <c r="B2056" s="155"/>
      <c r="C2056" s="155"/>
      <c r="D2056" s="155"/>
      <c r="E2056" s="155"/>
      <c r="F2056" s="155"/>
      <c r="G2056" s="155"/>
      <c r="H2056" s="155"/>
      <c r="I2056" s="155"/>
      <c r="J2056" s="155"/>
      <c r="K2056" s="155"/>
      <c r="L2056" s="155"/>
      <c r="M2056" s="155"/>
      <c r="N2056" s="155"/>
      <c r="O2056" s="155"/>
      <c r="P2056" s="155"/>
      <c r="Q2056" s="155"/>
      <c r="R2056" s="155"/>
      <c r="S2056" s="155"/>
      <c r="T2056" s="155"/>
      <c r="U2056" s="155"/>
      <c r="V2056" s="155"/>
      <c r="W2056" s="155"/>
      <c r="GL2056" s="155"/>
      <c r="GM2056" s="155"/>
      <c r="GN2056" s="155"/>
      <c r="GO2056" s="155"/>
      <c r="GP2056" s="155"/>
      <c r="GQ2056" s="155"/>
      <c r="GR2056" s="155"/>
      <c r="GS2056" s="155"/>
      <c r="GT2056" s="155"/>
      <c r="GU2056" s="155"/>
      <c r="GV2056" s="155"/>
      <c r="GW2056" s="155"/>
      <c r="GX2056" s="155"/>
      <c r="GY2056" s="155"/>
      <c r="GZ2056" s="155"/>
      <c r="HA2056" s="155"/>
      <c r="HB2056" s="155"/>
      <c r="HC2056" s="155"/>
      <c r="HD2056" s="155"/>
      <c r="HE2056" s="155"/>
    </row>
    <row r="2057" spans="2:213" s="156" customFormat="1" hidden="1">
      <c r="B2057" s="155"/>
      <c r="C2057" s="155"/>
      <c r="D2057" s="155"/>
      <c r="E2057" s="155"/>
      <c r="F2057" s="155"/>
      <c r="G2057" s="155"/>
      <c r="H2057" s="155"/>
      <c r="I2057" s="155"/>
      <c r="J2057" s="155"/>
      <c r="K2057" s="155"/>
      <c r="L2057" s="155"/>
      <c r="M2057" s="155"/>
      <c r="N2057" s="155"/>
      <c r="O2057" s="155"/>
      <c r="P2057" s="155"/>
      <c r="Q2057" s="155"/>
      <c r="R2057" s="155"/>
      <c r="S2057" s="155"/>
      <c r="T2057" s="155"/>
      <c r="U2057" s="155"/>
      <c r="V2057" s="155"/>
      <c r="W2057" s="155"/>
      <c r="GL2057" s="155"/>
      <c r="GM2057" s="155"/>
      <c r="GN2057" s="155"/>
      <c r="GO2057" s="155"/>
      <c r="GP2057" s="155"/>
      <c r="GQ2057" s="155"/>
      <c r="GR2057" s="155"/>
      <c r="GS2057" s="155"/>
      <c r="GT2057" s="155"/>
      <c r="GU2057" s="155"/>
      <c r="GV2057" s="155"/>
      <c r="GW2057" s="155"/>
      <c r="GX2057" s="155"/>
      <c r="GY2057" s="155"/>
      <c r="GZ2057" s="155"/>
      <c r="HA2057" s="155"/>
      <c r="HB2057" s="155"/>
      <c r="HC2057" s="155"/>
      <c r="HD2057" s="155"/>
      <c r="HE2057" s="155"/>
    </row>
    <row r="2058" spans="2:213" s="156" customFormat="1" hidden="1">
      <c r="B2058" s="155"/>
      <c r="C2058" s="155"/>
      <c r="D2058" s="155"/>
      <c r="E2058" s="155"/>
      <c r="F2058" s="155"/>
      <c r="G2058" s="155"/>
      <c r="H2058" s="155"/>
      <c r="I2058" s="155"/>
      <c r="J2058" s="155"/>
      <c r="K2058" s="155"/>
      <c r="L2058" s="155"/>
      <c r="M2058" s="155"/>
      <c r="N2058" s="155"/>
      <c r="O2058" s="155"/>
      <c r="P2058" s="155"/>
      <c r="Q2058" s="155"/>
      <c r="R2058" s="155"/>
      <c r="S2058" s="155"/>
      <c r="T2058" s="155"/>
      <c r="U2058" s="155"/>
      <c r="V2058" s="155"/>
      <c r="W2058" s="155"/>
      <c r="GL2058" s="155"/>
      <c r="GM2058" s="155"/>
      <c r="GN2058" s="155"/>
      <c r="GO2058" s="155"/>
      <c r="GP2058" s="155"/>
      <c r="GQ2058" s="155"/>
      <c r="GR2058" s="155"/>
      <c r="GS2058" s="155"/>
      <c r="GT2058" s="155"/>
      <c r="GU2058" s="155"/>
      <c r="GV2058" s="155"/>
      <c r="GW2058" s="155"/>
      <c r="GX2058" s="155"/>
      <c r="GY2058" s="155"/>
      <c r="GZ2058" s="155"/>
      <c r="HA2058" s="155"/>
      <c r="HB2058" s="155"/>
      <c r="HC2058" s="155"/>
      <c r="HD2058" s="155"/>
      <c r="HE2058" s="155"/>
    </row>
    <row r="2059" spans="2:213" s="156" customFormat="1" hidden="1">
      <c r="B2059" s="155"/>
      <c r="C2059" s="155"/>
      <c r="D2059" s="155"/>
      <c r="E2059" s="155"/>
      <c r="F2059" s="155"/>
      <c r="G2059" s="155"/>
      <c r="H2059" s="155"/>
      <c r="I2059" s="155"/>
      <c r="J2059" s="155"/>
      <c r="K2059" s="155"/>
      <c r="L2059" s="155"/>
      <c r="M2059" s="155"/>
      <c r="N2059" s="155"/>
      <c r="O2059" s="155"/>
      <c r="P2059" s="155"/>
      <c r="Q2059" s="155"/>
      <c r="R2059" s="155"/>
      <c r="S2059" s="155"/>
      <c r="T2059" s="155"/>
      <c r="U2059" s="155"/>
      <c r="V2059" s="155"/>
      <c r="W2059" s="155"/>
      <c r="GL2059" s="155"/>
      <c r="GM2059" s="155"/>
      <c r="GN2059" s="155"/>
      <c r="GO2059" s="155"/>
      <c r="GP2059" s="155"/>
      <c r="GQ2059" s="155"/>
      <c r="GR2059" s="155"/>
      <c r="GS2059" s="155"/>
      <c r="GT2059" s="155"/>
      <c r="GU2059" s="155"/>
      <c r="GV2059" s="155"/>
      <c r="GW2059" s="155"/>
      <c r="GX2059" s="155"/>
      <c r="GY2059" s="155"/>
      <c r="GZ2059" s="155"/>
      <c r="HA2059" s="155"/>
      <c r="HB2059" s="155"/>
      <c r="HC2059" s="155"/>
      <c r="HD2059" s="155"/>
      <c r="HE2059" s="155"/>
    </row>
    <row r="2060" spans="2:213" s="156" customFormat="1" hidden="1">
      <c r="B2060" s="155"/>
      <c r="C2060" s="155"/>
      <c r="D2060" s="155"/>
      <c r="E2060" s="155"/>
      <c r="F2060" s="155"/>
      <c r="G2060" s="155"/>
      <c r="H2060" s="155"/>
      <c r="I2060" s="155"/>
      <c r="J2060" s="155"/>
      <c r="K2060" s="155"/>
      <c r="L2060" s="155"/>
      <c r="M2060" s="155"/>
      <c r="N2060" s="155"/>
      <c r="O2060" s="155"/>
      <c r="P2060" s="155"/>
      <c r="Q2060" s="155"/>
      <c r="R2060" s="155"/>
      <c r="S2060" s="155"/>
      <c r="T2060" s="155"/>
      <c r="U2060" s="155"/>
      <c r="V2060" s="155"/>
      <c r="W2060" s="155"/>
      <c r="GL2060" s="155"/>
      <c r="GM2060" s="155"/>
      <c r="GN2060" s="155"/>
      <c r="GO2060" s="155"/>
      <c r="GP2060" s="155"/>
      <c r="GQ2060" s="155"/>
      <c r="GR2060" s="155"/>
      <c r="GS2060" s="155"/>
      <c r="GT2060" s="155"/>
      <c r="GU2060" s="155"/>
      <c r="GV2060" s="155"/>
      <c r="GW2060" s="155"/>
      <c r="GX2060" s="155"/>
      <c r="GY2060" s="155"/>
      <c r="GZ2060" s="155"/>
      <c r="HA2060" s="155"/>
      <c r="HB2060" s="155"/>
      <c r="HC2060" s="155"/>
      <c r="HD2060" s="155"/>
      <c r="HE2060" s="155"/>
    </row>
    <row r="2061" spans="2:213" s="156" customFormat="1" hidden="1">
      <c r="B2061" s="155"/>
      <c r="C2061" s="155"/>
      <c r="D2061" s="155"/>
      <c r="E2061" s="155"/>
      <c r="F2061" s="155"/>
      <c r="G2061" s="155"/>
      <c r="H2061" s="155"/>
      <c r="I2061" s="155"/>
      <c r="J2061" s="155"/>
      <c r="K2061" s="155"/>
      <c r="L2061" s="155"/>
      <c r="M2061" s="155"/>
      <c r="N2061" s="155"/>
      <c r="O2061" s="155"/>
      <c r="P2061" s="155"/>
      <c r="Q2061" s="155"/>
      <c r="R2061" s="155"/>
      <c r="S2061" s="155"/>
      <c r="T2061" s="155"/>
      <c r="U2061" s="155"/>
      <c r="V2061" s="155"/>
      <c r="W2061" s="155"/>
      <c r="GL2061" s="155"/>
      <c r="GM2061" s="155"/>
      <c r="GN2061" s="155"/>
      <c r="GO2061" s="155"/>
      <c r="GP2061" s="155"/>
      <c r="GQ2061" s="155"/>
      <c r="GR2061" s="155"/>
      <c r="GS2061" s="155"/>
      <c r="GT2061" s="155"/>
      <c r="GU2061" s="155"/>
      <c r="GV2061" s="155"/>
      <c r="GW2061" s="155"/>
      <c r="GX2061" s="155"/>
      <c r="GY2061" s="155"/>
      <c r="GZ2061" s="155"/>
      <c r="HA2061" s="155"/>
      <c r="HB2061" s="155"/>
      <c r="HC2061" s="155"/>
      <c r="HD2061" s="155"/>
      <c r="HE2061" s="155"/>
    </row>
    <row r="2062" spans="2:213" s="156" customFormat="1" hidden="1">
      <c r="B2062" s="155"/>
      <c r="C2062" s="155"/>
      <c r="D2062" s="155"/>
      <c r="E2062" s="155"/>
      <c r="F2062" s="155"/>
      <c r="G2062" s="155"/>
      <c r="H2062" s="155"/>
      <c r="I2062" s="155"/>
      <c r="J2062" s="155"/>
      <c r="K2062" s="155"/>
      <c r="L2062" s="155"/>
      <c r="M2062" s="155"/>
      <c r="N2062" s="155"/>
      <c r="O2062" s="155"/>
      <c r="P2062" s="155"/>
      <c r="Q2062" s="155"/>
      <c r="R2062" s="155"/>
      <c r="S2062" s="155"/>
      <c r="T2062" s="155"/>
      <c r="U2062" s="155"/>
      <c r="V2062" s="155"/>
      <c r="W2062" s="155"/>
      <c r="GL2062" s="155"/>
      <c r="GM2062" s="155"/>
      <c r="GN2062" s="155"/>
      <c r="GO2062" s="155"/>
      <c r="GP2062" s="155"/>
      <c r="GQ2062" s="155"/>
      <c r="GR2062" s="155"/>
      <c r="GS2062" s="155"/>
      <c r="GT2062" s="155"/>
      <c r="GU2062" s="155"/>
      <c r="GV2062" s="155"/>
      <c r="GW2062" s="155"/>
      <c r="GX2062" s="155"/>
      <c r="GY2062" s="155"/>
      <c r="GZ2062" s="155"/>
      <c r="HA2062" s="155"/>
      <c r="HB2062" s="155"/>
      <c r="HC2062" s="155"/>
      <c r="HD2062" s="155"/>
      <c r="HE2062" s="155"/>
    </row>
    <row r="2063" spans="2:213" s="156" customFormat="1" hidden="1">
      <c r="B2063" s="155"/>
      <c r="C2063" s="155"/>
      <c r="D2063" s="155"/>
      <c r="E2063" s="155"/>
      <c r="F2063" s="155"/>
      <c r="G2063" s="155"/>
      <c r="H2063" s="155"/>
      <c r="I2063" s="155"/>
      <c r="J2063" s="155"/>
      <c r="K2063" s="155"/>
      <c r="L2063" s="155"/>
      <c r="M2063" s="155"/>
      <c r="N2063" s="155"/>
      <c r="O2063" s="155"/>
      <c r="P2063" s="155"/>
      <c r="Q2063" s="155"/>
      <c r="R2063" s="155"/>
      <c r="S2063" s="155"/>
      <c r="T2063" s="155"/>
      <c r="U2063" s="155"/>
      <c r="V2063" s="155"/>
      <c r="W2063" s="155"/>
      <c r="GL2063" s="155"/>
      <c r="GM2063" s="155"/>
      <c r="GN2063" s="155"/>
      <c r="GO2063" s="155"/>
      <c r="GP2063" s="155"/>
      <c r="GQ2063" s="155"/>
      <c r="GR2063" s="155"/>
      <c r="GS2063" s="155"/>
      <c r="GT2063" s="155"/>
      <c r="GU2063" s="155"/>
      <c r="GV2063" s="155"/>
      <c r="GW2063" s="155"/>
      <c r="GX2063" s="155"/>
      <c r="GY2063" s="155"/>
      <c r="GZ2063" s="155"/>
      <c r="HA2063" s="155"/>
      <c r="HB2063" s="155"/>
      <c r="HC2063" s="155"/>
      <c r="HD2063" s="155"/>
      <c r="HE2063" s="155"/>
    </row>
    <row r="2064" spans="2:213" s="156" customFormat="1" hidden="1">
      <c r="B2064" s="155"/>
      <c r="C2064" s="155"/>
      <c r="D2064" s="155"/>
      <c r="E2064" s="155"/>
      <c r="F2064" s="155"/>
      <c r="G2064" s="155"/>
      <c r="H2064" s="155"/>
      <c r="I2064" s="155"/>
      <c r="J2064" s="155"/>
      <c r="K2064" s="155"/>
      <c r="L2064" s="155"/>
      <c r="M2064" s="155"/>
      <c r="N2064" s="155"/>
      <c r="O2064" s="155"/>
      <c r="P2064" s="155"/>
      <c r="Q2064" s="155"/>
      <c r="R2064" s="155"/>
      <c r="S2064" s="155"/>
      <c r="T2064" s="155"/>
      <c r="U2064" s="155"/>
      <c r="V2064" s="155"/>
      <c r="W2064" s="155"/>
      <c r="GL2064" s="155"/>
      <c r="GM2064" s="155"/>
      <c r="GN2064" s="155"/>
      <c r="GO2064" s="155"/>
      <c r="GP2064" s="155"/>
      <c r="GQ2064" s="155"/>
      <c r="GR2064" s="155"/>
      <c r="GS2064" s="155"/>
      <c r="GT2064" s="155"/>
      <c r="GU2064" s="155"/>
      <c r="GV2064" s="155"/>
      <c r="GW2064" s="155"/>
      <c r="GX2064" s="155"/>
      <c r="GY2064" s="155"/>
      <c r="GZ2064" s="155"/>
      <c r="HA2064" s="155"/>
      <c r="HB2064" s="155"/>
      <c r="HC2064" s="155"/>
      <c r="HD2064" s="155"/>
      <c r="HE2064" s="155"/>
    </row>
    <row r="2065" spans="2:213" s="156" customFormat="1" hidden="1">
      <c r="B2065" s="155"/>
      <c r="C2065" s="155"/>
      <c r="D2065" s="155"/>
      <c r="E2065" s="155"/>
      <c r="F2065" s="155"/>
      <c r="G2065" s="155"/>
      <c r="H2065" s="155"/>
      <c r="I2065" s="155"/>
      <c r="J2065" s="155"/>
      <c r="K2065" s="155"/>
      <c r="L2065" s="155"/>
      <c r="M2065" s="155"/>
      <c r="N2065" s="155"/>
      <c r="O2065" s="155"/>
      <c r="P2065" s="155"/>
      <c r="Q2065" s="155"/>
      <c r="R2065" s="155"/>
      <c r="S2065" s="155"/>
      <c r="T2065" s="155"/>
      <c r="U2065" s="155"/>
      <c r="V2065" s="155"/>
      <c r="W2065" s="155"/>
      <c r="GL2065" s="155"/>
      <c r="GM2065" s="155"/>
      <c r="GN2065" s="155"/>
      <c r="GO2065" s="155"/>
      <c r="GP2065" s="155"/>
      <c r="GQ2065" s="155"/>
      <c r="GR2065" s="155"/>
      <c r="GS2065" s="155"/>
      <c r="GT2065" s="155"/>
      <c r="GU2065" s="155"/>
      <c r="GV2065" s="155"/>
      <c r="GW2065" s="155"/>
      <c r="GX2065" s="155"/>
      <c r="GY2065" s="155"/>
      <c r="GZ2065" s="155"/>
      <c r="HA2065" s="155"/>
      <c r="HB2065" s="155"/>
      <c r="HC2065" s="155"/>
      <c r="HD2065" s="155"/>
      <c r="HE2065" s="155"/>
    </row>
    <row r="2066" spans="2:213" s="156" customFormat="1" hidden="1">
      <c r="B2066" s="155"/>
      <c r="C2066" s="155"/>
      <c r="D2066" s="155"/>
      <c r="E2066" s="155"/>
      <c r="F2066" s="155"/>
      <c r="G2066" s="155"/>
      <c r="H2066" s="155"/>
      <c r="I2066" s="155"/>
      <c r="J2066" s="155"/>
      <c r="K2066" s="155"/>
      <c r="L2066" s="155"/>
      <c r="M2066" s="155"/>
      <c r="N2066" s="155"/>
      <c r="O2066" s="155"/>
      <c r="P2066" s="155"/>
      <c r="Q2066" s="155"/>
      <c r="R2066" s="155"/>
      <c r="S2066" s="155"/>
      <c r="T2066" s="155"/>
      <c r="U2066" s="155"/>
      <c r="V2066" s="155"/>
      <c r="W2066" s="155"/>
      <c r="GL2066" s="155"/>
      <c r="GM2066" s="155"/>
      <c r="GN2066" s="155"/>
      <c r="GO2066" s="155"/>
      <c r="GP2066" s="155"/>
      <c r="GQ2066" s="155"/>
      <c r="GR2066" s="155"/>
      <c r="GS2066" s="155"/>
      <c r="GT2066" s="155"/>
      <c r="GU2066" s="155"/>
      <c r="GV2066" s="155"/>
      <c r="GW2066" s="155"/>
      <c r="GX2066" s="155"/>
      <c r="GY2066" s="155"/>
      <c r="GZ2066" s="155"/>
      <c r="HA2066" s="155"/>
      <c r="HB2066" s="155"/>
      <c r="HC2066" s="155"/>
      <c r="HD2066" s="155"/>
      <c r="HE2066" s="155"/>
    </row>
    <row r="2067" spans="2:213" s="156" customFormat="1" hidden="1">
      <c r="B2067" s="155"/>
      <c r="C2067" s="155"/>
      <c r="D2067" s="155"/>
      <c r="E2067" s="155"/>
      <c r="F2067" s="155"/>
      <c r="G2067" s="155"/>
      <c r="H2067" s="155"/>
      <c r="I2067" s="155"/>
      <c r="J2067" s="155"/>
      <c r="K2067" s="155"/>
      <c r="L2067" s="155"/>
      <c r="M2067" s="155"/>
      <c r="N2067" s="155"/>
      <c r="O2067" s="155"/>
      <c r="P2067" s="155"/>
      <c r="Q2067" s="155"/>
      <c r="R2067" s="155"/>
      <c r="S2067" s="155"/>
      <c r="T2067" s="155"/>
      <c r="U2067" s="155"/>
      <c r="V2067" s="155"/>
      <c r="W2067" s="155"/>
      <c r="GL2067" s="155"/>
      <c r="GM2067" s="155"/>
      <c r="GN2067" s="155"/>
      <c r="GO2067" s="155"/>
      <c r="GP2067" s="155"/>
      <c r="GQ2067" s="155"/>
      <c r="GR2067" s="155"/>
      <c r="GS2067" s="155"/>
      <c r="GT2067" s="155"/>
      <c r="GU2067" s="155"/>
      <c r="GV2067" s="155"/>
      <c r="GW2067" s="155"/>
      <c r="GX2067" s="155"/>
      <c r="GY2067" s="155"/>
      <c r="GZ2067" s="155"/>
      <c r="HA2067" s="155"/>
      <c r="HB2067" s="155"/>
      <c r="HC2067" s="155"/>
      <c r="HD2067" s="155"/>
      <c r="HE2067" s="155"/>
    </row>
    <row r="2068" spans="2:213" s="156" customFormat="1" hidden="1">
      <c r="B2068" s="155"/>
      <c r="C2068" s="155"/>
      <c r="D2068" s="155"/>
      <c r="E2068" s="155"/>
      <c r="F2068" s="155"/>
      <c r="G2068" s="155"/>
      <c r="H2068" s="155"/>
      <c r="I2068" s="155"/>
      <c r="J2068" s="155"/>
      <c r="K2068" s="155"/>
      <c r="L2068" s="155"/>
      <c r="M2068" s="155"/>
      <c r="N2068" s="155"/>
      <c r="O2068" s="155"/>
      <c r="P2068" s="155"/>
      <c r="Q2068" s="155"/>
      <c r="R2068" s="155"/>
      <c r="S2068" s="155"/>
      <c r="T2068" s="155"/>
      <c r="U2068" s="155"/>
      <c r="V2068" s="155"/>
      <c r="W2068" s="155"/>
      <c r="GL2068" s="155"/>
      <c r="GM2068" s="155"/>
      <c r="GN2068" s="155"/>
      <c r="GO2068" s="155"/>
      <c r="GP2068" s="155"/>
      <c r="GQ2068" s="155"/>
      <c r="GR2068" s="155"/>
      <c r="GS2068" s="155"/>
      <c r="GT2068" s="155"/>
      <c r="GU2068" s="155"/>
      <c r="GV2068" s="155"/>
      <c r="GW2068" s="155"/>
      <c r="GX2068" s="155"/>
      <c r="GY2068" s="155"/>
      <c r="GZ2068" s="155"/>
      <c r="HA2068" s="155"/>
      <c r="HB2068" s="155"/>
      <c r="HC2068" s="155"/>
      <c r="HD2068" s="155"/>
      <c r="HE2068" s="155"/>
    </row>
    <row r="2069" spans="2:213" s="156" customFormat="1" hidden="1">
      <c r="B2069" s="155"/>
      <c r="C2069" s="155"/>
      <c r="D2069" s="155"/>
      <c r="E2069" s="155"/>
      <c r="F2069" s="155"/>
      <c r="G2069" s="155"/>
      <c r="H2069" s="155"/>
      <c r="I2069" s="155"/>
      <c r="J2069" s="155"/>
      <c r="K2069" s="155"/>
      <c r="L2069" s="155"/>
      <c r="M2069" s="155"/>
      <c r="N2069" s="155"/>
      <c r="O2069" s="155"/>
      <c r="P2069" s="155"/>
      <c r="Q2069" s="155"/>
      <c r="R2069" s="155"/>
      <c r="S2069" s="155"/>
      <c r="T2069" s="155"/>
      <c r="U2069" s="155"/>
      <c r="V2069" s="155"/>
      <c r="W2069" s="155"/>
      <c r="GL2069" s="155"/>
      <c r="GM2069" s="155"/>
      <c r="GN2069" s="155"/>
      <c r="GO2069" s="155"/>
      <c r="GP2069" s="155"/>
      <c r="GQ2069" s="155"/>
      <c r="GR2069" s="155"/>
      <c r="GS2069" s="155"/>
      <c r="GT2069" s="155"/>
      <c r="GU2069" s="155"/>
      <c r="GV2069" s="155"/>
      <c r="GW2069" s="155"/>
      <c r="GX2069" s="155"/>
      <c r="GY2069" s="155"/>
      <c r="GZ2069" s="155"/>
      <c r="HA2069" s="155"/>
      <c r="HB2069" s="155"/>
      <c r="HC2069" s="155"/>
      <c r="HD2069" s="155"/>
      <c r="HE2069" s="155"/>
    </row>
    <row r="2070" spans="2:213" s="156" customFormat="1" hidden="1">
      <c r="B2070" s="155"/>
      <c r="C2070" s="155"/>
      <c r="D2070" s="155"/>
      <c r="E2070" s="155"/>
      <c r="F2070" s="155"/>
      <c r="G2070" s="155"/>
      <c r="H2070" s="155"/>
      <c r="I2070" s="155"/>
      <c r="J2070" s="155"/>
      <c r="K2070" s="155"/>
      <c r="L2070" s="155"/>
      <c r="M2070" s="155"/>
      <c r="N2070" s="155"/>
      <c r="O2070" s="155"/>
      <c r="P2070" s="155"/>
      <c r="Q2070" s="155"/>
      <c r="R2070" s="155"/>
      <c r="S2070" s="155"/>
      <c r="T2070" s="155"/>
      <c r="U2070" s="155"/>
      <c r="V2070" s="155"/>
      <c r="W2070" s="155"/>
      <c r="GL2070" s="155"/>
      <c r="GM2070" s="155"/>
      <c r="GN2070" s="155"/>
      <c r="GO2070" s="155"/>
      <c r="GP2070" s="155"/>
      <c r="GQ2070" s="155"/>
      <c r="GR2070" s="155"/>
      <c r="GS2070" s="155"/>
      <c r="GT2070" s="155"/>
      <c r="GU2070" s="155"/>
      <c r="GV2070" s="155"/>
      <c r="GW2070" s="155"/>
      <c r="GX2070" s="155"/>
      <c r="GY2070" s="155"/>
      <c r="GZ2070" s="155"/>
      <c r="HA2070" s="155"/>
      <c r="HB2070" s="155"/>
      <c r="HC2070" s="155"/>
      <c r="HD2070" s="155"/>
      <c r="HE2070" s="155"/>
    </row>
    <row r="2071" spans="2:213" s="156" customFormat="1" hidden="1">
      <c r="B2071" s="155"/>
      <c r="C2071" s="155"/>
      <c r="D2071" s="155"/>
      <c r="E2071" s="155"/>
      <c r="F2071" s="155"/>
      <c r="G2071" s="155"/>
      <c r="H2071" s="155"/>
      <c r="I2071" s="155"/>
      <c r="J2071" s="155"/>
      <c r="K2071" s="155"/>
      <c r="L2071" s="155"/>
      <c r="M2071" s="155"/>
      <c r="N2071" s="155"/>
      <c r="O2071" s="155"/>
      <c r="P2071" s="155"/>
      <c r="Q2071" s="155"/>
      <c r="R2071" s="155"/>
      <c r="S2071" s="155"/>
      <c r="T2071" s="155"/>
      <c r="U2071" s="155"/>
      <c r="V2071" s="155"/>
      <c r="W2071" s="155"/>
      <c r="GL2071" s="155"/>
      <c r="GM2071" s="155"/>
      <c r="GN2071" s="155"/>
      <c r="GO2071" s="155"/>
      <c r="GP2071" s="155"/>
      <c r="GQ2071" s="155"/>
      <c r="GR2071" s="155"/>
      <c r="GS2071" s="155"/>
      <c r="GT2071" s="155"/>
      <c r="GU2071" s="155"/>
      <c r="GV2071" s="155"/>
      <c r="GW2071" s="155"/>
      <c r="GX2071" s="155"/>
      <c r="GY2071" s="155"/>
      <c r="GZ2071" s="155"/>
      <c r="HA2071" s="155"/>
      <c r="HB2071" s="155"/>
      <c r="HC2071" s="155"/>
      <c r="HD2071" s="155"/>
      <c r="HE2071" s="155"/>
    </row>
    <row r="2072" spans="2:213" s="156" customFormat="1" hidden="1">
      <c r="B2072" s="155"/>
      <c r="C2072" s="155"/>
      <c r="D2072" s="155"/>
      <c r="E2072" s="155"/>
      <c r="F2072" s="155"/>
      <c r="G2072" s="155"/>
      <c r="H2072" s="155"/>
      <c r="I2072" s="155"/>
      <c r="J2072" s="155"/>
      <c r="K2072" s="155"/>
      <c r="L2072" s="155"/>
      <c r="M2072" s="155"/>
      <c r="N2072" s="155"/>
      <c r="O2072" s="155"/>
      <c r="P2072" s="155"/>
      <c r="Q2072" s="155"/>
      <c r="R2072" s="155"/>
      <c r="S2072" s="155"/>
      <c r="T2072" s="155"/>
      <c r="U2072" s="155"/>
      <c r="V2072" s="155"/>
      <c r="W2072" s="155"/>
      <c r="GL2072" s="155"/>
      <c r="GM2072" s="155"/>
      <c r="GN2072" s="155"/>
      <c r="GO2072" s="155"/>
      <c r="GP2072" s="155"/>
      <c r="GQ2072" s="155"/>
      <c r="GR2072" s="155"/>
      <c r="GS2072" s="155"/>
      <c r="GT2072" s="155"/>
      <c r="GU2072" s="155"/>
      <c r="GV2072" s="155"/>
      <c r="GW2072" s="155"/>
      <c r="GX2072" s="155"/>
      <c r="GY2072" s="155"/>
      <c r="GZ2072" s="155"/>
      <c r="HA2072" s="155"/>
      <c r="HB2072" s="155"/>
      <c r="HC2072" s="155"/>
      <c r="HD2072" s="155"/>
      <c r="HE2072" s="155"/>
    </row>
    <row r="2073" spans="2:213" s="156" customFormat="1" hidden="1">
      <c r="B2073" s="155"/>
      <c r="C2073" s="155"/>
      <c r="D2073" s="155"/>
      <c r="E2073" s="155"/>
      <c r="F2073" s="155"/>
      <c r="G2073" s="155"/>
      <c r="H2073" s="155"/>
      <c r="I2073" s="155"/>
      <c r="J2073" s="155"/>
      <c r="K2073" s="155"/>
      <c r="L2073" s="155"/>
      <c r="M2073" s="155"/>
      <c r="N2073" s="155"/>
      <c r="O2073" s="155"/>
      <c r="P2073" s="155"/>
      <c r="Q2073" s="155"/>
      <c r="R2073" s="155"/>
      <c r="S2073" s="155"/>
      <c r="T2073" s="155"/>
      <c r="U2073" s="155"/>
      <c r="V2073" s="155"/>
      <c r="W2073" s="155"/>
      <c r="GL2073" s="155"/>
      <c r="GM2073" s="155"/>
      <c r="GN2073" s="155"/>
      <c r="GO2073" s="155"/>
      <c r="GP2073" s="155"/>
      <c r="GQ2073" s="155"/>
      <c r="GR2073" s="155"/>
      <c r="GS2073" s="155"/>
      <c r="GT2073" s="155"/>
      <c r="GU2073" s="155"/>
      <c r="GV2073" s="155"/>
      <c r="GW2073" s="155"/>
      <c r="GX2073" s="155"/>
      <c r="GY2073" s="155"/>
      <c r="GZ2073" s="155"/>
      <c r="HA2073" s="155"/>
      <c r="HB2073" s="155"/>
      <c r="HC2073" s="155"/>
      <c r="HD2073" s="155"/>
      <c r="HE2073" s="155"/>
    </row>
    <row r="2074" spans="2:213" s="156" customFormat="1" hidden="1">
      <c r="B2074" s="155"/>
      <c r="C2074" s="155"/>
      <c r="D2074" s="155"/>
      <c r="E2074" s="155"/>
      <c r="F2074" s="155"/>
      <c r="G2074" s="155"/>
      <c r="H2074" s="155"/>
      <c r="I2074" s="155"/>
      <c r="J2074" s="155"/>
      <c r="K2074" s="155"/>
      <c r="L2074" s="155"/>
      <c r="M2074" s="155"/>
      <c r="N2074" s="155"/>
      <c r="O2074" s="155"/>
      <c r="P2074" s="155"/>
      <c r="Q2074" s="155"/>
      <c r="R2074" s="155"/>
      <c r="S2074" s="155"/>
      <c r="T2074" s="155"/>
      <c r="U2074" s="155"/>
      <c r="V2074" s="155"/>
      <c r="W2074" s="155"/>
      <c r="GL2074" s="155"/>
      <c r="GM2074" s="155"/>
      <c r="GN2074" s="155"/>
      <c r="GO2074" s="155"/>
      <c r="GP2074" s="155"/>
      <c r="GQ2074" s="155"/>
      <c r="GR2074" s="155"/>
      <c r="GS2074" s="155"/>
      <c r="GT2074" s="155"/>
      <c r="GU2074" s="155"/>
      <c r="GV2074" s="155"/>
      <c r="GW2074" s="155"/>
      <c r="GX2074" s="155"/>
      <c r="GY2074" s="155"/>
      <c r="GZ2074" s="155"/>
      <c r="HA2074" s="155"/>
      <c r="HB2074" s="155"/>
      <c r="HC2074" s="155"/>
      <c r="HD2074" s="155"/>
      <c r="HE2074" s="155"/>
    </row>
    <row r="2075" spans="2:213" s="156" customFormat="1" hidden="1">
      <c r="B2075" s="155"/>
      <c r="C2075" s="155"/>
      <c r="D2075" s="155"/>
      <c r="E2075" s="155"/>
      <c r="F2075" s="155"/>
      <c r="G2075" s="155"/>
      <c r="H2075" s="155"/>
      <c r="I2075" s="155"/>
      <c r="J2075" s="155"/>
      <c r="K2075" s="155"/>
      <c r="L2075" s="155"/>
      <c r="M2075" s="155"/>
      <c r="N2075" s="155"/>
      <c r="O2075" s="155"/>
      <c r="P2075" s="155"/>
      <c r="Q2075" s="155"/>
      <c r="R2075" s="155"/>
      <c r="S2075" s="155"/>
      <c r="T2075" s="155"/>
      <c r="U2075" s="155"/>
      <c r="V2075" s="155"/>
      <c r="W2075" s="155"/>
      <c r="GL2075" s="155"/>
      <c r="GM2075" s="155"/>
      <c r="GN2075" s="155"/>
      <c r="GO2075" s="155"/>
      <c r="GP2075" s="155"/>
      <c r="GQ2075" s="155"/>
      <c r="GR2075" s="155"/>
      <c r="GS2075" s="155"/>
      <c r="GT2075" s="155"/>
      <c r="GU2075" s="155"/>
      <c r="GV2075" s="155"/>
      <c r="GW2075" s="155"/>
      <c r="GX2075" s="155"/>
      <c r="GY2075" s="155"/>
      <c r="GZ2075" s="155"/>
      <c r="HA2075" s="155"/>
      <c r="HB2075" s="155"/>
      <c r="HC2075" s="155"/>
      <c r="HD2075" s="155"/>
      <c r="HE2075" s="155"/>
    </row>
    <row r="2076" spans="2:213" s="156" customFormat="1" hidden="1">
      <c r="B2076" s="155"/>
      <c r="C2076" s="155"/>
      <c r="D2076" s="155"/>
      <c r="E2076" s="155"/>
      <c r="F2076" s="155"/>
      <c r="G2076" s="155"/>
      <c r="H2076" s="155"/>
      <c r="I2076" s="155"/>
      <c r="J2076" s="155"/>
      <c r="K2076" s="155"/>
      <c r="L2076" s="155"/>
      <c r="M2076" s="155"/>
      <c r="N2076" s="155"/>
      <c r="O2076" s="155"/>
      <c r="P2076" s="155"/>
      <c r="Q2076" s="155"/>
      <c r="R2076" s="155"/>
      <c r="S2076" s="155"/>
      <c r="T2076" s="155"/>
      <c r="U2076" s="155"/>
      <c r="V2076" s="155"/>
      <c r="W2076" s="155"/>
      <c r="GL2076" s="155"/>
      <c r="GM2076" s="155"/>
      <c r="GN2076" s="155"/>
      <c r="GO2076" s="155"/>
      <c r="GP2076" s="155"/>
      <c r="GQ2076" s="155"/>
      <c r="GR2076" s="155"/>
      <c r="GS2076" s="155"/>
      <c r="GT2076" s="155"/>
      <c r="GU2076" s="155"/>
      <c r="GV2076" s="155"/>
      <c r="GW2076" s="155"/>
      <c r="GX2076" s="155"/>
      <c r="GY2076" s="155"/>
      <c r="GZ2076" s="155"/>
      <c r="HA2076" s="155"/>
      <c r="HB2076" s="155"/>
      <c r="HC2076" s="155"/>
      <c r="HD2076" s="155"/>
      <c r="HE2076" s="155"/>
    </row>
    <row r="2077" spans="2:213" s="156" customFormat="1" hidden="1">
      <c r="B2077" s="155"/>
      <c r="C2077" s="155"/>
      <c r="D2077" s="155"/>
      <c r="E2077" s="155"/>
      <c r="F2077" s="155"/>
      <c r="G2077" s="155"/>
      <c r="H2077" s="155"/>
      <c r="I2077" s="155"/>
      <c r="J2077" s="155"/>
      <c r="K2077" s="155"/>
      <c r="L2077" s="155"/>
      <c r="M2077" s="155"/>
      <c r="N2077" s="155"/>
      <c r="O2077" s="155"/>
      <c r="P2077" s="155"/>
      <c r="Q2077" s="155"/>
      <c r="R2077" s="155"/>
      <c r="S2077" s="155"/>
      <c r="T2077" s="155"/>
      <c r="U2077" s="155"/>
      <c r="V2077" s="155"/>
      <c r="W2077" s="155"/>
      <c r="GL2077" s="155"/>
      <c r="GM2077" s="155"/>
      <c r="GN2077" s="155"/>
      <c r="GO2077" s="155"/>
      <c r="GP2077" s="155"/>
      <c r="GQ2077" s="155"/>
      <c r="GR2077" s="155"/>
      <c r="GS2077" s="155"/>
      <c r="GT2077" s="155"/>
      <c r="GU2077" s="155"/>
      <c r="GV2077" s="155"/>
      <c r="GW2077" s="155"/>
      <c r="GX2077" s="155"/>
      <c r="GY2077" s="155"/>
      <c r="GZ2077" s="155"/>
      <c r="HA2077" s="155"/>
      <c r="HB2077" s="155"/>
      <c r="HC2077" s="155"/>
      <c r="HD2077" s="155"/>
      <c r="HE2077" s="155"/>
    </row>
    <row r="2078" spans="2:213" s="156" customFormat="1" hidden="1">
      <c r="B2078" s="155"/>
      <c r="C2078" s="155"/>
      <c r="D2078" s="155"/>
      <c r="E2078" s="155"/>
      <c r="F2078" s="155"/>
      <c r="G2078" s="155"/>
      <c r="H2078" s="155"/>
      <c r="I2078" s="155"/>
      <c r="J2078" s="155"/>
      <c r="K2078" s="155"/>
      <c r="L2078" s="155"/>
      <c r="M2078" s="155"/>
      <c r="N2078" s="155"/>
      <c r="O2078" s="155"/>
      <c r="P2078" s="155"/>
      <c r="Q2078" s="155"/>
      <c r="R2078" s="155"/>
      <c r="S2078" s="155"/>
      <c r="T2078" s="155"/>
      <c r="U2078" s="155"/>
      <c r="V2078" s="155"/>
      <c r="W2078" s="155"/>
      <c r="GL2078" s="155"/>
      <c r="GM2078" s="155"/>
      <c r="GN2078" s="155"/>
      <c r="GO2078" s="155"/>
      <c r="GP2078" s="155"/>
      <c r="GQ2078" s="155"/>
      <c r="GR2078" s="155"/>
      <c r="GS2078" s="155"/>
      <c r="GT2078" s="155"/>
      <c r="GU2078" s="155"/>
      <c r="GV2078" s="155"/>
      <c r="GW2078" s="155"/>
      <c r="GX2078" s="155"/>
      <c r="GY2078" s="155"/>
      <c r="GZ2078" s="155"/>
      <c r="HA2078" s="155"/>
      <c r="HB2078" s="155"/>
      <c r="HC2078" s="155"/>
      <c r="HD2078" s="155"/>
      <c r="HE2078" s="155"/>
    </row>
    <row r="2079" spans="2:213" s="156" customFormat="1" hidden="1">
      <c r="B2079" s="155"/>
      <c r="C2079" s="155"/>
      <c r="D2079" s="155"/>
      <c r="E2079" s="155"/>
      <c r="F2079" s="155"/>
      <c r="G2079" s="155"/>
      <c r="H2079" s="155"/>
      <c r="I2079" s="155"/>
      <c r="J2079" s="155"/>
      <c r="K2079" s="155"/>
      <c r="L2079" s="155"/>
      <c r="M2079" s="155"/>
      <c r="N2079" s="155"/>
      <c r="O2079" s="155"/>
      <c r="P2079" s="155"/>
      <c r="Q2079" s="155"/>
      <c r="R2079" s="155"/>
      <c r="S2079" s="155"/>
      <c r="T2079" s="155"/>
      <c r="U2079" s="155"/>
      <c r="V2079" s="155"/>
      <c r="W2079" s="155"/>
      <c r="GL2079" s="155"/>
      <c r="GM2079" s="155"/>
      <c r="GN2079" s="155"/>
      <c r="GO2079" s="155"/>
      <c r="GP2079" s="155"/>
      <c r="GQ2079" s="155"/>
      <c r="GR2079" s="155"/>
      <c r="GS2079" s="155"/>
      <c r="GT2079" s="155"/>
      <c r="GU2079" s="155"/>
      <c r="GV2079" s="155"/>
      <c r="GW2079" s="155"/>
      <c r="GX2079" s="155"/>
      <c r="GY2079" s="155"/>
      <c r="GZ2079" s="155"/>
      <c r="HA2079" s="155"/>
      <c r="HB2079" s="155"/>
      <c r="HC2079" s="155"/>
      <c r="HD2079" s="155"/>
      <c r="HE2079" s="155"/>
    </row>
    <row r="2080" spans="2:213" s="156" customFormat="1" hidden="1">
      <c r="B2080" s="155"/>
      <c r="C2080" s="155"/>
      <c r="D2080" s="155"/>
      <c r="E2080" s="155"/>
      <c r="F2080" s="155"/>
      <c r="G2080" s="155"/>
      <c r="H2080" s="155"/>
      <c r="I2080" s="155"/>
      <c r="J2080" s="155"/>
      <c r="K2080" s="155"/>
      <c r="L2080" s="155"/>
      <c r="M2080" s="155"/>
      <c r="N2080" s="155"/>
      <c r="O2080" s="155"/>
      <c r="P2080" s="155"/>
      <c r="Q2080" s="155"/>
      <c r="R2080" s="155"/>
      <c r="S2080" s="155"/>
      <c r="T2080" s="155"/>
      <c r="U2080" s="155"/>
      <c r="V2080" s="155"/>
      <c r="W2080" s="155"/>
      <c r="GL2080" s="155"/>
      <c r="GM2080" s="155"/>
      <c r="GN2080" s="155"/>
      <c r="GO2080" s="155"/>
      <c r="GP2080" s="155"/>
      <c r="GQ2080" s="155"/>
      <c r="GR2080" s="155"/>
      <c r="GS2080" s="155"/>
      <c r="GT2080" s="155"/>
      <c r="GU2080" s="155"/>
      <c r="GV2080" s="155"/>
      <c r="GW2080" s="155"/>
      <c r="GX2080" s="155"/>
      <c r="GY2080" s="155"/>
      <c r="GZ2080" s="155"/>
      <c r="HA2080" s="155"/>
      <c r="HB2080" s="155"/>
      <c r="HC2080" s="155"/>
      <c r="HD2080" s="155"/>
      <c r="HE2080" s="155"/>
    </row>
    <row r="2081" spans="2:213" s="156" customFormat="1" hidden="1">
      <c r="B2081" s="155"/>
      <c r="C2081" s="155"/>
      <c r="D2081" s="155"/>
      <c r="E2081" s="155"/>
      <c r="F2081" s="155"/>
      <c r="G2081" s="155"/>
      <c r="H2081" s="155"/>
      <c r="I2081" s="155"/>
      <c r="J2081" s="155"/>
      <c r="K2081" s="155"/>
      <c r="L2081" s="155"/>
      <c r="M2081" s="155"/>
      <c r="N2081" s="155"/>
      <c r="O2081" s="155"/>
      <c r="P2081" s="155"/>
      <c r="Q2081" s="155"/>
      <c r="R2081" s="155"/>
      <c r="S2081" s="155"/>
      <c r="T2081" s="155"/>
      <c r="U2081" s="155"/>
      <c r="V2081" s="155"/>
      <c r="W2081" s="155"/>
      <c r="GL2081" s="155"/>
      <c r="GM2081" s="155"/>
      <c r="GN2081" s="155"/>
      <c r="GO2081" s="155"/>
      <c r="GP2081" s="155"/>
      <c r="GQ2081" s="155"/>
      <c r="GR2081" s="155"/>
      <c r="GS2081" s="155"/>
      <c r="GT2081" s="155"/>
      <c r="GU2081" s="155"/>
      <c r="GV2081" s="155"/>
      <c r="GW2081" s="155"/>
      <c r="GX2081" s="155"/>
      <c r="GY2081" s="155"/>
      <c r="GZ2081" s="155"/>
      <c r="HA2081" s="155"/>
      <c r="HB2081" s="155"/>
      <c r="HC2081" s="155"/>
      <c r="HD2081" s="155"/>
      <c r="HE2081" s="155"/>
    </row>
    <row r="2082" spans="2:213" s="156" customFormat="1" hidden="1">
      <c r="B2082" s="155"/>
      <c r="C2082" s="155"/>
      <c r="D2082" s="155"/>
      <c r="E2082" s="155"/>
      <c r="F2082" s="155"/>
      <c r="G2082" s="155"/>
      <c r="H2082" s="155"/>
      <c r="I2082" s="155"/>
      <c r="J2082" s="155"/>
      <c r="K2082" s="155"/>
      <c r="L2082" s="155"/>
      <c r="M2082" s="155"/>
      <c r="N2082" s="155"/>
      <c r="O2082" s="155"/>
      <c r="P2082" s="155"/>
      <c r="Q2082" s="155"/>
      <c r="R2082" s="155"/>
      <c r="S2082" s="155"/>
      <c r="T2082" s="155"/>
      <c r="U2082" s="155"/>
      <c r="V2082" s="155"/>
      <c r="W2082" s="155"/>
      <c r="GL2082" s="155"/>
      <c r="GM2082" s="155"/>
      <c r="GN2082" s="155"/>
      <c r="GO2082" s="155"/>
      <c r="GP2082" s="155"/>
      <c r="GQ2082" s="155"/>
      <c r="GR2082" s="155"/>
      <c r="GS2082" s="155"/>
      <c r="GT2082" s="155"/>
      <c r="GU2082" s="155"/>
      <c r="GV2082" s="155"/>
      <c r="GW2082" s="155"/>
      <c r="GX2082" s="155"/>
      <c r="GY2082" s="155"/>
      <c r="GZ2082" s="155"/>
      <c r="HA2082" s="155"/>
      <c r="HB2082" s="155"/>
      <c r="HC2082" s="155"/>
      <c r="HD2082" s="155"/>
      <c r="HE2082" s="155"/>
    </row>
    <row r="2083" spans="2:213" s="156" customFormat="1" hidden="1">
      <c r="B2083" s="155"/>
      <c r="C2083" s="155"/>
      <c r="D2083" s="155"/>
      <c r="E2083" s="155"/>
      <c r="F2083" s="155"/>
      <c r="G2083" s="155"/>
      <c r="H2083" s="155"/>
      <c r="I2083" s="155"/>
      <c r="J2083" s="155"/>
      <c r="K2083" s="155"/>
      <c r="L2083" s="155"/>
      <c r="M2083" s="155"/>
      <c r="N2083" s="155"/>
      <c r="O2083" s="155"/>
      <c r="P2083" s="155"/>
      <c r="Q2083" s="155"/>
      <c r="R2083" s="155"/>
      <c r="S2083" s="155"/>
      <c r="T2083" s="155"/>
      <c r="U2083" s="155"/>
      <c r="V2083" s="155"/>
      <c r="W2083" s="155"/>
      <c r="GL2083" s="155"/>
      <c r="GM2083" s="155"/>
      <c r="GN2083" s="155"/>
      <c r="GO2083" s="155"/>
      <c r="GP2083" s="155"/>
      <c r="GQ2083" s="155"/>
      <c r="GR2083" s="155"/>
      <c r="GS2083" s="155"/>
      <c r="GT2083" s="155"/>
      <c r="GU2083" s="155"/>
      <c r="GV2083" s="155"/>
      <c r="GW2083" s="155"/>
      <c r="GX2083" s="155"/>
      <c r="GY2083" s="155"/>
      <c r="GZ2083" s="155"/>
      <c r="HA2083" s="155"/>
      <c r="HB2083" s="155"/>
      <c r="HC2083" s="155"/>
      <c r="HD2083" s="155"/>
      <c r="HE2083" s="155"/>
    </row>
    <row r="2084" spans="2:213" s="156" customFormat="1" hidden="1">
      <c r="B2084" s="155"/>
      <c r="C2084" s="155"/>
      <c r="D2084" s="155"/>
      <c r="E2084" s="155"/>
      <c r="F2084" s="155"/>
      <c r="G2084" s="155"/>
      <c r="H2084" s="155"/>
      <c r="I2084" s="155"/>
      <c r="J2084" s="155"/>
      <c r="K2084" s="155"/>
      <c r="L2084" s="155"/>
      <c r="M2084" s="155"/>
      <c r="N2084" s="155"/>
      <c r="O2084" s="155"/>
      <c r="P2084" s="155"/>
      <c r="Q2084" s="155"/>
      <c r="R2084" s="155"/>
      <c r="S2084" s="155"/>
      <c r="T2084" s="155"/>
      <c r="U2084" s="155"/>
      <c r="V2084" s="155"/>
      <c r="W2084" s="155"/>
      <c r="GL2084" s="155"/>
      <c r="GM2084" s="155"/>
      <c r="GN2084" s="155"/>
      <c r="GO2084" s="155"/>
      <c r="GP2084" s="155"/>
      <c r="GQ2084" s="155"/>
      <c r="GR2084" s="155"/>
      <c r="GS2084" s="155"/>
      <c r="GT2084" s="155"/>
      <c r="GU2084" s="155"/>
      <c r="GV2084" s="155"/>
      <c r="GW2084" s="155"/>
      <c r="GX2084" s="155"/>
      <c r="GY2084" s="155"/>
      <c r="GZ2084" s="155"/>
      <c r="HA2084" s="155"/>
      <c r="HB2084" s="155"/>
      <c r="HC2084" s="155"/>
      <c r="HD2084" s="155"/>
      <c r="HE2084" s="155"/>
    </row>
    <row r="2085" spans="2:213" s="156" customFormat="1" hidden="1">
      <c r="B2085" s="155"/>
      <c r="C2085" s="155"/>
      <c r="D2085" s="155"/>
      <c r="E2085" s="155"/>
      <c r="F2085" s="155"/>
      <c r="G2085" s="155"/>
      <c r="H2085" s="155"/>
      <c r="I2085" s="155"/>
      <c r="J2085" s="155"/>
      <c r="K2085" s="155"/>
      <c r="L2085" s="155"/>
      <c r="M2085" s="155"/>
      <c r="N2085" s="155"/>
      <c r="O2085" s="155"/>
      <c r="P2085" s="155"/>
      <c r="Q2085" s="155"/>
      <c r="R2085" s="155"/>
      <c r="S2085" s="155"/>
      <c r="T2085" s="155"/>
      <c r="U2085" s="155"/>
      <c r="V2085" s="155"/>
      <c r="W2085" s="155"/>
      <c r="GL2085" s="155"/>
      <c r="GM2085" s="155"/>
      <c r="GN2085" s="155"/>
      <c r="GO2085" s="155"/>
      <c r="GP2085" s="155"/>
      <c r="GQ2085" s="155"/>
      <c r="GR2085" s="155"/>
      <c r="GS2085" s="155"/>
      <c r="GT2085" s="155"/>
      <c r="GU2085" s="155"/>
      <c r="GV2085" s="155"/>
      <c r="GW2085" s="155"/>
      <c r="GX2085" s="155"/>
      <c r="GY2085" s="155"/>
      <c r="GZ2085" s="155"/>
      <c r="HA2085" s="155"/>
      <c r="HB2085" s="155"/>
      <c r="HC2085" s="155"/>
      <c r="HD2085" s="155"/>
      <c r="HE2085" s="155"/>
    </row>
    <row r="2086" spans="2:213" s="156" customFormat="1" hidden="1">
      <c r="B2086" s="155"/>
      <c r="C2086" s="155"/>
      <c r="D2086" s="155"/>
      <c r="E2086" s="155"/>
      <c r="F2086" s="155"/>
      <c r="G2086" s="155"/>
      <c r="H2086" s="155"/>
      <c r="I2086" s="155"/>
      <c r="J2086" s="155"/>
      <c r="K2086" s="155"/>
      <c r="L2086" s="155"/>
      <c r="M2086" s="155"/>
      <c r="N2086" s="155"/>
      <c r="O2086" s="155"/>
      <c r="P2086" s="155"/>
      <c r="Q2086" s="155"/>
      <c r="R2086" s="155"/>
      <c r="S2086" s="155"/>
      <c r="T2086" s="155"/>
      <c r="U2086" s="155"/>
      <c r="V2086" s="155"/>
      <c r="W2086" s="155"/>
      <c r="GL2086" s="155"/>
      <c r="GM2086" s="155"/>
      <c r="GN2086" s="155"/>
      <c r="GO2086" s="155"/>
      <c r="GP2086" s="155"/>
      <c r="GQ2086" s="155"/>
      <c r="GR2086" s="155"/>
      <c r="GS2086" s="155"/>
      <c r="GT2086" s="155"/>
      <c r="GU2086" s="155"/>
      <c r="GV2086" s="155"/>
      <c r="GW2086" s="155"/>
      <c r="GX2086" s="155"/>
      <c r="GY2086" s="155"/>
      <c r="GZ2086" s="155"/>
      <c r="HA2086" s="155"/>
      <c r="HB2086" s="155"/>
      <c r="HC2086" s="155"/>
      <c r="HD2086" s="155"/>
      <c r="HE2086" s="155"/>
    </row>
    <row r="2087" spans="2:213" s="156" customFormat="1" hidden="1">
      <c r="B2087" s="155"/>
      <c r="C2087" s="155"/>
      <c r="D2087" s="155"/>
      <c r="E2087" s="155"/>
      <c r="F2087" s="155"/>
      <c r="G2087" s="155"/>
      <c r="H2087" s="155"/>
      <c r="I2087" s="155"/>
      <c r="J2087" s="155"/>
      <c r="K2087" s="155"/>
      <c r="L2087" s="155"/>
      <c r="M2087" s="155"/>
      <c r="N2087" s="155"/>
      <c r="O2087" s="155"/>
      <c r="P2087" s="155"/>
      <c r="Q2087" s="155"/>
      <c r="R2087" s="155"/>
      <c r="S2087" s="155"/>
      <c r="T2087" s="155"/>
      <c r="U2087" s="155"/>
      <c r="V2087" s="155"/>
      <c r="W2087" s="155"/>
      <c r="GL2087" s="155"/>
      <c r="GM2087" s="155"/>
      <c r="GN2087" s="155"/>
      <c r="GO2087" s="155"/>
      <c r="GP2087" s="155"/>
      <c r="GQ2087" s="155"/>
      <c r="GR2087" s="155"/>
      <c r="GS2087" s="155"/>
      <c r="GT2087" s="155"/>
      <c r="GU2087" s="155"/>
      <c r="GV2087" s="155"/>
      <c r="GW2087" s="155"/>
      <c r="GX2087" s="155"/>
      <c r="GY2087" s="155"/>
      <c r="GZ2087" s="155"/>
      <c r="HA2087" s="155"/>
      <c r="HB2087" s="155"/>
      <c r="HC2087" s="155"/>
      <c r="HD2087" s="155"/>
      <c r="HE2087" s="155"/>
    </row>
    <row r="2088" spans="2:213" s="156" customFormat="1" hidden="1">
      <c r="B2088" s="155"/>
      <c r="C2088" s="155"/>
      <c r="D2088" s="155"/>
      <c r="E2088" s="155"/>
      <c r="F2088" s="155"/>
      <c r="G2088" s="155"/>
      <c r="H2088" s="155"/>
      <c r="I2088" s="155"/>
      <c r="J2088" s="155"/>
      <c r="K2088" s="155"/>
      <c r="L2088" s="155"/>
      <c r="M2088" s="155"/>
      <c r="N2088" s="155"/>
      <c r="O2088" s="155"/>
      <c r="P2088" s="155"/>
      <c r="Q2088" s="155"/>
      <c r="R2088" s="155"/>
      <c r="S2088" s="155"/>
      <c r="T2088" s="155"/>
      <c r="U2088" s="155"/>
      <c r="V2088" s="155"/>
      <c r="W2088" s="155"/>
      <c r="GL2088" s="155"/>
      <c r="GM2088" s="155"/>
      <c r="GN2088" s="155"/>
      <c r="GO2088" s="155"/>
      <c r="GP2088" s="155"/>
      <c r="GQ2088" s="155"/>
      <c r="GR2088" s="155"/>
      <c r="GS2088" s="155"/>
      <c r="GT2088" s="155"/>
      <c r="GU2088" s="155"/>
      <c r="GV2088" s="155"/>
      <c r="GW2088" s="155"/>
      <c r="GX2088" s="155"/>
      <c r="GY2088" s="155"/>
      <c r="GZ2088" s="155"/>
      <c r="HA2088" s="155"/>
      <c r="HB2088" s="155"/>
      <c r="HC2088" s="155"/>
      <c r="HD2088" s="155"/>
      <c r="HE2088" s="155"/>
    </row>
    <row r="2089" spans="2:213" s="156" customFormat="1" hidden="1">
      <c r="B2089" s="155"/>
      <c r="C2089" s="155"/>
      <c r="D2089" s="155"/>
      <c r="E2089" s="155"/>
      <c r="F2089" s="155"/>
      <c r="G2089" s="155"/>
      <c r="H2089" s="155"/>
      <c r="I2089" s="155"/>
      <c r="J2089" s="155"/>
      <c r="K2089" s="155"/>
      <c r="L2089" s="155"/>
      <c r="M2089" s="155"/>
      <c r="N2089" s="155"/>
      <c r="O2089" s="155"/>
      <c r="P2089" s="155"/>
      <c r="Q2089" s="155"/>
      <c r="R2089" s="155"/>
      <c r="S2089" s="155"/>
      <c r="T2089" s="155"/>
      <c r="U2089" s="155"/>
      <c r="V2089" s="155"/>
      <c r="W2089" s="155"/>
      <c r="GL2089" s="155"/>
      <c r="GM2089" s="155"/>
      <c r="GN2089" s="155"/>
      <c r="GO2089" s="155"/>
      <c r="GP2089" s="155"/>
      <c r="GQ2089" s="155"/>
      <c r="GR2089" s="155"/>
      <c r="GS2089" s="155"/>
      <c r="GT2089" s="155"/>
      <c r="GU2089" s="155"/>
      <c r="GV2089" s="155"/>
      <c r="GW2089" s="155"/>
      <c r="GX2089" s="155"/>
      <c r="GY2089" s="155"/>
      <c r="GZ2089" s="155"/>
      <c r="HA2089" s="155"/>
      <c r="HB2089" s="155"/>
      <c r="HC2089" s="155"/>
      <c r="HD2089" s="155"/>
      <c r="HE2089" s="155"/>
    </row>
    <row r="2090" spans="2:213" s="156" customFormat="1" hidden="1">
      <c r="B2090" s="155"/>
      <c r="C2090" s="155"/>
      <c r="D2090" s="155"/>
      <c r="E2090" s="155"/>
      <c r="F2090" s="155"/>
      <c r="G2090" s="155"/>
      <c r="H2090" s="155"/>
      <c r="I2090" s="155"/>
      <c r="J2090" s="155"/>
      <c r="K2090" s="155"/>
      <c r="L2090" s="155"/>
      <c r="M2090" s="155"/>
      <c r="N2090" s="155"/>
      <c r="O2090" s="155"/>
      <c r="P2090" s="155"/>
      <c r="Q2090" s="155"/>
      <c r="R2090" s="155"/>
      <c r="S2090" s="155"/>
      <c r="T2090" s="155"/>
      <c r="U2090" s="155"/>
      <c r="V2090" s="155"/>
      <c r="W2090" s="155"/>
      <c r="GL2090" s="155"/>
      <c r="GM2090" s="155"/>
      <c r="GN2090" s="155"/>
      <c r="GO2090" s="155"/>
      <c r="GP2090" s="155"/>
      <c r="GQ2090" s="155"/>
      <c r="GR2090" s="155"/>
      <c r="GS2090" s="155"/>
      <c r="GT2090" s="155"/>
      <c r="GU2090" s="155"/>
      <c r="GV2090" s="155"/>
      <c r="GW2090" s="155"/>
      <c r="GX2090" s="155"/>
      <c r="GY2090" s="155"/>
      <c r="GZ2090" s="155"/>
      <c r="HA2090" s="155"/>
      <c r="HB2090" s="155"/>
      <c r="HC2090" s="155"/>
      <c r="HD2090" s="155"/>
      <c r="HE2090" s="155"/>
    </row>
    <row r="2091" spans="2:213" s="156" customFormat="1" hidden="1">
      <c r="B2091" s="155"/>
      <c r="C2091" s="155"/>
      <c r="D2091" s="155"/>
      <c r="E2091" s="155"/>
      <c r="F2091" s="155"/>
      <c r="G2091" s="155"/>
      <c r="H2091" s="155"/>
      <c r="I2091" s="155"/>
      <c r="J2091" s="155"/>
      <c r="K2091" s="155"/>
      <c r="L2091" s="155"/>
      <c r="M2091" s="155"/>
      <c r="N2091" s="155"/>
      <c r="O2091" s="155"/>
      <c r="P2091" s="155"/>
      <c r="Q2091" s="155"/>
      <c r="R2091" s="155"/>
      <c r="S2091" s="155"/>
      <c r="T2091" s="155"/>
      <c r="U2091" s="155"/>
      <c r="V2091" s="155"/>
      <c r="W2091" s="155"/>
      <c r="GL2091" s="155"/>
      <c r="GM2091" s="155"/>
      <c r="GN2091" s="155"/>
      <c r="GO2091" s="155"/>
      <c r="GP2091" s="155"/>
      <c r="GQ2091" s="155"/>
      <c r="GR2091" s="155"/>
      <c r="GS2091" s="155"/>
      <c r="GT2091" s="155"/>
      <c r="GU2091" s="155"/>
      <c r="GV2091" s="155"/>
      <c r="GW2091" s="155"/>
      <c r="GX2091" s="155"/>
      <c r="GY2091" s="155"/>
      <c r="GZ2091" s="155"/>
      <c r="HA2091" s="155"/>
      <c r="HB2091" s="155"/>
      <c r="HC2091" s="155"/>
      <c r="HD2091" s="155"/>
      <c r="HE2091" s="155"/>
    </row>
    <row r="2092" spans="2:213" s="156" customFormat="1" hidden="1">
      <c r="B2092" s="155"/>
      <c r="C2092" s="155"/>
      <c r="D2092" s="155"/>
      <c r="E2092" s="155"/>
      <c r="F2092" s="155"/>
      <c r="G2092" s="155"/>
      <c r="H2092" s="155"/>
      <c r="I2092" s="155"/>
      <c r="J2092" s="155"/>
      <c r="K2092" s="155"/>
      <c r="L2092" s="155"/>
      <c r="M2092" s="155"/>
      <c r="N2092" s="155"/>
      <c r="O2092" s="155"/>
      <c r="P2092" s="155"/>
      <c r="Q2092" s="155"/>
      <c r="R2092" s="155"/>
      <c r="S2092" s="155"/>
      <c r="T2092" s="155"/>
      <c r="U2092" s="155"/>
      <c r="V2092" s="155"/>
      <c r="W2092" s="155"/>
      <c r="GL2092" s="155"/>
      <c r="GM2092" s="155"/>
      <c r="GN2092" s="155"/>
      <c r="GO2092" s="155"/>
      <c r="GP2092" s="155"/>
      <c r="GQ2092" s="155"/>
      <c r="GR2092" s="155"/>
      <c r="GS2092" s="155"/>
      <c r="GT2092" s="155"/>
      <c r="GU2092" s="155"/>
      <c r="GV2092" s="155"/>
      <c r="GW2092" s="155"/>
      <c r="GX2092" s="155"/>
      <c r="GY2092" s="155"/>
      <c r="GZ2092" s="155"/>
      <c r="HA2092" s="155"/>
      <c r="HB2092" s="155"/>
      <c r="HC2092" s="155"/>
      <c r="HD2092" s="155"/>
      <c r="HE2092" s="155"/>
    </row>
    <row r="2093" spans="2:213" s="156" customFormat="1" hidden="1">
      <c r="B2093" s="155"/>
      <c r="C2093" s="155"/>
      <c r="D2093" s="155"/>
      <c r="E2093" s="155"/>
      <c r="F2093" s="155"/>
      <c r="G2093" s="155"/>
      <c r="H2093" s="155"/>
      <c r="I2093" s="155"/>
      <c r="J2093" s="155"/>
      <c r="K2093" s="155"/>
      <c r="L2093" s="155"/>
      <c r="M2093" s="155"/>
      <c r="N2093" s="155"/>
      <c r="O2093" s="155"/>
      <c r="P2093" s="155"/>
      <c r="Q2093" s="155"/>
      <c r="R2093" s="155"/>
      <c r="S2093" s="155"/>
      <c r="T2093" s="155"/>
      <c r="U2093" s="155"/>
      <c r="V2093" s="155"/>
      <c r="W2093" s="155"/>
      <c r="GL2093" s="155"/>
      <c r="GM2093" s="155"/>
      <c r="GN2093" s="155"/>
      <c r="GO2093" s="155"/>
      <c r="GP2093" s="155"/>
      <c r="GQ2093" s="155"/>
      <c r="GR2093" s="155"/>
      <c r="GS2093" s="155"/>
      <c r="GT2093" s="155"/>
      <c r="GU2093" s="155"/>
      <c r="GV2093" s="155"/>
      <c r="GW2093" s="155"/>
      <c r="GX2093" s="155"/>
      <c r="GY2093" s="155"/>
      <c r="GZ2093" s="155"/>
      <c r="HA2093" s="155"/>
      <c r="HB2093" s="155"/>
      <c r="HC2093" s="155"/>
      <c r="HD2093" s="155"/>
      <c r="HE2093" s="155"/>
    </row>
    <row r="2094" spans="2:213" s="156" customFormat="1" hidden="1">
      <c r="B2094" s="155"/>
      <c r="C2094" s="155"/>
      <c r="D2094" s="155"/>
      <c r="E2094" s="155"/>
      <c r="F2094" s="155"/>
      <c r="G2094" s="155"/>
      <c r="H2094" s="155"/>
      <c r="I2094" s="155"/>
      <c r="J2094" s="155"/>
      <c r="K2094" s="155"/>
      <c r="L2094" s="155"/>
      <c r="M2094" s="155"/>
      <c r="N2094" s="155"/>
      <c r="O2094" s="155"/>
      <c r="P2094" s="155"/>
      <c r="Q2094" s="155"/>
      <c r="R2094" s="155"/>
      <c r="S2094" s="155"/>
      <c r="T2094" s="155"/>
      <c r="U2094" s="155"/>
      <c r="V2094" s="155"/>
      <c r="W2094" s="155"/>
      <c r="GL2094" s="155"/>
      <c r="GM2094" s="155"/>
      <c r="GN2094" s="155"/>
      <c r="GO2094" s="155"/>
      <c r="GP2094" s="155"/>
      <c r="GQ2094" s="155"/>
      <c r="GR2094" s="155"/>
      <c r="GS2094" s="155"/>
      <c r="GT2094" s="155"/>
      <c r="GU2094" s="155"/>
      <c r="GV2094" s="155"/>
      <c r="GW2094" s="155"/>
      <c r="GX2094" s="155"/>
      <c r="GY2094" s="155"/>
      <c r="GZ2094" s="155"/>
      <c r="HA2094" s="155"/>
      <c r="HB2094" s="155"/>
      <c r="HC2094" s="155"/>
      <c r="HD2094" s="155"/>
      <c r="HE2094" s="155"/>
    </row>
    <row r="2095" spans="2:213" s="156" customFormat="1" hidden="1">
      <c r="B2095" s="155"/>
      <c r="C2095" s="155"/>
      <c r="D2095" s="155"/>
      <c r="E2095" s="155"/>
      <c r="F2095" s="155"/>
      <c r="G2095" s="155"/>
      <c r="H2095" s="155"/>
      <c r="I2095" s="155"/>
      <c r="J2095" s="155"/>
      <c r="K2095" s="155"/>
      <c r="L2095" s="155"/>
      <c r="M2095" s="155"/>
      <c r="N2095" s="155"/>
      <c r="O2095" s="155"/>
      <c r="P2095" s="155"/>
      <c r="Q2095" s="155"/>
      <c r="R2095" s="155"/>
      <c r="S2095" s="155"/>
      <c r="T2095" s="155"/>
      <c r="U2095" s="155"/>
      <c r="V2095" s="155"/>
      <c r="W2095" s="155"/>
      <c r="GL2095" s="155"/>
      <c r="GM2095" s="155"/>
      <c r="GN2095" s="155"/>
      <c r="GO2095" s="155"/>
      <c r="GP2095" s="155"/>
      <c r="GQ2095" s="155"/>
      <c r="GR2095" s="155"/>
      <c r="GS2095" s="155"/>
      <c r="GT2095" s="155"/>
      <c r="GU2095" s="155"/>
      <c r="GV2095" s="155"/>
      <c r="GW2095" s="155"/>
      <c r="GX2095" s="155"/>
      <c r="GY2095" s="155"/>
      <c r="GZ2095" s="155"/>
      <c r="HA2095" s="155"/>
      <c r="HB2095" s="155"/>
      <c r="HC2095" s="155"/>
      <c r="HD2095" s="155"/>
      <c r="HE2095" s="155"/>
    </row>
    <row r="2096" spans="2:213" s="156" customFormat="1" hidden="1">
      <c r="B2096" s="155"/>
      <c r="C2096" s="155"/>
      <c r="D2096" s="155"/>
      <c r="E2096" s="155"/>
      <c r="F2096" s="155"/>
      <c r="G2096" s="155"/>
      <c r="H2096" s="155"/>
      <c r="I2096" s="155"/>
      <c r="J2096" s="155"/>
      <c r="K2096" s="155"/>
      <c r="L2096" s="155"/>
      <c r="M2096" s="155"/>
      <c r="N2096" s="155"/>
      <c r="O2096" s="155"/>
      <c r="P2096" s="155"/>
      <c r="Q2096" s="155"/>
      <c r="R2096" s="155"/>
      <c r="S2096" s="155"/>
      <c r="T2096" s="155"/>
      <c r="U2096" s="155"/>
      <c r="V2096" s="155"/>
      <c r="W2096" s="155"/>
      <c r="GL2096" s="155"/>
      <c r="GM2096" s="155"/>
      <c r="GN2096" s="155"/>
      <c r="GO2096" s="155"/>
      <c r="GP2096" s="155"/>
      <c r="GQ2096" s="155"/>
      <c r="GR2096" s="155"/>
      <c r="GS2096" s="155"/>
      <c r="GT2096" s="155"/>
      <c r="GU2096" s="155"/>
      <c r="GV2096" s="155"/>
      <c r="GW2096" s="155"/>
      <c r="GX2096" s="155"/>
      <c r="GY2096" s="155"/>
      <c r="GZ2096" s="155"/>
      <c r="HA2096" s="155"/>
      <c r="HB2096" s="155"/>
      <c r="HC2096" s="155"/>
      <c r="HD2096" s="155"/>
      <c r="HE2096" s="155"/>
    </row>
    <row r="2097" spans="2:213" s="156" customFormat="1" hidden="1">
      <c r="B2097" s="155"/>
      <c r="C2097" s="155"/>
      <c r="D2097" s="155"/>
      <c r="E2097" s="155"/>
      <c r="F2097" s="155"/>
      <c r="G2097" s="155"/>
      <c r="H2097" s="155"/>
      <c r="I2097" s="155"/>
      <c r="J2097" s="155"/>
      <c r="K2097" s="155"/>
      <c r="L2097" s="155"/>
      <c r="M2097" s="155"/>
      <c r="N2097" s="155"/>
      <c r="O2097" s="155"/>
      <c r="P2097" s="155"/>
      <c r="Q2097" s="155"/>
      <c r="R2097" s="155"/>
      <c r="S2097" s="155"/>
      <c r="T2097" s="155"/>
      <c r="U2097" s="155"/>
      <c r="V2097" s="155"/>
      <c r="W2097" s="155"/>
      <c r="GL2097" s="155"/>
      <c r="GM2097" s="155"/>
      <c r="GN2097" s="155"/>
      <c r="GO2097" s="155"/>
      <c r="GP2097" s="155"/>
      <c r="GQ2097" s="155"/>
      <c r="GR2097" s="155"/>
      <c r="GS2097" s="155"/>
      <c r="GT2097" s="155"/>
      <c r="GU2097" s="155"/>
      <c r="GV2097" s="155"/>
      <c r="GW2097" s="155"/>
      <c r="GX2097" s="155"/>
      <c r="GY2097" s="155"/>
      <c r="GZ2097" s="155"/>
      <c r="HA2097" s="155"/>
      <c r="HB2097" s="155"/>
      <c r="HC2097" s="155"/>
      <c r="HD2097" s="155"/>
      <c r="HE2097" s="155"/>
    </row>
    <row r="2098" spans="2:213" s="156" customFormat="1" hidden="1">
      <c r="B2098" s="155"/>
      <c r="C2098" s="155"/>
      <c r="D2098" s="155"/>
      <c r="E2098" s="155"/>
      <c r="F2098" s="155"/>
      <c r="G2098" s="155"/>
      <c r="H2098" s="155"/>
      <c r="I2098" s="155"/>
      <c r="J2098" s="155"/>
      <c r="K2098" s="155"/>
      <c r="L2098" s="155"/>
      <c r="M2098" s="155"/>
      <c r="N2098" s="155"/>
      <c r="O2098" s="155"/>
      <c r="P2098" s="155"/>
      <c r="Q2098" s="155"/>
      <c r="R2098" s="155"/>
      <c r="S2098" s="155"/>
      <c r="T2098" s="155"/>
      <c r="U2098" s="155"/>
      <c r="V2098" s="155"/>
      <c r="W2098" s="155"/>
      <c r="GL2098" s="155"/>
      <c r="GM2098" s="155"/>
      <c r="GN2098" s="155"/>
      <c r="GO2098" s="155"/>
      <c r="GP2098" s="155"/>
      <c r="GQ2098" s="155"/>
      <c r="GR2098" s="155"/>
      <c r="GS2098" s="155"/>
      <c r="GT2098" s="155"/>
      <c r="GU2098" s="155"/>
      <c r="GV2098" s="155"/>
      <c r="GW2098" s="155"/>
      <c r="GX2098" s="155"/>
      <c r="GY2098" s="155"/>
      <c r="GZ2098" s="155"/>
      <c r="HA2098" s="155"/>
      <c r="HB2098" s="155"/>
      <c r="HC2098" s="155"/>
      <c r="HD2098" s="155"/>
      <c r="HE2098" s="155"/>
    </row>
    <row r="2099" spans="2:213" s="156" customFormat="1" hidden="1">
      <c r="B2099" s="155"/>
      <c r="C2099" s="155"/>
      <c r="D2099" s="155"/>
      <c r="E2099" s="155"/>
      <c r="F2099" s="155"/>
      <c r="G2099" s="155"/>
      <c r="H2099" s="155"/>
      <c r="I2099" s="155"/>
      <c r="J2099" s="155"/>
      <c r="K2099" s="155"/>
      <c r="L2099" s="155"/>
      <c r="M2099" s="155"/>
      <c r="N2099" s="155"/>
      <c r="O2099" s="155"/>
      <c r="P2099" s="155"/>
      <c r="Q2099" s="155"/>
      <c r="R2099" s="155"/>
      <c r="S2099" s="155"/>
      <c r="T2099" s="155"/>
      <c r="U2099" s="155"/>
      <c r="V2099" s="155"/>
      <c r="W2099" s="155"/>
      <c r="GL2099" s="155"/>
      <c r="GM2099" s="155"/>
      <c r="GN2099" s="155"/>
      <c r="GO2099" s="155"/>
      <c r="GP2099" s="155"/>
      <c r="GQ2099" s="155"/>
      <c r="GR2099" s="155"/>
      <c r="GS2099" s="155"/>
      <c r="GT2099" s="155"/>
      <c r="GU2099" s="155"/>
      <c r="GV2099" s="155"/>
      <c r="GW2099" s="155"/>
      <c r="GX2099" s="155"/>
      <c r="GY2099" s="155"/>
      <c r="GZ2099" s="155"/>
      <c r="HA2099" s="155"/>
      <c r="HB2099" s="155"/>
      <c r="HC2099" s="155"/>
      <c r="HD2099" s="155"/>
      <c r="HE2099" s="155"/>
    </row>
    <row r="2100" spans="2:213" s="156" customFormat="1" hidden="1">
      <c r="B2100" s="155"/>
      <c r="C2100" s="155"/>
      <c r="D2100" s="155"/>
      <c r="E2100" s="155"/>
      <c r="F2100" s="155"/>
      <c r="G2100" s="155"/>
      <c r="H2100" s="155"/>
      <c r="I2100" s="155"/>
      <c r="J2100" s="155"/>
      <c r="K2100" s="155"/>
      <c r="L2100" s="155"/>
      <c r="M2100" s="155"/>
      <c r="N2100" s="155"/>
      <c r="O2100" s="155"/>
      <c r="P2100" s="155"/>
      <c r="Q2100" s="155"/>
      <c r="R2100" s="155"/>
      <c r="S2100" s="155"/>
      <c r="T2100" s="155"/>
      <c r="U2100" s="155"/>
      <c r="V2100" s="155"/>
      <c r="W2100" s="155"/>
      <c r="GL2100" s="155"/>
      <c r="GM2100" s="155"/>
      <c r="GN2100" s="155"/>
      <c r="GO2100" s="155"/>
      <c r="GP2100" s="155"/>
      <c r="GQ2100" s="155"/>
      <c r="GR2100" s="155"/>
      <c r="GS2100" s="155"/>
      <c r="GT2100" s="155"/>
      <c r="GU2100" s="155"/>
      <c r="GV2100" s="155"/>
      <c r="GW2100" s="155"/>
      <c r="GX2100" s="155"/>
      <c r="GY2100" s="155"/>
      <c r="GZ2100" s="155"/>
      <c r="HA2100" s="155"/>
      <c r="HB2100" s="155"/>
      <c r="HC2100" s="155"/>
      <c r="HD2100" s="155"/>
      <c r="HE2100" s="155"/>
    </row>
    <row r="2101" spans="2:213" s="156" customFormat="1" hidden="1">
      <c r="B2101" s="155"/>
      <c r="C2101" s="155"/>
      <c r="D2101" s="155"/>
      <c r="E2101" s="155"/>
      <c r="F2101" s="155"/>
      <c r="G2101" s="155"/>
      <c r="H2101" s="155"/>
      <c r="I2101" s="155"/>
      <c r="J2101" s="155"/>
      <c r="K2101" s="155"/>
      <c r="L2101" s="155"/>
      <c r="M2101" s="155"/>
      <c r="N2101" s="155"/>
      <c r="O2101" s="155"/>
      <c r="P2101" s="155"/>
      <c r="Q2101" s="155"/>
      <c r="R2101" s="155"/>
      <c r="S2101" s="155"/>
      <c r="T2101" s="155"/>
      <c r="U2101" s="155"/>
      <c r="V2101" s="155"/>
      <c r="W2101" s="155"/>
      <c r="GL2101" s="155"/>
      <c r="GM2101" s="155"/>
      <c r="GN2101" s="155"/>
      <c r="GO2101" s="155"/>
      <c r="GP2101" s="155"/>
      <c r="GQ2101" s="155"/>
      <c r="GR2101" s="155"/>
      <c r="GS2101" s="155"/>
      <c r="GT2101" s="155"/>
      <c r="GU2101" s="155"/>
      <c r="GV2101" s="155"/>
      <c r="GW2101" s="155"/>
      <c r="GX2101" s="155"/>
      <c r="GY2101" s="155"/>
      <c r="GZ2101" s="155"/>
      <c r="HA2101" s="155"/>
      <c r="HB2101" s="155"/>
      <c r="HC2101" s="155"/>
      <c r="HD2101" s="155"/>
      <c r="HE2101" s="155"/>
    </row>
    <row r="2102" spans="2:213" s="156" customFormat="1" hidden="1">
      <c r="B2102" s="155"/>
      <c r="C2102" s="155"/>
      <c r="D2102" s="155"/>
      <c r="E2102" s="155"/>
      <c r="F2102" s="155"/>
      <c r="G2102" s="155"/>
      <c r="H2102" s="155"/>
      <c r="I2102" s="155"/>
      <c r="J2102" s="155"/>
      <c r="K2102" s="155"/>
      <c r="L2102" s="155"/>
      <c r="M2102" s="155"/>
      <c r="N2102" s="155"/>
      <c r="O2102" s="155"/>
      <c r="P2102" s="155"/>
      <c r="Q2102" s="155"/>
      <c r="R2102" s="155"/>
      <c r="S2102" s="155"/>
      <c r="T2102" s="155"/>
      <c r="U2102" s="155"/>
      <c r="V2102" s="155"/>
      <c r="W2102" s="155"/>
      <c r="GL2102" s="155"/>
      <c r="GM2102" s="155"/>
      <c r="GN2102" s="155"/>
      <c r="GO2102" s="155"/>
      <c r="GP2102" s="155"/>
      <c r="GQ2102" s="155"/>
      <c r="GR2102" s="155"/>
      <c r="GS2102" s="155"/>
      <c r="GT2102" s="155"/>
      <c r="GU2102" s="155"/>
      <c r="GV2102" s="155"/>
      <c r="GW2102" s="155"/>
      <c r="GX2102" s="155"/>
      <c r="GY2102" s="155"/>
      <c r="GZ2102" s="155"/>
      <c r="HA2102" s="155"/>
      <c r="HB2102" s="155"/>
      <c r="HC2102" s="155"/>
      <c r="HD2102" s="155"/>
      <c r="HE2102" s="155"/>
    </row>
    <row r="2103" spans="2:213" s="156" customFormat="1" hidden="1">
      <c r="B2103" s="155"/>
      <c r="C2103" s="155"/>
      <c r="D2103" s="155"/>
      <c r="E2103" s="155"/>
      <c r="F2103" s="155"/>
      <c r="G2103" s="155"/>
      <c r="H2103" s="155"/>
      <c r="I2103" s="155"/>
      <c r="J2103" s="155"/>
      <c r="K2103" s="155"/>
      <c r="L2103" s="155"/>
      <c r="M2103" s="155"/>
      <c r="N2103" s="155"/>
      <c r="O2103" s="155"/>
      <c r="P2103" s="155"/>
      <c r="Q2103" s="155"/>
      <c r="R2103" s="155"/>
      <c r="S2103" s="155"/>
      <c r="T2103" s="155"/>
      <c r="U2103" s="155"/>
      <c r="V2103" s="155"/>
      <c r="W2103" s="155"/>
      <c r="GL2103" s="155"/>
      <c r="GM2103" s="155"/>
      <c r="GN2103" s="155"/>
      <c r="GO2103" s="155"/>
      <c r="GP2103" s="155"/>
      <c r="GQ2103" s="155"/>
      <c r="GR2103" s="155"/>
      <c r="GS2103" s="155"/>
      <c r="GT2103" s="155"/>
      <c r="GU2103" s="155"/>
      <c r="GV2103" s="155"/>
      <c r="GW2103" s="155"/>
      <c r="GX2103" s="155"/>
      <c r="GY2103" s="155"/>
      <c r="GZ2103" s="155"/>
      <c r="HA2103" s="155"/>
      <c r="HB2103" s="155"/>
      <c r="HC2103" s="155"/>
      <c r="HD2103" s="155"/>
      <c r="HE2103" s="155"/>
    </row>
    <row r="2104" spans="2:213" s="156" customFormat="1" hidden="1">
      <c r="B2104" s="155"/>
      <c r="C2104" s="155"/>
      <c r="D2104" s="155"/>
      <c r="E2104" s="155"/>
      <c r="F2104" s="155"/>
      <c r="G2104" s="155"/>
      <c r="H2104" s="155"/>
      <c r="I2104" s="155"/>
      <c r="J2104" s="155"/>
      <c r="K2104" s="155"/>
      <c r="L2104" s="155"/>
      <c r="M2104" s="155"/>
      <c r="N2104" s="155"/>
      <c r="O2104" s="155"/>
      <c r="P2104" s="155"/>
      <c r="Q2104" s="155"/>
      <c r="R2104" s="155"/>
      <c r="S2104" s="155"/>
      <c r="T2104" s="155"/>
      <c r="U2104" s="155"/>
      <c r="V2104" s="155"/>
      <c r="W2104" s="155"/>
      <c r="GL2104" s="155"/>
      <c r="GM2104" s="155"/>
      <c r="GN2104" s="155"/>
      <c r="GO2104" s="155"/>
      <c r="GP2104" s="155"/>
      <c r="GQ2104" s="155"/>
      <c r="GR2104" s="155"/>
      <c r="GS2104" s="155"/>
      <c r="GT2104" s="155"/>
      <c r="GU2104" s="155"/>
      <c r="GV2104" s="155"/>
      <c r="GW2104" s="155"/>
      <c r="GX2104" s="155"/>
      <c r="GY2104" s="155"/>
      <c r="GZ2104" s="155"/>
      <c r="HA2104" s="155"/>
      <c r="HB2104" s="155"/>
      <c r="HC2104" s="155"/>
      <c r="HD2104" s="155"/>
      <c r="HE2104" s="155"/>
    </row>
    <row r="2105" spans="2:213" s="156" customFormat="1" hidden="1">
      <c r="B2105" s="155"/>
      <c r="C2105" s="155"/>
      <c r="D2105" s="155"/>
      <c r="E2105" s="155"/>
      <c r="F2105" s="155"/>
      <c r="G2105" s="155"/>
      <c r="H2105" s="155"/>
      <c r="I2105" s="155"/>
      <c r="J2105" s="155"/>
      <c r="K2105" s="155"/>
      <c r="L2105" s="155"/>
      <c r="M2105" s="155"/>
      <c r="N2105" s="155"/>
      <c r="O2105" s="155"/>
      <c r="P2105" s="155"/>
      <c r="Q2105" s="155"/>
      <c r="R2105" s="155"/>
      <c r="S2105" s="155"/>
      <c r="T2105" s="155"/>
      <c r="U2105" s="155"/>
      <c r="V2105" s="155"/>
      <c r="W2105" s="155"/>
      <c r="GL2105" s="155"/>
      <c r="GM2105" s="155"/>
      <c r="GN2105" s="155"/>
      <c r="GO2105" s="155"/>
      <c r="GP2105" s="155"/>
      <c r="GQ2105" s="155"/>
      <c r="GR2105" s="155"/>
      <c r="GS2105" s="155"/>
      <c r="GT2105" s="155"/>
      <c r="GU2105" s="155"/>
      <c r="GV2105" s="155"/>
      <c r="GW2105" s="155"/>
      <c r="GX2105" s="155"/>
      <c r="GY2105" s="155"/>
      <c r="GZ2105" s="155"/>
      <c r="HA2105" s="155"/>
      <c r="HB2105" s="155"/>
      <c r="HC2105" s="155"/>
      <c r="HD2105" s="155"/>
      <c r="HE2105" s="155"/>
    </row>
    <row r="2106" spans="2:213" s="156" customFormat="1" hidden="1">
      <c r="B2106" s="155"/>
      <c r="C2106" s="155"/>
      <c r="D2106" s="155"/>
      <c r="E2106" s="155"/>
      <c r="F2106" s="155"/>
      <c r="G2106" s="155"/>
      <c r="H2106" s="155"/>
      <c r="I2106" s="155"/>
      <c r="J2106" s="155"/>
      <c r="K2106" s="155"/>
      <c r="L2106" s="155"/>
      <c r="M2106" s="155"/>
      <c r="N2106" s="155"/>
      <c r="O2106" s="155"/>
      <c r="P2106" s="155"/>
      <c r="Q2106" s="155"/>
      <c r="R2106" s="155"/>
      <c r="S2106" s="155"/>
      <c r="T2106" s="155"/>
      <c r="U2106" s="155"/>
      <c r="V2106" s="155"/>
      <c r="W2106" s="155"/>
      <c r="GL2106" s="155"/>
      <c r="GM2106" s="155"/>
      <c r="GN2106" s="155"/>
      <c r="GO2106" s="155"/>
      <c r="GP2106" s="155"/>
      <c r="GQ2106" s="155"/>
      <c r="GR2106" s="155"/>
      <c r="GS2106" s="155"/>
      <c r="GT2106" s="155"/>
      <c r="GU2106" s="155"/>
      <c r="GV2106" s="155"/>
      <c r="GW2106" s="155"/>
      <c r="GX2106" s="155"/>
      <c r="GY2106" s="155"/>
      <c r="GZ2106" s="155"/>
      <c r="HA2106" s="155"/>
      <c r="HB2106" s="155"/>
      <c r="HC2106" s="155"/>
      <c r="HD2106" s="155"/>
      <c r="HE2106" s="155"/>
    </row>
    <row r="2107" spans="2:213" s="156" customFormat="1" hidden="1">
      <c r="B2107" s="155"/>
      <c r="C2107" s="155"/>
      <c r="D2107" s="155"/>
      <c r="E2107" s="155"/>
      <c r="F2107" s="155"/>
      <c r="G2107" s="155"/>
      <c r="H2107" s="155"/>
      <c r="I2107" s="155"/>
      <c r="J2107" s="155"/>
      <c r="K2107" s="155"/>
      <c r="L2107" s="155"/>
      <c r="M2107" s="155"/>
      <c r="N2107" s="155"/>
      <c r="O2107" s="155"/>
      <c r="P2107" s="155"/>
      <c r="Q2107" s="155"/>
      <c r="R2107" s="155"/>
      <c r="S2107" s="155"/>
      <c r="T2107" s="155"/>
      <c r="U2107" s="155"/>
      <c r="V2107" s="155"/>
      <c r="W2107" s="155"/>
      <c r="GL2107" s="155"/>
      <c r="GM2107" s="155"/>
      <c r="GN2107" s="155"/>
      <c r="GO2107" s="155"/>
      <c r="GP2107" s="155"/>
      <c r="GQ2107" s="155"/>
      <c r="GR2107" s="155"/>
      <c r="GS2107" s="155"/>
      <c r="GT2107" s="155"/>
      <c r="GU2107" s="155"/>
      <c r="GV2107" s="155"/>
      <c r="GW2107" s="155"/>
      <c r="GX2107" s="155"/>
      <c r="GY2107" s="155"/>
      <c r="GZ2107" s="155"/>
      <c r="HA2107" s="155"/>
      <c r="HB2107" s="155"/>
      <c r="HC2107" s="155"/>
      <c r="HD2107" s="155"/>
      <c r="HE2107" s="155"/>
    </row>
    <row r="2108" spans="2:213" s="156" customFormat="1" hidden="1">
      <c r="B2108" s="155"/>
      <c r="C2108" s="155"/>
      <c r="D2108" s="155"/>
      <c r="E2108" s="155"/>
      <c r="F2108" s="155"/>
      <c r="G2108" s="155"/>
      <c r="H2108" s="155"/>
      <c r="I2108" s="155"/>
      <c r="J2108" s="155"/>
      <c r="K2108" s="155"/>
      <c r="L2108" s="155"/>
      <c r="M2108" s="155"/>
      <c r="N2108" s="155"/>
      <c r="O2108" s="155"/>
      <c r="P2108" s="155"/>
      <c r="Q2108" s="155"/>
      <c r="R2108" s="155"/>
      <c r="S2108" s="155"/>
      <c r="T2108" s="155"/>
      <c r="U2108" s="155"/>
      <c r="V2108" s="155"/>
      <c r="W2108" s="155"/>
      <c r="GL2108" s="155"/>
      <c r="GM2108" s="155"/>
      <c r="GN2108" s="155"/>
      <c r="GO2108" s="155"/>
      <c r="GP2108" s="155"/>
      <c r="GQ2108" s="155"/>
      <c r="GR2108" s="155"/>
      <c r="GS2108" s="155"/>
      <c r="GT2108" s="155"/>
      <c r="GU2108" s="155"/>
      <c r="GV2108" s="155"/>
      <c r="GW2108" s="155"/>
      <c r="GX2108" s="155"/>
      <c r="GY2108" s="155"/>
      <c r="GZ2108" s="155"/>
      <c r="HA2108" s="155"/>
      <c r="HB2108" s="155"/>
      <c r="HC2108" s="155"/>
      <c r="HD2108" s="155"/>
      <c r="HE2108" s="155"/>
    </row>
    <row r="2109" spans="2:213" s="156" customFormat="1" hidden="1">
      <c r="B2109" s="155"/>
      <c r="C2109" s="155"/>
      <c r="D2109" s="155"/>
      <c r="E2109" s="155"/>
      <c r="F2109" s="155"/>
      <c r="G2109" s="155"/>
      <c r="H2109" s="155"/>
      <c r="I2109" s="155"/>
      <c r="J2109" s="155"/>
      <c r="K2109" s="155"/>
      <c r="L2109" s="155"/>
      <c r="M2109" s="155"/>
      <c r="N2109" s="155"/>
      <c r="O2109" s="155"/>
      <c r="P2109" s="155"/>
      <c r="Q2109" s="155"/>
      <c r="R2109" s="155"/>
      <c r="S2109" s="155"/>
      <c r="T2109" s="155"/>
      <c r="U2109" s="155"/>
      <c r="V2109" s="155"/>
      <c r="W2109" s="155"/>
      <c r="GL2109" s="155"/>
      <c r="GM2109" s="155"/>
      <c r="GN2109" s="155"/>
      <c r="GO2109" s="155"/>
      <c r="GP2109" s="155"/>
      <c r="GQ2109" s="155"/>
      <c r="GR2109" s="155"/>
      <c r="GS2109" s="155"/>
      <c r="GT2109" s="155"/>
      <c r="GU2109" s="155"/>
      <c r="GV2109" s="155"/>
      <c r="GW2109" s="155"/>
      <c r="GX2109" s="155"/>
      <c r="GY2109" s="155"/>
      <c r="GZ2109" s="155"/>
      <c r="HA2109" s="155"/>
      <c r="HB2109" s="155"/>
      <c r="HC2109" s="155"/>
      <c r="HD2109" s="155"/>
      <c r="HE2109" s="155"/>
    </row>
    <row r="2110" spans="2:213" s="156" customFormat="1" hidden="1">
      <c r="B2110" s="155"/>
      <c r="C2110" s="155"/>
      <c r="D2110" s="155"/>
      <c r="E2110" s="155"/>
      <c r="F2110" s="155"/>
      <c r="G2110" s="155"/>
      <c r="H2110" s="155"/>
      <c r="I2110" s="155"/>
      <c r="J2110" s="155"/>
      <c r="K2110" s="155"/>
      <c r="L2110" s="155"/>
      <c r="M2110" s="155"/>
      <c r="N2110" s="155"/>
      <c r="O2110" s="155"/>
      <c r="P2110" s="155"/>
      <c r="Q2110" s="155"/>
      <c r="R2110" s="155"/>
      <c r="S2110" s="155"/>
      <c r="T2110" s="155"/>
      <c r="U2110" s="155"/>
      <c r="V2110" s="155"/>
      <c r="W2110" s="155"/>
      <c r="GL2110" s="155"/>
      <c r="GM2110" s="155"/>
      <c r="GN2110" s="155"/>
      <c r="GO2110" s="155"/>
      <c r="GP2110" s="155"/>
      <c r="GQ2110" s="155"/>
      <c r="GR2110" s="155"/>
      <c r="GS2110" s="155"/>
      <c r="GT2110" s="155"/>
      <c r="GU2110" s="155"/>
      <c r="GV2110" s="155"/>
      <c r="GW2110" s="155"/>
      <c r="GX2110" s="155"/>
      <c r="GY2110" s="155"/>
      <c r="GZ2110" s="155"/>
      <c r="HA2110" s="155"/>
      <c r="HB2110" s="155"/>
      <c r="HC2110" s="155"/>
      <c r="HD2110" s="155"/>
      <c r="HE2110" s="155"/>
    </row>
    <row r="2111" spans="2:213" s="156" customFormat="1" hidden="1">
      <c r="B2111" s="155"/>
      <c r="C2111" s="155"/>
      <c r="D2111" s="155"/>
      <c r="E2111" s="155"/>
      <c r="F2111" s="155"/>
      <c r="G2111" s="155"/>
      <c r="H2111" s="155"/>
      <c r="I2111" s="155"/>
      <c r="J2111" s="155"/>
      <c r="K2111" s="155"/>
      <c r="L2111" s="155"/>
      <c r="M2111" s="155"/>
      <c r="N2111" s="155"/>
      <c r="O2111" s="155"/>
      <c r="P2111" s="155"/>
      <c r="Q2111" s="155"/>
      <c r="R2111" s="155"/>
      <c r="S2111" s="155"/>
      <c r="T2111" s="155"/>
      <c r="U2111" s="155"/>
      <c r="V2111" s="155"/>
      <c r="W2111" s="155"/>
      <c r="GL2111" s="155"/>
      <c r="GM2111" s="155"/>
      <c r="GN2111" s="155"/>
      <c r="GO2111" s="155"/>
      <c r="GP2111" s="155"/>
      <c r="GQ2111" s="155"/>
      <c r="GR2111" s="155"/>
      <c r="GS2111" s="155"/>
      <c r="GT2111" s="155"/>
      <c r="GU2111" s="155"/>
      <c r="GV2111" s="155"/>
      <c r="GW2111" s="155"/>
      <c r="GX2111" s="155"/>
      <c r="GY2111" s="155"/>
      <c r="GZ2111" s="155"/>
      <c r="HA2111" s="155"/>
      <c r="HB2111" s="155"/>
      <c r="HC2111" s="155"/>
      <c r="HD2111" s="155"/>
      <c r="HE2111" s="155"/>
    </row>
    <row r="2112" spans="2:213" s="156" customFormat="1" hidden="1">
      <c r="B2112" s="155"/>
      <c r="C2112" s="155"/>
      <c r="D2112" s="155"/>
      <c r="E2112" s="155"/>
      <c r="F2112" s="155"/>
      <c r="G2112" s="155"/>
      <c r="H2112" s="155"/>
      <c r="I2112" s="155"/>
      <c r="J2112" s="155"/>
      <c r="K2112" s="155"/>
      <c r="L2112" s="155"/>
      <c r="M2112" s="155"/>
      <c r="N2112" s="155"/>
      <c r="O2112" s="155"/>
      <c r="P2112" s="155"/>
      <c r="Q2112" s="155"/>
      <c r="R2112" s="155"/>
      <c r="S2112" s="155"/>
      <c r="T2112" s="155"/>
      <c r="U2112" s="155"/>
      <c r="V2112" s="155"/>
      <c r="W2112" s="155"/>
      <c r="GL2112" s="155"/>
      <c r="GM2112" s="155"/>
      <c r="GN2112" s="155"/>
      <c r="GO2112" s="155"/>
      <c r="GP2112" s="155"/>
      <c r="GQ2112" s="155"/>
      <c r="GR2112" s="155"/>
      <c r="GS2112" s="155"/>
      <c r="GT2112" s="155"/>
      <c r="GU2112" s="155"/>
      <c r="GV2112" s="155"/>
      <c r="GW2112" s="155"/>
      <c r="GX2112" s="155"/>
      <c r="GY2112" s="155"/>
      <c r="GZ2112" s="155"/>
      <c r="HA2112" s="155"/>
      <c r="HB2112" s="155"/>
      <c r="HC2112" s="155"/>
      <c r="HD2112" s="155"/>
      <c r="HE2112" s="155"/>
    </row>
    <row r="2113" spans="2:213" s="156" customFormat="1" hidden="1">
      <c r="B2113" s="155"/>
      <c r="C2113" s="155"/>
      <c r="D2113" s="155"/>
      <c r="E2113" s="155"/>
      <c r="F2113" s="155"/>
      <c r="G2113" s="155"/>
      <c r="H2113" s="155"/>
      <c r="I2113" s="155"/>
      <c r="J2113" s="155"/>
      <c r="K2113" s="155"/>
      <c r="L2113" s="155"/>
      <c r="M2113" s="155"/>
      <c r="N2113" s="155"/>
      <c r="O2113" s="155"/>
      <c r="P2113" s="155"/>
      <c r="Q2113" s="155"/>
      <c r="R2113" s="155"/>
      <c r="S2113" s="155"/>
      <c r="T2113" s="155"/>
      <c r="U2113" s="155"/>
      <c r="V2113" s="155"/>
      <c r="W2113" s="155"/>
      <c r="GL2113" s="155"/>
      <c r="GM2113" s="155"/>
      <c r="GN2113" s="155"/>
      <c r="GO2113" s="155"/>
      <c r="GP2113" s="155"/>
      <c r="GQ2113" s="155"/>
      <c r="GR2113" s="155"/>
      <c r="GS2113" s="155"/>
      <c r="GT2113" s="155"/>
      <c r="GU2113" s="155"/>
      <c r="GV2113" s="155"/>
      <c r="GW2113" s="155"/>
      <c r="GX2113" s="155"/>
      <c r="GY2113" s="155"/>
      <c r="GZ2113" s="155"/>
      <c r="HA2113" s="155"/>
      <c r="HB2113" s="155"/>
      <c r="HC2113" s="155"/>
      <c r="HD2113" s="155"/>
      <c r="HE2113" s="155"/>
    </row>
    <row r="2114" spans="2:213" s="156" customFormat="1" hidden="1">
      <c r="B2114" s="155"/>
      <c r="C2114" s="155"/>
      <c r="D2114" s="155"/>
      <c r="E2114" s="155"/>
      <c r="F2114" s="155"/>
      <c r="G2114" s="155"/>
      <c r="H2114" s="155"/>
      <c r="I2114" s="155"/>
      <c r="J2114" s="155"/>
      <c r="K2114" s="155"/>
      <c r="L2114" s="155"/>
      <c r="M2114" s="155"/>
      <c r="N2114" s="155"/>
      <c r="O2114" s="155"/>
      <c r="P2114" s="155"/>
      <c r="Q2114" s="155"/>
      <c r="R2114" s="155"/>
      <c r="S2114" s="155"/>
      <c r="T2114" s="155"/>
      <c r="U2114" s="155"/>
      <c r="V2114" s="155"/>
      <c r="W2114" s="155"/>
      <c r="GL2114" s="155"/>
      <c r="GM2114" s="155"/>
      <c r="GN2114" s="155"/>
      <c r="GO2114" s="155"/>
      <c r="GP2114" s="155"/>
      <c r="GQ2114" s="155"/>
      <c r="GR2114" s="155"/>
      <c r="GS2114" s="155"/>
      <c r="GT2114" s="155"/>
      <c r="GU2114" s="155"/>
      <c r="GV2114" s="155"/>
      <c r="GW2114" s="155"/>
      <c r="GX2114" s="155"/>
      <c r="GY2114" s="155"/>
      <c r="GZ2114" s="155"/>
      <c r="HA2114" s="155"/>
      <c r="HB2114" s="155"/>
      <c r="HC2114" s="155"/>
      <c r="HD2114" s="155"/>
      <c r="HE2114" s="155"/>
    </row>
    <row r="2115" spans="2:213" s="156" customFormat="1" hidden="1">
      <c r="B2115" s="155"/>
      <c r="C2115" s="155"/>
      <c r="D2115" s="155"/>
      <c r="E2115" s="155"/>
      <c r="F2115" s="155"/>
      <c r="G2115" s="155"/>
      <c r="H2115" s="155"/>
      <c r="I2115" s="155"/>
      <c r="J2115" s="155"/>
      <c r="K2115" s="155"/>
      <c r="L2115" s="155"/>
      <c r="M2115" s="155"/>
      <c r="N2115" s="155"/>
      <c r="O2115" s="155"/>
      <c r="P2115" s="155"/>
      <c r="Q2115" s="155"/>
      <c r="R2115" s="155"/>
      <c r="S2115" s="155"/>
      <c r="T2115" s="155"/>
      <c r="U2115" s="155"/>
      <c r="V2115" s="155"/>
      <c r="W2115" s="155"/>
      <c r="GL2115" s="155"/>
      <c r="GM2115" s="155"/>
      <c r="GN2115" s="155"/>
      <c r="GO2115" s="155"/>
      <c r="GP2115" s="155"/>
      <c r="GQ2115" s="155"/>
      <c r="GR2115" s="155"/>
      <c r="GS2115" s="155"/>
      <c r="GT2115" s="155"/>
      <c r="GU2115" s="155"/>
      <c r="GV2115" s="155"/>
      <c r="GW2115" s="155"/>
      <c r="GX2115" s="155"/>
      <c r="GY2115" s="155"/>
      <c r="GZ2115" s="155"/>
      <c r="HA2115" s="155"/>
      <c r="HB2115" s="155"/>
      <c r="HC2115" s="155"/>
      <c r="HD2115" s="155"/>
      <c r="HE2115" s="155"/>
    </row>
    <row r="2116" spans="2:213" s="156" customFormat="1" hidden="1">
      <c r="B2116" s="155"/>
      <c r="C2116" s="155"/>
      <c r="D2116" s="155"/>
      <c r="E2116" s="155"/>
      <c r="F2116" s="155"/>
      <c r="G2116" s="155"/>
      <c r="H2116" s="155"/>
      <c r="I2116" s="155"/>
      <c r="J2116" s="155"/>
      <c r="K2116" s="155"/>
      <c r="L2116" s="155"/>
      <c r="M2116" s="155"/>
      <c r="N2116" s="155"/>
      <c r="O2116" s="155"/>
      <c r="P2116" s="155"/>
      <c r="Q2116" s="155"/>
      <c r="R2116" s="155"/>
      <c r="S2116" s="155"/>
      <c r="T2116" s="155"/>
      <c r="U2116" s="155"/>
      <c r="V2116" s="155"/>
      <c r="W2116" s="155"/>
      <c r="GL2116" s="155"/>
      <c r="GM2116" s="155"/>
      <c r="GN2116" s="155"/>
      <c r="GO2116" s="155"/>
      <c r="GP2116" s="155"/>
      <c r="GQ2116" s="155"/>
      <c r="GR2116" s="155"/>
      <c r="GS2116" s="155"/>
      <c r="GT2116" s="155"/>
      <c r="GU2116" s="155"/>
      <c r="GV2116" s="155"/>
      <c r="GW2116" s="155"/>
      <c r="GX2116" s="155"/>
      <c r="GY2116" s="155"/>
      <c r="GZ2116" s="155"/>
      <c r="HA2116" s="155"/>
      <c r="HB2116" s="155"/>
      <c r="HC2116" s="155"/>
      <c r="HD2116" s="155"/>
      <c r="HE2116" s="155"/>
    </row>
    <row r="2117" spans="2:213" s="156" customFormat="1" hidden="1">
      <c r="B2117" s="155"/>
      <c r="C2117" s="155"/>
      <c r="D2117" s="155"/>
      <c r="E2117" s="155"/>
      <c r="F2117" s="155"/>
      <c r="G2117" s="155"/>
      <c r="H2117" s="155"/>
      <c r="I2117" s="155"/>
      <c r="J2117" s="155"/>
      <c r="K2117" s="155"/>
      <c r="L2117" s="155"/>
      <c r="M2117" s="155"/>
      <c r="N2117" s="155"/>
      <c r="O2117" s="155"/>
      <c r="P2117" s="155"/>
      <c r="Q2117" s="155"/>
      <c r="R2117" s="155"/>
      <c r="S2117" s="155"/>
      <c r="T2117" s="155"/>
      <c r="U2117" s="155"/>
      <c r="V2117" s="155"/>
      <c r="W2117" s="155"/>
      <c r="GL2117" s="155"/>
      <c r="GM2117" s="155"/>
      <c r="GN2117" s="155"/>
      <c r="GO2117" s="155"/>
      <c r="GP2117" s="155"/>
      <c r="GQ2117" s="155"/>
      <c r="GR2117" s="155"/>
      <c r="GS2117" s="155"/>
      <c r="GT2117" s="155"/>
      <c r="GU2117" s="155"/>
      <c r="GV2117" s="155"/>
      <c r="GW2117" s="155"/>
      <c r="GX2117" s="155"/>
      <c r="GY2117" s="155"/>
      <c r="GZ2117" s="155"/>
      <c r="HA2117" s="155"/>
      <c r="HB2117" s="155"/>
      <c r="HC2117" s="155"/>
      <c r="HD2117" s="155"/>
      <c r="HE2117" s="155"/>
    </row>
    <row r="2118" spans="2:213" s="156" customFormat="1" hidden="1">
      <c r="B2118" s="155"/>
      <c r="C2118" s="155"/>
      <c r="D2118" s="155"/>
      <c r="E2118" s="155"/>
      <c r="F2118" s="155"/>
      <c r="G2118" s="155"/>
      <c r="H2118" s="155"/>
      <c r="I2118" s="155"/>
      <c r="J2118" s="155"/>
      <c r="K2118" s="155"/>
      <c r="L2118" s="155"/>
      <c r="M2118" s="155"/>
      <c r="N2118" s="155"/>
      <c r="O2118" s="155"/>
      <c r="P2118" s="155"/>
      <c r="Q2118" s="155"/>
      <c r="R2118" s="155"/>
      <c r="S2118" s="155"/>
      <c r="T2118" s="155"/>
      <c r="U2118" s="155"/>
      <c r="V2118" s="155"/>
      <c r="W2118" s="155"/>
      <c r="GL2118" s="155"/>
      <c r="GM2118" s="155"/>
      <c r="GN2118" s="155"/>
      <c r="GO2118" s="155"/>
      <c r="GP2118" s="155"/>
      <c r="GQ2118" s="155"/>
      <c r="GR2118" s="155"/>
      <c r="GS2118" s="155"/>
      <c r="GT2118" s="155"/>
      <c r="GU2118" s="155"/>
      <c r="GV2118" s="155"/>
      <c r="GW2118" s="155"/>
      <c r="GX2118" s="155"/>
      <c r="GY2118" s="155"/>
      <c r="GZ2118" s="155"/>
      <c r="HA2118" s="155"/>
      <c r="HB2118" s="155"/>
      <c r="HC2118" s="155"/>
      <c r="HD2118" s="155"/>
      <c r="HE2118" s="155"/>
    </row>
    <row r="2119" spans="2:213" s="156" customFormat="1" hidden="1">
      <c r="B2119" s="155"/>
      <c r="C2119" s="155"/>
      <c r="D2119" s="155"/>
      <c r="E2119" s="155"/>
      <c r="F2119" s="155"/>
      <c r="G2119" s="155"/>
      <c r="H2119" s="155"/>
      <c r="I2119" s="155"/>
      <c r="J2119" s="155"/>
      <c r="K2119" s="155"/>
      <c r="L2119" s="155"/>
      <c r="M2119" s="155"/>
      <c r="N2119" s="155"/>
      <c r="O2119" s="155"/>
      <c r="P2119" s="155"/>
      <c r="Q2119" s="155"/>
      <c r="R2119" s="155"/>
      <c r="S2119" s="155"/>
      <c r="T2119" s="155"/>
      <c r="U2119" s="155"/>
      <c r="V2119" s="155"/>
      <c r="W2119" s="155"/>
      <c r="GL2119" s="155"/>
      <c r="GM2119" s="155"/>
      <c r="GN2119" s="155"/>
      <c r="GO2119" s="155"/>
      <c r="GP2119" s="155"/>
      <c r="GQ2119" s="155"/>
      <c r="GR2119" s="155"/>
      <c r="GS2119" s="155"/>
      <c r="GT2119" s="155"/>
      <c r="GU2119" s="155"/>
      <c r="GV2119" s="155"/>
      <c r="GW2119" s="155"/>
      <c r="GX2119" s="155"/>
      <c r="GY2119" s="155"/>
      <c r="GZ2119" s="155"/>
      <c r="HA2119" s="155"/>
      <c r="HB2119" s="155"/>
      <c r="HC2119" s="155"/>
      <c r="HD2119" s="155"/>
      <c r="HE2119" s="155"/>
    </row>
    <row r="2120" spans="2:213" s="156" customFormat="1" hidden="1">
      <c r="B2120" s="155"/>
      <c r="C2120" s="155"/>
      <c r="D2120" s="155"/>
      <c r="E2120" s="155"/>
      <c r="F2120" s="155"/>
      <c r="G2120" s="155"/>
      <c r="H2120" s="155"/>
      <c r="I2120" s="155"/>
      <c r="J2120" s="155"/>
      <c r="K2120" s="155"/>
      <c r="L2120" s="155"/>
      <c r="M2120" s="155"/>
      <c r="N2120" s="155"/>
      <c r="O2120" s="155"/>
      <c r="P2120" s="155"/>
      <c r="Q2120" s="155"/>
      <c r="R2120" s="155"/>
      <c r="S2120" s="155"/>
      <c r="T2120" s="155"/>
      <c r="U2120" s="155"/>
      <c r="V2120" s="155"/>
      <c r="W2120" s="155"/>
      <c r="GL2120" s="155"/>
      <c r="GM2120" s="155"/>
      <c r="GN2120" s="155"/>
      <c r="GO2120" s="155"/>
      <c r="GP2120" s="155"/>
      <c r="GQ2120" s="155"/>
      <c r="GR2120" s="155"/>
      <c r="GS2120" s="155"/>
      <c r="GT2120" s="155"/>
      <c r="GU2120" s="155"/>
      <c r="GV2120" s="155"/>
      <c r="GW2120" s="155"/>
      <c r="GX2120" s="155"/>
      <c r="GY2120" s="155"/>
      <c r="GZ2120" s="155"/>
      <c r="HA2120" s="155"/>
      <c r="HB2120" s="155"/>
      <c r="HC2120" s="155"/>
      <c r="HD2120" s="155"/>
      <c r="HE2120" s="155"/>
    </row>
    <row r="2121" spans="2:213" s="156" customFormat="1" hidden="1">
      <c r="B2121" s="155"/>
      <c r="C2121" s="155"/>
      <c r="D2121" s="155"/>
      <c r="E2121" s="155"/>
      <c r="F2121" s="155"/>
      <c r="G2121" s="155"/>
      <c r="H2121" s="155"/>
      <c r="I2121" s="155"/>
      <c r="J2121" s="155"/>
      <c r="K2121" s="155"/>
      <c r="L2121" s="155"/>
      <c r="M2121" s="155"/>
      <c r="N2121" s="155"/>
      <c r="O2121" s="155"/>
      <c r="P2121" s="155"/>
      <c r="Q2121" s="155"/>
      <c r="R2121" s="155"/>
      <c r="S2121" s="155"/>
      <c r="T2121" s="155"/>
      <c r="U2121" s="155"/>
      <c r="V2121" s="155"/>
      <c r="W2121" s="155"/>
      <c r="GL2121" s="155"/>
      <c r="GM2121" s="155"/>
      <c r="GN2121" s="155"/>
      <c r="GO2121" s="155"/>
      <c r="GP2121" s="155"/>
      <c r="GQ2121" s="155"/>
      <c r="GR2121" s="155"/>
      <c r="GS2121" s="155"/>
      <c r="GT2121" s="155"/>
      <c r="GU2121" s="155"/>
      <c r="GV2121" s="155"/>
      <c r="GW2121" s="155"/>
      <c r="GX2121" s="155"/>
      <c r="GY2121" s="155"/>
      <c r="GZ2121" s="155"/>
      <c r="HA2121" s="155"/>
      <c r="HB2121" s="155"/>
      <c r="HC2121" s="155"/>
      <c r="HD2121" s="155"/>
      <c r="HE2121" s="155"/>
    </row>
    <row r="2122" spans="2:213" s="156" customFormat="1" hidden="1">
      <c r="B2122" s="155"/>
      <c r="C2122" s="155"/>
      <c r="D2122" s="155"/>
      <c r="E2122" s="155"/>
      <c r="F2122" s="155"/>
      <c r="G2122" s="155"/>
      <c r="H2122" s="155"/>
      <c r="I2122" s="155"/>
      <c r="J2122" s="155"/>
      <c r="K2122" s="155"/>
      <c r="L2122" s="155"/>
      <c r="M2122" s="155"/>
      <c r="N2122" s="155"/>
      <c r="O2122" s="155"/>
      <c r="P2122" s="155"/>
      <c r="Q2122" s="155"/>
      <c r="R2122" s="155"/>
      <c r="S2122" s="155"/>
      <c r="T2122" s="155"/>
      <c r="U2122" s="155"/>
      <c r="V2122" s="155"/>
      <c r="W2122" s="155"/>
      <c r="GL2122" s="155"/>
      <c r="GM2122" s="155"/>
      <c r="GN2122" s="155"/>
      <c r="GO2122" s="155"/>
      <c r="GP2122" s="155"/>
      <c r="GQ2122" s="155"/>
      <c r="GR2122" s="155"/>
      <c r="GS2122" s="155"/>
      <c r="GT2122" s="155"/>
      <c r="GU2122" s="155"/>
      <c r="GV2122" s="155"/>
      <c r="GW2122" s="155"/>
      <c r="GX2122" s="155"/>
      <c r="GY2122" s="155"/>
      <c r="GZ2122" s="155"/>
      <c r="HA2122" s="155"/>
      <c r="HB2122" s="155"/>
      <c r="HC2122" s="155"/>
      <c r="HD2122" s="155"/>
      <c r="HE2122" s="155"/>
    </row>
    <row r="2123" spans="2:213" s="156" customFormat="1" hidden="1">
      <c r="B2123" s="155"/>
      <c r="C2123" s="155"/>
      <c r="D2123" s="155"/>
      <c r="E2123" s="155"/>
      <c r="F2123" s="155"/>
      <c r="G2123" s="155"/>
      <c r="H2123" s="155"/>
      <c r="I2123" s="155"/>
      <c r="J2123" s="155"/>
      <c r="K2123" s="155"/>
      <c r="L2123" s="155"/>
      <c r="M2123" s="155"/>
      <c r="N2123" s="155"/>
      <c r="O2123" s="155"/>
      <c r="P2123" s="155"/>
      <c r="Q2123" s="155"/>
      <c r="R2123" s="155"/>
      <c r="S2123" s="155"/>
      <c r="T2123" s="155"/>
      <c r="U2123" s="155"/>
      <c r="V2123" s="155"/>
      <c r="W2123" s="155"/>
      <c r="GL2123" s="155"/>
      <c r="GM2123" s="155"/>
      <c r="GN2123" s="155"/>
      <c r="GO2123" s="155"/>
      <c r="GP2123" s="155"/>
      <c r="GQ2123" s="155"/>
      <c r="GR2123" s="155"/>
      <c r="GS2123" s="155"/>
      <c r="GT2123" s="155"/>
      <c r="GU2123" s="155"/>
      <c r="GV2123" s="155"/>
      <c r="GW2123" s="155"/>
      <c r="GX2123" s="155"/>
      <c r="GY2123" s="155"/>
      <c r="GZ2123" s="155"/>
      <c r="HA2123" s="155"/>
      <c r="HB2123" s="155"/>
      <c r="HC2123" s="155"/>
      <c r="HD2123" s="155"/>
      <c r="HE2123" s="155"/>
    </row>
    <row r="2124" spans="2:213" s="156" customFormat="1" hidden="1">
      <c r="B2124" s="155"/>
      <c r="C2124" s="155"/>
      <c r="D2124" s="155"/>
      <c r="E2124" s="155"/>
      <c r="F2124" s="155"/>
      <c r="G2124" s="155"/>
      <c r="H2124" s="155"/>
      <c r="I2124" s="155"/>
      <c r="J2124" s="155"/>
      <c r="K2124" s="155"/>
      <c r="L2124" s="155"/>
      <c r="M2124" s="155"/>
      <c r="N2124" s="155"/>
      <c r="O2124" s="155"/>
      <c r="P2124" s="155"/>
      <c r="Q2124" s="155"/>
      <c r="R2124" s="155"/>
      <c r="S2124" s="155"/>
      <c r="T2124" s="155"/>
      <c r="U2124" s="155"/>
      <c r="V2124" s="155"/>
      <c r="W2124" s="155"/>
      <c r="GL2124" s="155"/>
      <c r="GM2124" s="155"/>
      <c r="GN2124" s="155"/>
      <c r="GO2124" s="155"/>
      <c r="GP2124" s="155"/>
      <c r="GQ2124" s="155"/>
      <c r="GR2124" s="155"/>
      <c r="GS2124" s="155"/>
      <c r="GT2124" s="155"/>
      <c r="GU2124" s="155"/>
      <c r="GV2124" s="155"/>
      <c r="GW2124" s="155"/>
      <c r="GX2124" s="155"/>
      <c r="GY2124" s="155"/>
      <c r="GZ2124" s="155"/>
      <c r="HA2124" s="155"/>
      <c r="HB2124" s="155"/>
      <c r="HC2124" s="155"/>
      <c r="HD2124" s="155"/>
      <c r="HE2124" s="155"/>
    </row>
    <row r="2125" spans="2:213" s="156" customFormat="1" hidden="1">
      <c r="B2125" s="155"/>
      <c r="C2125" s="155"/>
      <c r="D2125" s="155"/>
      <c r="E2125" s="155"/>
      <c r="F2125" s="155"/>
      <c r="G2125" s="155"/>
      <c r="H2125" s="155"/>
      <c r="I2125" s="155"/>
      <c r="J2125" s="155"/>
      <c r="K2125" s="155"/>
      <c r="L2125" s="155"/>
      <c r="M2125" s="155"/>
      <c r="N2125" s="155"/>
      <c r="O2125" s="155"/>
      <c r="P2125" s="155"/>
      <c r="Q2125" s="155"/>
      <c r="R2125" s="155"/>
      <c r="S2125" s="155"/>
      <c r="T2125" s="155"/>
      <c r="U2125" s="155"/>
      <c r="V2125" s="155"/>
      <c r="W2125" s="155"/>
      <c r="GL2125" s="155"/>
      <c r="GM2125" s="155"/>
      <c r="GN2125" s="155"/>
      <c r="GO2125" s="155"/>
      <c r="GP2125" s="155"/>
      <c r="GQ2125" s="155"/>
      <c r="GR2125" s="155"/>
      <c r="GS2125" s="155"/>
      <c r="GT2125" s="155"/>
      <c r="GU2125" s="155"/>
      <c r="GV2125" s="155"/>
      <c r="GW2125" s="155"/>
      <c r="GX2125" s="155"/>
      <c r="GY2125" s="155"/>
      <c r="GZ2125" s="155"/>
      <c r="HA2125" s="155"/>
      <c r="HB2125" s="155"/>
      <c r="HC2125" s="155"/>
      <c r="HD2125" s="155"/>
      <c r="HE2125" s="155"/>
    </row>
    <row r="2126" spans="2:213" s="156" customFormat="1" hidden="1">
      <c r="B2126" s="155"/>
      <c r="C2126" s="155"/>
      <c r="D2126" s="155"/>
      <c r="E2126" s="155"/>
      <c r="F2126" s="155"/>
      <c r="G2126" s="155"/>
      <c r="H2126" s="155"/>
      <c r="I2126" s="155"/>
      <c r="J2126" s="155"/>
      <c r="K2126" s="155"/>
      <c r="L2126" s="155"/>
      <c r="M2126" s="155"/>
      <c r="N2126" s="155"/>
      <c r="O2126" s="155"/>
      <c r="P2126" s="155"/>
      <c r="Q2126" s="155"/>
      <c r="R2126" s="155"/>
      <c r="S2126" s="155"/>
      <c r="T2126" s="155"/>
      <c r="U2126" s="155"/>
      <c r="V2126" s="155"/>
      <c r="W2126" s="155"/>
      <c r="GL2126" s="155"/>
      <c r="GM2126" s="155"/>
      <c r="GN2126" s="155"/>
      <c r="GO2126" s="155"/>
      <c r="GP2126" s="155"/>
      <c r="GQ2126" s="155"/>
      <c r="GR2126" s="155"/>
      <c r="GS2126" s="155"/>
      <c r="GT2126" s="155"/>
      <c r="GU2126" s="155"/>
      <c r="GV2126" s="155"/>
      <c r="GW2126" s="155"/>
      <c r="GX2126" s="155"/>
      <c r="GY2126" s="155"/>
      <c r="GZ2126" s="155"/>
      <c r="HA2126" s="155"/>
      <c r="HB2126" s="155"/>
      <c r="HC2126" s="155"/>
      <c r="HD2126" s="155"/>
      <c r="HE2126" s="155"/>
    </row>
    <row r="2127" spans="2:213" s="156" customFormat="1" hidden="1">
      <c r="B2127" s="155"/>
      <c r="C2127" s="155"/>
      <c r="D2127" s="155"/>
      <c r="E2127" s="155"/>
      <c r="F2127" s="155"/>
      <c r="G2127" s="155"/>
      <c r="H2127" s="155"/>
      <c r="I2127" s="155"/>
      <c r="J2127" s="155"/>
      <c r="K2127" s="155"/>
      <c r="L2127" s="155"/>
      <c r="M2127" s="155"/>
      <c r="N2127" s="155"/>
      <c r="O2127" s="155"/>
      <c r="P2127" s="155"/>
      <c r="Q2127" s="155"/>
      <c r="R2127" s="155"/>
      <c r="S2127" s="155"/>
      <c r="T2127" s="155"/>
      <c r="U2127" s="155"/>
      <c r="V2127" s="155"/>
      <c r="W2127" s="155"/>
      <c r="GL2127" s="155"/>
      <c r="GM2127" s="155"/>
      <c r="GN2127" s="155"/>
      <c r="GO2127" s="155"/>
      <c r="GP2127" s="155"/>
      <c r="GQ2127" s="155"/>
      <c r="GR2127" s="155"/>
      <c r="GS2127" s="155"/>
      <c r="GT2127" s="155"/>
      <c r="GU2127" s="155"/>
      <c r="GV2127" s="155"/>
      <c r="GW2127" s="155"/>
      <c r="GX2127" s="155"/>
      <c r="GY2127" s="155"/>
      <c r="GZ2127" s="155"/>
      <c r="HA2127" s="155"/>
      <c r="HB2127" s="155"/>
      <c r="HC2127" s="155"/>
      <c r="HD2127" s="155"/>
      <c r="HE2127" s="155"/>
    </row>
    <row r="2128" spans="2:213" s="156" customFormat="1" hidden="1">
      <c r="B2128" s="155"/>
      <c r="C2128" s="155"/>
      <c r="D2128" s="155"/>
      <c r="E2128" s="155"/>
      <c r="F2128" s="155"/>
      <c r="G2128" s="155"/>
      <c r="H2128" s="155"/>
      <c r="I2128" s="155"/>
      <c r="J2128" s="155"/>
      <c r="K2128" s="155"/>
      <c r="L2128" s="155"/>
      <c r="M2128" s="155"/>
      <c r="N2128" s="155"/>
      <c r="O2128" s="155"/>
      <c r="P2128" s="155"/>
      <c r="Q2128" s="155"/>
      <c r="R2128" s="155"/>
      <c r="S2128" s="155"/>
      <c r="T2128" s="155"/>
      <c r="U2128" s="155"/>
      <c r="V2128" s="155"/>
      <c r="W2128" s="155"/>
      <c r="GL2128" s="155"/>
      <c r="GM2128" s="155"/>
      <c r="GN2128" s="155"/>
      <c r="GO2128" s="155"/>
      <c r="GP2128" s="155"/>
      <c r="GQ2128" s="155"/>
      <c r="GR2128" s="155"/>
      <c r="GS2128" s="155"/>
      <c r="GT2128" s="155"/>
      <c r="GU2128" s="155"/>
      <c r="GV2128" s="155"/>
      <c r="GW2128" s="155"/>
      <c r="GX2128" s="155"/>
      <c r="GY2128" s="155"/>
      <c r="GZ2128" s="155"/>
      <c r="HA2128" s="155"/>
      <c r="HB2128" s="155"/>
      <c r="HC2128" s="155"/>
      <c r="HD2128" s="155"/>
      <c r="HE2128" s="155"/>
    </row>
    <row r="2129" spans="2:213" s="156" customFormat="1" hidden="1">
      <c r="B2129" s="155"/>
      <c r="C2129" s="155"/>
      <c r="D2129" s="155"/>
      <c r="E2129" s="155"/>
      <c r="F2129" s="155"/>
      <c r="G2129" s="155"/>
      <c r="H2129" s="155"/>
      <c r="I2129" s="155"/>
      <c r="J2129" s="155"/>
      <c r="K2129" s="155"/>
      <c r="L2129" s="155"/>
      <c r="M2129" s="155"/>
      <c r="N2129" s="155"/>
      <c r="O2129" s="155"/>
      <c r="P2129" s="155"/>
      <c r="Q2129" s="155"/>
      <c r="R2129" s="155"/>
      <c r="S2129" s="155"/>
      <c r="T2129" s="155"/>
      <c r="U2129" s="155"/>
      <c r="V2129" s="155"/>
      <c r="W2129" s="155"/>
      <c r="GL2129" s="155"/>
      <c r="GM2129" s="155"/>
      <c r="GN2129" s="155"/>
      <c r="GO2129" s="155"/>
      <c r="GP2129" s="155"/>
      <c r="GQ2129" s="155"/>
      <c r="GR2129" s="155"/>
      <c r="GS2129" s="155"/>
      <c r="GT2129" s="155"/>
      <c r="GU2129" s="155"/>
      <c r="GV2129" s="155"/>
      <c r="GW2129" s="155"/>
      <c r="GX2129" s="155"/>
      <c r="GY2129" s="155"/>
      <c r="GZ2129" s="155"/>
      <c r="HA2129" s="155"/>
      <c r="HB2129" s="155"/>
      <c r="HC2129" s="155"/>
      <c r="HD2129" s="155"/>
      <c r="HE2129" s="155"/>
    </row>
    <row r="2130" spans="2:213" s="156" customFormat="1" hidden="1">
      <c r="B2130" s="155"/>
      <c r="C2130" s="155"/>
      <c r="D2130" s="155"/>
      <c r="E2130" s="155"/>
      <c r="F2130" s="155"/>
      <c r="G2130" s="155"/>
      <c r="H2130" s="155"/>
      <c r="I2130" s="155"/>
      <c r="J2130" s="155"/>
      <c r="K2130" s="155"/>
      <c r="L2130" s="155"/>
      <c r="M2130" s="155"/>
      <c r="N2130" s="155"/>
      <c r="O2130" s="155"/>
      <c r="P2130" s="155"/>
      <c r="Q2130" s="155"/>
      <c r="R2130" s="155"/>
      <c r="S2130" s="155"/>
      <c r="T2130" s="155"/>
      <c r="U2130" s="155"/>
      <c r="V2130" s="155"/>
      <c r="W2130" s="155"/>
      <c r="GL2130" s="155"/>
      <c r="GM2130" s="155"/>
      <c r="GN2130" s="155"/>
      <c r="GO2130" s="155"/>
      <c r="GP2130" s="155"/>
      <c r="GQ2130" s="155"/>
      <c r="GR2130" s="155"/>
      <c r="GS2130" s="155"/>
      <c r="GT2130" s="155"/>
      <c r="GU2130" s="155"/>
      <c r="GV2130" s="155"/>
      <c r="GW2130" s="155"/>
      <c r="GX2130" s="155"/>
      <c r="GY2130" s="155"/>
      <c r="GZ2130" s="155"/>
      <c r="HA2130" s="155"/>
      <c r="HB2130" s="155"/>
      <c r="HC2130" s="155"/>
      <c r="HD2130" s="155"/>
      <c r="HE2130" s="155"/>
    </row>
    <row r="2131" spans="2:213" s="156" customFormat="1" hidden="1">
      <c r="B2131" s="155"/>
      <c r="C2131" s="155"/>
      <c r="D2131" s="155"/>
      <c r="E2131" s="155"/>
      <c r="F2131" s="155"/>
      <c r="G2131" s="155"/>
      <c r="H2131" s="155"/>
      <c r="I2131" s="155"/>
      <c r="J2131" s="155"/>
      <c r="K2131" s="155"/>
      <c r="L2131" s="155"/>
      <c r="M2131" s="155"/>
      <c r="N2131" s="155"/>
      <c r="O2131" s="155"/>
      <c r="P2131" s="155"/>
      <c r="Q2131" s="155"/>
      <c r="R2131" s="155"/>
      <c r="S2131" s="155"/>
      <c r="T2131" s="155"/>
      <c r="U2131" s="155"/>
      <c r="V2131" s="155"/>
      <c r="W2131" s="155"/>
      <c r="GL2131" s="155"/>
      <c r="GM2131" s="155"/>
      <c r="GN2131" s="155"/>
      <c r="GO2131" s="155"/>
      <c r="GP2131" s="155"/>
      <c r="GQ2131" s="155"/>
      <c r="GR2131" s="155"/>
      <c r="GS2131" s="155"/>
      <c r="GT2131" s="155"/>
      <c r="GU2131" s="155"/>
      <c r="GV2131" s="155"/>
      <c r="GW2131" s="155"/>
      <c r="GX2131" s="155"/>
      <c r="GY2131" s="155"/>
      <c r="GZ2131" s="155"/>
      <c r="HA2131" s="155"/>
      <c r="HB2131" s="155"/>
      <c r="HC2131" s="155"/>
      <c r="HD2131" s="155"/>
      <c r="HE2131" s="155"/>
    </row>
    <row r="2132" spans="2:213" s="156" customFormat="1" hidden="1">
      <c r="B2132" s="155"/>
      <c r="C2132" s="155"/>
      <c r="D2132" s="155"/>
      <c r="E2132" s="155"/>
      <c r="F2132" s="155"/>
      <c r="G2132" s="155"/>
      <c r="H2132" s="155"/>
      <c r="I2132" s="155"/>
      <c r="J2132" s="155"/>
      <c r="K2132" s="155"/>
      <c r="L2132" s="155"/>
      <c r="M2132" s="155"/>
      <c r="N2132" s="155"/>
      <c r="O2132" s="155"/>
      <c r="P2132" s="155"/>
      <c r="Q2132" s="155"/>
      <c r="R2132" s="155"/>
      <c r="S2132" s="155"/>
      <c r="T2132" s="155"/>
      <c r="U2132" s="155"/>
      <c r="V2132" s="155"/>
      <c r="W2132" s="155"/>
      <c r="GL2132" s="155"/>
      <c r="GM2132" s="155"/>
      <c r="GN2132" s="155"/>
      <c r="GO2132" s="155"/>
      <c r="GP2132" s="155"/>
      <c r="GQ2132" s="155"/>
      <c r="GR2132" s="155"/>
      <c r="GS2132" s="155"/>
      <c r="GT2132" s="155"/>
      <c r="GU2132" s="155"/>
      <c r="GV2132" s="155"/>
      <c r="GW2132" s="155"/>
      <c r="GX2132" s="155"/>
      <c r="GY2132" s="155"/>
      <c r="GZ2132" s="155"/>
      <c r="HA2132" s="155"/>
      <c r="HB2132" s="155"/>
      <c r="HC2132" s="155"/>
      <c r="HD2132" s="155"/>
      <c r="HE2132" s="155"/>
    </row>
    <row r="2133" spans="2:213" s="156" customFormat="1" hidden="1">
      <c r="B2133" s="155"/>
      <c r="C2133" s="155"/>
      <c r="D2133" s="155"/>
      <c r="E2133" s="155"/>
      <c r="F2133" s="155"/>
      <c r="G2133" s="155"/>
      <c r="H2133" s="155"/>
      <c r="I2133" s="155"/>
      <c r="J2133" s="155"/>
      <c r="K2133" s="155"/>
      <c r="L2133" s="155"/>
      <c r="M2133" s="155"/>
      <c r="N2133" s="155"/>
      <c r="O2133" s="155"/>
      <c r="P2133" s="155"/>
      <c r="Q2133" s="155"/>
      <c r="R2133" s="155"/>
      <c r="S2133" s="155"/>
      <c r="T2133" s="155"/>
      <c r="U2133" s="155"/>
      <c r="V2133" s="155"/>
      <c r="W2133" s="155"/>
      <c r="GL2133" s="155"/>
      <c r="GM2133" s="155"/>
      <c r="GN2133" s="155"/>
      <c r="GO2133" s="155"/>
      <c r="GP2133" s="155"/>
      <c r="GQ2133" s="155"/>
      <c r="GR2133" s="155"/>
      <c r="GS2133" s="155"/>
      <c r="GT2133" s="155"/>
      <c r="GU2133" s="155"/>
      <c r="GV2133" s="155"/>
      <c r="GW2133" s="155"/>
      <c r="GX2133" s="155"/>
      <c r="GY2133" s="155"/>
      <c r="GZ2133" s="155"/>
      <c r="HA2133" s="155"/>
      <c r="HB2133" s="155"/>
      <c r="HC2133" s="155"/>
      <c r="HD2133" s="155"/>
      <c r="HE2133" s="155"/>
    </row>
    <row r="2134" spans="2:213" s="156" customFormat="1" hidden="1">
      <c r="B2134" s="155"/>
      <c r="C2134" s="155"/>
      <c r="D2134" s="155"/>
      <c r="E2134" s="155"/>
      <c r="F2134" s="155"/>
      <c r="G2134" s="155"/>
      <c r="H2134" s="155"/>
      <c r="I2134" s="155"/>
      <c r="J2134" s="155"/>
      <c r="K2134" s="155"/>
      <c r="L2134" s="155"/>
      <c r="M2134" s="155"/>
      <c r="N2134" s="155"/>
      <c r="O2134" s="155"/>
      <c r="P2134" s="155"/>
      <c r="Q2134" s="155"/>
      <c r="R2134" s="155"/>
      <c r="S2134" s="155"/>
      <c r="T2134" s="155"/>
      <c r="U2134" s="155"/>
      <c r="V2134" s="155"/>
      <c r="W2134" s="155"/>
      <c r="GL2134" s="155"/>
      <c r="GM2134" s="155"/>
      <c r="GN2134" s="155"/>
      <c r="GO2134" s="155"/>
      <c r="GP2134" s="155"/>
      <c r="GQ2134" s="155"/>
      <c r="GR2134" s="155"/>
      <c r="GS2134" s="155"/>
      <c r="GT2134" s="155"/>
      <c r="GU2134" s="155"/>
      <c r="GV2134" s="155"/>
      <c r="GW2134" s="155"/>
      <c r="GX2134" s="155"/>
      <c r="GY2134" s="155"/>
      <c r="GZ2134" s="155"/>
      <c r="HA2134" s="155"/>
      <c r="HB2134" s="155"/>
      <c r="HC2134" s="155"/>
      <c r="HD2134" s="155"/>
      <c r="HE2134" s="155"/>
    </row>
    <row r="2135" spans="2:213" s="156" customFormat="1" hidden="1">
      <c r="B2135" s="155"/>
      <c r="C2135" s="155"/>
      <c r="D2135" s="155"/>
      <c r="E2135" s="155"/>
      <c r="F2135" s="155"/>
      <c r="G2135" s="155"/>
      <c r="H2135" s="155"/>
      <c r="I2135" s="155"/>
      <c r="J2135" s="155"/>
      <c r="K2135" s="155"/>
      <c r="L2135" s="155"/>
      <c r="M2135" s="155"/>
      <c r="N2135" s="155"/>
      <c r="O2135" s="155"/>
      <c r="P2135" s="155"/>
      <c r="Q2135" s="155"/>
      <c r="R2135" s="155"/>
      <c r="S2135" s="155"/>
      <c r="T2135" s="155"/>
      <c r="U2135" s="155"/>
      <c r="V2135" s="155"/>
      <c r="W2135" s="155"/>
      <c r="GL2135" s="155"/>
      <c r="GM2135" s="155"/>
      <c r="GN2135" s="155"/>
      <c r="GO2135" s="155"/>
      <c r="GP2135" s="155"/>
      <c r="GQ2135" s="155"/>
      <c r="GR2135" s="155"/>
      <c r="GS2135" s="155"/>
      <c r="GT2135" s="155"/>
      <c r="GU2135" s="155"/>
      <c r="GV2135" s="155"/>
      <c r="GW2135" s="155"/>
      <c r="GX2135" s="155"/>
      <c r="GY2135" s="155"/>
      <c r="GZ2135" s="155"/>
      <c r="HA2135" s="155"/>
      <c r="HB2135" s="155"/>
      <c r="HC2135" s="155"/>
      <c r="HD2135" s="155"/>
      <c r="HE2135" s="155"/>
    </row>
    <row r="2136" spans="2:213" s="156" customFormat="1" hidden="1">
      <c r="B2136" s="155"/>
      <c r="C2136" s="155"/>
      <c r="D2136" s="155"/>
      <c r="E2136" s="155"/>
      <c r="F2136" s="155"/>
      <c r="G2136" s="155"/>
      <c r="H2136" s="155"/>
      <c r="I2136" s="155"/>
      <c r="J2136" s="155"/>
      <c r="K2136" s="155"/>
      <c r="L2136" s="155"/>
      <c r="M2136" s="155"/>
      <c r="N2136" s="155"/>
      <c r="O2136" s="155"/>
      <c r="P2136" s="155"/>
      <c r="Q2136" s="155"/>
      <c r="R2136" s="155"/>
      <c r="S2136" s="155"/>
      <c r="T2136" s="155"/>
      <c r="U2136" s="155"/>
      <c r="V2136" s="155"/>
      <c r="W2136" s="155"/>
      <c r="GL2136" s="155"/>
      <c r="GM2136" s="155"/>
      <c r="GN2136" s="155"/>
      <c r="GO2136" s="155"/>
      <c r="GP2136" s="155"/>
      <c r="GQ2136" s="155"/>
      <c r="GR2136" s="155"/>
      <c r="GS2136" s="155"/>
      <c r="GT2136" s="155"/>
      <c r="GU2136" s="155"/>
      <c r="GV2136" s="155"/>
      <c r="GW2136" s="155"/>
      <c r="GX2136" s="155"/>
      <c r="GY2136" s="155"/>
      <c r="GZ2136" s="155"/>
      <c r="HA2136" s="155"/>
      <c r="HB2136" s="155"/>
      <c r="HC2136" s="155"/>
      <c r="HD2136" s="155"/>
      <c r="HE2136" s="155"/>
    </row>
    <row r="2137" spans="2:213" s="156" customFormat="1" hidden="1">
      <c r="B2137" s="155"/>
      <c r="C2137" s="155"/>
      <c r="D2137" s="155"/>
      <c r="E2137" s="155"/>
      <c r="F2137" s="155"/>
      <c r="G2137" s="155"/>
      <c r="H2137" s="155"/>
      <c r="I2137" s="155"/>
      <c r="J2137" s="155"/>
      <c r="K2137" s="155"/>
      <c r="L2137" s="155"/>
      <c r="M2137" s="155"/>
      <c r="N2137" s="155"/>
      <c r="O2137" s="155"/>
      <c r="P2137" s="155"/>
      <c r="Q2137" s="155"/>
      <c r="R2137" s="155"/>
      <c r="S2137" s="155"/>
      <c r="T2137" s="155"/>
      <c r="U2137" s="155"/>
      <c r="V2137" s="155"/>
      <c r="W2137" s="155"/>
      <c r="GL2137" s="155"/>
      <c r="GM2137" s="155"/>
      <c r="GN2137" s="155"/>
      <c r="GO2137" s="155"/>
      <c r="GP2137" s="155"/>
      <c r="GQ2137" s="155"/>
      <c r="GR2137" s="155"/>
      <c r="GS2137" s="155"/>
      <c r="GT2137" s="155"/>
      <c r="GU2137" s="155"/>
      <c r="GV2137" s="155"/>
      <c r="GW2137" s="155"/>
      <c r="GX2137" s="155"/>
      <c r="GY2137" s="155"/>
      <c r="GZ2137" s="155"/>
      <c r="HA2137" s="155"/>
      <c r="HB2137" s="155"/>
      <c r="HC2137" s="155"/>
      <c r="HD2137" s="155"/>
      <c r="HE2137" s="155"/>
    </row>
    <row r="2138" spans="2:213" s="156" customFormat="1" hidden="1">
      <c r="B2138" s="155"/>
      <c r="C2138" s="155"/>
      <c r="D2138" s="155"/>
      <c r="E2138" s="155"/>
      <c r="F2138" s="155"/>
      <c r="G2138" s="155"/>
      <c r="H2138" s="155"/>
      <c r="I2138" s="155"/>
      <c r="J2138" s="155"/>
      <c r="K2138" s="155"/>
      <c r="L2138" s="155"/>
      <c r="M2138" s="155"/>
      <c r="N2138" s="155"/>
      <c r="O2138" s="155"/>
      <c r="P2138" s="155"/>
      <c r="Q2138" s="155"/>
      <c r="R2138" s="155"/>
      <c r="S2138" s="155"/>
      <c r="T2138" s="155"/>
      <c r="U2138" s="155"/>
      <c r="V2138" s="155"/>
      <c r="W2138" s="155"/>
      <c r="GL2138" s="155"/>
      <c r="GM2138" s="155"/>
      <c r="GN2138" s="155"/>
      <c r="GO2138" s="155"/>
      <c r="GP2138" s="155"/>
      <c r="GQ2138" s="155"/>
      <c r="GR2138" s="155"/>
      <c r="GS2138" s="155"/>
      <c r="GT2138" s="155"/>
      <c r="GU2138" s="155"/>
      <c r="GV2138" s="155"/>
      <c r="GW2138" s="155"/>
      <c r="GX2138" s="155"/>
      <c r="GY2138" s="155"/>
      <c r="GZ2138" s="155"/>
      <c r="HA2138" s="155"/>
      <c r="HB2138" s="155"/>
      <c r="HC2138" s="155"/>
      <c r="HD2138" s="155"/>
      <c r="HE2138" s="155"/>
    </row>
    <row r="2139" spans="2:213" s="156" customFormat="1" hidden="1">
      <c r="B2139" s="155"/>
      <c r="C2139" s="155"/>
      <c r="D2139" s="155"/>
      <c r="E2139" s="155"/>
      <c r="F2139" s="155"/>
      <c r="G2139" s="155"/>
      <c r="H2139" s="155"/>
      <c r="I2139" s="155"/>
      <c r="J2139" s="155"/>
      <c r="K2139" s="155"/>
      <c r="L2139" s="155"/>
      <c r="M2139" s="155"/>
      <c r="N2139" s="155"/>
      <c r="O2139" s="155"/>
      <c r="P2139" s="155"/>
      <c r="Q2139" s="155"/>
      <c r="R2139" s="155"/>
      <c r="S2139" s="155"/>
      <c r="T2139" s="155"/>
      <c r="U2139" s="155"/>
      <c r="V2139" s="155"/>
      <c r="W2139" s="155"/>
      <c r="GL2139" s="155"/>
      <c r="GM2139" s="155"/>
      <c r="GN2139" s="155"/>
      <c r="GO2139" s="155"/>
      <c r="GP2139" s="155"/>
      <c r="GQ2139" s="155"/>
      <c r="GR2139" s="155"/>
      <c r="GS2139" s="155"/>
      <c r="GT2139" s="155"/>
      <c r="GU2139" s="155"/>
      <c r="GV2139" s="155"/>
      <c r="GW2139" s="155"/>
      <c r="GX2139" s="155"/>
      <c r="GY2139" s="155"/>
      <c r="GZ2139" s="155"/>
      <c r="HA2139" s="155"/>
      <c r="HB2139" s="155"/>
      <c r="HC2139" s="155"/>
      <c r="HD2139" s="155"/>
      <c r="HE2139" s="155"/>
    </row>
    <row r="2140" spans="2:213" s="156" customFormat="1" hidden="1">
      <c r="B2140" s="155"/>
      <c r="C2140" s="155"/>
      <c r="D2140" s="155"/>
      <c r="E2140" s="155"/>
      <c r="F2140" s="155"/>
      <c r="G2140" s="155"/>
      <c r="H2140" s="155"/>
      <c r="I2140" s="155"/>
      <c r="J2140" s="155"/>
      <c r="K2140" s="155"/>
      <c r="L2140" s="155"/>
      <c r="M2140" s="155"/>
      <c r="N2140" s="155"/>
      <c r="O2140" s="155"/>
      <c r="P2140" s="155"/>
      <c r="Q2140" s="155"/>
      <c r="R2140" s="155"/>
      <c r="S2140" s="155"/>
      <c r="T2140" s="155"/>
      <c r="U2140" s="155"/>
      <c r="V2140" s="155"/>
      <c r="W2140" s="155"/>
      <c r="GL2140" s="155"/>
      <c r="GM2140" s="155"/>
      <c r="GN2140" s="155"/>
      <c r="GO2140" s="155"/>
      <c r="GP2140" s="155"/>
      <c r="GQ2140" s="155"/>
      <c r="GR2140" s="155"/>
      <c r="GS2140" s="155"/>
      <c r="GT2140" s="155"/>
      <c r="GU2140" s="155"/>
      <c r="GV2140" s="155"/>
      <c r="GW2140" s="155"/>
      <c r="GX2140" s="155"/>
      <c r="GY2140" s="155"/>
      <c r="GZ2140" s="155"/>
      <c r="HA2140" s="155"/>
      <c r="HB2140" s="155"/>
      <c r="HC2140" s="155"/>
      <c r="HD2140" s="155"/>
      <c r="HE2140" s="155"/>
    </row>
    <row r="2141" spans="2:213" s="156" customFormat="1" hidden="1">
      <c r="B2141" s="155"/>
      <c r="C2141" s="155"/>
      <c r="D2141" s="155"/>
      <c r="E2141" s="155"/>
      <c r="F2141" s="155"/>
      <c r="G2141" s="155"/>
      <c r="H2141" s="155"/>
      <c r="I2141" s="155"/>
      <c r="J2141" s="155"/>
      <c r="K2141" s="155"/>
      <c r="L2141" s="155"/>
      <c r="M2141" s="155"/>
      <c r="N2141" s="155"/>
      <c r="O2141" s="155"/>
      <c r="P2141" s="155"/>
      <c r="Q2141" s="155"/>
      <c r="R2141" s="155"/>
      <c r="S2141" s="155"/>
      <c r="T2141" s="155"/>
      <c r="U2141" s="155"/>
      <c r="V2141" s="155"/>
      <c r="W2141" s="155"/>
      <c r="GL2141" s="155"/>
      <c r="GM2141" s="155"/>
      <c r="GN2141" s="155"/>
      <c r="GO2141" s="155"/>
      <c r="GP2141" s="155"/>
      <c r="GQ2141" s="155"/>
      <c r="GR2141" s="155"/>
      <c r="GS2141" s="155"/>
      <c r="GT2141" s="155"/>
      <c r="GU2141" s="155"/>
      <c r="GV2141" s="155"/>
      <c r="GW2141" s="155"/>
      <c r="GX2141" s="155"/>
      <c r="GY2141" s="155"/>
      <c r="GZ2141" s="155"/>
      <c r="HA2141" s="155"/>
      <c r="HB2141" s="155"/>
      <c r="HC2141" s="155"/>
      <c r="HD2141" s="155"/>
      <c r="HE2141" s="155"/>
    </row>
    <row r="2142" spans="2:213" s="156" customFormat="1" hidden="1">
      <c r="B2142" s="155"/>
      <c r="C2142" s="155"/>
      <c r="D2142" s="155"/>
      <c r="E2142" s="155"/>
      <c r="F2142" s="155"/>
      <c r="G2142" s="155"/>
      <c r="H2142" s="155"/>
      <c r="I2142" s="155"/>
      <c r="J2142" s="155"/>
      <c r="K2142" s="155"/>
      <c r="L2142" s="155"/>
      <c r="M2142" s="155"/>
      <c r="N2142" s="155"/>
      <c r="O2142" s="155"/>
      <c r="P2142" s="155"/>
      <c r="Q2142" s="155"/>
      <c r="R2142" s="155"/>
      <c r="S2142" s="155"/>
      <c r="T2142" s="155"/>
      <c r="U2142" s="155"/>
      <c r="V2142" s="155"/>
      <c r="W2142" s="155"/>
      <c r="GL2142" s="155"/>
      <c r="GM2142" s="155"/>
      <c r="GN2142" s="155"/>
      <c r="GO2142" s="155"/>
      <c r="GP2142" s="155"/>
      <c r="GQ2142" s="155"/>
      <c r="GR2142" s="155"/>
      <c r="GS2142" s="155"/>
      <c r="GT2142" s="155"/>
      <c r="GU2142" s="155"/>
      <c r="GV2142" s="155"/>
      <c r="GW2142" s="155"/>
      <c r="GX2142" s="155"/>
      <c r="GY2142" s="155"/>
      <c r="GZ2142" s="155"/>
      <c r="HA2142" s="155"/>
      <c r="HB2142" s="155"/>
      <c r="HC2142" s="155"/>
      <c r="HD2142" s="155"/>
      <c r="HE2142" s="155"/>
    </row>
    <row r="2143" spans="2:213" s="156" customFormat="1" hidden="1">
      <c r="B2143" s="155"/>
      <c r="C2143" s="155"/>
      <c r="D2143" s="155"/>
      <c r="E2143" s="155"/>
      <c r="F2143" s="155"/>
      <c r="G2143" s="155"/>
      <c r="H2143" s="155"/>
      <c r="I2143" s="155"/>
      <c r="J2143" s="155"/>
      <c r="K2143" s="155"/>
      <c r="L2143" s="155"/>
      <c r="M2143" s="155"/>
      <c r="N2143" s="155"/>
      <c r="O2143" s="155"/>
      <c r="P2143" s="155"/>
      <c r="Q2143" s="155"/>
      <c r="R2143" s="155"/>
      <c r="S2143" s="155"/>
      <c r="T2143" s="155"/>
      <c r="U2143" s="155"/>
      <c r="V2143" s="155"/>
      <c r="W2143" s="155"/>
      <c r="GL2143" s="155"/>
      <c r="GM2143" s="155"/>
      <c r="GN2143" s="155"/>
      <c r="GO2143" s="155"/>
      <c r="GP2143" s="155"/>
      <c r="GQ2143" s="155"/>
      <c r="GR2143" s="155"/>
      <c r="GS2143" s="155"/>
      <c r="GT2143" s="155"/>
      <c r="GU2143" s="155"/>
      <c r="GV2143" s="155"/>
      <c r="GW2143" s="155"/>
      <c r="GX2143" s="155"/>
      <c r="GY2143" s="155"/>
      <c r="GZ2143" s="155"/>
      <c r="HA2143" s="155"/>
      <c r="HB2143" s="155"/>
      <c r="HC2143" s="155"/>
      <c r="HD2143" s="155"/>
      <c r="HE2143" s="155"/>
    </row>
    <row r="2144" spans="2:213" s="156" customFormat="1" hidden="1">
      <c r="B2144" s="155"/>
      <c r="C2144" s="155"/>
      <c r="D2144" s="155"/>
      <c r="E2144" s="155"/>
      <c r="F2144" s="155"/>
      <c r="G2144" s="155"/>
      <c r="H2144" s="155"/>
      <c r="I2144" s="155"/>
      <c r="J2144" s="155"/>
      <c r="K2144" s="155"/>
      <c r="L2144" s="155"/>
      <c r="M2144" s="155"/>
      <c r="N2144" s="155"/>
      <c r="O2144" s="155"/>
      <c r="P2144" s="155"/>
      <c r="Q2144" s="155"/>
      <c r="R2144" s="155"/>
      <c r="S2144" s="155"/>
      <c r="T2144" s="155"/>
      <c r="U2144" s="155"/>
      <c r="V2144" s="155"/>
      <c r="W2144" s="155"/>
      <c r="GL2144" s="155"/>
      <c r="GM2144" s="155"/>
      <c r="GN2144" s="155"/>
      <c r="GO2144" s="155"/>
      <c r="GP2144" s="155"/>
      <c r="GQ2144" s="155"/>
      <c r="GR2144" s="155"/>
      <c r="GS2144" s="155"/>
      <c r="GT2144" s="155"/>
      <c r="GU2144" s="155"/>
      <c r="GV2144" s="155"/>
      <c r="GW2144" s="155"/>
      <c r="GX2144" s="155"/>
      <c r="GY2144" s="155"/>
      <c r="GZ2144" s="155"/>
      <c r="HA2144" s="155"/>
      <c r="HB2144" s="155"/>
      <c r="HC2144" s="155"/>
      <c r="HD2144" s="155"/>
      <c r="HE2144" s="155"/>
    </row>
    <row r="2145" spans="2:213" s="156" customFormat="1" hidden="1">
      <c r="B2145" s="155"/>
      <c r="C2145" s="155"/>
      <c r="D2145" s="155"/>
      <c r="E2145" s="155"/>
      <c r="F2145" s="155"/>
      <c r="G2145" s="155"/>
      <c r="H2145" s="155"/>
      <c r="I2145" s="155"/>
      <c r="J2145" s="155"/>
      <c r="K2145" s="155"/>
      <c r="L2145" s="155"/>
      <c r="M2145" s="155"/>
      <c r="N2145" s="155"/>
      <c r="O2145" s="155"/>
      <c r="P2145" s="155"/>
      <c r="Q2145" s="155"/>
      <c r="R2145" s="155"/>
      <c r="S2145" s="155"/>
      <c r="T2145" s="155"/>
      <c r="U2145" s="155"/>
      <c r="V2145" s="155"/>
      <c r="W2145" s="155"/>
      <c r="GL2145" s="155"/>
      <c r="GM2145" s="155"/>
      <c r="GN2145" s="155"/>
      <c r="GO2145" s="155"/>
      <c r="GP2145" s="155"/>
      <c r="GQ2145" s="155"/>
      <c r="GR2145" s="155"/>
      <c r="GS2145" s="155"/>
      <c r="GT2145" s="155"/>
      <c r="GU2145" s="155"/>
      <c r="GV2145" s="155"/>
      <c r="GW2145" s="155"/>
      <c r="GX2145" s="155"/>
      <c r="GY2145" s="155"/>
      <c r="GZ2145" s="155"/>
      <c r="HA2145" s="155"/>
      <c r="HB2145" s="155"/>
      <c r="HC2145" s="155"/>
      <c r="HD2145" s="155"/>
      <c r="HE2145" s="155"/>
    </row>
    <row r="2146" spans="2:213" s="156" customFormat="1" hidden="1">
      <c r="B2146" s="155"/>
      <c r="C2146" s="155"/>
      <c r="D2146" s="155"/>
      <c r="E2146" s="155"/>
      <c r="F2146" s="155"/>
      <c r="G2146" s="155"/>
      <c r="H2146" s="155"/>
      <c r="I2146" s="155"/>
      <c r="J2146" s="155"/>
      <c r="K2146" s="155"/>
      <c r="L2146" s="155"/>
      <c r="M2146" s="155"/>
      <c r="N2146" s="155"/>
      <c r="O2146" s="155"/>
      <c r="P2146" s="155"/>
      <c r="Q2146" s="155"/>
      <c r="R2146" s="155"/>
      <c r="S2146" s="155"/>
      <c r="T2146" s="155"/>
      <c r="U2146" s="155"/>
      <c r="V2146" s="155"/>
      <c r="W2146" s="155"/>
      <c r="GL2146" s="155"/>
      <c r="GM2146" s="155"/>
      <c r="GN2146" s="155"/>
      <c r="GO2146" s="155"/>
      <c r="GP2146" s="155"/>
      <c r="GQ2146" s="155"/>
      <c r="GR2146" s="155"/>
      <c r="GS2146" s="155"/>
      <c r="GT2146" s="155"/>
      <c r="GU2146" s="155"/>
      <c r="GV2146" s="155"/>
      <c r="GW2146" s="155"/>
      <c r="GX2146" s="155"/>
      <c r="GY2146" s="155"/>
      <c r="GZ2146" s="155"/>
      <c r="HA2146" s="155"/>
      <c r="HB2146" s="155"/>
      <c r="HC2146" s="155"/>
      <c r="HD2146" s="155"/>
      <c r="HE2146" s="155"/>
    </row>
    <row r="2147" spans="2:213" s="156" customFormat="1" hidden="1">
      <c r="B2147" s="155"/>
      <c r="C2147" s="155"/>
      <c r="D2147" s="155"/>
      <c r="E2147" s="155"/>
      <c r="F2147" s="155"/>
      <c r="G2147" s="155"/>
      <c r="H2147" s="155"/>
      <c r="I2147" s="155"/>
      <c r="J2147" s="155"/>
      <c r="K2147" s="155"/>
      <c r="L2147" s="155"/>
      <c r="M2147" s="155"/>
      <c r="N2147" s="155"/>
      <c r="O2147" s="155"/>
      <c r="P2147" s="155"/>
      <c r="Q2147" s="155"/>
      <c r="R2147" s="155"/>
      <c r="S2147" s="155"/>
      <c r="T2147" s="155"/>
      <c r="U2147" s="155"/>
      <c r="V2147" s="155"/>
      <c r="W2147" s="155"/>
      <c r="GL2147" s="155"/>
      <c r="GM2147" s="155"/>
      <c r="GN2147" s="155"/>
      <c r="GO2147" s="155"/>
      <c r="GP2147" s="155"/>
      <c r="GQ2147" s="155"/>
      <c r="GR2147" s="155"/>
      <c r="GS2147" s="155"/>
      <c r="GT2147" s="155"/>
      <c r="GU2147" s="155"/>
      <c r="GV2147" s="155"/>
      <c r="GW2147" s="155"/>
      <c r="GX2147" s="155"/>
      <c r="GY2147" s="155"/>
      <c r="GZ2147" s="155"/>
      <c r="HA2147" s="155"/>
      <c r="HB2147" s="155"/>
      <c r="HC2147" s="155"/>
      <c r="HD2147" s="155"/>
      <c r="HE2147" s="155"/>
    </row>
    <row r="2148" spans="2:213" s="156" customFormat="1" hidden="1">
      <c r="B2148" s="155"/>
      <c r="C2148" s="155"/>
      <c r="D2148" s="155"/>
      <c r="E2148" s="155"/>
      <c r="F2148" s="155"/>
      <c r="G2148" s="155"/>
      <c r="H2148" s="155"/>
      <c r="I2148" s="155"/>
      <c r="J2148" s="155"/>
      <c r="K2148" s="155"/>
      <c r="L2148" s="155"/>
      <c r="M2148" s="155"/>
      <c r="N2148" s="155"/>
      <c r="O2148" s="155"/>
      <c r="P2148" s="155"/>
      <c r="Q2148" s="155"/>
      <c r="R2148" s="155"/>
      <c r="S2148" s="155"/>
      <c r="T2148" s="155"/>
      <c r="U2148" s="155"/>
      <c r="V2148" s="155"/>
      <c r="W2148" s="155"/>
      <c r="GL2148" s="155"/>
      <c r="GM2148" s="155"/>
      <c r="GN2148" s="155"/>
      <c r="GO2148" s="155"/>
      <c r="GP2148" s="155"/>
      <c r="GQ2148" s="155"/>
      <c r="GR2148" s="155"/>
      <c r="GS2148" s="155"/>
      <c r="GT2148" s="155"/>
      <c r="GU2148" s="155"/>
      <c r="GV2148" s="155"/>
      <c r="GW2148" s="155"/>
      <c r="GX2148" s="155"/>
      <c r="GY2148" s="155"/>
      <c r="GZ2148" s="155"/>
      <c r="HA2148" s="155"/>
      <c r="HB2148" s="155"/>
      <c r="HC2148" s="155"/>
      <c r="HD2148" s="155"/>
      <c r="HE2148" s="155"/>
    </row>
    <row r="2149" spans="2:213" s="156" customFormat="1" hidden="1">
      <c r="B2149" s="155"/>
      <c r="C2149" s="155"/>
      <c r="D2149" s="155"/>
      <c r="E2149" s="155"/>
      <c r="F2149" s="155"/>
      <c r="G2149" s="155"/>
      <c r="H2149" s="155"/>
      <c r="I2149" s="155"/>
      <c r="J2149" s="155"/>
      <c r="K2149" s="155"/>
      <c r="L2149" s="155"/>
      <c r="M2149" s="155"/>
      <c r="N2149" s="155"/>
      <c r="O2149" s="155"/>
      <c r="P2149" s="155"/>
      <c r="Q2149" s="155"/>
      <c r="R2149" s="155"/>
      <c r="S2149" s="155"/>
      <c r="T2149" s="155"/>
      <c r="U2149" s="155"/>
      <c r="V2149" s="155"/>
      <c r="W2149" s="155"/>
      <c r="GL2149" s="155"/>
      <c r="GM2149" s="155"/>
      <c r="GN2149" s="155"/>
      <c r="GO2149" s="155"/>
      <c r="GP2149" s="155"/>
      <c r="GQ2149" s="155"/>
      <c r="GR2149" s="155"/>
      <c r="GS2149" s="155"/>
      <c r="GT2149" s="155"/>
      <c r="GU2149" s="155"/>
      <c r="GV2149" s="155"/>
      <c r="GW2149" s="155"/>
      <c r="GX2149" s="155"/>
      <c r="GY2149" s="155"/>
      <c r="GZ2149" s="155"/>
      <c r="HA2149" s="155"/>
      <c r="HB2149" s="155"/>
      <c r="HC2149" s="155"/>
      <c r="HD2149" s="155"/>
      <c r="HE2149" s="155"/>
    </row>
    <row r="2150" spans="2:213" s="156" customFormat="1" hidden="1">
      <c r="B2150" s="155"/>
      <c r="C2150" s="155"/>
      <c r="D2150" s="155"/>
      <c r="E2150" s="155"/>
      <c r="F2150" s="155"/>
      <c r="G2150" s="155"/>
      <c r="H2150" s="155"/>
      <c r="I2150" s="155"/>
      <c r="J2150" s="155"/>
      <c r="K2150" s="155"/>
      <c r="L2150" s="155"/>
      <c r="M2150" s="155"/>
      <c r="N2150" s="155"/>
      <c r="O2150" s="155"/>
      <c r="P2150" s="155"/>
      <c r="Q2150" s="155"/>
      <c r="R2150" s="155"/>
      <c r="S2150" s="155"/>
      <c r="T2150" s="155"/>
      <c r="U2150" s="155"/>
      <c r="V2150" s="155"/>
      <c r="W2150" s="155"/>
      <c r="GL2150" s="155"/>
      <c r="GM2150" s="155"/>
      <c r="GN2150" s="155"/>
      <c r="GO2150" s="155"/>
      <c r="GP2150" s="155"/>
      <c r="GQ2150" s="155"/>
      <c r="GR2150" s="155"/>
      <c r="GS2150" s="155"/>
      <c r="GT2150" s="155"/>
      <c r="GU2150" s="155"/>
      <c r="GV2150" s="155"/>
      <c r="GW2150" s="155"/>
      <c r="GX2150" s="155"/>
      <c r="GY2150" s="155"/>
      <c r="GZ2150" s="155"/>
      <c r="HA2150" s="155"/>
      <c r="HB2150" s="155"/>
      <c r="HC2150" s="155"/>
      <c r="HD2150" s="155"/>
      <c r="HE2150" s="155"/>
    </row>
    <row r="2151" spans="2:213" s="156" customFormat="1" hidden="1">
      <c r="B2151" s="155"/>
      <c r="C2151" s="155"/>
      <c r="D2151" s="155"/>
      <c r="E2151" s="155"/>
      <c r="F2151" s="155"/>
      <c r="G2151" s="155"/>
      <c r="H2151" s="155"/>
      <c r="I2151" s="155"/>
      <c r="J2151" s="155"/>
      <c r="K2151" s="155"/>
      <c r="L2151" s="155"/>
      <c r="M2151" s="155"/>
      <c r="N2151" s="155"/>
      <c r="O2151" s="155"/>
      <c r="P2151" s="155"/>
      <c r="Q2151" s="155"/>
      <c r="R2151" s="155"/>
      <c r="S2151" s="155"/>
      <c r="T2151" s="155"/>
      <c r="U2151" s="155"/>
      <c r="V2151" s="155"/>
      <c r="W2151" s="155"/>
      <c r="GL2151" s="155"/>
      <c r="GM2151" s="155"/>
      <c r="GN2151" s="155"/>
      <c r="GO2151" s="155"/>
      <c r="GP2151" s="155"/>
      <c r="GQ2151" s="155"/>
      <c r="GR2151" s="155"/>
      <c r="GS2151" s="155"/>
      <c r="GT2151" s="155"/>
      <c r="GU2151" s="155"/>
      <c r="GV2151" s="155"/>
      <c r="GW2151" s="155"/>
      <c r="GX2151" s="155"/>
      <c r="GY2151" s="155"/>
      <c r="GZ2151" s="155"/>
      <c r="HA2151" s="155"/>
      <c r="HB2151" s="155"/>
      <c r="HC2151" s="155"/>
      <c r="HD2151" s="155"/>
      <c r="HE2151" s="155"/>
    </row>
    <row r="2152" spans="2:213" s="156" customFormat="1" hidden="1">
      <c r="B2152" s="155"/>
      <c r="C2152" s="155"/>
      <c r="D2152" s="155"/>
      <c r="E2152" s="155"/>
      <c r="F2152" s="155"/>
      <c r="G2152" s="155"/>
      <c r="H2152" s="155"/>
      <c r="I2152" s="155"/>
      <c r="J2152" s="155"/>
      <c r="K2152" s="155"/>
      <c r="L2152" s="155"/>
      <c r="M2152" s="155"/>
      <c r="N2152" s="155"/>
      <c r="O2152" s="155"/>
      <c r="P2152" s="155"/>
      <c r="Q2152" s="155"/>
      <c r="R2152" s="155"/>
      <c r="S2152" s="155"/>
      <c r="T2152" s="155"/>
      <c r="U2152" s="155"/>
      <c r="V2152" s="155"/>
      <c r="W2152" s="155"/>
      <c r="GL2152" s="155"/>
      <c r="GM2152" s="155"/>
      <c r="GN2152" s="155"/>
      <c r="GO2152" s="155"/>
      <c r="GP2152" s="155"/>
      <c r="GQ2152" s="155"/>
      <c r="GR2152" s="155"/>
      <c r="GS2152" s="155"/>
      <c r="GT2152" s="155"/>
      <c r="GU2152" s="155"/>
      <c r="GV2152" s="155"/>
      <c r="GW2152" s="155"/>
      <c r="GX2152" s="155"/>
      <c r="GY2152" s="155"/>
      <c r="GZ2152" s="155"/>
      <c r="HA2152" s="155"/>
      <c r="HB2152" s="155"/>
      <c r="HC2152" s="155"/>
      <c r="HD2152" s="155"/>
      <c r="HE2152" s="155"/>
    </row>
    <row r="2153" spans="2:213" s="156" customFormat="1" hidden="1">
      <c r="B2153" s="155"/>
      <c r="C2153" s="155"/>
      <c r="D2153" s="155"/>
      <c r="E2153" s="155"/>
      <c r="F2153" s="155"/>
      <c r="G2153" s="155"/>
      <c r="H2153" s="155"/>
      <c r="I2153" s="155"/>
      <c r="J2153" s="155"/>
      <c r="K2153" s="155"/>
      <c r="L2153" s="155"/>
      <c r="M2153" s="155"/>
      <c r="N2153" s="155"/>
      <c r="O2153" s="155"/>
      <c r="P2153" s="155"/>
      <c r="Q2153" s="155"/>
      <c r="R2153" s="155"/>
      <c r="S2153" s="155"/>
      <c r="T2153" s="155"/>
      <c r="U2153" s="155"/>
      <c r="V2153" s="155"/>
      <c r="W2153" s="155"/>
      <c r="GL2153" s="155"/>
      <c r="GM2153" s="155"/>
      <c r="GN2153" s="155"/>
      <c r="GO2153" s="155"/>
      <c r="GP2153" s="155"/>
      <c r="GQ2153" s="155"/>
      <c r="GR2153" s="155"/>
      <c r="GS2153" s="155"/>
      <c r="GT2153" s="155"/>
      <c r="GU2153" s="155"/>
      <c r="GV2153" s="155"/>
      <c r="GW2153" s="155"/>
      <c r="GX2153" s="155"/>
      <c r="GY2153" s="155"/>
      <c r="GZ2153" s="155"/>
      <c r="HA2153" s="155"/>
      <c r="HB2153" s="155"/>
      <c r="HC2153" s="155"/>
      <c r="HD2153" s="155"/>
      <c r="HE2153" s="155"/>
    </row>
    <row r="2154" spans="2:213" s="156" customFormat="1" hidden="1">
      <c r="B2154" s="155"/>
      <c r="C2154" s="155"/>
      <c r="D2154" s="155"/>
      <c r="E2154" s="155"/>
      <c r="F2154" s="155"/>
      <c r="G2154" s="155"/>
      <c r="H2154" s="155"/>
      <c r="I2154" s="155"/>
      <c r="J2154" s="155"/>
      <c r="K2154" s="155"/>
      <c r="L2154" s="155"/>
      <c r="M2154" s="155"/>
      <c r="N2154" s="155"/>
      <c r="O2154" s="155"/>
      <c r="P2154" s="155"/>
      <c r="Q2154" s="155"/>
      <c r="R2154" s="155"/>
      <c r="S2154" s="155"/>
      <c r="T2154" s="155"/>
      <c r="U2154" s="155"/>
      <c r="V2154" s="155"/>
      <c r="W2154" s="155"/>
      <c r="GL2154" s="155"/>
      <c r="GM2154" s="155"/>
      <c r="GN2154" s="155"/>
      <c r="GO2154" s="155"/>
      <c r="GP2154" s="155"/>
      <c r="GQ2154" s="155"/>
      <c r="GR2154" s="155"/>
      <c r="GS2154" s="155"/>
      <c r="GT2154" s="155"/>
      <c r="GU2154" s="155"/>
      <c r="GV2154" s="155"/>
      <c r="GW2154" s="155"/>
      <c r="GX2154" s="155"/>
      <c r="GY2154" s="155"/>
      <c r="GZ2154" s="155"/>
      <c r="HA2154" s="155"/>
      <c r="HB2154" s="155"/>
      <c r="HC2154" s="155"/>
      <c r="HD2154" s="155"/>
      <c r="HE2154" s="155"/>
    </row>
    <row r="2155" spans="2:213" s="156" customFormat="1" hidden="1">
      <c r="B2155" s="155"/>
      <c r="C2155" s="155"/>
      <c r="D2155" s="155"/>
      <c r="E2155" s="155"/>
      <c r="F2155" s="155"/>
      <c r="G2155" s="155"/>
      <c r="H2155" s="155"/>
      <c r="I2155" s="155"/>
      <c r="J2155" s="155"/>
      <c r="K2155" s="155"/>
      <c r="L2155" s="155"/>
      <c r="M2155" s="155"/>
      <c r="N2155" s="155"/>
      <c r="O2155" s="155"/>
      <c r="P2155" s="155"/>
      <c r="Q2155" s="155"/>
      <c r="R2155" s="155"/>
      <c r="S2155" s="155"/>
      <c r="T2155" s="155"/>
      <c r="U2155" s="155"/>
      <c r="V2155" s="155"/>
      <c r="W2155" s="155"/>
      <c r="GL2155" s="155"/>
      <c r="GM2155" s="155"/>
      <c r="GN2155" s="155"/>
      <c r="GO2155" s="155"/>
      <c r="GP2155" s="155"/>
      <c r="GQ2155" s="155"/>
      <c r="GR2155" s="155"/>
      <c r="GS2155" s="155"/>
      <c r="GT2155" s="155"/>
      <c r="GU2155" s="155"/>
      <c r="GV2155" s="155"/>
      <c r="GW2155" s="155"/>
      <c r="GX2155" s="155"/>
      <c r="GY2155" s="155"/>
      <c r="GZ2155" s="155"/>
      <c r="HA2155" s="155"/>
      <c r="HB2155" s="155"/>
      <c r="HC2155" s="155"/>
      <c r="HD2155" s="155"/>
      <c r="HE2155" s="155"/>
    </row>
    <row r="2156" spans="2:213" s="156" customFormat="1" hidden="1">
      <c r="B2156" s="155"/>
      <c r="C2156" s="155"/>
      <c r="D2156" s="155"/>
      <c r="E2156" s="155"/>
      <c r="F2156" s="155"/>
      <c r="G2156" s="155"/>
      <c r="H2156" s="155"/>
      <c r="I2156" s="155"/>
      <c r="J2156" s="155"/>
      <c r="K2156" s="155"/>
      <c r="L2156" s="155"/>
      <c r="M2156" s="155"/>
      <c r="N2156" s="155"/>
      <c r="O2156" s="155"/>
      <c r="P2156" s="155"/>
      <c r="Q2156" s="155"/>
      <c r="R2156" s="155"/>
      <c r="S2156" s="155"/>
      <c r="T2156" s="155"/>
      <c r="U2156" s="155"/>
      <c r="V2156" s="155"/>
      <c r="W2156" s="155"/>
      <c r="GL2156" s="155"/>
      <c r="GM2156" s="155"/>
      <c r="GN2156" s="155"/>
      <c r="GO2156" s="155"/>
      <c r="GP2156" s="155"/>
      <c r="GQ2156" s="155"/>
      <c r="GR2156" s="155"/>
      <c r="GS2156" s="155"/>
      <c r="GT2156" s="155"/>
      <c r="GU2156" s="155"/>
      <c r="GV2156" s="155"/>
      <c r="GW2156" s="155"/>
      <c r="GX2156" s="155"/>
      <c r="GY2156" s="155"/>
      <c r="GZ2156" s="155"/>
      <c r="HA2156" s="155"/>
      <c r="HB2156" s="155"/>
      <c r="HC2156" s="155"/>
      <c r="HD2156" s="155"/>
      <c r="HE2156" s="155"/>
    </row>
    <row r="2157" spans="2:213" s="156" customFormat="1" hidden="1">
      <c r="B2157" s="155"/>
      <c r="C2157" s="155"/>
      <c r="D2157" s="155"/>
      <c r="E2157" s="155"/>
      <c r="F2157" s="155"/>
      <c r="G2157" s="155"/>
      <c r="H2157" s="155"/>
      <c r="I2157" s="155"/>
      <c r="J2157" s="155"/>
      <c r="K2157" s="155"/>
      <c r="L2157" s="155"/>
      <c r="M2157" s="155"/>
      <c r="N2157" s="155"/>
      <c r="O2157" s="155"/>
      <c r="P2157" s="155"/>
      <c r="Q2157" s="155"/>
      <c r="R2157" s="155"/>
      <c r="S2157" s="155"/>
      <c r="T2157" s="155"/>
      <c r="U2157" s="155"/>
      <c r="V2157" s="155"/>
      <c r="W2157" s="155"/>
      <c r="GL2157" s="155"/>
      <c r="GM2157" s="155"/>
      <c r="GN2157" s="155"/>
      <c r="GO2157" s="155"/>
      <c r="GP2157" s="155"/>
      <c r="GQ2157" s="155"/>
      <c r="GR2157" s="155"/>
      <c r="GS2157" s="155"/>
      <c r="GT2157" s="155"/>
      <c r="GU2157" s="155"/>
      <c r="GV2157" s="155"/>
      <c r="GW2157" s="155"/>
      <c r="GX2157" s="155"/>
      <c r="GY2157" s="155"/>
      <c r="GZ2157" s="155"/>
      <c r="HA2157" s="155"/>
      <c r="HB2157" s="155"/>
      <c r="HC2157" s="155"/>
      <c r="HD2157" s="155"/>
      <c r="HE2157" s="155"/>
    </row>
    <row r="2158" spans="2:213" s="156" customFormat="1" hidden="1">
      <c r="B2158" s="155"/>
      <c r="C2158" s="155"/>
      <c r="D2158" s="155"/>
      <c r="E2158" s="155"/>
      <c r="F2158" s="155"/>
      <c r="G2158" s="155"/>
      <c r="H2158" s="155"/>
      <c r="I2158" s="155"/>
      <c r="J2158" s="155"/>
      <c r="K2158" s="155"/>
      <c r="L2158" s="155"/>
      <c r="M2158" s="155"/>
      <c r="N2158" s="155"/>
      <c r="O2158" s="155"/>
      <c r="P2158" s="155"/>
      <c r="Q2158" s="155"/>
      <c r="R2158" s="155"/>
      <c r="S2158" s="155"/>
      <c r="T2158" s="155"/>
      <c r="U2158" s="155"/>
      <c r="V2158" s="155"/>
      <c r="W2158" s="155"/>
      <c r="GL2158" s="155"/>
      <c r="GM2158" s="155"/>
      <c r="GN2158" s="155"/>
      <c r="GO2158" s="155"/>
      <c r="GP2158" s="155"/>
      <c r="GQ2158" s="155"/>
      <c r="GR2158" s="155"/>
      <c r="GS2158" s="155"/>
      <c r="GT2158" s="155"/>
      <c r="GU2158" s="155"/>
      <c r="GV2158" s="155"/>
      <c r="GW2158" s="155"/>
      <c r="GX2158" s="155"/>
      <c r="GY2158" s="155"/>
      <c r="GZ2158" s="155"/>
      <c r="HA2158" s="155"/>
      <c r="HB2158" s="155"/>
      <c r="HC2158" s="155"/>
      <c r="HD2158" s="155"/>
      <c r="HE2158" s="155"/>
    </row>
    <row r="2159" spans="2:213" s="156" customFormat="1" hidden="1">
      <c r="B2159" s="155"/>
      <c r="C2159" s="155"/>
      <c r="D2159" s="155"/>
      <c r="E2159" s="155"/>
      <c r="F2159" s="155"/>
      <c r="G2159" s="155"/>
      <c r="H2159" s="155"/>
      <c r="I2159" s="155"/>
      <c r="J2159" s="155"/>
      <c r="K2159" s="155"/>
      <c r="L2159" s="155"/>
      <c r="M2159" s="155"/>
      <c r="N2159" s="155"/>
      <c r="O2159" s="155"/>
      <c r="P2159" s="155"/>
      <c r="Q2159" s="155"/>
      <c r="R2159" s="155"/>
      <c r="S2159" s="155"/>
      <c r="T2159" s="155"/>
      <c r="U2159" s="155"/>
      <c r="V2159" s="155"/>
      <c r="W2159" s="155"/>
      <c r="GL2159" s="155"/>
      <c r="GM2159" s="155"/>
      <c r="GN2159" s="155"/>
      <c r="GO2159" s="155"/>
      <c r="GP2159" s="155"/>
      <c r="GQ2159" s="155"/>
      <c r="GR2159" s="155"/>
      <c r="GS2159" s="155"/>
      <c r="GT2159" s="155"/>
      <c r="GU2159" s="155"/>
      <c r="GV2159" s="155"/>
      <c r="GW2159" s="155"/>
      <c r="GX2159" s="155"/>
      <c r="GY2159" s="155"/>
      <c r="GZ2159" s="155"/>
      <c r="HA2159" s="155"/>
      <c r="HB2159" s="155"/>
      <c r="HC2159" s="155"/>
      <c r="HD2159" s="155"/>
      <c r="HE2159" s="155"/>
    </row>
    <row r="2160" spans="2:213" s="156" customFormat="1" hidden="1">
      <c r="B2160" s="155"/>
      <c r="C2160" s="155"/>
      <c r="D2160" s="155"/>
      <c r="E2160" s="155"/>
      <c r="F2160" s="155"/>
      <c r="G2160" s="155"/>
      <c r="H2160" s="155"/>
      <c r="I2160" s="155"/>
      <c r="J2160" s="155"/>
      <c r="K2160" s="155"/>
      <c r="L2160" s="155"/>
      <c r="M2160" s="155"/>
      <c r="N2160" s="155"/>
      <c r="O2160" s="155"/>
      <c r="P2160" s="155"/>
      <c r="Q2160" s="155"/>
      <c r="R2160" s="155"/>
      <c r="S2160" s="155"/>
      <c r="T2160" s="155"/>
      <c r="U2160" s="155"/>
      <c r="V2160" s="155"/>
      <c r="W2160" s="155"/>
      <c r="GL2160" s="155"/>
      <c r="GM2160" s="155"/>
      <c r="GN2160" s="155"/>
      <c r="GO2160" s="155"/>
      <c r="GP2160" s="155"/>
      <c r="GQ2160" s="155"/>
      <c r="GR2160" s="155"/>
      <c r="GS2160" s="155"/>
      <c r="GT2160" s="155"/>
      <c r="GU2160" s="155"/>
      <c r="GV2160" s="155"/>
      <c r="GW2160" s="155"/>
      <c r="GX2160" s="155"/>
      <c r="GY2160" s="155"/>
      <c r="GZ2160" s="155"/>
      <c r="HA2160" s="155"/>
      <c r="HB2160" s="155"/>
      <c r="HC2160" s="155"/>
      <c r="HD2160" s="155"/>
      <c r="HE2160" s="155"/>
    </row>
    <row r="2161" spans="2:213" s="156" customFormat="1" hidden="1">
      <c r="B2161" s="155"/>
      <c r="C2161" s="155"/>
      <c r="D2161" s="155"/>
      <c r="E2161" s="155"/>
      <c r="F2161" s="155"/>
      <c r="G2161" s="155"/>
      <c r="H2161" s="155"/>
      <c r="I2161" s="155"/>
      <c r="J2161" s="155"/>
      <c r="K2161" s="155"/>
      <c r="L2161" s="155"/>
      <c r="M2161" s="155"/>
      <c r="N2161" s="155"/>
      <c r="O2161" s="155"/>
      <c r="P2161" s="155"/>
      <c r="Q2161" s="155"/>
      <c r="R2161" s="155"/>
      <c r="S2161" s="155"/>
      <c r="T2161" s="155"/>
      <c r="U2161" s="155"/>
      <c r="V2161" s="155"/>
      <c r="W2161" s="155"/>
      <c r="GL2161" s="155"/>
      <c r="GM2161" s="155"/>
      <c r="GN2161" s="155"/>
      <c r="GO2161" s="155"/>
      <c r="GP2161" s="155"/>
      <c r="GQ2161" s="155"/>
      <c r="GR2161" s="155"/>
      <c r="GS2161" s="155"/>
      <c r="GT2161" s="155"/>
      <c r="GU2161" s="155"/>
      <c r="GV2161" s="155"/>
      <c r="GW2161" s="155"/>
      <c r="GX2161" s="155"/>
      <c r="GY2161" s="155"/>
      <c r="GZ2161" s="155"/>
      <c r="HA2161" s="155"/>
      <c r="HB2161" s="155"/>
      <c r="HC2161" s="155"/>
      <c r="HD2161" s="155"/>
      <c r="HE2161" s="155"/>
    </row>
    <row r="2162" spans="2:213" s="156" customFormat="1" hidden="1">
      <c r="B2162" s="155"/>
      <c r="C2162" s="155"/>
      <c r="D2162" s="155"/>
      <c r="E2162" s="155"/>
      <c r="F2162" s="155"/>
      <c r="G2162" s="155"/>
      <c r="H2162" s="155"/>
      <c r="I2162" s="155"/>
      <c r="J2162" s="155"/>
      <c r="K2162" s="155"/>
      <c r="L2162" s="155"/>
      <c r="M2162" s="155"/>
      <c r="N2162" s="155"/>
      <c r="O2162" s="155"/>
      <c r="P2162" s="155"/>
      <c r="Q2162" s="155"/>
      <c r="R2162" s="155"/>
      <c r="S2162" s="155"/>
      <c r="T2162" s="155"/>
      <c r="U2162" s="155"/>
      <c r="V2162" s="155"/>
      <c r="W2162" s="155"/>
      <c r="GL2162" s="155"/>
      <c r="GM2162" s="155"/>
      <c r="GN2162" s="155"/>
      <c r="GO2162" s="155"/>
      <c r="GP2162" s="155"/>
      <c r="GQ2162" s="155"/>
      <c r="GR2162" s="155"/>
      <c r="GS2162" s="155"/>
      <c r="GT2162" s="155"/>
      <c r="GU2162" s="155"/>
      <c r="GV2162" s="155"/>
      <c r="GW2162" s="155"/>
      <c r="GX2162" s="155"/>
      <c r="GY2162" s="155"/>
      <c r="GZ2162" s="155"/>
      <c r="HA2162" s="155"/>
      <c r="HB2162" s="155"/>
      <c r="HC2162" s="155"/>
      <c r="HD2162" s="155"/>
      <c r="HE2162" s="155"/>
    </row>
    <row r="2163" spans="2:213" s="156" customFormat="1" hidden="1">
      <c r="B2163" s="155"/>
      <c r="C2163" s="155"/>
      <c r="D2163" s="155"/>
      <c r="E2163" s="155"/>
      <c r="F2163" s="155"/>
      <c r="G2163" s="155"/>
      <c r="H2163" s="155"/>
      <c r="I2163" s="155"/>
      <c r="J2163" s="155"/>
      <c r="K2163" s="155"/>
      <c r="L2163" s="155"/>
      <c r="M2163" s="155"/>
      <c r="N2163" s="155"/>
      <c r="O2163" s="155"/>
      <c r="P2163" s="155"/>
      <c r="Q2163" s="155"/>
      <c r="R2163" s="155"/>
      <c r="S2163" s="155"/>
      <c r="T2163" s="155"/>
      <c r="U2163" s="155"/>
      <c r="V2163" s="155"/>
      <c r="W2163" s="155"/>
      <c r="GL2163" s="155"/>
      <c r="GM2163" s="155"/>
      <c r="GN2163" s="155"/>
      <c r="GO2163" s="155"/>
      <c r="GP2163" s="155"/>
      <c r="GQ2163" s="155"/>
      <c r="GR2163" s="155"/>
      <c r="GS2163" s="155"/>
      <c r="GT2163" s="155"/>
      <c r="GU2163" s="155"/>
      <c r="GV2163" s="155"/>
      <c r="GW2163" s="155"/>
      <c r="GX2163" s="155"/>
      <c r="GY2163" s="155"/>
      <c r="GZ2163" s="155"/>
      <c r="HA2163" s="155"/>
      <c r="HB2163" s="155"/>
      <c r="HC2163" s="155"/>
      <c r="HD2163" s="155"/>
      <c r="HE2163" s="155"/>
    </row>
    <row r="2164" spans="2:213" s="156" customFormat="1" hidden="1">
      <c r="B2164" s="155"/>
      <c r="C2164" s="155"/>
      <c r="D2164" s="155"/>
      <c r="E2164" s="155"/>
      <c r="F2164" s="155"/>
      <c r="G2164" s="155"/>
      <c r="H2164" s="155"/>
      <c r="I2164" s="155"/>
      <c r="J2164" s="155"/>
      <c r="K2164" s="155"/>
      <c r="L2164" s="155"/>
      <c r="M2164" s="155"/>
      <c r="N2164" s="155"/>
      <c r="O2164" s="155"/>
      <c r="P2164" s="155"/>
      <c r="Q2164" s="155"/>
      <c r="R2164" s="155"/>
      <c r="S2164" s="155"/>
      <c r="T2164" s="155"/>
      <c r="U2164" s="155"/>
      <c r="V2164" s="155"/>
      <c r="W2164" s="155"/>
      <c r="GL2164" s="155"/>
      <c r="GM2164" s="155"/>
      <c r="GN2164" s="155"/>
      <c r="GO2164" s="155"/>
      <c r="GP2164" s="155"/>
      <c r="GQ2164" s="155"/>
      <c r="GR2164" s="155"/>
      <c r="GS2164" s="155"/>
      <c r="GT2164" s="155"/>
      <c r="GU2164" s="155"/>
      <c r="GV2164" s="155"/>
      <c r="GW2164" s="155"/>
      <c r="GX2164" s="155"/>
      <c r="GY2164" s="155"/>
      <c r="GZ2164" s="155"/>
      <c r="HA2164" s="155"/>
      <c r="HB2164" s="155"/>
      <c r="HC2164" s="155"/>
      <c r="HD2164" s="155"/>
      <c r="HE2164" s="155"/>
    </row>
    <row r="2165" spans="2:213" s="156" customFormat="1" hidden="1">
      <c r="B2165" s="155"/>
      <c r="C2165" s="155"/>
      <c r="D2165" s="155"/>
      <c r="E2165" s="155"/>
      <c r="F2165" s="155"/>
      <c r="G2165" s="155"/>
      <c r="H2165" s="155"/>
      <c r="I2165" s="155"/>
      <c r="J2165" s="155"/>
      <c r="K2165" s="155"/>
      <c r="L2165" s="155"/>
      <c r="M2165" s="155"/>
      <c r="N2165" s="155"/>
      <c r="O2165" s="155"/>
      <c r="P2165" s="155"/>
      <c r="Q2165" s="155"/>
      <c r="R2165" s="155"/>
      <c r="S2165" s="155"/>
      <c r="T2165" s="155"/>
      <c r="U2165" s="155"/>
      <c r="V2165" s="155"/>
      <c r="W2165" s="155"/>
      <c r="GL2165" s="155"/>
      <c r="GM2165" s="155"/>
      <c r="GN2165" s="155"/>
      <c r="GO2165" s="155"/>
      <c r="GP2165" s="155"/>
      <c r="GQ2165" s="155"/>
      <c r="GR2165" s="155"/>
      <c r="GS2165" s="155"/>
      <c r="GT2165" s="155"/>
      <c r="GU2165" s="155"/>
      <c r="GV2165" s="155"/>
      <c r="GW2165" s="155"/>
      <c r="GX2165" s="155"/>
      <c r="GY2165" s="155"/>
      <c r="GZ2165" s="155"/>
      <c r="HA2165" s="155"/>
      <c r="HB2165" s="155"/>
      <c r="HC2165" s="155"/>
      <c r="HD2165" s="155"/>
      <c r="HE2165" s="155"/>
    </row>
    <row r="2166" spans="2:213" s="156" customFormat="1" hidden="1">
      <c r="B2166" s="155"/>
      <c r="C2166" s="155"/>
      <c r="D2166" s="155"/>
      <c r="E2166" s="155"/>
      <c r="F2166" s="155"/>
      <c r="G2166" s="155"/>
      <c r="H2166" s="155"/>
      <c r="I2166" s="155"/>
      <c r="J2166" s="155"/>
      <c r="K2166" s="155"/>
      <c r="L2166" s="155"/>
      <c r="M2166" s="155"/>
      <c r="N2166" s="155"/>
      <c r="O2166" s="155"/>
      <c r="P2166" s="155"/>
      <c r="Q2166" s="155"/>
      <c r="R2166" s="155"/>
      <c r="S2166" s="155"/>
      <c r="T2166" s="155"/>
      <c r="U2166" s="155"/>
      <c r="V2166" s="155"/>
      <c r="W2166" s="155"/>
      <c r="GL2166" s="155"/>
      <c r="GM2166" s="155"/>
      <c r="GN2166" s="155"/>
      <c r="GO2166" s="155"/>
      <c r="GP2166" s="155"/>
      <c r="GQ2166" s="155"/>
      <c r="GR2166" s="155"/>
      <c r="GS2166" s="155"/>
      <c r="GT2166" s="155"/>
      <c r="GU2166" s="155"/>
      <c r="GV2166" s="155"/>
      <c r="GW2166" s="155"/>
      <c r="GX2166" s="155"/>
      <c r="GY2166" s="155"/>
      <c r="GZ2166" s="155"/>
      <c r="HA2166" s="155"/>
      <c r="HB2166" s="155"/>
      <c r="HC2166" s="155"/>
      <c r="HD2166" s="155"/>
      <c r="HE2166" s="155"/>
    </row>
    <row r="2167" spans="2:213" s="156" customFormat="1" hidden="1">
      <c r="B2167" s="155"/>
      <c r="C2167" s="155"/>
      <c r="D2167" s="155"/>
      <c r="E2167" s="155"/>
      <c r="F2167" s="155"/>
      <c r="G2167" s="155"/>
      <c r="H2167" s="155"/>
      <c r="I2167" s="155"/>
      <c r="J2167" s="155"/>
      <c r="K2167" s="155"/>
      <c r="L2167" s="155"/>
      <c r="M2167" s="155"/>
      <c r="N2167" s="155"/>
      <c r="O2167" s="155"/>
      <c r="P2167" s="155"/>
      <c r="Q2167" s="155"/>
      <c r="R2167" s="155"/>
      <c r="S2167" s="155"/>
      <c r="T2167" s="155"/>
      <c r="U2167" s="155"/>
      <c r="V2167" s="155"/>
      <c r="W2167" s="155"/>
      <c r="GL2167" s="155"/>
      <c r="GM2167" s="155"/>
      <c r="GN2167" s="155"/>
      <c r="GO2167" s="155"/>
      <c r="GP2167" s="155"/>
      <c r="GQ2167" s="155"/>
      <c r="GR2167" s="155"/>
      <c r="GS2167" s="155"/>
      <c r="GT2167" s="155"/>
      <c r="GU2167" s="155"/>
      <c r="GV2167" s="155"/>
      <c r="GW2167" s="155"/>
      <c r="GX2167" s="155"/>
      <c r="GY2167" s="155"/>
      <c r="GZ2167" s="155"/>
      <c r="HA2167" s="155"/>
      <c r="HB2167" s="155"/>
      <c r="HC2167" s="155"/>
      <c r="HD2167" s="155"/>
      <c r="HE2167" s="155"/>
    </row>
    <row r="2168" spans="2:213" s="156" customFormat="1" hidden="1">
      <c r="B2168" s="155"/>
      <c r="C2168" s="155"/>
      <c r="D2168" s="155"/>
      <c r="E2168" s="155"/>
      <c r="F2168" s="155"/>
      <c r="G2168" s="155"/>
      <c r="H2168" s="155"/>
      <c r="I2168" s="155"/>
      <c r="J2168" s="155"/>
      <c r="K2168" s="155"/>
      <c r="L2168" s="155"/>
      <c r="M2168" s="155"/>
      <c r="N2168" s="155"/>
      <c r="O2168" s="155"/>
      <c r="P2168" s="155"/>
      <c r="Q2168" s="155"/>
      <c r="R2168" s="155"/>
      <c r="S2168" s="155"/>
      <c r="T2168" s="155"/>
      <c r="U2168" s="155"/>
      <c r="V2168" s="155"/>
      <c r="W2168" s="155"/>
      <c r="GL2168" s="155"/>
      <c r="GM2168" s="155"/>
      <c r="GN2168" s="155"/>
      <c r="GO2168" s="155"/>
      <c r="GP2168" s="155"/>
      <c r="GQ2168" s="155"/>
      <c r="GR2168" s="155"/>
      <c r="GS2168" s="155"/>
      <c r="GT2168" s="155"/>
      <c r="GU2168" s="155"/>
      <c r="GV2168" s="155"/>
      <c r="GW2168" s="155"/>
      <c r="GX2168" s="155"/>
      <c r="GY2168" s="155"/>
      <c r="GZ2168" s="155"/>
      <c r="HA2168" s="155"/>
      <c r="HB2168" s="155"/>
      <c r="HC2168" s="155"/>
      <c r="HD2168" s="155"/>
      <c r="HE2168" s="155"/>
    </row>
    <row r="2169" spans="2:213" s="156" customFormat="1" hidden="1">
      <c r="B2169" s="155"/>
      <c r="C2169" s="155"/>
      <c r="D2169" s="155"/>
      <c r="E2169" s="155"/>
      <c r="F2169" s="155"/>
      <c r="G2169" s="155"/>
      <c r="H2169" s="155"/>
      <c r="I2169" s="155"/>
      <c r="J2169" s="155"/>
      <c r="K2169" s="155"/>
      <c r="L2169" s="155"/>
      <c r="M2169" s="155"/>
      <c r="N2169" s="155"/>
      <c r="O2169" s="155"/>
      <c r="P2169" s="155"/>
      <c r="Q2169" s="155"/>
      <c r="R2169" s="155"/>
      <c r="S2169" s="155"/>
      <c r="T2169" s="155"/>
      <c r="U2169" s="155"/>
      <c r="V2169" s="155"/>
      <c r="W2169" s="155"/>
      <c r="GL2169" s="155"/>
      <c r="GM2169" s="155"/>
      <c r="GN2169" s="155"/>
      <c r="GO2169" s="155"/>
      <c r="GP2169" s="155"/>
      <c r="GQ2169" s="155"/>
      <c r="GR2169" s="155"/>
      <c r="GS2169" s="155"/>
      <c r="GT2169" s="155"/>
      <c r="GU2169" s="155"/>
      <c r="GV2169" s="155"/>
      <c r="GW2169" s="155"/>
      <c r="GX2169" s="155"/>
      <c r="GY2169" s="155"/>
      <c r="GZ2169" s="155"/>
      <c r="HA2169" s="155"/>
      <c r="HB2169" s="155"/>
      <c r="HC2169" s="155"/>
      <c r="HD2169" s="155"/>
      <c r="HE2169" s="155"/>
    </row>
    <row r="2170" spans="2:213" s="156" customFormat="1" hidden="1">
      <c r="B2170" s="155"/>
      <c r="C2170" s="155"/>
      <c r="D2170" s="155"/>
      <c r="E2170" s="155"/>
      <c r="F2170" s="155"/>
      <c r="G2170" s="155"/>
      <c r="H2170" s="155"/>
      <c r="I2170" s="155"/>
      <c r="J2170" s="155"/>
      <c r="K2170" s="155"/>
      <c r="L2170" s="155"/>
      <c r="M2170" s="155"/>
      <c r="N2170" s="155"/>
      <c r="O2170" s="155"/>
      <c r="P2170" s="155"/>
      <c r="Q2170" s="155"/>
      <c r="R2170" s="155"/>
      <c r="S2170" s="155"/>
      <c r="T2170" s="155"/>
      <c r="U2170" s="155"/>
      <c r="V2170" s="155"/>
      <c r="W2170" s="155"/>
      <c r="GL2170" s="155"/>
      <c r="GM2170" s="155"/>
      <c r="GN2170" s="155"/>
      <c r="GO2170" s="155"/>
      <c r="GP2170" s="155"/>
      <c r="GQ2170" s="155"/>
      <c r="GR2170" s="155"/>
      <c r="GS2170" s="155"/>
      <c r="GT2170" s="155"/>
      <c r="GU2170" s="155"/>
      <c r="GV2170" s="155"/>
      <c r="GW2170" s="155"/>
      <c r="GX2170" s="155"/>
      <c r="GY2170" s="155"/>
      <c r="GZ2170" s="155"/>
      <c r="HA2170" s="155"/>
      <c r="HB2170" s="155"/>
      <c r="HC2170" s="155"/>
      <c r="HD2170" s="155"/>
      <c r="HE2170" s="155"/>
    </row>
    <row r="2171" spans="2:213" s="156" customFormat="1" hidden="1">
      <c r="B2171" s="155"/>
      <c r="C2171" s="155"/>
      <c r="D2171" s="155"/>
      <c r="E2171" s="155"/>
      <c r="F2171" s="155"/>
      <c r="G2171" s="155"/>
      <c r="H2171" s="155"/>
      <c r="I2171" s="155"/>
      <c r="J2171" s="155"/>
      <c r="K2171" s="155"/>
      <c r="L2171" s="155"/>
      <c r="M2171" s="155"/>
      <c r="N2171" s="155"/>
      <c r="O2171" s="155"/>
      <c r="P2171" s="155"/>
      <c r="Q2171" s="155"/>
      <c r="R2171" s="155"/>
      <c r="S2171" s="155"/>
      <c r="T2171" s="155"/>
      <c r="U2171" s="155"/>
      <c r="V2171" s="155"/>
      <c r="W2171" s="155"/>
      <c r="GL2171" s="155"/>
      <c r="GM2171" s="155"/>
      <c r="GN2171" s="155"/>
      <c r="GO2171" s="155"/>
      <c r="GP2171" s="155"/>
      <c r="GQ2171" s="155"/>
      <c r="GR2171" s="155"/>
      <c r="GS2171" s="155"/>
      <c r="GT2171" s="155"/>
      <c r="GU2171" s="155"/>
      <c r="GV2171" s="155"/>
      <c r="GW2171" s="155"/>
      <c r="GX2171" s="155"/>
      <c r="GY2171" s="155"/>
      <c r="GZ2171" s="155"/>
      <c r="HA2171" s="155"/>
      <c r="HB2171" s="155"/>
      <c r="HC2171" s="155"/>
      <c r="HD2171" s="155"/>
      <c r="HE2171" s="155"/>
    </row>
    <row r="2172" spans="2:213" s="156" customFormat="1" hidden="1">
      <c r="B2172" s="155"/>
      <c r="C2172" s="155"/>
      <c r="D2172" s="155"/>
      <c r="E2172" s="155"/>
      <c r="F2172" s="155"/>
      <c r="G2172" s="155"/>
      <c r="H2172" s="155"/>
      <c r="I2172" s="155"/>
      <c r="J2172" s="155"/>
      <c r="K2172" s="155"/>
      <c r="L2172" s="155"/>
      <c r="M2172" s="155"/>
      <c r="N2172" s="155"/>
      <c r="O2172" s="155"/>
      <c r="P2172" s="155"/>
      <c r="Q2172" s="155"/>
      <c r="R2172" s="155"/>
      <c r="S2172" s="155"/>
      <c r="T2172" s="155"/>
      <c r="U2172" s="155"/>
      <c r="V2172" s="155"/>
      <c r="W2172" s="155"/>
      <c r="GL2172" s="155"/>
      <c r="GM2172" s="155"/>
      <c r="GN2172" s="155"/>
      <c r="GO2172" s="155"/>
      <c r="GP2172" s="155"/>
      <c r="GQ2172" s="155"/>
      <c r="GR2172" s="155"/>
      <c r="GS2172" s="155"/>
      <c r="GT2172" s="155"/>
      <c r="GU2172" s="155"/>
      <c r="GV2172" s="155"/>
      <c r="GW2172" s="155"/>
      <c r="GX2172" s="155"/>
      <c r="GY2172" s="155"/>
      <c r="GZ2172" s="155"/>
      <c r="HA2172" s="155"/>
      <c r="HB2172" s="155"/>
      <c r="HC2172" s="155"/>
      <c r="HD2172" s="155"/>
      <c r="HE2172" s="155"/>
    </row>
    <row r="2173" spans="2:213" s="156" customFormat="1" hidden="1">
      <c r="B2173" s="155"/>
      <c r="C2173" s="155"/>
      <c r="D2173" s="155"/>
      <c r="E2173" s="155"/>
      <c r="F2173" s="155"/>
      <c r="G2173" s="155"/>
      <c r="H2173" s="155"/>
      <c r="I2173" s="155"/>
      <c r="J2173" s="155"/>
      <c r="K2173" s="155"/>
      <c r="L2173" s="155"/>
      <c r="M2173" s="155"/>
      <c r="N2173" s="155"/>
      <c r="O2173" s="155"/>
      <c r="P2173" s="155"/>
      <c r="Q2173" s="155"/>
      <c r="R2173" s="155"/>
      <c r="S2173" s="155"/>
      <c r="T2173" s="155"/>
      <c r="U2173" s="155"/>
      <c r="V2173" s="155"/>
      <c r="W2173" s="155"/>
      <c r="GL2173" s="155"/>
      <c r="GM2173" s="155"/>
      <c r="GN2173" s="155"/>
      <c r="GO2173" s="155"/>
      <c r="GP2173" s="155"/>
      <c r="GQ2173" s="155"/>
      <c r="GR2173" s="155"/>
      <c r="GS2173" s="155"/>
      <c r="GT2173" s="155"/>
      <c r="GU2173" s="155"/>
      <c r="GV2173" s="155"/>
      <c r="GW2173" s="155"/>
      <c r="GX2173" s="155"/>
      <c r="GY2173" s="155"/>
      <c r="GZ2173" s="155"/>
      <c r="HA2173" s="155"/>
      <c r="HB2173" s="155"/>
      <c r="HC2173" s="155"/>
      <c r="HD2173" s="155"/>
      <c r="HE2173" s="155"/>
    </row>
    <row r="2174" spans="2:213" s="156" customFormat="1" hidden="1">
      <c r="B2174" s="155"/>
      <c r="C2174" s="155"/>
      <c r="D2174" s="155"/>
      <c r="E2174" s="155"/>
      <c r="F2174" s="155"/>
      <c r="G2174" s="155"/>
      <c r="H2174" s="155"/>
      <c r="I2174" s="155"/>
      <c r="J2174" s="155"/>
      <c r="K2174" s="155"/>
      <c r="L2174" s="155"/>
      <c r="M2174" s="155"/>
      <c r="N2174" s="155"/>
      <c r="O2174" s="155"/>
      <c r="P2174" s="155"/>
      <c r="Q2174" s="155"/>
      <c r="R2174" s="155"/>
      <c r="S2174" s="155"/>
      <c r="T2174" s="155"/>
      <c r="U2174" s="155"/>
      <c r="V2174" s="155"/>
      <c r="W2174" s="155"/>
      <c r="GL2174" s="155"/>
      <c r="GM2174" s="155"/>
      <c r="GN2174" s="155"/>
      <c r="GO2174" s="155"/>
      <c r="GP2174" s="155"/>
      <c r="GQ2174" s="155"/>
      <c r="GR2174" s="155"/>
      <c r="GS2174" s="155"/>
      <c r="GT2174" s="155"/>
      <c r="GU2174" s="155"/>
      <c r="GV2174" s="155"/>
      <c r="GW2174" s="155"/>
      <c r="GX2174" s="155"/>
      <c r="GY2174" s="155"/>
      <c r="GZ2174" s="155"/>
      <c r="HA2174" s="155"/>
      <c r="HB2174" s="155"/>
      <c r="HC2174" s="155"/>
      <c r="HD2174" s="155"/>
      <c r="HE2174" s="155"/>
    </row>
    <row r="2175" spans="2:213" s="156" customFormat="1" hidden="1">
      <c r="B2175" s="155"/>
      <c r="C2175" s="155"/>
      <c r="D2175" s="155"/>
      <c r="E2175" s="155"/>
      <c r="F2175" s="155"/>
      <c r="G2175" s="155"/>
      <c r="H2175" s="155"/>
      <c r="I2175" s="155"/>
      <c r="J2175" s="155"/>
      <c r="K2175" s="155"/>
      <c r="L2175" s="155"/>
      <c r="M2175" s="155"/>
      <c r="N2175" s="155"/>
      <c r="O2175" s="155"/>
      <c r="P2175" s="155"/>
      <c r="Q2175" s="155"/>
      <c r="R2175" s="155"/>
      <c r="S2175" s="155"/>
      <c r="T2175" s="155"/>
      <c r="U2175" s="155"/>
      <c r="V2175" s="155"/>
      <c r="W2175" s="155"/>
      <c r="GL2175" s="155"/>
      <c r="GM2175" s="155"/>
      <c r="GN2175" s="155"/>
      <c r="GO2175" s="155"/>
      <c r="GP2175" s="155"/>
      <c r="GQ2175" s="155"/>
      <c r="GR2175" s="155"/>
      <c r="GS2175" s="155"/>
      <c r="GT2175" s="155"/>
      <c r="GU2175" s="155"/>
      <c r="GV2175" s="155"/>
      <c r="GW2175" s="155"/>
      <c r="GX2175" s="155"/>
      <c r="GY2175" s="155"/>
      <c r="GZ2175" s="155"/>
      <c r="HA2175" s="155"/>
      <c r="HB2175" s="155"/>
      <c r="HC2175" s="155"/>
      <c r="HD2175" s="155"/>
      <c r="HE2175" s="155"/>
    </row>
    <row r="2176" spans="2:213" s="156" customFormat="1" hidden="1">
      <c r="B2176" s="155"/>
      <c r="C2176" s="155"/>
      <c r="D2176" s="155"/>
      <c r="E2176" s="155"/>
      <c r="F2176" s="155"/>
      <c r="G2176" s="155"/>
      <c r="H2176" s="155"/>
      <c r="I2176" s="155"/>
      <c r="J2176" s="155"/>
      <c r="K2176" s="155"/>
      <c r="L2176" s="155"/>
      <c r="M2176" s="155"/>
      <c r="N2176" s="155"/>
      <c r="O2176" s="155"/>
      <c r="P2176" s="155"/>
      <c r="Q2176" s="155"/>
      <c r="R2176" s="155"/>
      <c r="S2176" s="155"/>
      <c r="T2176" s="155"/>
      <c r="U2176" s="155"/>
      <c r="V2176" s="155"/>
      <c r="W2176" s="155"/>
      <c r="GL2176" s="155"/>
      <c r="GM2176" s="155"/>
      <c r="GN2176" s="155"/>
      <c r="GO2176" s="155"/>
      <c r="GP2176" s="155"/>
      <c r="GQ2176" s="155"/>
      <c r="GR2176" s="155"/>
      <c r="GS2176" s="155"/>
      <c r="GT2176" s="155"/>
      <c r="GU2176" s="155"/>
      <c r="GV2176" s="155"/>
      <c r="GW2176" s="155"/>
      <c r="GX2176" s="155"/>
      <c r="GY2176" s="155"/>
      <c r="GZ2176" s="155"/>
      <c r="HA2176" s="155"/>
      <c r="HB2176" s="155"/>
      <c r="HC2176" s="155"/>
      <c r="HD2176" s="155"/>
      <c r="HE2176" s="155"/>
    </row>
    <row r="2177" spans="2:213" s="156" customFormat="1" hidden="1">
      <c r="B2177" s="155"/>
      <c r="C2177" s="155"/>
      <c r="D2177" s="155"/>
      <c r="E2177" s="155"/>
      <c r="F2177" s="155"/>
      <c r="G2177" s="155"/>
      <c r="H2177" s="155"/>
      <c r="I2177" s="155"/>
      <c r="J2177" s="155"/>
      <c r="K2177" s="155"/>
      <c r="L2177" s="155"/>
      <c r="M2177" s="155"/>
      <c r="N2177" s="155"/>
      <c r="O2177" s="155"/>
      <c r="P2177" s="155"/>
      <c r="Q2177" s="155"/>
      <c r="R2177" s="155"/>
      <c r="S2177" s="155"/>
      <c r="T2177" s="155"/>
      <c r="U2177" s="155"/>
      <c r="V2177" s="155"/>
      <c r="W2177" s="155"/>
      <c r="GL2177" s="155"/>
      <c r="GM2177" s="155"/>
      <c r="GN2177" s="155"/>
      <c r="GO2177" s="155"/>
      <c r="GP2177" s="155"/>
      <c r="GQ2177" s="155"/>
      <c r="GR2177" s="155"/>
      <c r="GS2177" s="155"/>
      <c r="GT2177" s="155"/>
      <c r="GU2177" s="155"/>
      <c r="GV2177" s="155"/>
      <c r="GW2177" s="155"/>
      <c r="GX2177" s="155"/>
      <c r="GY2177" s="155"/>
      <c r="GZ2177" s="155"/>
      <c r="HA2177" s="155"/>
      <c r="HB2177" s="155"/>
      <c r="HC2177" s="155"/>
      <c r="HD2177" s="155"/>
      <c r="HE2177" s="155"/>
    </row>
    <row r="2178" spans="2:213" s="156" customFormat="1" hidden="1">
      <c r="B2178" s="155"/>
      <c r="C2178" s="155"/>
      <c r="D2178" s="155"/>
      <c r="E2178" s="155"/>
      <c r="F2178" s="155"/>
      <c r="G2178" s="155"/>
      <c r="H2178" s="155"/>
      <c r="I2178" s="155"/>
      <c r="J2178" s="155"/>
      <c r="K2178" s="155"/>
      <c r="L2178" s="155"/>
      <c r="M2178" s="155"/>
      <c r="N2178" s="155"/>
      <c r="O2178" s="155"/>
      <c r="P2178" s="155"/>
      <c r="Q2178" s="155"/>
      <c r="R2178" s="155"/>
      <c r="S2178" s="155"/>
      <c r="T2178" s="155"/>
      <c r="U2178" s="155"/>
      <c r="V2178" s="155"/>
      <c r="W2178" s="155"/>
      <c r="GL2178" s="155"/>
      <c r="GM2178" s="155"/>
      <c r="GN2178" s="155"/>
      <c r="GO2178" s="155"/>
      <c r="GP2178" s="155"/>
      <c r="GQ2178" s="155"/>
      <c r="GR2178" s="155"/>
      <c r="GS2178" s="155"/>
      <c r="GT2178" s="155"/>
      <c r="GU2178" s="155"/>
      <c r="GV2178" s="155"/>
      <c r="GW2178" s="155"/>
      <c r="GX2178" s="155"/>
      <c r="GY2178" s="155"/>
      <c r="GZ2178" s="155"/>
      <c r="HA2178" s="155"/>
      <c r="HB2178" s="155"/>
      <c r="HC2178" s="155"/>
      <c r="HD2178" s="155"/>
      <c r="HE2178" s="155"/>
    </row>
    <row r="2179" spans="2:213" s="156" customFormat="1" hidden="1">
      <c r="B2179" s="155"/>
      <c r="C2179" s="155"/>
      <c r="D2179" s="155"/>
      <c r="E2179" s="155"/>
      <c r="F2179" s="155"/>
      <c r="G2179" s="155"/>
      <c r="H2179" s="155"/>
      <c r="I2179" s="155"/>
      <c r="J2179" s="155"/>
      <c r="K2179" s="155"/>
      <c r="L2179" s="155"/>
      <c r="M2179" s="155"/>
      <c r="N2179" s="155"/>
      <c r="O2179" s="155"/>
      <c r="P2179" s="155"/>
      <c r="Q2179" s="155"/>
      <c r="R2179" s="155"/>
      <c r="S2179" s="155"/>
      <c r="T2179" s="155"/>
      <c r="U2179" s="155"/>
      <c r="V2179" s="155"/>
      <c r="W2179" s="155"/>
      <c r="GL2179" s="155"/>
      <c r="GM2179" s="155"/>
      <c r="GN2179" s="155"/>
      <c r="GO2179" s="155"/>
      <c r="GP2179" s="155"/>
      <c r="GQ2179" s="155"/>
      <c r="GR2179" s="155"/>
      <c r="GS2179" s="155"/>
      <c r="GT2179" s="155"/>
      <c r="GU2179" s="155"/>
      <c r="GV2179" s="155"/>
      <c r="GW2179" s="155"/>
      <c r="GX2179" s="155"/>
      <c r="GY2179" s="155"/>
      <c r="GZ2179" s="155"/>
      <c r="HA2179" s="155"/>
      <c r="HB2179" s="155"/>
      <c r="HC2179" s="155"/>
      <c r="HD2179" s="155"/>
      <c r="HE2179" s="155"/>
    </row>
    <row r="2180" spans="2:213" s="156" customFormat="1" hidden="1">
      <c r="B2180" s="155"/>
      <c r="C2180" s="155"/>
      <c r="D2180" s="155"/>
      <c r="E2180" s="155"/>
      <c r="F2180" s="155"/>
      <c r="G2180" s="155"/>
      <c r="H2180" s="155"/>
      <c r="I2180" s="155"/>
      <c r="J2180" s="155"/>
      <c r="K2180" s="155"/>
      <c r="L2180" s="155"/>
      <c r="M2180" s="155"/>
      <c r="N2180" s="155"/>
      <c r="O2180" s="155"/>
      <c r="P2180" s="155"/>
      <c r="Q2180" s="155"/>
      <c r="R2180" s="155"/>
      <c r="S2180" s="155"/>
      <c r="T2180" s="155"/>
      <c r="U2180" s="155"/>
      <c r="V2180" s="155"/>
      <c r="W2180" s="155"/>
      <c r="GL2180" s="155"/>
      <c r="GM2180" s="155"/>
      <c r="GN2180" s="155"/>
      <c r="GO2180" s="155"/>
      <c r="GP2180" s="155"/>
      <c r="GQ2180" s="155"/>
      <c r="GR2180" s="155"/>
      <c r="GS2180" s="155"/>
      <c r="GT2180" s="155"/>
      <c r="GU2180" s="155"/>
      <c r="GV2180" s="155"/>
      <c r="GW2180" s="155"/>
      <c r="GX2180" s="155"/>
      <c r="GY2180" s="155"/>
      <c r="GZ2180" s="155"/>
      <c r="HA2180" s="155"/>
      <c r="HB2180" s="155"/>
      <c r="HC2180" s="155"/>
      <c r="HD2180" s="155"/>
      <c r="HE2180" s="155"/>
    </row>
    <row r="2181" spans="2:213" s="156" customFormat="1" hidden="1">
      <c r="B2181" s="155"/>
      <c r="C2181" s="155"/>
      <c r="D2181" s="155"/>
      <c r="E2181" s="155"/>
      <c r="F2181" s="155"/>
      <c r="G2181" s="155"/>
      <c r="H2181" s="155"/>
      <c r="I2181" s="155"/>
      <c r="J2181" s="155"/>
      <c r="K2181" s="155"/>
      <c r="L2181" s="155"/>
      <c r="M2181" s="155"/>
      <c r="N2181" s="155"/>
      <c r="O2181" s="155"/>
      <c r="P2181" s="155"/>
      <c r="Q2181" s="155"/>
      <c r="R2181" s="155"/>
      <c r="S2181" s="155"/>
      <c r="T2181" s="155"/>
      <c r="U2181" s="155"/>
      <c r="V2181" s="155"/>
      <c r="W2181" s="155"/>
      <c r="GL2181" s="155"/>
      <c r="GM2181" s="155"/>
      <c r="GN2181" s="155"/>
      <c r="GO2181" s="155"/>
      <c r="GP2181" s="155"/>
      <c r="GQ2181" s="155"/>
      <c r="GR2181" s="155"/>
      <c r="GS2181" s="155"/>
      <c r="GT2181" s="155"/>
      <c r="GU2181" s="155"/>
      <c r="GV2181" s="155"/>
      <c r="GW2181" s="155"/>
      <c r="GX2181" s="155"/>
      <c r="GY2181" s="155"/>
      <c r="GZ2181" s="155"/>
      <c r="HA2181" s="155"/>
      <c r="HB2181" s="155"/>
      <c r="HC2181" s="155"/>
      <c r="HD2181" s="155"/>
      <c r="HE2181" s="155"/>
    </row>
    <row r="2182" spans="2:213" s="156" customFormat="1" hidden="1">
      <c r="B2182" s="155"/>
      <c r="C2182" s="155"/>
      <c r="D2182" s="155"/>
      <c r="E2182" s="155"/>
      <c r="F2182" s="155"/>
      <c r="G2182" s="155"/>
      <c r="H2182" s="155"/>
      <c r="I2182" s="155"/>
      <c r="J2182" s="155"/>
      <c r="K2182" s="155"/>
      <c r="L2182" s="155"/>
      <c r="M2182" s="155"/>
      <c r="N2182" s="155"/>
      <c r="O2182" s="155"/>
      <c r="P2182" s="155"/>
      <c r="Q2182" s="155"/>
      <c r="R2182" s="155"/>
      <c r="S2182" s="155"/>
      <c r="T2182" s="155"/>
      <c r="U2182" s="155"/>
      <c r="V2182" s="155"/>
      <c r="W2182" s="155"/>
      <c r="GL2182" s="155"/>
      <c r="GM2182" s="155"/>
      <c r="GN2182" s="155"/>
      <c r="GO2182" s="155"/>
      <c r="GP2182" s="155"/>
      <c r="GQ2182" s="155"/>
      <c r="GR2182" s="155"/>
      <c r="GS2182" s="155"/>
      <c r="GT2182" s="155"/>
      <c r="GU2182" s="155"/>
      <c r="GV2182" s="155"/>
      <c r="GW2182" s="155"/>
      <c r="GX2182" s="155"/>
      <c r="GY2182" s="155"/>
      <c r="GZ2182" s="155"/>
      <c r="HA2182" s="155"/>
      <c r="HB2182" s="155"/>
      <c r="HC2182" s="155"/>
      <c r="HD2182" s="155"/>
      <c r="HE2182" s="155"/>
    </row>
    <row r="2183" spans="2:213" s="156" customFormat="1" hidden="1">
      <c r="B2183" s="155"/>
      <c r="C2183" s="155"/>
      <c r="D2183" s="155"/>
      <c r="E2183" s="155"/>
      <c r="F2183" s="155"/>
      <c r="G2183" s="155"/>
      <c r="H2183" s="155"/>
      <c r="I2183" s="155"/>
      <c r="J2183" s="155"/>
      <c r="K2183" s="155"/>
      <c r="L2183" s="155"/>
      <c r="M2183" s="155"/>
      <c r="N2183" s="155"/>
      <c r="O2183" s="155"/>
      <c r="P2183" s="155"/>
      <c r="Q2183" s="155"/>
      <c r="R2183" s="155"/>
      <c r="S2183" s="155"/>
      <c r="T2183" s="155"/>
      <c r="U2183" s="155"/>
      <c r="V2183" s="155"/>
      <c r="W2183" s="155"/>
      <c r="GL2183" s="155"/>
      <c r="GM2183" s="155"/>
      <c r="GN2183" s="155"/>
      <c r="GO2183" s="155"/>
      <c r="GP2183" s="155"/>
      <c r="GQ2183" s="155"/>
      <c r="GR2183" s="155"/>
      <c r="GS2183" s="155"/>
      <c r="GT2183" s="155"/>
      <c r="GU2183" s="155"/>
      <c r="GV2183" s="155"/>
      <c r="GW2183" s="155"/>
      <c r="GX2183" s="155"/>
      <c r="GY2183" s="155"/>
      <c r="GZ2183" s="155"/>
      <c r="HA2183" s="155"/>
      <c r="HB2183" s="155"/>
      <c r="HC2183" s="155"/>
      <c r="HD2183" s="155"/>
      <c r="HE2183" s="155"/>
    </row>
    <row r="2184" spans="2:213" s="156" customFormat="1" hidden="1">
      <c r="B2184" s="155"/>
      <c r="C2184" s="155"/>
      <c r="D2184" s="155"/>
      <c r="E2184" s="155"/>
      <c r="F2184" s="155"/>
      <c r="G2184" s="155"/>
      <c r="H2184" s="155"/>
      <c r="I2184" s="155"/>
      <c r="J2184" s="155"/>
      <c r="K2184" s="155"/>
      <c r="L2184" s="155"/>
      <c r="M2184" s="155"/>
      <c r="N2184" s="155"/>
      <c r="O2184" s="155"/>
      <c r="P2184" s="155"/>
      <c r="Q2184" s="155"/>
      <c r="R2184" s="155"/>
      <c r="S2184" s="155"/>
      <c r="T2184" s="155"/>
      <c r="U2184" s="155"/>
      <c r="V2184" s="155"/>
      <c r="W2184" s="155"/>
      <c r="GL2184" s="155"/>
      <c r="GM2184" s="155"/>
      <c r="GN2184" s="155"/>
      <c r="GO2184" s="155"/>
      <c r="GP2184" s="155"/>
      <c r="GQ2184" s="155"/>
      <c r="GR2184" s="155"/>
      <c r="GS2184" s="155"/>
      <c r="GT2184" s="155"/>
      <c r="GU2184" s="155"/>
      <c r="GV2184" s="155"/>
      <c r="GW2184" s="155"/>
      <c r="GX2184" s="155"/>
      <c r="GY2184" s="155"/>
      <c r="GZ2184" s="155"/>
      <c r="HA2184" s="155"/>
      <c r="HB2184" s="155"/>
      <c r="HC2184" s="155"/>
      <c r="HD2184" s="155"/>
      <c r="HE2184" s="155"/>
    </row>
    <row r="2185" spans="2:213" s="156" customFormat="1" hidden="1">
      <c r="B2185" s="155"/>
      <c r="C2185" s="155"/>
      <c r="D2185" s="155"/>
      <c r="E2185" s="155"/>
      <c r="F2185" s="155"/>
      <c r="G2185" s="155"/>
      <c r="H2185" s="155"/>
      <c r="I2185" s="155"/>
      <c r="J2185" s="155"/>
      <c r="K2185" s="155"/>
      <c r="L2185" s="155"/>
      <c r="M2185" s="155"/>
      <c r="N2185" s="155"/>
      <c r="O2185" s="155"/>
      <c r="P2185" s="155"/>
      <c r="Q2185" s="155"/>
      <c r="R2185" s="155"/>
      <c r="S2185" s="155"/>
      <c r="T2185" s="155"/>
      <c r="U2185" s="155"/>
      <c r="V2185" s="155"/>
      <c r="W2185" s="155"/>
      <c r="GL2185" s="155"/>
      <c r="GM2185" s="155"/>
      <c r="GN2185" s="155"/>
      <c r="GO2185" s="155"/>
      <c r="GP2185" s="155"/>
      <c r="GQ2185" s="155"/>
      <c r="GR2185" s="155"/>
      <c r="GS2185" s="155"/>
      <c r="GT2185" s="155"/>
      <c r="GU2185" s="155"/>
      <c r="GV2185" s="155"/>
      <c r="GW2185" s="155"/>
      <c r="GX2185" s="155"/>
      <c r="GY2185" s="155"/>
      <c r="GZ2185" s="155"/>
      <c r="HA2185" s="155"/>
      <c r="HB2185" s="155"/>
      <c r="HC2185" s="155"/>
      <c r="HD2185" s="155"/>
      <c r="HE2185" s="155"/>
    </row>
    <row r="2186" spans="2:213" s="156" customFormat="1" hidden="1">
      <c r="B2186" s="155"/>
      <c r="C2186" s="155"/>
      <c r="D2186" s="155"/>
      <c r="E2186" s="155"/>
      <c r="F2186" s="155"/>
      <c r="G2186" s="155"/>
      <c r="H2186" s="155"/>
      <c r="I2186" s="155"/>
      <c r="J2186" s="155"/>
      <c r="K2186" s="155"/>
      <c r="L2186" s="155"/>
      <c r="M2186" s="155"/>
      <c r="N2186" s="155"/>
      <c r="O2186" s="155"/>
      <c r="P2186" s="155"/>
      <c r="Q2186" s="155"/>
      <c r="R2186" s="155"/>
      <c r="S2186" s="155"/>
      <c r="T2186" s="155"/>
      <c r="U2186" s="155"/>
      <c r="V2186" s="155"/>
      <c r="W2186" s="155"/>
      <c r="GL2186" s="155"/>
      <c r="GM2186" s="155"/>
      <c r="GN2186" s="155"/>
      <c r="GO2186" s="155"/>
      <c r="GP2186" s="155"/>
      <c r="GQ2186" s="155"/>
      <c r="GR2186" s="155"/>
      <c r="GS2186" s="155"/>
      <c r="GT2186" s="155"/>
      <c r="GU2186" s="155"/>
      <c r="GV2186" s="155"/>
      <c r="GW2186" s="155"/>
      <c r="GX2186" s="155"/>
      <c r="GY2186" s="155"/>
      <c r="GZ2186" s="155"/>
      <c r="HA2186" s="155"/>
      <c r="HB2186" s="155"/>
      <c r="HC2186" s="155"/>
      <c r="HD2186" s="155"/>
      <c r="HE2186" s="155"/>
    </row>
    <row r="2187" spans="2:213" s="156" customFormat="1" hidden="1">
      <c r="B2187" s="155"/>
      <c r="C2187" s="155"/>
      <c r="D2187" s="155"/>
      <c r="E2187" s="155"/>
      <c r="F2187" s="155"/>
      <c r="G2187" s="155"/>
      <c r="H2187" s="155"/>
      <c r="I2187" s="155"/>
      <c r="J2187" s="155"/>
      <c r="K2187" s="155"/>
      <c r="L2187" s="155"/>
      <c r="M2187" s="155"/>
      <c r="N2187" s="155"/>
      <c r="O2187" s="155"/>
      <c r="P2187" s="155"/>
      <c r="Q2187" s="155"/>
      <c r="R2187" s="155"/>
      <c r="S2187" s="155"/>
      <c r="T2187" s="155"/>
      <c r="U2187" s="155"/>
      <c r="V2187" s="155"/>
      <c r="W2187" s="155"/>
      <c r="GL2187" s="155"/>
      <c r="GM2187" s="155"/>
      <c r="GN2187" s="155"/>
      <c r="GO2187" s="155"/>
      <c r="GP2187" s="155"/>
      <c r="GQ2187" s="155"/>
      <c r="GR2187" s="155"/>
      <c r="GS2187" s="155"/>
      <c r="GT2187" s="155"/>
      <c r="GU2187" s="155"/>
      <c r="GV2187" s="155"/>
      <c r="GW2187" s="155"/>
      <c r="GX2187" s="155"/>
      <c r="GY2187" s="155"/>
      <c r="GZ2187" s="155"/>
      <c r="HA2187" s="155"/>
      <c r="HB2187" s="155"/>
      <c r="HC2187" s="155"/>
      <c r="HD2187" s="155"/>
      <c r="HE2187" s="155"/>
    </row>
    <row r="2188" spans="2:213" s="156" customFormat="1" hidden="1">
      <c r="B2188" s="155"/>
      <c r="C2188" s="155"/>
      <c r="D2188" s="155"/>
      <c r="E2188" s="155"/>
      <c r="F2188" s="155"/>
      <c r="G2188" s="155"/>
      <c r="H2188" s="155"/>
      <c r="I2188" s="155"/>
      <c r="J2188" s="155"/>
      <c r="K2188" s="155"/>
      <c r="L2188" s="155"/>
      <c r="M2188" s="155"/>
      <c r="N2188" s="155"/>
      <c r="O2188" s="155"/>
      <c r="P2188" s="155"/>
      <c r="Q2188" s="155"/>
      <c r="R2188" s="155"/>
      <c r="S2188" s="155"/>
      <c r="T2188" s="155"/>
      <c r="U2188" s="155"/>
      <c r="V2188" s="155"/>
      <c r="W2188" s="155"/>
      <c r="GL2188" s="155"/>
      <c r="GM2188" s="155"/>
      <c r="GN2188" s="155"/>
      <c r="GO2188" s="155"/>
      <c r="GP2188" s="155"/>
      <c r="GQ2188" s="155"/>
      <c r="GR2188" s="155"/>
      <c r="GS2188" s="155"/>
      <c r="GT2188" s="155"/>
      <c r="GU2188" s="155"/>
      <c r="GV2188" s="155"/>
      <c r="GW2188" s="155"/>
      <c r="GX2188" s="155"/>
      <c r="GY2188" s="155"/>
      <c r="GZ2188" s="155"/>
      <c r="HA2188" s="155"/>
      <c r="HB2188" s="155"/>
      <c r="HC2188" s="155"/>
      <c r="HD2188" s="155"/>
      <c r="HE2188" s="155"/>
    </row>
    <row r="2189" spans="2:213" s="156" customFormat="1" hidden="1">
      <c r="B2189" s="155"/>
      <c r="C2189" s="155"/>
      <c r="D2189" s="155"/>
      <c r="E2189" s="155"/>
      <c r="F2189" s="155"/>
      <c r="G2189" s="155"/>
      <c r="H2189" s="155"/>
      <c r="I2189" s="155"/>
      <c r="J2189" s="155"/>
      <c r="K2189" s="155"/>
      <c r="L2189" s="155"/>
      <c r="M2189" s="155"/>
      <c r="N2189" s="155"/>
      <c r="O2189" s="155"/>
      <c r="P2189" s="155"/>
      <c r="Q2189" s="155"/>
      <c r="R2189" s="155"/>
      <c r="S2189" s="155"/>
      <c r="T2189" s="155"/>
      <c r="U2189" s="155"/>
      <c r="V2189" s="155"/>
      <c r="W2189" s="155"/>
      <c r="GL2189" s="155"/>
      <c r="GM2189" s="155"/>
      <c r="GN2189" s="155"/>
      <c r="GO2189" s="155"/>
      <c r="GP2189" s="155"/>
      <c r="GQ2189" s="155"/>
      <c r="GR2189" s="155"/>
      <c r="GS2189" s="155"/>
      <c r="GT2189" s="155"/>
      <c r="GU2189" s="155"/>
      <c r="GV2189" s="155"/>
      <c r="GW2189" s="155"/>
      <c r="GX2189" s="155"/>
      <c r="GY2189" s="155"/>
      <c r="GZ2189" s="155"/>
      <c r="HA2189" s="155"/>
      <c r="HB2189" s="155"/>
      <c r="HC2189" s="155"/>
      <c r="HD2189" s="155"/>
      <c r="HE2189" s="155"/>
    </row>
    <row r="2190" spans="2:213" s="156" customFormat="1" hidden="1">
      <c r="B2190" s="155"/>
      <c r="C2190" s="155"/>
      <c r="D2190" s="155"/>
      <c r="E2190" s="155"/>
      <c r="F2190" s="155"/>
      <c r="G2190" s="155"/>
      <c r="H2190" s="155"/>
      <c r="I2190" s="155"/>
      <c r="J2190" s="155"/>
      <c r="K2190" s="155"/>
      <c r="L2190" s="155"/>
      <c r="M2190" s="155"/>
      <c r="N2190" s="155"/>
      <c r="O2190" s="155"/>
      <c r="P2190" s="155"/>
      <c r="Q2190" s="155"/>
      <c r="R2190" s="155"/>
      <c r="S2190" s="155"/>
      <c r="T2190" s="155"/>
      <c r="U2190" s="155"/>
      <c r="V2190" s="155"/>
      <c r="W2190" s="155"/>
      <c r="GL2190" s="155"/>
      <c r="GM2190" s="155"/>
      <c r="GN2190" s="155"/>
      <c r="GO2190" s="155"/>
      <c r="GP2190" s="155"/>
      <c r="GQ2190" s="155"/>
      <c r="GR2190" s="155"/>
      <c r="GS2190" s="155"/>
      <c r="GT2190" s="155"/>
      <c r="GU2190" s="155"/>
      <c r="GV2190" s="155"/>
      <c r="GW2190" s="155"/>
      <c r="GX2190" s="155"/>
      <c r="GY2190" s="155"/>
      <c r="GZ2190" s="155"/>
      <c r="HA2190" s="155"/>
      <c r="HB2190" s="155"/>
      <c r="HC2190" s="155"/>
      <c r="HD2190" s="155"/>
      <c r="HE2190" s="155"/>
    </row>
    <row r="2191" spans="2:213" s="156" customFormat="1" hidden="1">
      <c r="B2191" s="155"/>
      <c r="C2191" s="155"/>
      <c r="D2191" s="155"/>
      <c r="E2191" s="155"/>
      <c r="F2191" s="155"/>
      <c r="G2191" s="155"/>
      <c r="H2191" s="155"/>
      <c r="I2191" s="155"/>
      <c r="J2191" s="155"/>
      <c r="K2191" s="155"/>
      <c r="L2191" s="155"/>
      <c r="M2191" s="155"/>
      <c r="N2191" s="155"/>
      <c r="O2191" s="155"/>
      <c r="P2191" s="155"/>
      <c r="Q2191" s="155"/>
      <c r="R2191" s="155"/>
      <c r="S2191" s="155"/>
      <c r="T2191" s="155"/>
      <c r="U2191" s="155"/>
      <c r="V2191" s="155"/>
      <c r="W2191" s="155"/>
      <c r="GL2191" s="155"/>
      <c r="GM2191" s="155"/>
      <c r="GN2191" s="155"/>
      <c r="GO2191" s="155"/>
      <c r="GP2191" s="155"/>
      <c r="GQ2191" s="155"/>
      <c r="GR2191" s="155"/>
      <c r="GS2191" s="155"/>
      <c r="GT2191" s="155"/>
      <c r="GU2191" s="155"/>
      <c r="GV2191" s="155"/>
      <c r="GW2191" s="155"/>
      <c r="GX2191" s="155"/>
      <c r="GY2191" s="155"/>
      <c r="GZ2191" s="155"/>
      <c r="HA2191" s="155"/>
      <c r="HB2191" s="155"/>
      <c r="HC2191" s="155"/>
      <c r="HD2191" s="155"/>
      <c r="HE2191" s="155"/>
    </row>
    <row r="2192" spans="2:213" s="156" customFormat="1" hidden="1">
      <c r="B2192" s="155"/>
      <c r="C2192" s="155"/>
      <c r="D2192" s="155"/>
      <c r="E2192" s="155"/>
      <c r="F2192" s="155"/>
      <c r="G2192" s="155"/>
      <c r="H2192" s="155"/>
      <c r="I2192" s="155"/>
      <c r="J2192" s="155"/>
      <c r="K2192" s="155"/>
      <c r="L2192" s="155"/>
      <c r="M2192" s="155"/>
      <c r="N2192" s="155"/>
      <c r="O2192" s="155"/>
      <c r="P2192" s="155"/>
      <c r="Q2192" s="155"/>
      <c r="R2192" s="155"/>
      <c r="S2192" s="155"/>
      <c r="T2192" s="155"/>
      <c r="U2192" s="155"/>
      <c r="V2192" s="155"/>
      <c r="W2192" s="155"/>
      <c r="GL2192" s="155"/>
      <c r="GM2192" s="155"/>
      <c r="GN2192" s="155"/>
      <c r="GO2192" s="155"/>
      <c r="GP2192" s="155"/>
      <c r="GQ2192" s="155"/>
      <c r="GR2192" s="155"/>
      <c r="GS2192" s="155"/>
      <c r="GT2192" s="155"/>
      <c r="GU2192" s="155"/>
      <c r="GV2192" s="155"/>
      <c r="GW2192" s="155"/>
      <c r="GX2192" s="155"/>
      <c r="GY2192" s="155"/>
      <c r="GZ2192" s="155"/>
      <c r="HA2192" s="155"/>
      <c r="HB2192" s="155"/>
      <c r="HC2192" s="155"/>
      <c r="HD2192" s="155"/>
      <c r="HE2192" s="155"/>
    </row>
    <row r="2193" spans="2:213" s="156" customFormat="1" hidden="1">
      <c r="B2193" s="155"/>
      <c r="C2193" s="155"/>
      <c r="D2193" s="155"/>
      <c r="E2193" s="155"/>
      <c r="F2193" s="155"/>
      <c r="G2193" s="155"/>
      <c r="H2193" s="155"/>
      <c r="I2193" s="155"/>
      <c r="J2193" s="155"/>
      <c r="K2193" s="155"/>
      <c r="L2193" s="155"/>
      <c r="M2193" s="155"/>
      <c r="N2193" s="155"/>
      <c r="O2193" s="155"/>
      <c r="P2193" s="155"/>
      <c r="Q2193" s="155"/>
      <c r="R2193" s="155"/>
      <c r="S2193" s="155"/>
      <c r="T2193" s="155"/>
      <c r="U2193" s="155"/>
      <c r="V2193" s="155"/>
      <c r="W2193" s="155"/>
      <c r="GL2193" s="155"/>
      <c r="GM2193" s="155"/>
      <c r="GN2193" s="155"/>
      <c r="GO2193" s="155"/>
      <c r="GP2193" s="155"/>
      <c r="GQ2193" s="155"/>
      <c r="GR2193" s="155"/>
      <c r="GS2193" s="155"/>
      <c r="GT2193" s="155"/>
      <c r="GU2193" s="155"/>
      <c r="GV2193" s="155"/>
      <c r="GW2193" s="155"/>
      <c r="GX2193" s="155"/>
      <c r="GY2193" s="155"/>
      <c r="GZ2193" s="155"/>
      <c r="HA2193" s="155"/>
      <c r="HB2193" s="155"/>
      <c r="HC2193" s="155"/>
      <c r="HD2193" s="155"/>
      <c r="HE2193" s="155"/>
    </row>
    <row r="2194" spans="2:213" s="156" customFormat="1" hidden="1">
      <c r="B2194" s="155"/>
      <c r="C2194" s="155"/>
      <c r="D2194" s="155"/>
      <c r="E2194" s="155"/>
      <c r="F2194" s="155"/>
      <c r="G2194" s="155"/>
      <c r="H2194" s="155"/>
      <c r="I2194" s="155"/>
      <c r="J2194" s="155"/>
      <c r="K2194" s="155"/>
      <c r="L2194" s="155"/>
      <c r="M2194" s="155"/>
      <c r="N2194" s="155"/>
      <c r="O2194" s="155"/>
      <c r="P2194" s="155"/>
      <c r="Q2194" s="155"/>
      <c r="R2194" s="155"/>
      <c r="S2194" s="155"/>
      <c r="T2194" s="155"/>
      <c r="U2194" s="155"/>
      <c r="V2194" s="155"/>
      <c r="W2194" s="155"/>
      <c r="GL2194" s="155"/>
      <c r="GM2194" s="155"/>
      <c r="GN2194" s="155"/>
      <c r="GO2194" s="155"/>
      <c r="GP2194" s="155"/>
      <c r="GQ2194" s="155"/>
      <c r="GR2194" s="155"/>
      <c r="GS2194" s="155"/>
      <c r="GT2194" s="155"/>
      <c r="GU2194" s="155"/>
      <c r="GV2194" s="155"/>
      <c r="GW2194" s="155"/>
      <c r="GX2194" s="155"/>
      <c r="GY2194" s="155"/>
      <c r="GZ2194" s="155"/>
      <c r="HA2194" s="155"/>
      <c r="HB2194" s="155"/>
      <c r="HC2194" s="155"/>
      <c r="HD2194" s="155"/>
      <c r="HE2194" s="155"/>
    </row>
    <row r="2195" spans="2:213" s="156" customFormat="1" hidden="1">
      <c r="B2195" s="155"/>
      <c r="C2195" s="155"/>
      <c r="D2195" s="155"/>
      <c r="E2195" s="155"/>
      <c r="F2195" s="155"/>
      <c r="G2195" s="155"/>
      <c r="H2195" s="155"/>
      <c r="I2195" s="155"/>
      <c r="J2195" s="155"/>
      <c r="K2195" s="155"/>
      <c r="L2195" s="155"/>
      <c r="M2195" s="155"/>
      <c r="N2195" s="155"/>
      <c r="O2195" s="155"/>
      <c r="P2195" s="155"/>
      <c r="Q2195" s="155"/>
      <c r="R2195" s="155"/>
      <c r="S2195" s="155"/>
      <c r="T2195" s="155"/>
      <c r="U2195" s="155"/>
      <c r="V2195" s="155"/>
      <c r="W2195" s="155"/>
      <c r="GL2195" s="155"/>
      <c r="GM2195" s="155"/>
      <c r="GN2195" s="155"/>
      <c r="GO2195" s="155"/>
      <c r="GP2195" s="155"/>
      <c r="GQ2195" s="155"/>
      <c r="GR2195" s="155"/>
      <c r="GS2195" s="155"/>
      <c r="GT2195" s="155"/>
      <c r="GU2195" s="155"/>
      <c r="GV2195" s="155"/>
      <c r="GW2195" s="155"/>
      <c r="GX2195" s="155"/>
      <c r="GY2195" s="155"/>
      <c r="GZ2195" s="155"/>
      <c r="HA2195" s="155"/>
      <c r="HB2195" s="155"/>
      <c r="HC2195" s="155"/>
      <c r="HD2195" s="155"/>
      <c r="HE2195" s="155"/>
    </row>
    <row r="2196" spans="2:213" s="156" customFormat="1" hidden="1">
      <c r="B2196" s="155"/>
      <c r="C2196" s="155"/>
      <c r="D2196" s="155"/>
      <c r="E2196" s="155"/>
      <c r="F2196" s="155"/>
      <c r="G2196" s="155"/>
      <c r="H2196" s="155"/>
      <c r="I2196" s="155"/>
      <c r="J2196" s="155"/>
      <c r="K2196" s="155"/>
      <c r="L2196" s="155"/>
      <c r="M2196" s="155"/>
      <c r="N2196" s="155"/>
      <c r="O2196" s="155"/>
      <c r="P2196" s="155"/>
      <c r="Q2196" s="155"/>
      <c r="R2196" s="155"/>
      <c r="S2196" s="155"/>
      <c r="T2196" s="155"/>
      <c r="U2196" s="155"/>
      <c r="V2196" s="155"/>
      <c r="W2196" s="155"/>
      <c r="GL2196" s="155"/>
      <c r="GM2196" s="155"/>
      <c r="GN2196" s="155"/>
      <c r="GO2196" s="155"/>
      <c r="GP2196" s="155"/>
      <c r="GQ2196" s="155"/>
      <c r="GR2196" s="155"/>
      <c r="GS2196" s="155"/>
      <c r="GT2196" s="155"/>
      <c r="GU2196" s="155"/>
      <c r="GV2196" s="155"/>
      <c r="GW2196" s="155"/>
      <c r="GX2196" s="155"/>
      <c r="GY2196" s="155"/>
      <c r="GZ2196" s="155"/>
      <c r="HA2196" s="155"/>
      <c r="HB2196" s="155"/>
      <c r="HC2196" s="155"/>
      <c r="HD2196" s="155"/>
      <c r="HE2196" s="155"/>
    </row>
    <row r="2197" spans="2:213" s="156" customFormat="1" hidden="1">
      <c r="B2197" s="155"/>
      <c r="C2197" s="155"/>
      <c r="D2197" s="155"/>
      <c r="E2197" s="155"/>
      <c r="F2197" s="155"/>
      <c r="G2197" s="155"/>
      <c r="H2197" s="155"/>
      <c r="I2197" s="155"/>
      <c r="J2197" s="155"/>
      <c r="K2197" s="155"/>
      <c r="L2197" s="155"/>
      <c r="M2197" s="155"/>
      <c r="N2197" s="155"/>
      <c r="O2197" s="155"/>
      <c r="P2197" s="155"/>
      <c r="Q2197" s="155"/>
      <c r="R2197" s="155"/>
      <c r="S2197" s="155"/>
      <c r="T2197" s="155"/>
      <c r="U2197" s="155"/>
      <c r="V2197" s="155"/>
      <c r="W2197" s="155"/>
      <c r="GL2197" s="155"/>
      <c r="GM2197" s="155"/>
      <c r="GN2197" s="155"/>
      <c r="GO2197" s="155"/>
      <c r="GP2197" s="155"/>
      <c r="GQ2197" s="155"/>
      <c r="GR2197" s="155"/>
      <c r="GS2197" s="155"/>
      <c r="GT2197" s="155"/>
      <c r="GU2197" s="155"/>
      <c r="GV2197" s="155"/>
      <c r="GW2197" s="155"/>
      <c r="GX2197" s="155"/>
      <c r="GY2197" s="155"/>
      <c r="GZ2197" s="155"/>
      <c r="HA2197" s="155"/>
      <c r="HB2197" s="155"/>
      <c r="HC2197" s="155"/>
      <c r="HD2197" s="155"/>
      <c r="HE2197" s="155"/>
    </row>
    <row r="2198" spans="2:213" s="156" customFormat="1" hidden="1">
      <c r="B2198" s="155"/>
      <c r="C2198" s="155"/>
      <c r="D2198" s="155"/>
      <c r="E2198" s="155"/>
      <c r="F2198" s="155"/>
      <c r="G2198" s="155"/>
      <c r="H2198" s="155"/>
      <c r="I2198" s="155"/>
      <c r="J2198" s="155"/>
      <c r="K2198" s="155"/>
      <c r="L2198" s="155"/>
      <c r="M2198" s="155"/>
      <c r="N2198" s="155"/>
      <c r="O2198" s="155"/>
      <c r="P2198" s="155"/>
      <c r="Q2198" s="155"/>
      <c r="R2198" s="155"/>
      <c r="S2198" s="155"/>
      <c r="T2198" s="155"/>
      <c r="U2198" s="155"/>
      <c r="V2198" s="155"/>
      <c r="W2198" s="155"/>
      <c r="GL2198" s="155"/>
      <c r="GM2198" s="155"/>
      <c r="GN2198" s="155"/>
      <c r="GO2198" s="155"/>
      <c r="GP2198" s="155"/>
      <c r="GQ2198" s="155"/>
      <c r="GR2198" s="155"/>
      <c r="GS2198" s="155"/>
      <c r="GT2198" s="155"/>
      <c r="GU2198" s="155"/>
      <c r="GV2198" s="155"/>
      <c r="GW2198" s="155"/>
      <c r="GX2198" s="155"/>
      <c r="GY2198" s="155"/>
      <c r="GZ2198" s="155"/>
      <c r="HA2198" s="155"/>
      <c r="HB2198" s="155"/>
      <c r="HC2198" s="155"/>
      <c r="HD2198" s="155"/>
      <c r="HE2198" s="155"/>
    </row>
    <row r="2199" spans="2:213" s="156" customFormat="1" hidden="1">
      <c r="B2199" s="155"/>
      <c r="C2199" s="155"/>
      <c r="D2199" s="155"/>
      <c r="E2199" s="155"/>
      <c r="F2199" s="155"/>
      <c r="G2199" s="155"/>
      <c r="H2199" s="155"/>
      <c r="I2199" s="155"/>
      <c r="J2199" s="155"/>
      <c r="K2199" s="155"/>
      <c r="L2199" s="155"/>
      <c r="M2199" s="155"/>
      <c r="N2199" s="155"/>
      <c r="O2199" s="155"/>
      <c r="P2199" s="155"/>
      <c r="Q2199" s="155"/>
      <c r="R2199" s="155"/>
      <c r="S2199" s="155"/>
      <c r="T2199" s="155"/>
      <c r="U2199" s="155"/>
      <c r="V2199" s="155"/>
      <c r="W2199" s="155"/>
      <c r="GL2199" s="155"/>
      <c r="GM2199" s="155"/>
      <c r="GN2199" s="155"/>
      <c r="GO2199" s="155"/>
      <c r="GP2199" s="155"/>
      <c r="GQ2199" s="155"/>
      <c r="GR2199" s="155"/>
      <c r="GS2199" s="155"/>
      <c r="GT2199" s="155"/>
      <c r="GU2199" s="155"/>
      <c r="GV2199" s="155"/>
      <c r="GW2199" s="155"/>
      <c r="GX2199" s="155"/>
      <c r="GY2199" s="155"/>
      <c r="GZ2199" s="155"/>
      <c r="HA2199" s="155"/>
      <c r="HB2199" s="155"/>
      <c r="HC2199" s="155"/>
      <c r="HD2199" s="155"/>
      <c r="HE2199" s="155"/>
    </row>
    <row r="2200" spans="2:213" s="156" customFormat="1" hidden="1">
      <c r="B2200" s="155"/>
      <c r="C2200" s="155"/>
      <c r="D2200" s="155"/>
      <c r="E2200" s="155"/>
      <c r="F2200" s="155"/>
      <c r="G2200" s="155"/>
      <c r="H2200" s="155"/>
      <c r="I2200" s="155"/>
      <c r="J2200" s="155"/>
      <c r="K2200" s="155"/>
      <c r="L2200" s="155"/>
      <c r="M2200" s="155"/>
      <c r="N2200" s="155"/>
      <c r="O2200" s="155"/>
      <c r="P2200" s="155"/>
      <c r="Q2200" s="155"/>
      <c r="R2200" s="155"/>
      <c r="S2200" s="155"/>
      <c r="T2200" s="155"/>
      <c r="U2200" s="155"/>
      <c r="V2200" s="155"/>
      <c r="W2200" s="155"/>
      <c r="GL2200" s="155"/>
      <c r="GM2200" s="155"/>
      <c r="GN2200" s="155"/>
      <c r="GO2200" s="155"/>
      <c r="GP2200" s="155"/>
      <c r="GQ2200" s="155"/>
      <c r="GR2200" s="155"/>
      <c r="GS2200" s="155"/>
      <c r="GT2200" s="155"/>
      <c r="GU2200" s="155"/>
      <c r="GV2200" s="155"/>
      <c r="GW2200" s="155"/>
      <c r="GX2200" s="155"/>
      <c r="GY2200" s="155"/>
      <c r="GZ2200" s="155"/>
      <c r="HA2200" s="155"/>
      <c r="HB2200" s="155"/>
      <c r="HC2200" s="155"/>
      <c r="HD2200" s="155"/>
      <c r="HE2200" s="155"/>
    </row>
    <row r="2201" spans="2:213" s="156" customFormat="1" hidden="1">
      <c r="B2201" s="155"/>
      <c r="C2201" s="155"/>
      <c r="D2201" s="155"/>
      <c r="E2201" s="155"/>
      <c r="F2201" s="155"/>
      <c r="G2201" s="155"/>
      <c r="H2201" s="155"/>
      <c r="I2201" s="155"/>
      <c r="J2201" s="155"/>
      <c r="K2201" s="155"/>
      <c r="L2201" s="155"/>
      <c r="M2201" s="155"/>
      <c r="N2201" s="155"/>
      <c r="O2201" s="155"/>
      <c r="P2201" s="155"/>
      <c r="Q2201" s="155"/>
      <c r="R2201" s="155"/>
      <c r="S2201" s="155"/>
      <c r="T2201" s="155"/>
      <c r="U2201" s="155"/>
      <c r="V2201" s="155"/>
      <c r="W2201" s="155"/>
      <c r="GL2201" s="155"/>
      <c r="GM2201" s="155"/>
      <c r="GN2201" s="155"/>
      <c r="GO2201" s="155"/>
      <c r="GP2201" s="155"/>
      <c r="GQ2201" s="155"/>
      <c r="GR2201" s="155"/>
      <c r="GS2201" s="155"/>
      <c r="GT2201" s="155"/>
      <c r="GU2201" s="155"/>
      <c r="GV2201" s="155"/>
      <c r="GW2201" s="155"/>
      <c r="GX2201" s="155"/>
      <c r="GY2201" s="155"/>
      <c r="GZ2201" s="155"/>
      <c r="HA2201" s="155"/>
      <c r="HB2201" s="155"/>
      <c r="HC2201" s="155"/>
      <c r="HD2201" s="155"/>
      <c r="HE2201" s="155"/>
    </row>
    <row r="2202" spans="2:213" s="156" customFormat="1" hidden="1">
      <c r="B2202" s="155"/>
      <c r="C2202" s="155"/>
      <c r="D2202" s="155"/>
      <c r="E2202" s="155"/>
      <c r="F2202" s="155"/>
      <c r="G2202" s="155"/>
      <c r="H2202" s="155"/>
      <c r="I2202" s="155"/>
      <c r="J2202" s="155"/>
      <c r="K2202" s="155"/>
      <c r="L2202" s="155"/>
      <c r="M2202" s="155"/>
      <c r="N2202" s="155"/>
      <c r="O2202" s="155"/>
      <c r="P2202" s="155"/>
      <c r="Q2202" s="155"/>
      <c r="R2202" s="155"/>
      <c r="S2202" s="155"/>
      <c r="T2202" s="155"/>
      <c r="U2202" s="155"/>
      <c r="V2202" s="155"/>
      <c r="W2202" s="155"/>
      <c r="GL2202" s="155"/>
      <c r="GM2202" s="155"/>
      <c r="GN2202" s="155"/>
      <c r="GO2202" s="155"/>
      <c r="GP2202" s="155"/>
      <c r="GQ2202" s="155"/>
      <c r="GR2202" s="155"/>
      <c r="GS2202" s="155"/>
      <c r="GT2202" s="155"/>
      <c r="GU2202" s="155"/>
      <c r="GV2202" s="155"/>
      <c r="GW2202" s="155"/>
      <c r="GX2202" s="155"/>
      <c r="GY2202" s="155"/>
      <c r="GZ2202" s="155"/>
      <c r="HA2202" s="155"/>
      <c r="HB2202" s="155"/>
      <c r="HC2202" s="155"/>
      <c r="HD2202" s="155"/>
      <c r="HE2202" s="155"/>
    </row>
    <row r="2203" spans="2:213" s="156" customFormat="1" hidden="1">
      <c r="B2203" s="155"/>
      <c r="C2203" s="155"/>
      <c r="D2203" s="155"/>
      <c r="E2203" s="155"/>
      <c r="F2203" s="155"/>
      <c r="G2203" s="155"/>
      <c r="H2203" s="155"/>
      <c r="I2203" s="155"/>
      <c r="J2203" s="155"/>
      <c r="K2203" s="155"/>
      <c r="L2203" s="155"/>
      <c r="M2203" s="155"/>
      <c r="N2203" s="155"/>
      <c r="O2203" s="155"/>
      <c r="P2203" s="155"/>
      <c r="Q2203" s="155"/>
      <c r="R2203" s="155"/>
      <c r="S2203" s="155"/>
      <c r="T2203" s="155"/>
      <c r="U2203" s="155"/>
      <c r="V2203" s="155"/>
      <c r="W2203" s="155"/>
      <c r="GL2203" s="155"/>
      <c r="GM2203" s="155"/>
      <c r="GN2203" s="155"/>
      <c r="GO2203" s="155"/>
      <c r="GP2203" s="155"/>
      <c r="GQ2203" s="155"/>
      <c r="GR2203" s="155"/>
      <c r="GS2203" s="155"/>
      <c r="GT2203" s="155"/>
      <c r="GU2203" s="155"/>
      <c r="GV2203" s="155"/>
      <c r="GW2203" s="155"/>
      <c r="GX2203" s="155"/>
      <c r="GY2203" s="155"/>
      <c r="GZ2203" s="155"/>
      <c r="HA2203" s="155"/>
      <c r="HB2203" s="155"/>
      <c r="HC2203" s="155"/>
      <c r="HD2203" s="155"/>
      <c r="HE2203" s="155"/>
    </row>
    <row r="2204" spans="2:213" s="156" customFormat="1" hidden="1">
      <c r="B2204" s="155"/>
      <c r="C2204" s="155"/>
      <c r="D2204" s="155"/>
      <c r="E2204" s="155"/>
      <c r="F2204" s="155"/>
      <c r="G2204" s="155"/>
      <c r="H2204" s="155"/>
      <c r="I2204" s="155"/>
      <c r="J2204" s="155"/>
      <c r="K2204" s="155"/>
      <c r="L2204" s="155"/>
      <c r="M2204" s="155"/>
      <c r="N2204" s="155"/>
      <c r="O2204" s="155"/>
      <c r="P2204" s="155"/>
      <c r="Q2204" s="155"/>
      <c r="R2204" s="155"/>
      <c r="S2204" s="155"/>
      <c r="T2204" s="155"/>
      <c r="U2204" s="155"/>
      <c r="V2204" s="155"/>
      <c r="W2204" s="155"/>
      <c r="GL2204" s="155"/>
      <c r="GM2204" s="155"/>
      <c r="GN2204" s="155"/>
      <c r="GO2204" s="155"/>
      <c r="GP2204" s="155"/>
      <c r="GQ2204" s="155"/>
      <c r="GR2204" s="155"/>
      <c r="GS2204" s="155"/>
      <c r="GT2204" s="155"/>
      <c r="GU2204" s="155"/>
      <c r="GV2204" s="155"/>
      <c r="GW2204" s="155"/>
      <c r="GX2204" s="155"/>
      <c r="GY2204" s="155"/>
      <c r="GZ2204" s="155"/>
      <c r="HA2204" s="155"/>
      <c r="HB2204" s="155"/>
      <c r="HC2204" s="155"/>
      <c r="HD2204" s="155"/>
      <c r="HE2204" s="155"/>
    </row>
    <row r="2205" spans="2:213" s="156" customFormat="1" hidden="1">
      <c r="B2205" s="155"/>
      <c r="C2205" s="155"/>
      <c r="D2205" s="155"/>
      <c r="E2205" s="155"/>
      <c r="F2205" s="155"/>
      <c r="G2205" s="155"/>
      <c r="H2205" s="155"/>
      <c r="I2205" s="155"/>
      <c r="J2205" s="155"/>
      <c r="K2205" s="155"/>
      <c r="L2205" s="155"/>
      <c r="M2205" s="155"/>
      <c r="N2205" s="155"/>
      <c r="O2205" s="155"/>
      <c r="P2205" s="155"/>
      <c r="Q2205" s="155"/>
      <c r="R2205" s="155"/>
      <c r="S2205" s="155"/>
      <c r="T2205" s="155"/>
      <c r="U2205" s="155"/>
      <c r="V2205" s="155"/>
      <c r="W2205" s="155"/>
      <c r="GL2205" s="155"/>
      <c r="GM2205" s="155"/>
      <c r="GN2205" s="155"/>
      <c r="GO2205" s="155"/>
      <c r="GP2205" s="155"/>
      <c r="GQ2205" s="155"/>
      <c r="GR2205" s="155"/>
      <c r="GS2205" s="155"/>
      <c r="GT2205" s="155"/>
      <c r="GU2205" s="155"/>
      <c r="GV2205" s="155"/>
      <c r="GW2205" s="155"/>
      <c r="GX2205" s="155"/>
      <c r="GY2205" s="155"/>
      <c r="GZ2205" s="155"/>
      <c r="HA2205" s="155"/>
      <c r="HB2205" s="155"/>
      <c r="HC2205" s="155"/>
      <c r="HD2205" s="155"/>
      <c r="HE2205" s="155"/>
    </row>
    <row r="2206" spans="2:213" s="156" customFormat="1" hidden="1">
      <c r="B2206" s="155"/>
      <c r="C2206" s="155"/>
      <c r="D2206" s="155"/>
      <c r="E2206" s="155"/>
      <c r="F2206" s="155"/>
      <c r="G2206" s="155"/>
      <c r="H2206" s="155"/>
      <c r="I2206" s="155"/>
      <c r="J2206" s="155"/>
      <c r="K2206" s="155"/>
      <c r="L2206" s="155"/>
      <c r="M2206" s="155"/>
      <c r="N2206" s="155"/>
      <c r="O2206" s="155"/>
      <c r="P2206" s="155"/>
      <c r="Q2206" s="155"/>
      <c r="R2206" s="155"/>
      <c r="S2206" s="155"/>
      <c r="T2206" s="155"/>
      <c r="U2206" s="155"/>
      <c r="V2206" s="155"/>
      <c r="W2206" s="155"/>
      <c r="GL2206" s="155"/>
      <c r="GM2206" s="155"/>
      <c r="GN2206" s="155"/>
      <c r="GO2206" s="155"/>
      <c r="GP2206" s="155"/>
      <c r="GQ2206" s="155"/>
      <c r="GR2206" s="155"/>
      <c r="GS2206" s="155"/>
      <c r="GT2206" s="155"/>
      <c r="GU2206" s="155"/>
      <c r="GV2206" s="155"/>
      <c r="GW2206" s="155"/>
      <c r="GX2206" s="155"/>
      <c r="GY2206" s="155"/>
      <c r="GZ2206" s="155"/>
      <c r="HA2206" s="155"/>
      <c r="HB2206" s="155"/>
      <c r="HC2206" s="155"/>
      <c r="HD2206" s="155"/>
      <c r="HE2206" s="155"/>
    </row>
    <row r="2207" spans="2:213" s="156" customFormat="1" hidden="1">
      <c r="B2207" s="155"/>
      <c r="C2207" s="155"/>
      <c r="D2207" s="155"/>
      <c r="E2207" s="155"/>
      <c r="F2207" s="155"/>
      <c r="G2207" s="155"/>
      <c r="H2207" s="155"/>
      <c r="I2207" s="155"/>
      <c r="J2207" s="155"/>
      <c r="K2207" s="155"/>
      <c r="L2207" s="155"/>
      <c r="M2207" s="155"/>
      <c r="N2207" s="155"/>
      <c r="O2207" s="155"/>
      <c r="P2207" s="155"/>
      <c r="Q2207" s="155"/>
      <c r="R2207" s="155"/>
      <c r="S2207" s="155"/>
      <c r="T2207" s="155"/>
      <c r="U2207" s="155"/>
      <c r="V2207" s="155"/>
      <c r="W2207" s="155"/>
      <c r="GL2207" s="155"/>
      <c r="GM2207" s="155"/>
      <c r="GN2207" s="155"/>
      <c r="GO2207" s="155"/>
      <c r="GP2207" s="155"/>
      <c r="GQ2207" s="155"/>
      <c r="GR2207" s="155"/>
      <c r="GS2207" s="155"/>
      <c r="GT2207" s="155"/>
      <c r="GU2207" s="155"/>
      <c r="GV2207" s="155"/>
      <c r="GW2207" s="155"/>
      <c r="GX2207" s="155"/>
      <c r="GY2207" s="155"/>
      <c r="GZ2207" s="155"/>
      <c r="HA2207" s="155"/>
      <c r="HB2207" s="155"/>
      <c r="HC2207" s="155"/>
      <c r="HD2207" s="155"/>
      <c r="HE2207" s="155"/>
    </row>
    <row r="2208" spans="2:213" s="156" customFormat="1" hidden="1">
      <c r="B2208" s="155"/>
      <c r="C2208" s="155"/>
      <c r="D2208" s="155"/>
      <c r="E2208" s="155"/>
      <c r="F2208" s="155"/>
      <c r="G2208" s="155"/>
      <c r="H2208" s="155"/>
      <c r="I2208" s="155"/>
      <c r="J2208" s="155"/>
      <c r="K2208" s="155"/>
      <c r="L2208" s="155"/>
      <c r="M2208" s="155"/>
      <c r="N2208" s="155"/>
      <c r="O2208" s="155"/>
      <c r="P2208" s="155"/>
      <c r="Q2208" s="155"/>
      <c r="R2208" s="155"/>
      <c r="S2208" s="155"/>
      <c r="T2208" s="155"/>
      <c r="U2208" s="155"/>
      <c r="V2208" s="155"/>
      <c r="W2208" s="155"/>
      <c r="GL2208" s="155"/>
      <c r="GM2208" s="155"/>
      <c r="GN2208" s="155"/>
      <c r="GO2208" s="155"/>
      <c r="GP2208" s="155"/>
      <c r="GQ2208" s="155"/>
      <c r="GR2208" s="155"/>
      <c r="GS2208" s="155"/>
      <c r="GT2208" s="155"/>
      <c r="GU2208" s="155"/>
      <c r="GV2208" s="155"/>
      <c r="GW2208" s="155"/>
      <c r="GX2208" s="155"/>
      <c r="GY2208" s="155"/>
      <c r="GZ2208" s="155"/>
      <c r="HA2208" s="155"/>
      <c r="HB2208" s="155"/>
      <c r="HC2208" s="155"/>
      <c r="HD2208" s="155"/>
      <c r="HE2208" s="155"/>
    </row>
    <row r="2209" spans="2:213" s="156" customFormat="1" hidden="1">
      <c r="B2209" s="155"/>
      <c r="C2209" s="155"/>
      <c r="D2209" s="155"/>
      <c r="E2209" s="155"/>
      <c r="F2209" s="155"/>
      <c r="G2209" s="155"/>
      <c r="H2209" s="155"/>
      <c r="I2209" s="155"/>
      <c r="J2209" s="155"/>
      <c r="K2209" s="155"/>
      <c r="L2209" s="155"/>
      <c r="M2209" s="155"/>
      <c r="N2209" s="155"/>
      <c r="O2209" s="155"/>
      <c r="P2209" s="155"/>
      <c r="Q2209" s="155"/>
      <c r="R2209" s="155"/>
      <c r="S2209" s="155"/>
      <c r="T2209" s="155"/>
      <c r="U2209" s="155"/>
      <c r="V2209" s="155"/>
      <c r="W2209" s="155"/>
      <c r="GL2209" s="155"/>
      <c r="GM2209" s="155"/>
      <c r="GN2209" s="155"/>
      <c r="GO2209" s="155"/>
      <c r="GP2209" s="155"/>
      <c r="GQ2209" s="155"/>
      <c r="GR2209" s="155"/>
      <c r="GS2209" s="155"/>
      <c r="GT2209" s="155"/>
      <c r="GU2209" s="155"/>
      <c r="GV2209" s="155"/>
      <c r="GW2209" s="155"/>
      <c r="GX2209" s="155"/>
      <c r="GY2209" s="155"/>
      <c r="GZ2209" s="155"/>
      <c r="HA2209" s="155"/>
      <c r="HB2209" s="155"/>
      <c r="HC2209" s="155"/>
      <c r="HD2209" s="155"/>
      <c r="HE2209" s="155"/>
    </row>
    <row r="2210" spans="2:213" s="156" customFormat="1" hidden="1">
      <c r="B2210" s="155"/>
      <c r="C2210" s="155"/>
      <c r="D2210" s="155"/>
      <c r="E2210" s="155"/>
      <c r="F2210" s="155"/>
      <c r="G2210" s="155"/>
      <c r="H2210" s="155"/>
      <c r="I2210" s="155"/>
      <c r="J2210" s="155"/>
      <c r="K2210" s="155"/>
      <c r="L2210" s="155"/>
      <c r="M2210" s="155"/>
      <c r="N2210" s="155"/>
      <c r="O2210" s="155"/>
      <c r="P2210" s="155"/>
      <c r="Q2210" s="155"/>
      <c r="R2210" s="155"/>
      <c r="S2210" s="155"/>
      <c r="T2210" s="155"/>
      <c r="U2210" s="155"/>
      <c r="V2210" s="155"/>
      <c r="W2210" s="155"/>
      <c r="GL2210" s="155"/>
      <c r="GM2210" s="155"/>
      <c r="GN2210" s="155"/>
      <c r="GO2210" s="155"/>
      <c r="GP2210" s="155"/>
      <c r="GQ2210" s="155"/>
      <c r="GR2210" s="155"/>
      <c r="GS2210" s="155"/>
      <c r="GT2210" s="155"/>
      <c r="GU2210" s="155"/>
      <c r="GV2210" s="155"/>
      <c r="GW2210" s="155"/>
      <c r="GX2210" s="155"/>
      <c r="GY2210" s="155"/>
      <c r="GZ2210" s="155"/>
      <c r="HA2210" s="155"/>
      <c r="HB2210" s="155"/>
      <c r="HC2210" s="155"/>
      <c r="HD2210" s="155"/>
      <c r="HE2210" s="155"/>
    </row>
    <row r="2211" spans="2:213" s="156" customFormat="1" hidden="1">
      <c r="B2211" s="155"/>
      <c r="C2211" s="155"/>
      <c r="D2211" s="155"/>
      <c r="E2211" s="155"/>
      <c r="F2211" s="155"/>
      <c r="G2211" s="155"/>
      <c r="H2211" s="155"/>
      <c r="I2211" s="155"/>
      <c r="J2211" s="155"/>
      <c r="K2211" s="155"/>
      <c r="L2211" s="155"/>
      <c r="M2211" s="155"/>
      <c r="N2211" s="155"/>
      <c r="O2211" s="155"/>
      <c r="P2211" s="155"/>
      <c r="Q2211" s="155"/>
      <c r="R2211" s="155"/>
      <c r="S2211" s="155"/>
      <c r="T2211" s="155"/>
      <c r="U2211" s="155"/>
      <c r="V2211" s="155"/>
      <c r="W2211" s="155"/>
      <c r="GL2211" s="155"/>
      <c r="GM2211" s="155"/>
      <c r="GN2211" s="155"/>
      <c r="GO2211" s="155"/>
      <c r="GP2211" s="155"/>
      <c r="GQ2211" s="155"/>
      <c r="GR2211" s="155"/>
      <c r="GS2211" s="155"/>
      <c r="GT2211" s="155"/>
      <c r="GU2211" s="155"/>
      <c r="GV2211" s="155"/>
      <c r="GW2211" s="155"/>
      <c r="GX2211" s="155"/>
      <c r="GY2211" s="155"/>
      <c r="GZ2211" s="155"/>
      <c r="HA2211" s="155"/>
      <c r="HB2211" s="155"/>
      <c r="HC2211" s="155"/>
      <c r="HD2211" s="155"/>
      <c r="HE2211" s="155"/>
    </row>
    <row r="2212" spans="2:213" s="156" customFormat="1" hidden="1">
      <c r="B2212" s="155"/>
      <c r="C2212" s="155"/>
      <c r="D2212" s="155"/>
      <c r="E2212" s="155"/>
      <c r="F2212" s="155"/>
      <c r="G2212" s="155"/>
      <c r="H2212" s="155"/>
      <c r="I2212" s="155"/>
      <c r="J2212" s="155"/>
      <c r="K2212" s="155"/>
      <c r="L2212" s="155"/>
      <c r="M2212" s="155"/>
      <c r="N2212" s="155"/>
      <c r="O2212" s="155"/>
      <c r="P2212" s="155"/>
      <c r="Q2212" s="155"/>
      <c r="R2212" s="155"/>
      <c r="S2212" s="155"/>
      <c r="T2212" s="155"/>
      <c r="U2212" s="155"/>
      <c r="V2212" s="155"/>
      <c r="W2212" s="155"/>
      <c r="GL2212" s="155"/>
      <c r="GM2212" s="155"/>
      <c r="GN2212" s="155"/>
      <c r="GO2212" s="155"/>
      <c r="GP2212" s="155"/>
      <c r="GQ2212" s="155"/>
      <c r="GR2212" s="155"/>
      <c r="GS2212" s="155"/>
      <c r="GT2212" s="155"/>
      <c r="GU2212" s="155"/>
      <c r="GV2212" s="155"/>
      <c r="GW2212" s="155"/>
      <c r="GX2212" s="155"/>
      <c r="GY2212" s="155"/>
      <c r="GZ2212" s="155"/>
      <c r="HA2212" s="155"/>
      <c r="HB2212" s="155"/>
      <c r="HC2212" s="155"/>
      <c r="HD2212" s="155"/>
      <c r="HE2212" s="155"/>
    </row>
    <row r="2213" spans="2:213" s="156" customFormat="1" hidden="1">
      <c r="B2213" s="155"/>
      <c r="C2213" s="155"/>
      <c r="D2213" s="155"/>
      <c r="E2213" s="155"/>
      <c r="F2213" s="155"/>
      <c r="G2213" s="155"/>
      <c r="H2213" s="155"/>
      <c r="I2213" s="155"/>
      <c r="J2213" s="155"/>
      <c r="K2213" s="155"/>
      <c r="L2213" s="155"/>
      <c r="M2213" s="155"/>
      <c r="N2213" s="155"/>
      <c r="O2213" s="155"/>
      <c r="P2213" s="155"/>
      <c r="Q2213" s="155"/>
      <c r="R2213" s="155"/>
      <c r="S2213" s="155"/>
      <c r="T2213" s="155"/>
      <c r="U2213" s="155"/>
      <c r="V2213" s="155"/>
      <c r="W2213" s="155"/>
      <c r="GL2213" s="155"/>
      <c r="GM2213" s="155"/>
      <c r="GN2213" s="155"/>
      <c r="GO2213" s="155"/>
      <c r="GP2213" s="155"/>
      <c r="GQ2213" s="155"/>
      <c r="GR2213" s="155"/>
      <c r="GS2213" s="155"/>
      <c r="GT2213" s="155"/>
      <c r="GU2213" s="155"/>
      <c r="GV2213" s="155"/>
      <c r="GW2213" s="155"/>
      <c r="GX2213" s="155"/>
      <c r="GY2213" s="155"/>
      <c r="GZ2213" s="155"/>
      <c r="HA2213" s="155"/>
      <c r="HB2213" s="155"/>
      <c r="HC2213" s="155"/>
      <c r="HD2213" s="155"/>
      <c r="HE2213" s="155"/>
    </row>
    <row r="2214" spans="2:213" s="156" customFormat="1" hidden="1">
      <c r="B2214" s="155"/>
      <c r="C2214" s="155"/>
      <c r="D2214" s="155"/>
      <c r="E2214" s="155"/>
      <c r="F2214" s="155"/>
      <c r="G2214" s="155"/>
      <c r="H2214" s="155"/>
      <c r="I2214" s="155"/>
      <c r="J2214" s="155"/>
      <c r="K2214" s="155"/>
      <c r="L2214" s="155"/>
      <c r="M2214" s="155"/>
      <c r="N2214" s="155"/>
      <c r="O2214" s="155"/>
      <c r="P2214" s="155"/>
      <c r="Q2214" s="155"/>
      <c r="R2214" s="155"/>
      <c r="S2214" s="155"/>
      <c r="T2214" s="155"/>
      <c r="U2214" s="155"/>
      <c r="V2214" s="155"/>
      <c r="W2214" s="155"/>
      <c r="GL2214" s="155"/>
      <c r="GM2214" s="155"/>
      <c r="GN2214" s="155"/>
      <c r="GO2214" s="155"/>
      <c r="GP2214" s="155"/>
      <c r="GQ2214" s="155"/>
      <c r="GR2214" s="155"/>
      <c r="GS2214" s="155"/>
      <c r="GT2214" s="155"/>
      <c r="GU2214" s="155"/>
      <c r="GV2214" s="155"/>
      <c r="GW2214" s="155"/>
      <c r="GX2214" s="155"/>
      <c r="GY2214" s="155"/>
      <c r="GZ2214" s="155"/>
      <c r="HA2214" s="155"/>
      <c r="HB2214" s="155"/>
      <c r="HC2214" s="155"/>
      <c r="HD2214" s="155"/>
      <c r="HE2214" s="155"/>
    </row>
    <row r="2215" spans="2:213" s="156" customFormat="1" hidden="1">
      <c r="B2215" s="155"/>
      <c r="C2215" s="155"/>
      <c r="D2215" s="155"/>
      <c r="E2215" s="155"/>
      <c r="F2215" s="155"/>
      <c r="G2215" s="155"/>
      <c r="H2215" s="155"/>
      <c r="I2215" s="155"/>
      <c r="J2215" s="155"/>
      <c r="K2215" s="155"/>
      <c r="L2215" s="155"/>
      <c r="M2215" s="155"/>
      <c r="N2215" s="155"/>
      <c r="O2215" s="155"/>
      <c r="P2215" s="155"/>
      <c r="Q2215" s="155"/>
      <c r="R2215" s="155"/>
      <c r="S2215" s="155"/>
      <c r="T2215" s="155"/>
      <c r="U2215" s="155"/>
      <c r="V2215" s="155"/>
      <c r="W2215" s="155"/>
      <c r="GL2215" s="155"/>
      <c r="GM2215" s="155"/>
      <c r="GN2215" s="155"/>
      <c r="GO2215" s="155"/>
      <c r="GP2215" s="155"/>
      <c r="GQ2215" s="155"/>
      <c r="GR2215" s="155"/>
      <c r="GS2215" s="155"/>
      <c r="GT2215" s="155"/>
      <c r="GU2215" s="155"/>
      <c r="GV2215" s="155"/>
      <c r="GW2215" s="155"/>
      <c r="GX2215" s="155"/>
      <c r="GY2215" s="155"/>
      <c r="GZ2215" s="155"/>
      <c r="HA2215" s="155"/>
      <c r="HB2215" s="155"/>
      <c r="HC2215" s="155"/>
      <c r="HD2215" s="155"/>
      <c r="HE2215" s="155"/>
    </row>
    <row r="2216" spans="2:213" s="156" customFormat="1" hidden="1">
      <c r="B2216" s="155"/>
      <c r="C2216" s="155"/>
      <c r="D2216" s="155"/>
      <c r="E2216" s="155"/>
      <c r="F2216" s="155"/>
      <c r="G2216" s="155"/>
      <c r="H2216" s="155"/>
      <c r="I2216" s="155"/>
      <c r="J2216" s="155"/>
      <c r="K2216" s="155"/>
      <c r="L2216" s="155"/>
      <c r="M2216" s="155"/>
      <c r="N2216" s="155"/>
      <c r="O2216" s="155"/>
      <c r="P2216" s="155"/>
      <c r="Q2216" s="155"/>
      <c r="R2216" s="155"/>
      <c r="S2216" s="155"/>
      <c r="T2216" s="155"/>
      <c r="U2216" s="155"/>
      <c r="V2216" s="155"/>
      <c r="W2216" s="155"/>
      <c r="GL2216" s="155"/>
      <c r="GM2216" s="155"/>
      <c r="GN2216" s="155"/>
      <c r="GO2216" s="155"/>
      <c r="GP2216" s="155"/>
      <c r="GQ2216" s="155"/>
      <c r="GR2216" s="155"/>
      <c r="GS2216" s="155"/>
      <c r="GT2216" s="155"/>
      <c r="GU2216" s="155"/>
      <c r="GV2216" s="155"/>
      <c r="GW2216" s="155"/>
      <c r="GX2216" s="155"/>
      <c r="GY2216" s="155"/>
      <c r="GZ2216" s="155"/>
      <c r="HA2216" s="155"/>
      <c r="HB2216" s="155"/>
      <c r="HC2216" s="155"/>
      <c r="HD2216" s="155"/>
      <c r="HE2216" s="155"/>
    </row>
    <row r="2217" spans="2:213" s="156" customFormat="1" hidden="1">
      <c r="B2217" s="155"/>
      <c r="C2217" s="155"/>
      <c r="D2217" s="155"/>
      <c r="E2217" s="155"/>
      <c r="F2217" s="155"/>
      <c r="G2217" s="155"/>
      <c r="H2217" s="155"/>
      <c r="I2217" s="155"/>
      <c r="J2217" s="155"/>
      <c r="K2217" s="155"/>
      <c r="L2217" s="155"/>
      <c r="M2217" s="155"/>
      <c r="N2217" s="155"/>
      <c r="O2217" s="155"/>
      <c r="P2217" s="155"/>
      <c r="Q2217" s="155"/>
      <c r="R2217" s="155"/>
      <c r="S2217" s="155"/>
      <c r="T2217" s="155"/>
      <c r="U2217" s="155"/>
      <c r="V2217" s="155"/>
      <c r="W2217" s="155"/>
      <c r="GL2217" s="155"/>
      <c r="GM2217" s="155"/>
      <c r="GN2217" s="155"/>
      <c r="GO2217" s="155"/>
      <c r="GP2217" s="155"/>
      <c r="GQ2217" s="155"/>
      <c r="GR2217" s="155"/>
      <c r="GS2217" s="155"/>
      <c r="GT2217" s="155"/>
      <c r="GU2217" s="155"/>
      <c r="GV2217" s="155"/>
      <c r="GW2217" s="155"/>
      <c r="GX2217" s="155"/>
      <c r="GY2217" s="155"/>
      <c r="GZ2217" s="155"/>
      <c r="HA2217" s="155"/>
      <c r="HB2217" s="155"/>
      <c r="HC2217" s="155"/>
      <c r="HD2217" s="155"/>
      <c r="HE2217" s="155"/>
    </row>
    <row r="2218" spans="2:213" s="156" customFormat="1" hidden="1">
      <c r="B2218" s="155"/>
      <c r="C2218" s="155"/>
      <c r="D2218" s="155"/>
      <c r="E2218" s="155"/>
      <c r="F2218" s="155"/>
      <c r="G2218" s="155"/>
      <c r="H2218" s="155"/>
      <c r="I2218" s="155"/>
      <c r="J2218" s="155"/>
      <c r="K2218" s="155"/>
      <c r="L2218" s="155"/>
      <c r="M2218" s="155"/>
      <c r="N2218" s="155"/>
      <c r="O2218" s="155"/>
      <c r="P2218" s="155"/>
      <c r="Q2218" s="155"/>
      <c r="R2218" s="155"/>
      <c r="S2218" s="155"/>
      <c r="T2218" s="155"/>
      <c r="U2218" s="155"/>
      <c r="V2218" s="155"/>
      <c r="W2218" s="155"/>
      <c r="GL2218" s="155"/>
      <c r="GM2218" s="155"/>
      <c r="GN2218" s="155"/>
      <c r="GO2218" s="155"/>
      <c r="GP2218" s="155"/>
      <c r="GQ2218" s="155"/>
      <c r="GR2218" s="155"/>
      <c r="GS2218" s="155"/>
      <c r="GT2218" s="155"/>
      <c r="GU2218" s="155"/>
      <c r="GV2218" s="155"/>
      <c r="GW2218" s="155"/>
      <c r="GX2218" s="155"/>
      <c r="GY2218" s="155"/>
      <c r="GZ2218" s="155"/>
      <c r="HA2218" s="155"/>
      <c r="HB2218" s="155"/>
      <c r="HC2218" s="155"/>
      <c r="HD2218" s="155"/>
      <c r="HE2218" s="155"/>
    </row>
    <row r="2219" spans="2:213" s="156" customFormat="1" hidden="1">
      <c r="B2219" s="155"/>
      <c r="C2219" s="155"/>
      <c r="D2219" s="155"/>
      <c r="E2219" s="155"/>
      <c r="F2219" s="155"/>
      <c r="G2219" s="155"/>
      <c r="H2219" s="155"/>
      <c r="I2219" s="155"/>
      <c r="J2219" s="155"/>
      <c r="K2219" s="155"/>
      <c r="L2219" s="155"/>
      <c r="M2219" s="155"/>
      <c r="N2219" s="155"/>
      <c r="O2219" s="155"/>
      <c r="P2219" s="155"/>
      <c r="Q2219" s="155"/>
      <c r="R2219" s="155"/>
      <c r="S2219" s="155"/>
      <c r="T2219" s="155"/>
      <c r="U2219" s="155"/>
      <c r="V2219" s="155"/>
      <c r="W2219" s="155"/>
      <c r="GL2219" s="155"/>
      <c r="GM2219" s="155"/>
      <c r="GN2219" s="155"/>
      <c r="GO2219" s="155"/>
      <c r="GP2219" s="155"/>
      <c r="GQ2219" s="155"/>
      <c r="GR2219" s="155"/>
      <c r="GS2219" s="155"/>
      <c r="GT2219" s="155"/>
      <c r="GU2219" s="155"/>
      <c r="GV2219" s="155"/>
      <c r="GW2219" s="155"/>
      <c r="GX2219" s="155"/>
      <c r="GY2219" s="155"/>
      <c r="GZ2219" s="155"/>
      <c r="HA2219" s="155"/>
      <c r="HB2219" s="155"/>
      <c r="HC2219" s="155"/>
      <c r="HD2219" s="155"/>
      <c r="HE2219" s="155"/>
    </row>
    <row r="2220" spans="2:213" s="156" customFormat="1" hidden="1">
      <c r="B2220" s="155"/>
      <c r="C2220" s="155"/>
      <c r="D2220" s="155"/>
      <c r="E2220" s="155"/>
      <c r="F2220" s="155"/>
      <c r="G2220" s="155"/>
      <c r="H2220" s="155"/>
      <c r="I2220" s="155"/>
      <c r="J2220" s="155"/>
      <c r="K2220" s="155"/>
      <c r="L2220" s="155"/>
      <c r="M2220" s="155"/>
      <c r="N2220" s="155"/>
      <c r="O2220" s="155"/>
      <c r="P2220" s="155"/>
      <c r="Q2220" s="155"/>
      <c r="R2220" s="155"/>
      <c r="S2220" s="155"/>
      <c r="T2220" s="155"/>
      <c r="U2220" s="155"/>
      <c r="V2220" s="155"/>
      <c r="W2220" s="155"/>
      <c r="GL2220" s="155"/>
      <c r="GM2220" s="155"/>
      <c r="GN2220" s="155"/>
      <c r="GO2220" s="155"/>
      <c r="GP2220" s="155"/>
      <c r="GQ2220" s="155"/>
      <c r="GR2220" s="155"/>
      <c r="GS2220" s="155"/>
      <c r="GT2220" s="155"/>
      <c r="GU2220" s="155"/>
      <c r="GV2220" s="155"/>
      <c r="GW2220" s="155"/>
      <c r="GX2220" s="155"/>
      <c r="GY2220" s="155"/>
      <c r="GZ2220" s="155"/>
      <c r="HA2220" s="155"/>
      <c r="HB2220" s="155"/>
      <c r="HC2220" s="155"/>
      <c r="HD2220" s="155"/>
      <c r="HE2220" s="155"/>
    </row>
    <row r="2221" spans="2:213" s="156" customFormat="1" hidden="1">
      <c r="B2221" s="155"/>
      <c r="C2221" s="155"/>
      <c r="D2221" s="155"/>
      <c r="E2221" s="155"/>
      <c r="F2221" s="155"/>
      <c r="G2221" s="155"/>
      <c r="H2221" s="155"/>
      <c r="I2221" s="155"/>
      <c r="J2221" s="155"/>
      <c r="K2221" s="155"/>
      <c r="L2221" s="155"/>
      <c r="M2221" s="155"/>
      <c r="N2221" s="155"/>
      <c r="O2221" s="155"/>
      <c r="P2221" s="155"/>
      <c r="Q2221" s="155"/>
      <c r="R2221" s="155"/>
      <c r="S2221" s="155"/>
      <c r="T2221" s="155"/>
      <c r="U2221" s="155"/>
      <c r="V2221" s="155"/>
      <c r="W2221" s="155"/>
      <c r="GL2221" s="155"/>
      <c r="GM2221" s="155"/>
      <c r="GN2221" s="155"/>
      <c r="GO2221" s="155"/>
      <c r="GP2221" s="155"/>
      <c r="GQ2221" s="155"/>
      <c r="GR2221" s="155"/>
      <c r="GS2221" s="155"/>
      <c r="GT2221" s="155"/>
      <c r="GU2221" s="155"/>
      <c r="GV2221" s="155"/>
      <c r="GW2221" s="155"/>
      <c r="GX2221" s="155"/>
      <c r="GY2221" s="155"/>
      <c r="GZ2221" s="155"/>
      <c r="HA2221" s="155"/>
      <c r="HB2221" s="155"/>
      <c r="HC2221" s="155"/>
      <c r="HD2221" s="155"/>
      <c r="HE2221" s="155"/>
    </row>
    <row r="2222" spans="2:213" s="156" customFormat="1" hidden="1">
      <c r="B2222" s="155"/>
      <c r="C2222" s="155"/>
      <c r="D2222" s="155"/>
      <c r="E2222" s="155"/>
      <c r="F2222" s="155"/>
      <c r="G2222" s="155"/>
      <c r="H2222" s="155"/>
      <c r="I2222" s="155"/>
      <c r="J2222" s="155"/>
      <c r="K2222" s="155"/>
      <c r="L2222" s="155"/>
      <c r="M2222" s="155"/>
      <c r="N2222" s="155"/>
      <c r="O2222" s="155"/>
      <c r="P2222" s="155"/>
      <c r="Q2222" s="155"/>
      <c r="R2222" s="155"/>
      <c r="S2222" s="155"/>
      <c r="T2222" s="155"/>
      <c r="U2222" s="155"/>
      <c r="V2222" s="155"/>
      <c r="W2222" s="155"/>
      <c r="GL2222" s="155"/>
      <c r="GM2222" s="155"/>
      <c r="GN2222" s="155"/>
      <c r="GO2222" s="155"/>
      <c r="GP2222" s="155"/>
      <c r="GQ2222" s="155"/>
      <c r="GR2222" s="155"/>
      <c r="GS2222" s="155"/>
      <c r="GT2222" s="155"/>
      <c r="GU2222" s="155"/>
      <c r="GV2222" s="155"/>
      <c r="GW2222" s="155"/>
      <c r="GX2222" s="155"/>
      <c r="GY2222" s="155"/>
      <c r="GZ2222" s="155"/>
      <c r="HA2222" s="155"/>
      <c r="HB2222" s="155"/>
      <c r="HC2222" s="155"/>
      <c r="HD2222" s="155"/>
      <c r="HE2222" s="155"/>
    </row>
    <row r="2223" spans="2:213" s="156" customFormat="1" hidden="1">
      <c r="B2223" s="155"/>
      <c r="C2223" s="155"/>
      <c r="D2223" s="155"/>
      <c r="E2223" s="155"/>
      <c r="F2223" s="155"/>
      <c r="G2223" s="155"/>
      <c r="H2223" s="155"/>
      <c r="I2223" s="155"/>
      <c r="J2223" s="155"/>
      <c r="K2223" s="155"/>
      <c r="L2223" s="155"/>
      <c r="M2223" s="155"/>
      <c r="N2223" s="155"/>
      <c r="O2223" s="155"/>
      <c r="P2223" s="155"/>
      <c r="Q2223" s="155"/>
      <c r="R2223" s="155"/>
      <c r="S2223" s="155"/>
      <c r="T2223" s="155"/>
      <c r="U2223" s="155"/>
      <c r="V2223" s="155"/>
      <c r="W2223" s="155"/>
      <c r="GL2223" s="155"/>
      <c r="GM2223" s="155"/>
      <c r="GN2223" s="155"/>
      <c r="GO2223" s="155"/>
      <c r="GP2223" s="155"/>
      <c r="GQ2223" s="155"/>
      <c r="GR2223" s="155"/>
      <c r="GS2223" s="155"/>
      <c r="GT2223" s="155"/>
      <c r="GU2223" s="155"/>
      <c r="GV2223" s="155"/>
      <c r="GW2223" s="155"/>
      <c r="GX2223" s="155"/>
      <c r="GY2223" s="155"/>
      <c r="GZ2223" s="155"/>
      <c r="HA2223" s="155"/>
      <c r="HB2223" s="155"/>
      <c r="HC2223" s="155"/>
      <c r="HD2223" s="155"/>
      <c r="HE2223" s="155"/>
    </row>
    <row r="2224" spans="2:213" s="156" customFormat="1" hidden="1">
      <c r="B2224" s="155"/>
      <c r="C2224" s="155"/>
      <c r="D2224" s="155"/>
      <c r="E2224" s="155"/>
      <c r="F2224" s="155"/>
      <c r="G2224" s="155"/>
      <c r="H2224" s="155"/>
      <c r="I2224" s="155"/>
      <c r="J2224" s="155"/>
      <c r="K2224" s="155"/>
      <c r="L2224" s="155"/>
      <c r="M2224" s="155"/>
      <c r="N2224" s="155"/>
      <c r="O2224" s="155"/>
      <c r="P2224" s="155"/>
      <c r="Q2224" s="155"/>
      <c r="R2224" s="155"/>
      <c r="S2224" s="155"/>
      <c r="T2224" s="155"/>
      <c r="U2224" s="155"/>
      <c r="V2224" s="155"/>
      <c r="W2224" s="155"/>
      <c r="GL2224" s="155"/>
      <c r="GM2224" s="155"/>
      <c r="GN2224" s="155"/>
      <c r="GO2224" s="155"/>
      <c r="GP2224" s="155"/>
      <c r="GQ2224" s="155"/>
      <c r="GR2224" s="155"/>
      <c r="GS2224" s="155"/>
      <c r="GT2224" s="155"/>
      <c r="GU2224" s="155"/>
      <c r="GV2224" s="155"/>
      <c r="GW2224" s="155"/>
      <c r="GX2224" s="155"/>
      <c r="GY2224" s="155"/>
      <c r="GZ2224" s="155"/>
      <c r="HA2224" s="155"/>
      <c r="HB2224" s="155"/>
      <c r="HC2224" s="155"/>
      <c r="HD2224" s="155"/>
      <c r="HE2224" s="155"/>
    </row>
    <row r="2225" spans="2:213" s="156" customFormat="1" hidden="1">
      <c r="B2225" s="155"/>
      <c r="C2225" s="155"/>
      <c r="D2225" s="155"/>
      <c r="E2225" s="155"/>
      <c r="F2225" s="155"/>
      <c r="G2225" s="155"/>
      <c r="H2225" s="155"/>
      <c r="I2225" s="155"/>
      <c r="J2225" s="155"/>
      <c r="K2225" s="155"/>
      <c r="L2225" s="155"/>
      <c r="M2225" s="155"/>
      <c r="N2225" s="155"/>
      <c r="O2225" s="155"/>
      <c r="P2225" s="155"/>
      <c r="Q2225" s="155"/>
      <c r="R2225" s="155"/>
      <c r="S2225" s="155"/>
      <c r="T2225" s="155"/>
      <c r="U2225" s="155"/>
      <c r="V2225" s="155"/>
      <c r="W2225" s="155"/>
      <c r="GL2225" s="155"/>
      <c r="GM2225" s="155"/>
      <c r="GN2225" s="155"/>
      <c r="GO2225" s="155"/>
      <c r="GP2225" s="155"/>
      <c r="GQ2225" s="155"/>
      <c r="GR2225" s="155"/>
      <c r="GS2225" s="155"/>
      <c r="GT2225" s="155"/>
      <c r="GU2225" s="155"/>
      <c r="GV2225" s="155"/>
      <c r="GW2225" s="155"/>
      <c r="GX2225" s="155"/>
      <c r="GY2225" s="155"/>
      <c r="GZ2225" s="155"/>
      <c r="HA2225" s="155"/>
      <c r="HB2225" s="155"/>
      <c r="HC2225" s="155"/>
      <c r="HD2225" s="155"/>
      <c r="HE2225" s="155"/>
    </row>
    <row r="2226" spans="2:213" s="156" customFormat="1" hidden="1">
      <c r="B2226" s="155"/>
      <c r="C2226" s="155"/>
      <c r="D2226" s="155"/>
      <c r="E2226" s="155"/>
      <c r="F2226" s="155"/>
      <c r="G2226" s="155"/>
      <c r="H2226" s="155"/>
      <c r="I2226" s="155"/>
      <c r="J2226" s="155"/>
      <c r="K2226" s="155"/>
      <c r="L2226" s="155"/>
      <c r="M2226" s="155"/>
      <c r="N2226" s="155"/>
      <c r="O2226" s="155"/>
      <c r="P2226" s="155"/>
      <c r="Q2226" s="155"/>
      <c r="R2226" s="155"/>
      <c r="S2226" s="155"/>
      <c r="T2226" s="155"/>
      <c r="U2226" s="155"/>
      <c r="V2226" s="155"/>
      <c r="W2226" s="155"/>
      <c r="GL2226" s="155"/>
      <c r="GM2226" s="155"/>
      <c r="GN2226" s="155"/>
      <c r="GO2226" s="155"/>
      <c r="GP2226" s="155"/>
      <c r="GQ2226" s="155"/>
      <c r="GR2226" s="155"/>
      <c r="GS2226" s="155"/>
      <c r="GT2226" s="155"/>
      <c r="GU2226" s="155"/>
      <c r="GV2226" s="155"/>
      <c r="GW2226" s="155"/>
      <c r="GX2226" s="155"/>
      <c r="GY2226" s="155"/>
      <c r="GZ2226" s="155"/>
      <c r="HA2226" s="155"/>
      <c r="HB2226" s="155"/>
      <c r="HC2226" s="155"/>
      <c r="HD2226" s="155"/>
      <c r="HE2226" s="155"/>
    </row>
    <row r="2227" spans="2:213" s="156" customFormat="1" hidden="1">
      <c r="B2227" s="155"/>
      <c r="C2227" s="155"/>
      <c r="D2227" s="155"/>
      <c r="E2227" s="155"/>
      <c r="F2227" s="155"/>
      <c r="G2227" s="155"/>
      <c r="H2227" s="155"/>
      <c r="I2227" s="155"/>
      <c r="J2227" s="155"/>
      <c r="K2227" s="155"/>
      <c r="L2227" s="155"/>
      <c r="M2227" s="155"/>
      <c r="N2227" s="155"/>
      <c r="O2227" s="155"/>
      <c r="P2227" s="155"/>
      <c r="Q2227" s="155"/>
      <c r="R2227" s="155"/>
      <c r="S2227" s="155"/>
      <c r="T2227" s="155"/>
      <c r="U2227" s="155"/>
      <c r="V2227" s="155"/>
      <c r="W2227" s="155"/>
      <c r="GL2227" s="155"/>
      <c r="GM2227" s="155"/>
      <c r="GN2227" s="155"/>
      <c r="GO2227" s="155"/>
      <c r="GP2227" s="155"/>
      <c r="GQ2227" s="155"/>
      <c r="GR2227" s="155"/>
      <c r="GS2227" s="155"/>
      <c r="GT2227" s="155"/>
      <c r="GU2227" s="155"/>
      <c r="GV2227" s="155"/>
      <c r="GW2227" s="155"/>
      <c r="GX2227" s="155"/>
      <c r="GY2227" s="155"/>
      <c r="GZ2227" s="155"/>
      <c r="HA2227" s="155"/>
      <c r="HB2227" s="155"/>
      <c r="HC2227" s="155"/>
      <c r="HD2227" s="155"/>
      <c r="HE2227" s="155"/>
    </row>
    <row r="2228" spans="2:213" s="156" customFormat="1" hidden="1">
      <c r="B2228" s="155"/>
      <c r="C2228" s="155"/>
      <c r="D2228" s="155"/>
      <c r="E2228" s="155"/>
      <c r="F2228" s="155"/>
      <c r="G2228" s="155"/>
      <c r="H2228" s="155"/>
      <c r="I2228" s="155"/>
      <c r="J2228" s="155"/>
      <c r="K2228" s="155"/>
      <c r="L2228" s="155"/>
      <c r="M2228" s="155"/>
      <c r="N2228" s="155"/>
      <c r="O2228" s="155"/>
      <c r="P2228" s="155"/>
      <c r="Q2228" s="155"/>
      <c r="R2228" s="155"/>
      <c r="S2228" s="155"/>
      <c r="T2228" s="155"/>
      <c r="U2228" s="155"/>
      <c r="V2228" s="155"/>
      <c r="W2228" s="155"/>
      <c r="GL2228" s="155"/>
      <c r="GM2228" s="155"/>
      <c r="GN2228" s="155"/>
      <c r="GO2228" s="155"/>
      <c r="GP2228" s="155"/>
      <c r="GQ2228" s="155"/>
      <c r="GR2228" s="155"/>
      <c r="GS2228" s="155"/>
      <c r="GT2228" s="155"/>
      <c r="GU2228" s="155"/>
      <c r="GV2228" s="155"/>
      <c r="GW2228" s="155"/>
      <c r="GX2228" s="155"/>
      <c r="GY2228" s="155"/>
      <c r="GZ2228" s="155"/>
      <c r="HA2228" s="155"/>
      <c r="HB2228" s="155"/>
      <c r="HC2228" s="155"/>
      <c r="HD2228" s="155"/>
      <c r="HE2228" s="155"/>
    </row>
    <row r="2229" spans="2:213" s="156" customFormat="1" hidden="1">
      <c r="B2229" s="155"/>
      <c r="C2229" s="155"/>
      <c r="D2229" s="155"/>
      <c r="E2229" s="155"/>
      <c r="F2229" s="155"/>
      <c r="G2229" s="155"/>
      <c r="H2229" s="155"/>
      <c r="I2229" s="155"/>
      <c r="J2229" s="155"/>
      <c r="K2229" s="155"/>
      <c r="L2229" s="155"/>
      <c r="M2229" s="155"/>
      <c r="N2229" s="155"/>
      <c r="O2229" s="155"/>
      <c r="P2229" s="155"/>
      <c r="Q2229" s="155"/>
      <c r="R2229" s="155"/>
      <c r="S2229" s="155"/>
      <c r="T2229" s="155"/>
      <c r="U2229" s="155"/>
      <c r="V2229" s="155"/>
      <c r="W2229" s="155"/>
      <c r="GL2229" s="155"/>
      <c r="GM2229" s="155"/>
      <c r="GN2229" s="155"/>
      <c r="GO2229" s="155"/>
      <c r="GP2229" s="155"/>
      <c r="GQ2229" s="155"/>
      <c r="GR2229" s="155"/>
      <c r="GS2229" s="155"/>
      <c r="GT2229" s="155"/>
      <c r="GU2229" s="155"/>
      <c r="GV2229" s="155"/>
      <c r="GW2229" s="155"/>
      <c r="GX2229" s="155"/>
      <c r="GY2229" s="155"/>
      <c r="GZ2229" s="155"/>
      <c r="HA2229" s="155"/>
      <c r="HB2229" s="155"/>
      <c r="HC2229" s="155"/>
      <c r="HD2229" s="155"/>
      <c r="HE2229" s="155"/>
    </row>
    <row r="2230" spans="2:213" s="156" customFormat="1" hidden="1">
      <c r="B2230" s="155"/>
      <c r="C2230" s="155"/>
      <c r="D2230" s="155"/>
      <c r="E2230" s="155"/>
      <c r="F2230" s="155"/>
      <c r="G2230" s="155"/>
      <c r="H2230" s="155"/>
      <c r="I2230" s="155"/>
      <c r="J2230" s="155"/>
      <c r="K2230" s="155"/>
      <c r="L2230" s="155"/>
      <c r="M2230" s="155"/>
      <c r="N2230" s="155"/>
      <c r="O2230" s="155"/>
      <c r="P2230" s="155"/>
      <c r="Q2230" s="155"/>
      <c r="R2230" s="155"/>
      <c r="S2230" s="155"/>
      <c r="T2230" s="155"/>
      <c r="U2230" s="155"/>
      <c r="V2230" s="155"/>
      <c r="W2230" s="155"/>
      <c r="GL2230" s="155"/>
      <c r="GM2230" s="155"/>
      <c r="GN2230" s="155"/>
      <c r="GO2230" s="155"/>
      <c r="GP2230" s="155"/>
      <c r="GQ2230" s="155"/>
      <c r="GR2230" s="155"/>
      <c r="GS2230" s="155"/>
      <c r="GT2230" s="155"/>
      <c r="GU2230" s="155"/>
      <c r="GV2230" s="155"/>
      <c r="GW2230" s="155"/>
      <c r="GX2230" s="155"/>
      <c r="GY2230" s="155"/>
      <c r="GZ2230" s="155"/>
      <c r="HA2230" s="155"/>
      <c r="HB2230" s="155"/>
      <c r="HC2230" s="155"/>
      <c r="HD2230" s="155"/>
      <c r="HE2230" s="155"/>
    </row>
    <row r="2231" spans="2:213" s="156" customFormat="1" hidden="1">
      <c r="B2231" s="155"/>
      <c r="C2231" s="155"/>
      <c r="D2231" s="155"/>
      <c r="E2231" s="155"/>
      <c r="F2231" s="155"/>
      <c r="G2231" s="155"/>
      <c r="H2231" s="155"/>
      <c r="I2231" s="155"/>
      <c r="J2231" s="155"/>
      <c r="K2231" s="155"/>
      <c r="L2231" s="155"/>
      <c r="M2231" s="155"/>
      <c r="N2231" s="155"/>
      <c r="O2231" s="155"/>
      <c r="P2231" s="155"/>
      <c r="Q2231" s="155"/>
      <c r="R2231" s="155"/>
      <c r="S2231" s="155"/>
      <c r="T2231" s="155"/>
      <c r="U2231" s="155"/>
      <c r="V2231" s="155"/>
      <c r="W2231" s="155"/>
      <c r="GL2231" s="155"/>
      <c r="GM2231" s="155"/>
      <c r="GN2231" s="155"/>
      <c r="GO2231" s="155"/>
      <c r="GP2231" s="155"/>
      <c r="GQ2231" s="155"/>
      <c r="GR2231" s="155"/>
      <c r="GS2231" s="155"/>
      <c r="GT2231" s="155"/>
      <c r="GU2231" s="155"/>
      <c r="GV2231" s="155"/>
      <c r="GW2231" s="155"/>
      <c r="GX2231" s="155"/>
      <c r="GY2231" s="155"/>
      <c r="GZ2231" s="155"/>
      <c r="HA2231" s="155"/>
      <c r="HB2231" s="155"/>
      <c r="HC2231" s="155"/>
      <c r="HD2231" s="155"/>
      <c r="HE2231" s="155"/>
    </row>
    <row r="2232" spans="2:213" s="156" customFormat="1" hidden="1">
      <c r="B2232" s="155"/>
      <c r="C2232" s="155"/>
      <c r="D2232" s="155"/>
      <c r="E2232" s="155"/>
      <c r="F2232" s="155"/>
      <c r="G2232" s="155"/>
      <c r="H2232" s="155"/>
      <c r="I2232" s="155"/>
      <c r="J2232" s="155"/>
      <c r="K2232" s="155"/>
      <c r="L2232" s="155"/>
      <c r="M2232" s="155"/>
      <c r="N2232" s="155"/>
      <c r="O2232" s="155"/>
      <c r="P2232" s="155"/>
      <c r="Q2232" s="155"/>
      <c r="R2232" s="155"/>
      <c r="S2232" s="155"/>
      <c r="T2232" s="155"/>
      <c r="U2232" s="155"/>
      <c r="V2232" s="155"/>
      <c r="W2232" s="155"/>
      <c r="GL2232" s="155"/>
      <c r="GM2232" s="155"/>
      <c r="GN2232" s="155"/>
      <c r="GO2232" s="155"/>
      <c r="GP2232" s="155"/>
      <c r="GQ2232" s="155"/>
      <c r="GR2232" s="155"/>
      <c r="GS2232" s="155"/>
      <c r="GT2232" s="155"/>
      <c r="GU2232" s="155"/>
      <c r="GV2232" s="155"/>
      <c r="GW2232" s="155"/>
      <c r="GX2232" s="155"/>
      <c r="GY2232" s="155"/>
      <c r="GZ2232" s="155"/>
      <c r="HA2232" s="155"/>
      <c r="HB2232" s="155"/>
      <c r="HC2232" s="155"/>
      <c r="HD2232" s="155"/>
      <c r="HE2232" s="155"/>
    </row>
    <row r="2233" spans="2:213" s="156" customFormat="1" hidden="1">
      <c r="B2233" s="155"/>
      <c r="C2233" s="155"/>
      <c r="D2233" s="155"/>
      <c r="E2233" s="155"/>
      <c r="F2233" s="155"/>
      <c r="G2233" s="155"/>
      <c r="H2233" s="155"/>
      <c r="I2233" s="155"/>
      <c r="J2233" s="155"/>
      <c r="K2233" s="155"/>
      <c r="L2233" s="155"/>
      <c r="M2233" s="155"/>
      <c r="N2233" s="155"/>
      <c r="O2233" s="155"/>
      <c r="P2233" s="155"/>
      <c r="Q2233" s="155"/>
      <c r="R2233" s="155"/>
      <c r="S2233" s="155"/>
      <c r="T2233" s="155"/>
      <c r="U2233" s="155"/>
      <c r="V2233" s="155"/>
      <c r="W2233" s="155"/>
      <c r="GL2233" s="155"/>
      <c r="GM2233" s="155"/>
      <c r="GN2233" s="155"/>
      <c r="GO2233" s="155"/>
      <c r="GP2233" s="155"/>
      <c r="GQ2233" s="155"/>
      <c r="GR2233" s="155"/>
      <c r="GS2233" s="155"/>
      <c r="GT2233" s="155"/>
      <c r="GU2233" s="155"/>
      <c r="GV2233" s="155"/>
      <c r="GW2233" s="155"/>
      <c r="GX2233" s="155"/>
      <c r="GY2233" s="155"/>
      <c r="GZ2233" s="155"/>
      <c r="HA2233" s="155"/>
      <c r="HB2233" s="155"/>
      <c r="HC2233" s="155"/>
      <c r="HD2233" s="155"/>
      <c r="HE2233" s="155"/>
    </row>
    <row r="2234" spans="2:213" s="156" customFormat="1" hidden="1">
      <c r="B2234" s="155"/>
      <c r="C2234" s="155"/>
      <c r="D2234" s="155"/>
      <c r="E2234" s="155"/>
      <c r="F2234" s="155"/>
      <c r="G2234" s="155"/>
      <c r="H2234" s="155"/>
      <c r="I2234" s="155"/>
      <c r="J2234" s="155"/>
      <c r="K2234" s="155"/>
      <c r="L2234" s="155"/>
      <c r="M2234" s="155"/>
      <c r="N2234" s="155"/>
      <c r="O2234" s="155"/>
      <c r="P2234" s="155"/>
      <c r="Q2234" s="155"/>
      <c r="R2234" s="155"/>
      <c r="S2234" s="155"/>
      <c r="T2234" s="155"/>
      <c r="U2234" s="155"/>
      <c r="V2234" s="155"/>
      <c r="W2234" s="155"/>
      <c r="GL2234" s="155"/>
      <c r="GM2234" s="155"/>
      <c r="GN2234" s="155"/>
      <c r="GO2234" s="155"/>
      <c r="GP2234" s="155"/>
      <c r="GQ2234" s="155"/>
      <c r="GR2234" s="155"/>
      <c r="GS2234" s="155"/>
      <c r="GT2234" s="155"/>
      <c r="GU2234" s="155"/>
      <c r="GV2234" s="155"/>
      <c r="GW2234" s="155"/>
      <c r="GX2234" s="155"/>
      <c r="GY2234" s="155"/>
      <c r="GZ2234" s="155"/>
      <c r="HA2234" s="155"/>
      <c r="HB2234" s="155"/>
      <c r="HC2234" s="155"/>
      <c r="HD2234" s="155"/>
      <c r="HE2234" s="155"/>
    </row>
    <row r="2235" spans="2:213" s="156" customFormat="1" hidden="1">
      <c r="B2235" s="155"/>
      <c r="C2235" s="155"/>
      <c r="D2235" s="155"/>
      <c r="E2235" s="155"/>
      <c r="F2235" s="155"/>
      <c r="G2235" s="155"/>
      <c r="H2235" s="155"/>
      <c r="I2235" s="155"/>
      <c r="J2235" s="155"/>
      <c r="K2235" s="155"/>
      <c r="L2235" s="155"/>
      <c r="M2235" s="155"/>
      <c r="N2235" s="155"/>
      <c r="O2235" s="155"/>
      <c r="P2235" s="155"/>
      <c r="Q2235" s="155"/>
      <c r="R2235" s="155"/>
      <c r="S2235" s="155"/>
      <c r="T2235" s="155"/>
      <c r="U2235" s="155"/>
      <c r="V2235" s="155"/>
      <c r="W2235" s="155"/>
      <c r="GL2235" s="155"/>
      <c r="GM2235" s="155"/>
      <c r="GN2235" s="155"/>
      <c r="GO2235" s="155"/>
      <c r="GP2235" s="155"/>
      <c r="GQ2235" s="155"/>
      <c r="GR2235" s="155"/>
      <c r="GS2235" s="155"/>
      <c r="GT2235" s="155"/>
      <c r="GU2235" s="155"/>
      <c r="GV2235" s="155"/>
      <c r="GW2235" s="155"/>
      <c r="GX2235" s="155"/>
      <c r="GY2235" s="155"/>
      <c r="GZ2235" s="155"/>
      <c r="HA2235" s="155"/>
      <c r="HB2235" s="155"/>
      <c r="HC2235" s="155"/>
      <c r="HD2235" s="155"/>
      <c r="HE2235" s="155"/>
    </row>
    <row r="2236" spans="2:213" s="156" customFormat="1" hidden="1">
      <c r="B2236" s="155"/>
      <c r="C2236" s="155"/>
      <c r="D2236" s="155"/>
      <c r="E2236" s="155"/>
      <c r="F2236" s="155"/>
      <c r="G2236" s="155"/>
      <c r="H2236" s="155"/>
      <c r="I2236" s="155"/>
      <c r="J2236" s="155"/>
      <c r="K2236" s="155"/>
      <c r="L2236" s="155"/>
      <c r="M2236" s="155"/>
      <c r="N2236" s="155"/>
      <c r="O2236" s="155"/>
      <c r="P2236" s="155"/>
      <c r="Q2236" s="155"/>
      <c r="R2236" s="155"/>
      <c r="S2236" s="155"/>
      <c r="T2236" s="155"/>
      <c r="U2236" s="155"/>
      <c r="V2236" s="155"/>
      <c r="W2236" s="155"/>
      <c r="GL2236" s="155"/>
      <c r="GM2236" s="155"/>
      <c r="GN2236" s="155"/>
      <c r="GO2236" s="155"/>
      <c r="GP2236" s="155"/>
      <c r="GQ2236" s="155"/>
      <c r="GR2236" s="155"/>
      <c r="GS2236" s="155"/>
      <c r="GT2236" s="155"/>
      <c r="GU2236" s="155"/>
      <c r="GV2236" s="155"/>
      <c r="GW2236" s="155"/>
      <c r="GX2236" s="155"/>
      <c r="GY2236" s="155"/>
      <c r="GZ2236" s="155"/>
      <c r="HA2236" s="155"/>
      <c r="HB2236" s="155"/>
      <c r="HC2236" s="155"/>
      <c r="HD2236" s="155"/>
      <c r="HE2236" s="155"/>
    </row>
    <row r="2237" spans="2:213" s="156" customFormat="1" hidden="1">
      <c r="B2237" s="155"/>
      <c r="C2237" s="155"/>
      <c r="D2237" s="155"/>
      <c r="E2237" s="155"/>
      <c r="F2237" s="155"/>
      <c r="G2237" s="155"/>
      <c r="H2237" s="155"/>
      <c r="I2237" s="155"/>
      <c r="J2237" s="155"/>
      <c r="K2237" s="155"/>
      <c r="L2237" s="155"/>
      <c r="M2237" s="155"/>
      <c r="N2237" s="155"/>
      <c r="O2237" s="155"/>
      <c r="P2237" s="155"/>
      <c r="Q2237" s="155"/>
      <c r="R2237" s="155"/>
      <c r="S2237" s="155"/>
      <c r="T2237" s="155"/>
      <c r="U2237" s="155"/>
      <c r="V2237" s="155"/>
      <c r="W2237" s="155"/>
      <c r="GL2237" s="155"/>
      <c r="GM2237" s="155"/>
      <c r="GN2237" s="155"/>
      <c r="GO2237" s="155"/>
      <c r="GP2237" s="155"/>
      <c r="GQ2237" s="155"/>
      <c r="GR2237" s="155"/>
      <c r="GS2237" s="155"/>
      <c r="GT2237" s="155"/>
      <c r="GU2237" s="155"/>
      <c r="GV2237" s="155"/>
      <c r="GW2237" s="155"/>
      <c r="GX2237" s="155"/>
      <c r="GY2237" s="155"/>
      <c r="GZ2237" s="155"/>
      <c r="HA2237" s="155"/>
      <c r="HB2237" s="155"/>
      <c r="HC2237" s="155"/>
      <c r="HD2237" s="155"/>
      <c r="HE2237" s="155"/>
    </row>
    <row r="2238" spans="2:213" s="156" customFormat="1" hidden="1">
      <c r="B2238" s="155"/>
      <c r="C2238" s="155"/>
      <c r="D2238" s="155"/>
      <c r="E2238" s="155"/>
      <c r="F2238" s="155"/>
      <c r="G2238" s="155"/>
      <c r="H2238" s="155"/>
      <c r="I2238" s="155"/>
      <c r="J2238" s="155"/>
      <c r="K2238" s="155"/>
      <c r="L2238" s="155"/>
      <c r="M2238" s="155"/>
      <c r="N2238" s="155"/>
      <c r="O2238" s="155"/>
      <c r="P2238" s="155"/>
      <c r="Q2238" s="155"/>
      <c r="R2238" s="155"/>
      <c r="S2238" s="155"/>
      <c r="T2238" s="155"/>
      <c r="U2238" s="155"/>
      <c r="V2238" s="155"/>
      <c r="W2238" s="155"/>
      <c r="GL2238" s="155"/>
      <c r="GM2238" s="155"/>
      <c r="GN2238" s="155"/>
      <c r="GO2238" s="155"/>
      <c r="GP2238" s="155"/>
      <c r="GQ2238" s="155"/>
      <c r="GR2238" s="155"/>
      <c r="GS2238" s="155"/>
      <c r="GT2238" s="155"/>
      <c r="GU2238" s="155"/>
      <c r="GV2238" s="155"/>
      <c r="GW2238" s="155"/>
      <c r="GX2238" s="155"/>
      <c r="GY2238" s="155"/>
      <c r="GZ2238" s="155"/>
      <c r="HA2238" s="155"/>
      <c r="HB2238" s="155"/>
      <c r="HC2238" s="155"/>
      <c r="HD2238" s="155"/>
      <c r="HE2238" s="155"/>
    </row>
    <row r="2239" spans="2:213" s="156" customFormat="1" hidden="1">
      <c r="B2239" s="155"/>
      <c r="C2239" s="155"/>
      <c r="D2239" s="155"/>
      <c r="E2239" s="155"/>
      <c r="F2239" s="155"/>
      <c r="G2239" s="155"/>
      <c r="H2239" s="155"/>
      <c r="I2239" s="155"/>
      <c r="J2239" s="155"/>
      <c r="K2239" s="155"/>
      <c r="L2239" s="155"/>
      <c r="M2239" s="155"/>
      <c r="N2239" s="155"/>
      <c r="O2239" s="155"/>
      <c r="P2239" s="155"/>
      <c r="Q2239" s="155"/>
      <c r="R2239" s="155"/>
      <c r="S2239" s="155"/>
      <c r="T2239" s="155"/>
      <c r="U2239" s="155"/>
      <c r="V2239" s="155"/>
      <c r="W2239" s="155"/>
      <c r="GL2239" s="155"/>
      <c r="GM2239" s="155"/>
      <c r="GN2239" s="155"/>
      <c r="GO2239" s="155"/>
      <c r="GP2239" s="155"/>
      <c r="GQ2239" s="155"/>
      <c r="GR2239" s="155"/>
      <c r="GS2239" s="155"/>
      <c r="GT2239" s="155"/>
      <c r="GU2239" s="155"/>
      <c r="GV2239" s="155"/>
      <c r="GW2239" s="155"/>
      <c r="GX2239" s="155"/>
      <c r="GY2239" s="155"/>
      <c r="GZ2239" s="155"/>
      <c r="HA2239" s="155"/>
      <c r="HB2239" s="155"/>
      <c r="HC2239" s="155"/>
      <c r="HD2239" s="155"/>
      <c r="HE2239" s="155"/>
    </row>
    <row r="2240" spans="2:213" s="156" customFormat="1" hidden="1">
      <c r="B2240" s="155"/>
      <c r="C2240" s="155"/>
      <c r="D2240" s="155"/>
      <c r="E2240" s="155"/>
      <c r="F2240" s="155"/>
      <c r="G2240" s="155"/>
      <c r="H2240" s="155"/>
      <c r="I2240" s="155"/>
      <c r="J2240" s="155"/>
      <c r="K2240" s="155"/>
      <c r="L2240" s="155"/>
      <c r="M2240" s="155"/>
      <c r="N2240" s="155"/>
      <c r="O2240" s="155"/>
      <c r="P2240" s="155"/>
      <c r="Q2240" s="155"/>
      <c r="R2240" s="155"/>
      <c r="S2240" s="155"/>
      <c r="T2240" s="155"/>
      <c r="U2240" s="155"/>
      <c r="V2240" s="155"/>
      <c r="W2240" s="155"/>
      <c r="GL2240" s="155"/>
      <c r="GM2240" s="155"/>
      <c r="GN2240" s="155"/>
      <c r="GO2240" s="155"/>
      <c r="GP2240" s="155"/>
      <c r="GQ2240" s="155"/>
      <c r="GR2240" s="155"/>
      <c r="GS2240" s="155"/>
      <c r="GT2240" s="155"/>
      <c r="GU2240" s="155"/>
      <c r="GV2240" s="155"/>
      <c r="GW2240" s="155"/>
      <c r="GX2240" s="155"/>
      <c r="GY2240" s="155"/>
      <c r="GZ2240" s="155"/>
      <c r="HA2240" s="155"/>
      <c r="HB2240" s="155"/>
      <c r="HC2240" s="155"/>
      <c r="HD2240" s="155"/>
      <c r="HE2240" s="155"/>
    </row>
    <row r="2241" spans="2:213" s="156" customFormat="1" hidden="1">
      <c r="B2241" s="155"/>
      <c r="C2241" s="155"/>
      <c r="D2241" s="155"/>
      <c r="E2241" s="155"/>
      <c r="F2241" s="155"/>
      <c r="G2241" s="155"/>
      <c r="H2241" s="155"/>
      <c r="I2241" s="155"/>
      <c r="J2241" s="155"/>
      <c r="K2241" s="155"/>
      <c r="L2241" s="155"/>
      <c r="M2241" s="155"/>
      <c r="N2241" s="155"/>
      <c r="O2241" s="155"/>
      <c r="P2241" s="155"/>
      <c r="Q2241" s="155"/>
      <c r="R2241" s="155"/>
      <c r="S2241" s="155"/>
      <c r="T2241" s="155"/>
      <c r="U2241" s="155"/>
      <c r="V2241" s="155"/>
      <c r="W2241" s="155"/>
      <c r="GL2241" s="155"/>
      <c r="GM2241" s="155"/>
      <c r="GN2241" s="155"/>
      <c r="GO2241" s="155"/>
      <c r="GP2241" s="155"/>
      <c r="GQ2241" s="155"/>
      <c r="GR2241" s="155"/>
      <c r="GS2241" s="155"/>
      <c r="GT2241" s="155"/>
      <c r="GU2241" s="155"/>
      <c r="GV2241" s="155"/>
      <c r="GW2241" s="155"/>
      <c r="GX2241" s="155"/>
      <c r="GY2241" s="155"/>
      <c r="GZ2241" s="155"/>
      <c r="HA2241" s="155"/>
      <c r="HB2241" s="155"/>
      <c r="HC2241" s="155"/>
      <c r="HD2241" s="155"/>
      <c r="HE2241" s="155"/>
    </row>
    <row r="2242" spans="2:213" s="156" customFormat="1" hidden="1">
      <c r="B2242" s="155"/>
      <c r="C2242" s="155"/>
      <c r="D2242" s="155"/>
      <c r="E2242" s="155"/>
      <c r="F2242" s="155"/>
      <c r="G2242" s="155"/>
      <c r="H2242" s="155"/>
      <c r="I2242" s="155"/>
      <c r="J2242" s="155"/>
      <c r="K2242" s="155"/>
      <c r="L2242" s="155"/>
      <c r="M2242" s="155"/>
      <c r="N2242" s="155"/>
      <c r="O2242" s="155"/>
      <c r="P2242" s="155"/>
      <c r="Q2242" s="155"/>
      <c r="R2242" s="155"/>
      <c r="S2242" s="155"/>
      <c r="T2242" s="155"/>
      <c r="U2242" s="155"/>
      <c r="V2242" s="155"/>
      <c r="W2242" s="155"/>
      <c r="GL2242" s="155"/>
      <c r="GM2242" s="155"/>
      <c r="GN2242" s="155"/>
      <c r="GO2242" s="155"/>
      <c r="GP2242" s="155"/>
      <c r="GQ2242" s="155"/>
      <c r="GR2242" s="155"/>
      <c r="GS2242" s="155"/>
      <c r="GT2242" s="155"/>
      <c r="GU2242" s="155"/>
      <c r="GV2242" s="155"/>
      <c r="GW2242" s="155"/>
      <c r="GX2242" s="155"/>
      <c r="GY2242" s="155"/>
      <c r="GZ2242" s="155"/>
      <c r="HA2242" s="155"/>
      <c r="HB2242" s="155"/>
      <c r="HC2242" s="155"/>
      <c r="HD2242" s="155"/>
      <c r="HE2242" s="155"/>
    </row>
    <row r="2243" spans="2:213" s="156" customFormat="1" hidden="1">
      <c r="B2243" s="155"/>
      <c r="C2243" s="155"/>
      <c r="D2243" s="155"/>
      <c r="E2243" s="155"/>
      <c r="F2243" s="155"/>
      <c r="G2243" s="155"/>
      <c r="H2243" s="155"/>
      <c r="I2243" s="155"/>
      <c r="J2243" s="155"/>
      <c r="K2243" s="155"/>
      <c r="L2243" s="155"/>
      <c r="M2243" s="155"/>
      <c r="N2243" s="155"/>
      <c r="O2243" s="155"/>
      <c r="P2243" s="155"/>
      <c r="Q2243" s="155"/>
      <c r="R2243" s="155"/>
      <c r="S2243" s="155"/>
      <c r="T2243" s="155"/>
      <c r="U2243" s="155"/>
      <c r="V2243" s="155"/>
      <c r="W2243" s="155"/>
      <c r="GL2243" s="155"/>
      <c r="GM2243" s="155"/>
      <c r="GN2243" s="155"/>
      <c r="GO2243" s="155"/>
      <c r="GP2243" s="155"/>
      <c r="GQ2243" s="155"/>
      <c r="GR2243" s="155"/>
      <c r="GS2243" s="155"/>
      <c r="GT2243" s="155"/>
      <c r="GU2243" s="155"/>
      <c r="GV2243" s="155"/>
      <c r="GW2243" s="155"/>
      <c r="GX2243" s="155"/>
      <c r="GY2243" s="155"/>
      <c r="GZ2243" s="155"/>
      <c r="HA2243" s="155"/>
      <c r="HB2243" s="155"/>
      <c r="HC2243" s="155"/>
      <c r="HD2243" s="155"/>
      <c r="HE2243" s="155"/>
    </row>
    <row r="2244" spans="2:213" s="156" customFormat="1" hidden="1">
      <c r="B2244" s="155"/>
      <c r="C2244" s="155"/>
      <c r="D2244" s="155"/>
      <c r="E2244" s="155"/>
      <c r="F2244" s="155"/>
      <c r="G2244" s="155"/>
      <c r="H2244" s="155"/>
      <c r="I2244" s="155"/>
      <c r="J2244" s="155"/>
      <c r="K2244" s="155"/>
      <c r="L2244" s="155"/>
      <c r="M2244" s="155"/>
      <c r="N2244" s="155"/>
      <c r="O2244" s="155"/>
      <c r="P2244" s="155"/>
      <c r="Q2244" s="155"/>
      <c r="R2244" s="155"/>
      <c r="S2244" s="155"/>
      <c r="T2244" s="155"/>
      <c r="U2244" s="155"/>
      <c r="V2244" s="155"/>
      <c r="W2244" s="155"/>
      <c r="GL2244" s="155"/>
      <c r="GM2244" s="155"/>
      <c r="GN2244" s="155"/>
      <c r="GO2244" s="155"/>
      <c r="GP2244" s="155"/>
      <c r="GQ2244" s="155"/>
      <c r="GR2244" s="155"/>
      <c r="GS2244" s="155"/>
      <c r="GT2244" s="155"/>
      <c r="GU2244" s="155"/>
      <c r="GV2244" s="155"/>
      <c r="GW2244" s="155"/>
      <c r="GX2244" s="155"/>
      <c r="GY2244" s="155"/>
      <c r="GZ2244" s="155"/>
      <c r="HA2244" s="155"/>
      <c r="HB2244" s="155"/>
      <c r="HC2244" s="155"/>
      <c r="HD2244" s="155"/>
      <c r="HE2244" s="155"/>
    </row>
    <row r="2245" spans="2:213" s="156" customFormat="1" hidden="1">
      <c r="B2245" s="155"/>
      <c r="C2245" s="155"/>
      <c r="D2245" s="155"/>
      <c r="E2245" s="155"/>
      <c r="F2245" s="155"/>
      <c r="G2245" s="155"/>
      <c r="H2245" s="155"/>
      <c r="I2245" s="155"/>
      <c r="J2245" s="155"/>
      <c r="K2245" s="155"/>
      <c r="L2245" s="155"/>
      <c r="M2245" s="155"/>
      <c r="N2245" s="155"/>
      <c r="O2245" s="155"/>
      <c r="P2245" s="155"/>
      <c r="Q2245" s="155"/>
      <c r="R2245" s="155"/>
      <c r="S2245" s="155"/>
      <c r="T2245" s="155"/>
      <c r="U2245" s="155"/>
      <c r="V2245" s="155"/>
      <c r="W2245" s="155"/>
      <c r="GL2245" s="155"/>
      <c r="GM2245" s="155"/>
      <c r="GN2245" s="155"/>
      <c r="GO2245" s="155"/>
      <c r="GP2245" s="155"/>
      <c r="GQ2245" s="155"/>
      <c r="GR2245" s="155"/>
      <c r="GS2245" s="155"/>
      <c r="GT2245" s="155"/>
      <c r="GU2245" s="155"/>
      <c r="GV2245" s="155"/>
      <c r="GW2245" s="155"/>
      <c r="GX2245" s="155"/>
      <c r="GY2245" s="155"/>
      <c r="GZ2245" s="155"/>
      <c r="HA2245" s="155"/>
      <c r="HB2245" s="155"/>
      <c r="HC2245" s="155"/>
      <c r="HD2245" s="155"/>
      <c r="HE2245" s="155"/>
    </row>
    <row r="2246" spans="2:213" s="156" customFormat="1" hidden="1">
      <c r="B2246" s="155"/>
      <c r="C2246" s="155"/>
      <c r="D2246" s="155"/>
      <c r="E2246" s="155"/>
      <c r="F2246" s="155"/>
      <c r="G2246" s="155"/>
      <c r="H2246" s="155"/>
      <c r="I2246" s="155"/>
      <c r="J2246" s="155"/>
      <c r="K2246" s="155"/>
      <c r="L2246" s="155"/>
      <c r="M2246" s="155"/>
      <c r="N2246" s="155"/>
      <c r="O2246" s="155"/>
      <c r="P2246" s="155"/>
      <c r="Q2246" s="155"/>
      <c r="R2246" s="155"/>
      <c r="S2246" s="155"/>
      <c r="T2246" s="155"/>
      <c r="U2246" s="155"/>
      <c r="V2246" s="155"/>
      <c r="W2246" s="155"/>
      <c r="GL2246" s="155"/>
      <c r="GM2246" s="155"/>
      <c r="GN2246" s="155"/>
      <c r="GO2246" s="155"/>
      <c r="GP2246" s="155"/>
      <c r="GQ2246" s="155"/>
      <c r="GR2246" s="155"/>
      <c r="GS2246" s="155"/>
      <c r="GT2246" s="155"/>
      <c r="GU2246" s="155"/>
      <c r="GV2246" s="155"/>
      <c r="GW2246" s="155"/>
      <c r="GX2246" s="155"/>
      <c r="GY2246" s="155"/>
      <c r="GZ2246" s="155"/>
      <c r="HA2246" s="155"/>
      <c r="HB2246" s="155"/>
      <c r="HC2246" s="155"/>
      <c r="HD2246" s="155"/>
      <c r="HE2246" s="155"/>
    </row>
    <row r="2247" spans="2:213" s="156" customFormat="1" hidden="1">
      <c r="B2247" s="155"/>
      <c r="C2247" s="155"/>
      <c r="D2247" s="155"/>
      <c r="E2247" s="155"/>
      <c r="F2247" s="155"/>
      <c r="G2247" s="155"/>
      <c r="H2247" s="155"/>
      <c r="I2247" s="155"/>
      <c r="J2247" s="155"/>
      <c r="K2247" s="155"/>
      <c r="L2247" s="155"/>
      <c r="M2247" s="155"/>
      <c r="N2247" s="155"/>
      <c r="O2247" s="155"/>
      <c r="P2247" s="155"/>
      <c r="Q2247" s="155"/>
      <c r="R2247" s="155"/>
      <c r="S2247" s="155"/>
      <c r="T2247" s="155"/>
      <c r="U2247" s="155"/>
      <c r="V2247" s="155"/>
      <c r="W2247" s="155"/>
      <c r="GL2247" s="155"/>
      <c r="GM2247" s="155"/>
      <c r="GN2247" s="155"/>
      <c r="GO2247" s="155"/>
      <c r="GP2247" s="155"/>
      <c r="GQ2247" s="155"/>
      <c r="GR2247" s="155"/>
      <c r="GS2247" s="155"/>
      <c r="GT2247" s="155"/>
      <c r="GU2247" s="155"/>
      <c r="GV2247" s="155"/>
      <c r="GW2247" s="155"/>
      <c r="GX2247" s="155"/>
      <c r="GY2247" s="155"/>
      <c r="GZ2247" s="155"/>
      <c r="HA2247" s="155"/>
      <c r="HB2247" s="155"/>
      <c r="HC2247" s="155"/>
      <c r="HD2247" s="155"/>
      <c r="HE2247" s="155"/>
    </row>
    <row r="2248" spans="2:213" s="156" customFormat="1" hidden="1">
      <c r="B2248" s="155"/>
      <c r="C2248" s="155"/>
      <c r="D2248" s="155"/>
      <c r="E2248" s="155"/>
      <c r="F2248" s="155"/>
      <c r="G2248" s="155"/>
      <c r="H2248" s="155"/>
      <c r="I2248" s="155"/>
      <c r="J2248" s="155"/>
      <c r="K2248" s="155"/>
      <c r="L2248" s="155"/>
      <c r="M2248" s="155"/>
      <c r="N2248" s="155"/>
      <c r="O2248" s="155"/>
      <c r="P2248" s="155"/>
      <c r="Q2248" s="155"/>
      <c r="R2248" s="155"/>
      <c r="S2248" s="155"/>
      <c r="T2248" s="155"/>
      <c r="U2248" s="155"/>
      <c r="V2248" s="155"/>
      <c r="W2248" s="155"/>
      <c r="GL2248" s="155"/>
      <c r="GM2248" s="155"/>
      <c r="GN2248" s="155"/>
      <c r="GO2248" s="155"/>
      <c r="GP2248" s="155"/>
      <c r="GQ2248" s="155"/>
      <c r="GR2248" s="155"/>
      <c r="GS2248" s="155"/>
      <c r="GT2248" s="155"/>
      <c r="GU2248" s="155"/>
      <c r="GV2248" s="155"/>
      <c r="GW2248" s="155"/>
      <c r="GX2248" s="155"/>
      <c r="GY2248" s="155"/>
      <c r="GZ2248" s="155"/>
      <c r="HA2248" s="155"/>
      <c r="HB2248" s="155"/>
      <c r="HC2248" s="155"/>
      <c r="HD2248" s="155"/>
      <c r="HE2248" s="155"/>
    </row>
    <row r="2249" spans="2:213" s="156" customFormat="1" hidden="1">
      <c r="B2249" s="155"/>
      <c r="C2249" s="155"/>
      <c r="D2249" s="155"/>
      <c r="E2249" s="155"/>
      <c r="F2249" s="155"/>
      <c r="G2249" s="155"/>
      <c r="H2249" s="155"/>
      <c r="I2249" s="155"/>
      <c r="J2249" s="155"/>
      <c r="K2249" s="155"/>
      <c r="L2249" s="155"/>
      <c r="M2249" s="155"/>
      <c r="N2249" s="155"/>
      <c r="O2249" s="155"/>
      <c r="P2249" s="155"/>
      <c r="Q2249" s="155"/>
      <c r="R2249" s="155"/>
      <c r="S2249" s="155"/>
      <c r="T2249" s="155"/>
      <c r="U2249" s="155"/>
      <c r="V2249" s="155"/>
      <c r="W2249" s="155"/>
      <c r="GL2249" s="155"/>
      <c r="GM2249" s="155"/>
      <c r="GN2249" s="155"/>
      <c r="GO2249" s="155"/>
      <c r="GP2249" s="155"/>
      <c r="GQ2249" s="155"/>
      <c r="GR2249" s="155"/>
      <c r="GS2249" s="155"/>
      <c r="GT2249" s="155"/>
      <c r="GU2249" s="155"/>
      <c r="GV2249" s="155"/>
      <c r="GW2249" s="155"/>
      <c r="GX2249" s="155"/>
      <c r="GY2249" s="155"/>
      <c r="GZ2249" s="155"/>
      <c r="HA2249" s="155"/>
      <c r="HB2249" s="155"/>
      <c r="HC2249" s="155"/>
      <c r="HD2249" s="155"/>
      <c r="HE2249" s="155"/>
    </row>
    <row r="2250" spans="2:213" s="156" customFormat="1" hidden="1">
      <c r="B2250" s="155"/>
      <c r="C2250" s="155"/>
      <c r="D2250" s="155"/>
      <c r="E2250" s="155"/>
      <c r="F2250" s="155"/>
      <c r="G2250" s="155"/>
      <c r="H2250" s="155"/>
      <c r="I2250" s="155"/>
      <c r="J2250" s="155"/>
      <c r="K2250" s="155"/>
      <c r="L2250" s="155"/>
      <c r="M2250" s="155"/>
      <c r="N2250" s="155"/>
      <c r="O2250" s="155"/>
      <c r="P2250" s="155"/>
      <c r="Q2250" s="155"/>
      <c r="R2250" s="155"/>
      <c r="S2250" s="155"/>
      <c r="T2250" s="155"/>
      <c r="U2250" s="155"/>
      <c r="V2250" s="155"/>
      <c r="W2250" s="155"/>
      <c r="GL2250" s="155"/>
      <c r="GM2250" s="155"/>
      <c r="GN2250" s="155"/>
      <c r="GO2250" s="155"/>
      <c r="GP2250" s="155"/>
      <c r="GQ2250" s="155"/>
      <c r="GR2250" s="155"/>
      <c r="GS2250" s="155"/>
      <c r="GT2250" s="155"/>
      <c r="GU2250" s="155"/>
      <c r="GV2250" s="155"/>
      <c r="GW2250" s="155"/>
      <c r="GX2250" s="155"/>
      <c r="GY2250" s="155"/>
      <c r="GZ2250" s="155"/>
      <c r="HA2250" s="155"/>
      <c r="HB2250" s="155"/>
      <c r="HC2250" s="155"/>
      <c r="HD2250" s="155"/>
      <c r="HE2250" s="155"/>
    </row>
    <row r="2251" spans="2:213" s="156" customFormat="1" hidden="1">
      <c r="B2251" s="155"/>
      <c r="C2251" s="155"/>
      <c r="D2251" s="155"/>
      <c r="E2251" s="155"/>
      <c r="F2251" s="155"/>
      <c r="G2251" s="155"/>
      <c r="H2251" s="155"/>
      <c r="I2251" s="155"/>
      <c r="J2251" s="155"/>
      <c r="K2251" s="155"/>
      <c r="L2251" s="155"/>
      <c r="M2251" s="155"/>
      <c r="N2251" s="155"/>
      <c r="O2251" s="155"/>
      <c r="P2251" s="155"/>
      <c r="Q2251" s="155"/>
      <c r="R2251" s="155"/>
      <c r="S2251" s="155"/>
      <c r="T2251" s="155"/>
      <c r="U2251" s="155"/>
      <c r="V2251" s="155"/>
      <c r="W2251" s="155"/>
      <c r="GL2251" s="155"/>
      <c r="GM2251" s="155"/>
      <c r="GN2251" s="155"/>
      <c r="GO2251" s="155"/>
      <c r="GP2251" s="155"/>
      <c r="GQ2251" s="155"/>
      <c r="GR2251" s="155"/>
      <c r="GS2251" s="155"/>
      <c r="GT2251" s="155"/>
      <c r="GU2251" s="155"/>
      <c r="GV2251" s="155"/>
      <c r="GW2251" s="155"/>
      <c r="GX2251" s="155"/>
      <c r="GY2251" s="155"/>
      <c r="GZ2251" s="155"/>
      <c r="HA2251" s="155"/>
      <c r="HB2251" s="155"/>
      <c r="HC2251" s="155"/>
      <c r="HD2251" s="155"/>
      <c r="HE2251" s="155"/>
    </row>
    <row r="2252" spans="2:213" s="156" customFormat="1" hidden="1">
      <c r="B2252" s="155"/>
      <c r="C2252" s="155"/>
      <c r="D2252" s="155"/>
      <c r="E2252" s="155"/>
      <c r="F2252" s="155"/>
      <c r="G2252" s="155"/>
      <c r="H2252" s="155"/>
      <c r="I2252" s="155"/>
      <c r="J2252" s="155"/>
      <c r="K2252" s="155"/>
      <c r="L2252" s="155"/>
      <c r="M2252" s="155"/>
      <c r="N2252" s="155"/>
      <c r="O2252" s="155"/>
      <c r="P2252" s="155"/>
      <c r="Q2252" s="155"/>
      <c r="R2252" s="155"/>
      <c r="S2252" s="155"/>
      <c r="T2252" s="155"/>
      <c r="U2252" s="155"/>
      <c r="V2252" s="155"/>
      <c r="W2252" s="155"/>
      <c r="GL2252" s="155"/>
      <c r="GM2252" s="155"/>
      <c r="GN2252" s="155"/>
      <c r="GO2252" s="155"/>
      <c r="GP2252" s="155"/>
      <c r="GQ2252" s="155"/>
      <c r="GR2252" s="155"/>
      <c r="GS2252" s="155"/>
      <c r="GT2252" s="155"/>
      <c r="GU2252" s="155"/>
      <c r="GV2252" s="155"/>
      <c r="GW2252" s="155"/>
      <c r="GX2252" s="155"/>
      <c r="GY2252" s="155"/>
      <c r="GZ2252" s="155"/>
      <c r="HA2252" s="155"/>
      <c r="HB2252" s="155"/>
      <c r="HC2252" s="155"/>
      <c r="HD2252" s="155"/>
      <c r="HE2252" s="155"/>
    </row>
    <row r="2253" spans="2:213" s="156" customFormat="1" hidden="1">
      <c r="B2253" s="155"/>
      <c r="C2253" s="155"/>
      <c r="D2253" s="155"/>
      <c r="E2253" s="155"/>
      <c r="F2253" s="155"/>
      <c r="G2253" s="155"/>
      <c r="H2253" s="155"/>
      <c r="I2253" s="155"/>
      <c r="J2253" s="155"/>
      <c r="K2253" s="155"/>
      <c r="L2253" s="155"/>
      <c r="M2253" s="155"/>
      <c r="N2253" s="155"/>
      <c r="O2253" s="155"/>
      <c r="P2253" s="155"/>
      <c r="Q2253" s="155"/>
      <c r="R2253" s="155"/>
      <c r="S2253" s="155"/>
      <c r="T2253" s="155"/>
      <c r="U2253" s="155"/>
      <c r="V2253" s="155"/>
      <c r="W2253" s="155"/>
      <c r="GL2253" s="155"/>
      <c r="GM2253" s="155"/>
      <c r="GN2253" s="155"/>
      <c r="GO2253" s="155"/>
      <c r="GP2253" s="155"/>
      <c r="GQ2253" s="155"/>
      <c r="GR2253" s="155"/>
      <c r="GS2253" s="155"/>
      <c r="GT2253" s="155"/>
      <c r="GU2253" s="155"/>
      <c r="GV2253" s="155"/>
      <c r="GW2253" s="155"/>
      <c r="GX2253" s="155"/>
      <c r="GY2253" s="155"/>
      <c r="GZ2253" s="155"/>
      <c r="HA2253" s="155"/>
      <c r="HB2253" s="155"/>
      <c r="HC2253" s="155"/>
      <c r="HD2253" s="155"/>
      <c r="HE2253" s="155"/>
    </row>
    <row r="2254" spans="2:213" s="156" customFormat="1" hidden="1">
      <c r="B2254" s="155"/>
      <c r="C2254" s="155"/>
      <c r="D2254" s="155"/>
      <c r="E2254" s="155"/>
      <c r="F2254" s="155"/>
      <c r="G2254" s="155"/>
      <c r="H2254" s="155"/>
      <c r="I2254" s="155"/>
      <c r="J2254" s="155"/>
      <c r="K2254" s="155"/>
      <c r="L2254" s="155"/>
      <c r="M2254" s="155"/>
      <c r="N2254" s="155"/>
      <c r="O2254" s="155"/>
      <c r="P2254" s="155"/>
      <c r="Q2254" s="155"/>
      <c r="R2254" s="155"/>
      <c r="S2254" s="155"/>
      <c r="T2254" s="155"/>
      <c r="U2254" s="155"/>
      <c r="V2254" s="155"/>
      <c r="W2254" s="155"/>
      <c r="GL2254" s="155"/>
      <c r="GM2254" s="155"/>
      <c r="GN2254" s="155"/>
      <c r="GO2254" s="155"/>
      <c r="GP2254" s="155"/>
      <c r="GQ2254" s="155"/>
      <c r="GR2254" s="155"/>
      <c r="GS2254" s="155"/>
      <c r="GT2254" s="155"/>
      <c r="GU2254" s="155"/>
      <c r="GV2254" s="155"/>
      <c r="GW2254" s="155"/>
      <c r="GX2254" s="155"/>
      <c r="GY2254" s="155"/>
      <c r="GZ2254" s="155"/>
      <c r="HA2254" s="155"/>
      <c r="HB2254" s="155"/>
      <c r="HC2254" s="155"/>
      <c r="HD2254" s="155"/>
      <c r="HE2254" s="155"/>
    </row>
    <row r="2255" spans="2:213" s="156" customFormat="1" hidden="1">
      <c r="B2255" s="155"/>
      <c r="C2255" s="155"/>
      <c r="D2255" s="155"/>
      <c r="E2255" s="155"/>
      <c r="F2255" s="155"/>
      <c r="G2255" s="155"/>
      <c r="H2255" s="155"/>
      <c r="I2255" s="155"/>
      <c r="J2255" s="155"/>
      <c r="K2255" s="155"/>
      <c r="L2255" s="155"/>
      <c r="M2255" s="155"/>
      <c r="N2255" s="155"/>
      <c r="O2255" s="155"/>
      <c r="P2255" s="155"/>
      <c r="Q2255" s="155"/>
      <c r="R2255" s="155"/>
      <c r="S2255" s="155"/>
      <c r="T2255" s="155"/>
      <c r="U2255" s="155"/>
      <c r="V2255" s="155"/>
      <c r="W2255" s="155"/>
      <c r="GL2255" s="155"/>
      <c r="GM2255" s="155"/>
      <c r="GN2255" s="155"/>
      <c r="GO2255" s="155"/>
      <c r="GP2255" s="155"/>
      <c r="GQ2255" s="155"/>
      <c r="GR2255" s="155"/>
      <c r="GS2255" s="155"/>
      <c r="GT2255" s="155"/>
      <c r="GU2255" s="155"/>
      <c r="GV2255" s="155"/>
      <c r="GW2255" s="155"/>
      <c r="GX2255" s="155"/>
      <c r="GY2255" s="155"/>
      <c r="GZ2255" s="155"/>
      <c r="HA2255" s="155"/>
      <c r="HB2255" s="155"/>
      <c r="HC2255" s="155"/>
      <c r="HD2255" s="155"/>
      <c r="HE2255" s="155"/>
    </row>
    <row r="2256" spans="2:213" s="156" customFormat="1" hidden="1">
      <c r="B2256" s="155"/>
      <c r="C2256" s="155"/>
      <c r="D2256" s="155"/>
      <c r="E2256" s="155"/>
      <c r="F2256" s="155"/>
      <c r="G2256" s="155"/>
      <c r="H2256" s="155"/>
      <c r="I2256" s="155"/>
      <c r="J2256" s="155"/>
      <c r="K2256" s="155"/>
      <c r="L2256" s="155"/>
      <c r="M2256" s="155"/>
      <c r="N2256" s="155"/>
      <c r="O2256" s="155"/>
      <c r="P2256" s="155"/>
      <c r="Q2256" s="155"/>
      <c r="R2256" s="155"/>
      <c r="S2256" s="155"/>
      <c r="T2256" s="155"/>
      <c r="U2256" s="155"/>
      <c r="V2256" s="155"/>
      <c r="W2256" s="155"/>
      <c r="GL2256" s="155"/>
      <c r="GM2256" s="155"/>
      <c r="GN2256" s="155"/>
      <c r="GO2256" s="155"/>
      <c r="GP2256" s="155"/>
      <c r="GQ2256" s="155"/>
      <c r="GR2256" s="155"/>
      <c r="GS2256" s="155"/>
      <c r="GT2256" s="155"/>
      <c r="GU2256" s="155"/>
      <c r="GV2256" s="155"/>
      <c r="GW2256" s="155"/>
      <c r="GX2256" s="155"/>
      <c r="GY2256" s="155"/>
      <c r="GZ2256" s="155"/>
      <c r="HA2256" s="155"/>
      <c r="HB2256" s="155"/>
      <c r="HC2256" s="155"/>
      <c r="HD2256" s="155"/>
      <c r="HE2256" s="155"/>
    </row>
    <row r="2257" spans="2:213" s="156" customFormat="1" hidden="1">
      <c r="B2257" s="155"/>
      <c r="C2257" s="155"/>
      <c r="D2257" s="155"/>
      <c r="E2257" s="155"/>
      <c r="F2257" s="155"/>
      <c r="G2257" s="155"/>
      <c r="H2257" s="155"/>
      <c r="I2257" s="155"/>
      <c r="J2257" s="155"/>
      <c r="K2257" s="155"/>
      <c r="L2257" s="155"/>
      <c r="M2257" s="155"/>
      <c r="N2257" s="155"/>
      <c r="O2257" s="155"/>
      <c r="P2257" s="155"/>
      <c r="Q2257" s="155"/>
      <c r="R2257" s="155"/>
      <c r="S2257" s="155"/>
      <c r="T2257" s="155"/>
      <c r="U2257" s="155"/>
      <c r="V2257" s="155"/>
      <c r="W2257" s="155"/>
      <c r="GL2257" s="155"/>
      <c r="GM2257" s="155"/>
      <c r="GN2257" s="155"/>
      <c r="GO2257" s="155"/>
      <c r="GP2257" s="155"/>
      <c r="GQ2257" s="155"/>
      <c r="GR2257" s="155"/>
      <c r="GS2257" s="155"/>
      <c r="GT2257" s="155"/>
      <c r="GU2257" s="155"/>
      <c r="GV2257" s="155"/>
      <c r="GW2257" s="155"/>
      <c r="GX2257" s="155"/>
      <c r="GY2257" s="155"/>
      <c r="GZ2257" s="155"/>
      <c r="HA2257" s="155"/>
      <c r="HB2257" s="155"/>
      <c r="HC2257" s="155"/>
      <c r="HD2257" s="155"/>
      <c r="HE2257" s="155"/>
    </row>
    <row r="2258" spans="2:213" s="156" customFormat="1" hidden="1">
      <c r="B2258" s="155"/>
      <c r="C2258" s="155"/>
      <c r="D2258" s="155"/>
      <c r="E2258" s="155"/>
      <c r="F2258" s="155"/>
      <c r="G2258" s="155"/>
      <c r="H2258" s="155"/>
      <c r="I2258" s="155"/>
      <c r="J2258" s="155"/>
      <c r="K2258" s="155"/>
      <c r="L2258" s="155"/>
      <c r="M2258" s="155"/>
      <c r="N2258" s="155"/>
      <c r="O2258" s="155"/>
      <c r="P2258" s="155"/>
      <c r="Q2258" s="155"/>
      <c r="R2258" s="155"/>
      <c r="S2258" s="155"/>
      <c r="T2258" s="155"/>
      <c r="U2258" s="155"/>
      <c r="V2258" s="155"/>
      <c r="W2258" s="155"/>
      <c r="GL2258" s="155"/>
      <c r="GM2258" s="155"/>
      <c r="GN2258" s="155"/>
      <c r="GO2258" s="155"/>
      <c r="GP2258" s="155"/>
      <c r="GQ2258" s="155"/>
      <c r="GR2258" s="155"/>
      <c r="GS2258" s="155"/>
      <c r="GT2258" s="155"/>
      <c r="GU2258" s="155"/>
      <c r="GV2258" s="155"/>
      <c r="GW2258" s="155"/>
      <c r="GX2258" s="155"/>
      <c r="GY2258" s="155"/>
      <c r="GZ2258" s="155"/>
      <c r="HA2258" s="155"/>
      <c r="HB2258" s="155"/>
      <c r="HC2258" s="155"/>
      <c r="HD2258" s="155"/>
      <c r="HE2258" s="155"/>
    </row>
    <row r="2259" spans="2:213" s="156" customFormat="1" hidden="1">
      <c r="B2259" s="155"/>
      <c r="C2259" s="155"/>
      <c r="D2259" s="155"/>
      <c r="E2259" s="155"/>
      <c r="F2259" s="155"/>
      <c r="G2259" s="155"/>
      <c r="H2259" s="155"/>
      <c r="I2259" s="155"/>
      <c r="J2259" s="155"/>
      <c r="K2259" s="155"/>
      <c r="L2259" s="155"/>
      <c r="M2259" s="155"/>
      <c r="N2259" s="155"/>
      <c r="O2259" s="155"/>
      <c r="P2259" s="155"/>
      <c r="Q2259" s="155"/>
      <c r="R2259" s="155"/>
      <c r="S2259" s="155"/>
      <c r="T2259" s="155"/>
      <c r="U2259" s="155"/>
      <c r="V2259" s="155"/>
      <c r="W2259" s="155"/>
      <c r="GL2259" s="155"/>
      <c r="GM2259" s="155"/>
      <c r="GN2259" s="155"/>
      <c r="GO2259" s="155"/>
      <c r="GP2259" s="155"/>
      <c r="GQ2259" s="155"/>
      <c r="GR2259" s="155"/>
      <c r="GS2259" s="155"/>
      <c r="GT2259" s="155"/>
      <c r="GU2259" s="155"/>
      <c r="GV2259" s="155"/>
      <c r="GW2259" s="155"/>
      <c r="GX2259" s="155"/>
      <c r="GY2259" s="155"/>
      <c r="GZ2259" s="155"/>
      <c r="HA2259" s="155"/>
      <c r="HB2259" s="155"/>
      <c r="HC2259" s="155"/>
      <c r="HD2259" s="155"/>
      <c r="HE2259" s="155"/>
    </row>
    <row r="2260" spans="2:213" s="156" customFormat="1" hidden="1">
      <c r="B2260" s="155"/>
      <c r="C2260" s="155"/>
      <c r="D2260" s="155"/>
      <c r="E2260" s="155"/>
      <c r="F2260" s="155"/>
      <c r="G2260" s="155"/>
      <c r="H2260" s="155"/>
      <c r="I2260" s="155"/>
      <c r="J2260" s="155"/>
      <c r="K2260" s="155"/>
      <c r="L2260" s="155"/>
      <c r="M2260" s="155"/>
      <c r="N2260" s="155"/>
      <c r="O2260" s="155"/>
      <c r="P2260" s="155"/>
      <c r="Q2260" s="155"/>
      <c r="R2260" s="155"/>
      <c r="S2260" s="155"/>
      <c r="T2260" s="155"/>
      <c r="U2260" s="155"/>
      <c r="V2260" s="155"/>
      <c r="W2260" s="155"/>
      <c r="GL2260" s="155"/>
      <c r="GM2260" s="155"/>
      <c r="GN2260" s="155"/>
      <c r="GO2260" s="155"/>
      <c r="GP2260" s="155"/>
      <c r="GQ2260" s="155"/>
      <c r="GR2260" s="155"/>
      <c r="GS2260" s="155"/>
      <c r="GT2260" s="155"/>
      <c r="GU2260" s="155"/>
      <c r="GV2260" s="155"/>
      <c r="GW2260" s="155"/>
      <c r="GX2260" s="155"/>
      <c r="GY2260" s="155"/>
      <c r="GZ2260" s="155"/>
      <c r="HA2260" s="155"/>
      <c r="HB2260" s="155"/>
      <c r="HC2260" s="155"/>
      <c r="HD2260" s="155"/>
      <c r="HE2260" s="155"/>
    </row>
    <row r="2261" spans="2:213" s="156" customFormat="1" hidden="1">
      <c r="B2261" s="155"/>
      <c r="C2261" s="155"/>
      <c r="D2261" s="155"/>
      <c r="E2261" s="155"/>
      <c r="F2261" s="155"/>
      <c r="G2261" s="155"/>
      <c r="H2261" s="155"/>
      <c r="I2261" s="155"/>
      <c r="J2261" s="155"/>
      <c r="K2261" s="155"/>
      <c r="L2261" s="155"/>
      <c r="M2261" s="155"/>
      <c r="N2261" s="155"/>
      <c r="O2261" s="155"/>
      <c r="P2261" s="155"/>
      <c r="Q2261" s="155"/>
      <c r="R2261" s="155"/>
      <c r="S2261" s="155"/>
      <c r="T2261" s="155"/>
      <c r="U2261" s="155"/>
      <c r="V2261" s="155"/>
      <c r="W2261" s="155"/>
      <c r="GL2261" s="155"/>
      <c r="GM2261" s="155"/>
      <c r="GN2261" s="155"/>
      <c r="GO2261" s="155"/>
      <c r="GP2261" s="155"/>
      <c r="GQ2261" s="155"/>
      <c r="GR2261" s="155"/>
      <c r="GS2261" s="155"/>
      <c r="GT2261" s="155"/>
      <c r="GU2261" s="155"/>
      <c r="GV2261" s="155"/>
      <c r="GW2261" s="155"/>
      <c r="GX2261" s="155"/>
      <c r="GY2261" s="155"/>
      <c r="GZ2261" s="155"/>
      <c r="HA2261" s="155"/>
      <c r="HB2261" s="155"/>
      <c r="HC2261" s="155"/>
      <c r="HD2261" s="155"/>
      <c r="HE2261" s="155"/>
    </row>
    <row r="2262" spans="2:213" s="156" customFormat="1" hidden="1">
      <c r="B2262" s="155"/>
      <c r="C2262" s="155"/>
      <c r="D2262" s="155"/>
      <c r="E2262" s="155"/>
      <c r="F2262" s="155"/>
      <c r="G2262" s="155"/>
      <c r="H2262" s="155"/>
      <c r="I2262" s="155"/>
      <c r="J2262" s="155"/>
      <c r="K2262" s="155"/>
      <c r="L2262" s="155"/>
      <c r="M2262" s="155"/>
      <c r="N2262" s="155"/>
      <c r="O2262" s="155"/>
      <c r="P2262" s="155"/>
      <c r="Q2262" s="155"/>
      <c r="R2262" s="155"/>
      <c r="S2262" s="155"/>
      <c r="T2262" s="155"/>
      <c r="U2262" s="155"/>
      <c r="V2262" s="155"/>
      <c r="W2262" s="155"/>
      <c r="GL2262" s="155"/>
      <c r="GM2262" s="155"/>
      <c r="GN2262" s="155"/>
      <c r="GO2262" s="155"/>
      <c r="GP2262" s="155"/>
      <c r="GQ2262" s="155"/>
      <c r="GR2262" s="155"/>
      <c r="GS2262" s="155"/>
      <c r="GT2262" s="155"/>
      <c r="GU2262" s="155"/>
      <c r="GV2262" s="155"/>
      <c r="GW2262" s="155"/>
      <c r="GX2262" s="155"/>
      <c r="GY2262" s="155"/>
      <c r="GZ2262" s="155"/>
      <c r="HA2262" s="155"/>
      <c r="HB2262" s="155"/>
      <c r="HC2262" s="155"/>
      <c r="HD2262" s="155"/>
      <c r="HE2262" s="155"/>
    </row>
    <row r="2263" spans="2:213" s="156" customFormat="1" hidden="1">
      <c r="B2263" s="155"/>
      <c r="C2263" s="155"/>
      <c r="D2263" s="155"/>
      <c r="E2263" s="155"/>
      <c r="F2263" s="155"/>
      <c r="G2263" s="155"/>
      <c r="H2263" s="155"/>
      <c r="I2263" s="155"/>
      <c r="J2263" s="155"/>
      <c r="K2263" s="155"/>
      <c r="L2263" s="155"/>
      <c r="M2263" s="155"/>
      <c r="N2263" s="155"/>
      <c r="O2263" s="155"/>
      <c r="P2263" s="155"/>
      <c r="Q2263" s="155"/>
      <c r="R2263" s="155"/>
      <c r="S2263" s="155"/>
      <c r="T2263" s="155"/>
      <c r="U2263" s="155"/>
      <c r="V2263" s="155"/>
      <c r="W2263" s="155"/>
      <c r="GL2263" s="155"/>
      <c r="GM2263" s="155"/>
      <c r="GN2263" s="155"/>
      <c r="GO2263" s="155"/>
      <c r="GP2263" s="155"/>
      <c r="GQ2263" s="155"/>
      <c r="GR2263" s="155"/>
      <c r="GS2263" s="155"/>
      <c r="GT2263" s="155"/>
      <c r="GU2263" s="155"/>
      <c r="GV2263" s="155"/>
      <c r="GW2263" s="155"/>
      <c r="GX2263" s="155"/>
      <c r="GY2263" s="155"/>
      <c r="GZ2263" s="155"/>
      <c r="HA2263" s="155"/>
      <c r="HB2263" s="155"/>
      <c r="HC2263" s="155"/>
      <c r="HD2263" s="155"/>
      <c r="HE2263" s="155"/>
    </row>
    <row r="2264" spans="2:213" s="156" customFormat="1" hidden="1">
      <c r="B2264" s="155"/>
      <c r="C2264" s="155"/>
      <c r="D2264" s="155"/>
      <c r="E2264" s="155"/>
      <c r="F2264" s="155"/>
      <c r="G2264" s="155"/>
      <c r="H2264" s="155"/>
      <c r="I2264" s="155"/>
      <c r="J2264" s="155"/>
      <c r="K2264" s="155"/>
      <c r="L2264" s="155"/>
      <c r="M2264" s="155"/>
      <c r="N2264" s="155"/>
      <c r="O2264" s="155"/>
      <c r="P2264" s="155"/>
      <c r="Q2264" s="155"/>
      <c r="R2264" s="155"/>
      <c r="S2264" s="155"/>
      <c r="T2264" s="155"/>
      <c r="U2264" s="155"/>
      <c r="V2264" s="155"/>
      <c r="W2264" s="155"/>
      <c r="GL2264" s="155"/>
      <c r="GM2264" s="155"/>
      <c r="GN2264" s="155"/>
      <c r="GO2264" s="155"/>
      <c r="GP2264" s="155"/>
      <c r="GQ2264" s="155"/>
      <c r="GR2264" s="155"/>
      <c r="GS2264" s="155"/>
      <c r="GT2264" s="155"/>
      <c r="GU2264" s="155"/>
      <c r="GV2264" s="155"/>
      <c r="GW2264" s="155"/>
      <c r="GX2264" s="155"/>
      <c r="GY2264" s="155"/>
      <c r="GZ2264" s="155"/>
      <c r="HA2264" s="155"/>
      <c r="HB2264" s="155"/>
      <c r="HC2264" s="155"/>
      <c r="HD2264" s="155"/>
      <c r="HE2264" s="155"/>
    </row>
    <row r="2265" spans="2:213" s="156" customFormat="1" hidden="1">
      <c r="B2265" s="155"/>
      <c r="C2265" s="155"/>
      <c r="D2265" s="155"/>
      <c r="E2265" s="155"/>
      <c r="F2265" s="155"/>
      <c r="G2265" s="155"/>
      <c r="H2265" s="155"/>
      <c r="I2265" s="155"/>
      <c r="J2265" s="155"/>
      <c r="K2265" s="155"/>
      <c r="L2265" s="155"/>
      <c r="M2265" s="155"/>
      <c r="N2265" s="155"/>
      <c r="O2265" s="155"/>
      <c r="P2265" s="155"/>
      <c r="Q2265" s="155"/>
      <c r="R2265" s="155"/>
      <c r="S2265" s="155"/>
      <c r="T2265" s="155"/>
      <c r="U2265" s="155"/>
      <c r="V2265" s="155"/>
      <c r="W2265" s="155"/>
      <c r="GL2265" s="155"/>
      <c r="GM2265" s="155"/>
      <c r="GN2265" s="155"/>
      <c r="GO2265" s="155"/>
      <c r="GP2265" s="155"/>
      <c r="GQ2265" s="155"/>
      <c r="GR2265" s="155"/>
      <c r="GS2265" s="155"/>
      <c r="GT2265" s="155"/>
      <c r="GU2265" s="155"/>
      <c r="GV2265" s="155"/>
      <c r="GW2265" s="155"/>
      <c r="GX2265" s="155"/>
      <c r="GY2265" s="155"/>
      <c r="GZ2265" s="155"/>
      <c r="HA2265" s="155"/>
      <c r="HB2265" s="155"/>
      <c r="HC2265" s="155"/>
      <c r="HD2265" s="155"/>
      <c r="HE2265" s="155"/>
    </row>
    <row r="2266" spans="2:213" s="156" customFormat="1" hidden="1">
      <c r="B2266" s="155"/>
      <c r="C2266" s="155"/>
      <c r="D2266" s="155"/>
      <c r="E2266" s="155"/>
      <c r="F2266" s="155"/>
      <c r="G2266" s="155"/>
      <c r="H2266" s="155"/>
      <c r="I2266" s="155"/>
      <c r="J2266" s="155"/>
      <c r="K2266" s="155"/>
      <c r="L2266" s="155"/>
      <c r="M2266" s="155"/>
      <c r="N2266" s="155"/>
      <c r="O2266" s="155"/>
      <c r="P2266" s="155"/>
      <c r="Q2266" s="155"/>
      <c r="R2266" s="155"/>
      <c r="S2266" s="155"/>
      <c r="T2266" s="155"/>
      <c r="U2266" s="155"/>
      <c r="V2266" s="155"/>
      <c r="W2266" s="155"/>
      <c r="GL2266" s="155"/>
      <c r="GM2266" s="155"/>
      <c r="GN2266" s="155"/>
      <c r="GO2266" s="155"/>
      <c r="GP2266" s="155"/>
      <c r="GQ2266" s="155"/>
      <c r="GR2266" s="155"/>
      <c r="GS2266" s="155"/>
      <c r="GT2266" s="155"/>
      <c r="GU2266" s="155"/>
      <c r="GV2266" s="155"/>
      <c r="GW2266" s="155"/>
      <c r="GX2266" s="155"/>
      <c r="GY2266" s="155"/>
      <c r="GZ2266" s="155"/>
      <c r="HA2266" s="155"/>
      <c r="HB2266" s="155"/>
      <c r="HC2266" s="155"/>
      <c r="HD2266" s="155"/>
      <c r="HE2266" s="155"/>
    </row>
    <row r="2267" spans="2:213" s="156" customFormat="1" hidden="1">
      <c r="B2267" s="155"/>
      <c r="C2267" s="155"/>
      <c r="D2267" s="155"/>
      <c r="E2267" s="155"/>
      <c r="F2267" s="155"/>
      <c r="G2267" s="155"/>
      <c r="H2267" s="155"/>
      <c r="I2267" s="155"/>
      <c r="J2267" s="155"/>
      <c r="K2267" s="155"/>
      <c r="L2267" s="155"/>
      <c r="M2267" s="155"/>
      <c r="N2267" s="155"/>
      <c r="O2267" s="155"/>
      <c r="P2267" s="155"/>
      <c r="Q2267" s="155"/>
      <c r="R2267" s="155"/>
      <c r="S2267" s="155"/>
      <c r="T2267" s="155"/>
      <c r="U2267" s="155"/>
      <c r="V2267" s="155"/>
      <c r="W2267" s="155"/>
      <c r="GL2267" s="155"/>
      <c r="GM2267" s="155"/>
      <c r="GN2267" s="155"/>
      <c r="GO2267" s="155"/>
      <c r="GP2267" s="155"/>
      <c r="GQ2267" s="155"/>
      <c r="GR2267" s="155"/>
      <c r="GS2267" s="155"/>
      <c r="GT2267" s="155"/>
      <c r="GU2267" s="155"/>
      <c r="GV2267" s="155"/>
      <c r="GW2267" s="155"/>
      <c r="GX2267" s="155"/>
      <c r="GY2267" s="155"/>
      <c r="GZ2267" s="155"/>
      <c r="HA2267" s="155"/>
      <c r="HB2267" s="155"/>
      <c r="HC2267" s="155"/>
      <c r="HD2267" s="155"/>
      <c r="HE2267" s="155"/>
    </row>
    <row r="2268" spans="2:213" s="156" customFormat="1" hidden="1">
      <c r="B2268" s="155"/>
      <c r="C2268" s="155"/>
      <c r="D2268" s="155"/>
      <c r="E2268" s="155"/>
      <c r="F2268" s="155"/>
      <c r="G2268" s="155"/>
      <c r="H2268" s="155"/>
      <c r="I2268" s="155"/>
      <c r="J2268" s="155"/>
      <c r="K2268" s="155"/>
      <c r="L2268" s="155"/>
      <c r="M2268" s="155"/>
      <c r="N2268" s="155"/>
      <c r="O2268" s="155"/>
      <c r="P2268" s="155"/>
      <c r="Q2268" s="155"/>
      <c r="R2268" s="155"/>
      <c r="S2268" s="155"/>
      <c r="T2268" s="155"/>
      <c r="U2268" s="155"/>
      <c r="V2268" s="155"/>
      <c r="W2268" s="155"/>
      <c r="GL2268" s="155"/>
      <c r="GM2268" s="155"/>
      <c r="GN2268" s="155"/>
      <c r="GO2268" s="155"/>
      <c r="GP2268" s="155"/>
      <c r="GQ2268" s="155"/>
      <c r="GR2268" s="155"/>
      <c r="GS2268" s="155"/>
      <c r="GT2268" s="155"/>
      <c r="GU2268" s="155"/>
      <c r="GV2268" s="155"/>
      <c r="GW2268" s="155"/>
      <c r="GX2268" s="155"/>
      <c r="GY2268" s="155"/>
      <c r="GZ2268" s="155"/>
      <c r="HA2268" s="155"/>
      <c r="HB2268" s="155"/>
      <c r="HC2268" s="155"/>
      <c r="HD2268" s="155"/>
      <c r="HE2268" s="155"/>
    </row>
    <row r="2269" spans="2:213" s="156" customFormat="1" hidden="1">
      <c r="B2269" s="155"/>
      <c r="C2269" s="155"/>
      <c r="D2269" s="155"/>
      <c r="E2269" s="155"/>
      <c r="F2269" s="155"/>
      <c r="G2269" s="155"/>
      <c r="H2269" s="155"/>
      <c r="I2269" s="155"/>
      <c r="J2269" s="155"/>
      <c r="K2269" s="155"/>
      <c r="L2269" s="155"/>
      <c r="M2269" s="155"/>
      <c r="N2269" s="155"/>
      <c r="O2269" s="155"/>
      <c r="P2269" s="155"/>
      <c r="Q2269" s="155"/>
      <c r="R2269" s="155"/>
      <c r="S2269" s="155"/>
      <c r="T2269" s="155"/>
      <c r="U2269" s="155"/>
      <c r="V2269" s="155"/>
      <c r="W2269" s="155"/>
      <c r="GL2269" s="155"/>
      <c r="GM2269" s="155"/>
      <c r="GN2269" s="155"/>
      <c r="GO2269" s="155"/>
      <c r="GP2269" s="155"/>
      <c r="GQ2269" s="155"/>
      <c r="GR2269" s="155"/>
      <c r="GS2269" s="155"/>
      <c r="GT2269" s="155"/>
      <c r="GU2269" s="155"/>
      <c r="GV2269" s="155"/>
      <c r="GW2269" s="155"/>
      <c r="GX2269" s="155"/>
      <c r="GY2269" s="155"/>
      <c r="GZ2269" s="155"/>
      <c r="HA2269" s="155"/>
      <c r="HB2269" s="155"/>
      <c r="HC2269" s="155"/>
      <c r="HD2269" s="155"/>
      <c r="HE2269" s="155"/>
    </row>
    <row r="2270" spans="2:213" s="156" customFormat="1" hidden="1">
      <c r="B2270" s="155"/>
      <c r="C2270" s="155"/>
      <c r="D2270" s="155"/>
      <c r="E2270" s="155"/>
      <c r="F2270" s="155"/>
      <c r="G2270" s="155"/>
      <c r="H2270" s="155"/>
      <c r="I2270" s="155"/>
      <c r="J2270" s="155"/>
      <c r="K2270" s="155"/>
      <c r="L2270" s="155"/>
      <c r="M2270" s="155"/>
      <c r="N2270" s="155"/>
      <c r="O2270" s="155"/>
      <c r="P2270" s="155"/>
      <c r="Q2270" s="155"/>
      <c r="R2270" s="155"/>
      <c r="S2270" s="155"/>
      <c r="T2270" s="155"/>
      <c r="U2270" s="155"/>
      <c r="V2270" s="155"/>
      <c r="W2270" s="155"/>
      <c r="GL2270" s="155"/>
      <c r="GM2270" s="155"/>
      <c r="GN2270" s="155"/>
      <c r="GO2270" s="155"/>
      <c r="GP2270" s="155"/>
      <c r="GQ2270" s="155"/>
      <c r="GR2270" s="155"/>
      <c r="GS2270" s="155"/>
      <c r="GT2270" s="155"/>
      <c r="GU2270" s="155"/>
      <c r="GV2270" s="155"/>
      <c r="GW2270" s="155"/>
      <c r="GX2270" s="155"/>
      <c r="GY2270" s="155"/>
      <c r="GZ2270" s="155"/>
      <c r="HA2270" s="155"/>
      <c r="HB2270" s="155"/>
      <c r="HC2270" s="155"/>
      <c r="HD2270" s="155"/>
      <c r="HE2270" s="155"/>
    </row>
    <row r="2271" spans="2:213" s="156" customFormat="1" hidden="1">
      <c r="B2271" s="155"/>
      <c r="C2271" s="155"/>
      <c r="D2271" s="155"/>
      <c r="E2271" s="155"/>
      <c r="F2271" s="155"/>
      <c r="G2271" s="155"/>
      <c r="H2271" s="155"/>
      <c r="I2271" s="155"/>
      <c r="J2271" s="155"/>
      <c r="K2271" s="155"/>
      <c r="L2271" s="155"/>
      <c r="M2271" s="155"/>
      <c r="N2271" s="155"/>
      <c r="O2271" s="155"/>
      <c r="P2271" s="155"/>
      <c r="Q2271" s="155"/>
      <c r="R2271" s="155"/>
      <c r="S2271" s="155"/>
      <c r="T2271" s="155"/>
      <c r="U2271" s="155"/>
      <c r="V2271" s="155"/>
      <c r="W2271" s="155"/>
      <c r="GL2271" s="155"/>
      <c r="GM2271" s="155"/>
      <c r="GN2271" s="155"/>
      <c r="GO2271" s="155"/>
      <c r="GP2271" s="155"/>
      <c r="GQ2271" s="155"/>
      <c r="GR2271" s="155"/>
      <c r="GS2271" s="155"/>
      <c r="GT2271" s="155"/>
      <c r="GU2271" s="155"/>
      <c r="GV2271" s="155"/>
      <c r="GW2271" s="155"/>
      <c r="GX2271" s="155"/>
      <c r="GY2271" s="155"/>
      <c r="GZ2271" s="155"/>
      <c r="HA2271" s="155"/>
      <c r="HB2271" s="155"/>
      <c r="HC2271" s="155"/>
      <c r="HD2271" s="155"/>
      <c r="HE2271" s="155"/>
    </row>
    <row r="2272" spans="2:213" s="156" customFormat="1" hidden="1">
      <c r="B2272" s="155"/>
      <c r="C2272" s="155"/>
      <c r="D2272" s="155"/>
      <c r="E2272" s="155"/>
      <c r="F2272" s="155"/>
      <c r="G2272" s="155"/>
      <c r="H2272" s="155"/>
      <c r="I2272" s="155"/>
      <c r="J2272" s="155"/>
      <c r="K2272" s="155"/>
      <c r="L2272" s="155"/>
      <c r="M2272" s="155"/>
      <c r="N2272" s="155"/>
      <c r="O2272" s="155"/>
      <c r="P2272" s="155"/>
      <c r="Q2272" s="155"/>
      <c r="R2272" s="155"/>
      <c r="S2272" s="155"/>
      <c r="T2272" s="155"/>
      <c r="U2272" s="155"/>
      <c r="V2272" s="155"/>
      <c r="W2272" s="155"/>
      <c r="GL2272" s="155"/>
      <c r="GM2272" s="155"/>
      <c r="GN2272" s="155"/>
      <c r="GO2272" s="155"/>
      <c r="GP2272" s="155"/>
      <c r="GQ2272" s="155"/>
      <c r="GR2272" s="155"/>
      <c r="GS2272" s="155"/>
      <c r="GT2272" s="155"/>
      <c r="GU2272" s="155"/>
      <c r="GV2272" s="155"/>
      <c r="GW2272" s="155"/>
      <c r="GX2272" s="155"/>
      <c r="GY2272" s="155"/>
      <c r="GZ2272" s="155"/>
      <c r="HA2272" s="155"/>
      <c r="HB2272" s="155"/>
      <c r="HC2272" s="155"/>
      <c r="HD2272" s="155"/>
      <c r="HE2272" s="155"/>
    </row>
    <row r="2273" spans="2:213" s="156" customFormat="1" hidden="1">
      <c r="B2273" s="155"/>
      <c r="C2273" s="155"/>
      <c r="D2273" s="155"/>
      <c r="E2273" s="155"/>
      <c r="F2273" s="155"/>
      <c r="G2273" s="155"/>
      <c r="H2273" s="155"/>
      <c r="I2273" s="155"/>
      <c r="J2273" s="155"/>
      <c r="K2273" s="155"/>
      <c r="L2273" s="155"/>
      <c r="M2273" s="155"/>
      <c r="N2273" s="155"/>
      <c r="O2273" s="155"/>
      <c r="P2273" s="155"/>
      <c r="Q2273" s="155"/>
      <c r="R2273" s="155"/>
      <c r="S2273" s="155"/>
      <c r="T2273" s="155"/>
      <c r="U2273" s="155"/>
      <c r="V2273" s="155"/>
      <c r="W2273" s="155"/>
      <c r="GL2273" s="155"/>
      <c r="GM2273" s="155"/>
      <c r="GN2273" s="155"/>
      <c r="GO2273" s="155"/>
      <c r="GP2273" s="155"/>
      <c r="GQ2273" s="155"/>
      <c r="GR2273" s="155"/>
      <c r="GS2273" s="155"/>
      <c r="GT2273" s="155"/>
      <c r="GU2273" s="155"/>
      <c r="GV2273" s="155"/>
      <c r="GW2273" s="155"/>
      <c r="GX2273" s="155"/>
      <c r="GY2273" s="155"/>
      <c r="GZ2273" s="155"/>
      <c r="HA2273" s="155"/>
      <c r="HB2273" s="155"/>
      <c r="HC2273" s="155"/>
      <c r="HD2273" s="155"/>
      <c r="HE2273" s="155"/>
    </row>
    <row r="2274" spans="2:213" s="156" customFormat="1" hidden="1">
      <c r="B2274" s="155"/>
      <c r="C2274" s="155"/>
      <c r="D2274" s="155"/>
      <c r="E2274" s="155"/>
      <c r="F2274" s="155"/>
      <c r="G2274" s="155"/>
      <c r="H2274" s="155"/>
      <c r="I2274" s="155"/>
      <c r="J2274" s="155"/>
      <c r="K2274" s="155"/>
      <c r="L2274" s="155"/>
      <c r="M2274" s="155"/>
      <c r="N2274" s="155"/>
      <c r="O2274" s="155"/>
      <c r="P2274" s="155"/>
      <c r="Q2274" s="155"/>
      <c r="R2274" s="155"/>
      <c r="S2274" s="155"/>
      <c r="T2274" s="155"/>
      <c r="U2274" s="155"/>
      <c r="V2274" s="155"/>
      <c r="W2274" s="155"/>
      <c r="GL2274" s="155"/>
      <c r="GM2274" s="155"/>
      <c r="GN2274" s="155"/>
      <c r="GO2274" s="155"/>
      <c r="GP2274" s="155"/>
      <c r="GQ2274" s="155"/>
      <c r="GR2274" s="155"/>
      <c r="GS2274" s="155"/>
      <c r="GT2274" s="155"/>
      <c r="GU2274" s="155"/>
      <c r="GV2274" s="155"/>
      <c r="GW2274" s="155"/>
      <c r="GX2274" s="155"/>
      <c r="GY2274" s="155"/>
      <c r="GZ2274" s="155"/>
      <c r="HA2274" s="155"/>
      <c r="HB2274" s="155"/>
      <c r="HC2274" s="155"/>
      <c r="HD2274" s="155"/>
      <c r="HE2274" s="155"/>
    </row>
    <row r="2275" spans="2:213" s="156" customFormat="1" hidden="1">
      <c r="B2275" s="155"/>
      <c r="C2275" s="155"/>
      <c r="D2275" s="155"/>
      <c r="E2275" s="155"/>
      <c r="F2275" s="155"/>
      <c r="G2275" s="155"/>
      <c r="H2275" s="155"/>
      <c r="I2275" s="155"/>
      <c r="J2275" s="155"/>
      <c r="K2275" s="155"/>
      <c r="L2275" s="155"/>
      <c r="M2275" s="155"/>
      <c r="N2275" s="155"/>
      <c r="O2275" s="155"/>
      <c r="P2275" s="155"/>
      <c r="Q2275" s="155"/>
      <c r="R2275" s="155"/>
      <c r="S2275" s="155"/>
      <c r="T2275" s="155"/>
      <c r="U2275" s="155"/>
      <c r="V2275" s="155"/>
      <c r="W2275" s="155"/>
      <c r="GL2275" s="155"/>
      <c r="GM2275" s="155"/>
      <c r="GN2275" s="155"/>
      <c r="GO2275" s="155"/>
      <c r="GP2275" s="155"/>
      <c r="GQ2275" s="155"/>
      <c r="GR2275" s="155"/>
      <c r="GS2275" s="155"/>
      <c r="GT2275" s="155"/>
      <c r="GU2275" s="155"/>
      <c r="GV2275" s="155"/>
      <c r="GW2275" s="155"/>
      <c r="GX2275" s="155"/>
      <c r="GY2275" s="155"/>
      <c r="GZ2275" s="155"/>
      <c r="HA2275" s="155"/>
      <c r="HB2275" s="155"/>
      <c r="HC2275" s="155"/>
      <c r="HD2275" s="155"/>
      <c r="HE2275" s="155"/>
    </row>
    <row r="2276" spans="2:213" s="156" customFormat="1" hidden="1">
      <c r="B2276" s="155"/>
      <c r="C2276" s="155"/>
      <c r="D2276" s="155"/>
      <c r="E2276" s="155"/>
      <c r="F2276" s="155"/>
      <c r="G2276" s="155"/>
      <c r="H2276" s="155"/>
      <c r="I2276" s="155"/>
      <c r="J2276" s="155"/>
      <c r="K2276" s="155"/>
      <c r="L2276" s="155"/>
      <c r="M2276" s="155"/>
      <c r="N2276" s="155"/>
      <c r="O2276" s="155"/>
      <c r="P2276" s="155"/>
      <c r="Q2276" s="155"/>
      <c r="R2276" s="155"/>
      <c r="S2276" s="155"/>
      <c r="T2276" s="155"/>
      <c r="U2276" s="155"/>
      <c r="V2276" s="155"/>
      <c r="W2276" s="155"/>
      <c r="GL2276" s="155"/>
      <c r="GM2276" s="155"/>
      <c r="GN2276" s="155"/>
      <c r="GO2276" s="155"/>
      <c r="GP2276" s="155"/>
      <c r="GQ2276" s="155"/>
      <c r="GR2276" s="155"/>
      <c r="GS2276" s="155"/>
      <c r="GT2276" s="155"/>
      <c r="GU2276" s="155"/>
      <c r="GV2276" s="155"/>
      <c r="GW2276" s="155"/>
      <c r="GX2276" s="155"/>
      <c r="GY2276" s="155"/>
      <c r="GZ2276" s="155"/>
      <c r="HA2276" s="155"/>
      <c r="HB2276" s="155"/>
      <c r="HC2276" s="155"/>
      <c r="HD2276" s="155"/>
      <c r="HE2276" s="155"/>
    </row>
    <row r="2277" spans="2:213" s="156" customFormat="1" hidden="1">
      <c r="B2277" s="155"/>
      <c r="C2277" s="155"/>
      <c r="D2277" s="155"/>
      <c r="E2277" s="155"/>
      <c r="F2277" s="155"/>
      <c r="G2277" s="155"/>
      <c r="H2277" s="155"/>
      <c r="I2277" s="155"/>
      <c r="J2277" s="155"/>
      <c r="K2277" s="155"/>
      <c r="L2277" s="155"/>
      <c r="M2277" s="155"/>
      <c r="N2277" s="155"/>
      <c r="O2277" s="155"/>
      <c r="P2277" s="155"/>
      <c r="Q2277" s="155"/>
      <c r="R2277" s="155"/>
      <c r="S2277" s="155"/>
      <c r="T2277" s="155"/>
      <c r="U2277" s="155"/>
      <c r="V2277" s="155"/>
      <c r="W2277" s="155"/>
      <c r="GL2277" s="155"/>
      <c r="GM2277" s="155"/>
      <c r="GN2277" s="155"/>
      <c r="GO2277" s="155"/>
      <c r="GP2277" s="155"/>
      <c r="GQ2277" s="155"/>
      <c r="GR2277" s="155"/>
      <c r="GS2277" s="155"/>
      <c r="GT2277" s="155"/>
      <c r="GU2277" s="155"/>
      <c r="GV2277" s="155"/>
      <c r="GW2277" s="155"/>
      <c r="GX2277" s="155"/>
      <c r="GY2277" s="155"/>
      <c r="GZ2277" s="155"/>
      <c r="HA2277" s="155"/>
      <c r="HB2277" s="155"/>
      <c r="HC2277" s="155"/>
      <c r="HD2277" s="155"/>
      <c r="HE2277" s="155"/>
    </row>
    <row r="2278" spans="2:213" s="156" customFormat="1" hidden="1">
      <c r="B2278" s="155"/>
      <c r="C2278" s="155"/>
      <c r="D2278" s="155"/>
      <c r="E2278" s="155"/>
      <c r="F2278" s="155"/>
      <c r="G2278" s="155"/>
      <c r="H2278" s="155"/>
      <c r="I2278" s="155"/>
      <c r="J2278" s="155"/>
      <c r="K2278" s="155"/>
      <c r="L2278" s="155"/>
      <c r="M2278" s="155"/>
      <c r="N2278" s="155"/>
      <c r="O2278" s="155"/>
      <c r="P2278" s="155"/>
      <c r="Q2278" s="155"/>
      <c r="R2278" s="155"/>
      <c r="S2278" s="155"/>
      <c r="T2278" s="155"/>
      <c r="U2278" s="155"/>
      <c r="V2278" s="155"/>
      <c r="W2278" s="155"/>
      <c r="GL2278" s="155"/>
      <c r="GM2278" s="155"/>
      <c r="GN2278" s="155"/>
      <c r="GO2278" s="155"/>
      <c r="GP2278" s="155"/>
      <c r="GQ2278" s="155"/>
      <c r="GR2278" s="155"/>
      <c r="GS2278" s="155"/>
      <c r="GT2278" s="155"/>
      <c r="GU2278" s="155"/>
      <c r="GV2278" s="155"/>
      <c r="GW2278" s="155"/>
      <c r="GX2278" s="155"/>
      <c r="GY2278" s="155"/>
      <c r="GZ2278" s="155"/>
      <c r="HA2278" s="155"/>
      <c r="HB2278" s="155"/>
      <c r="HC2278" s="155"/>
      <c r="HD2278" s="155"/>
      <c r="HE2278" s="155"/>
    </row>
    <row r="2279" spans="2:213" s="156" customFormat="1" hidden="1">
      <c r="B2279" s="155"/>
      <c r="C2279" s="155"/>
      <c r="D2279" s="155"/>
      <c r="E2279" s="155"/>
      <c r="F2279" s="155"/>
      <c r="G2279" s="155"/>
      <c r="H2279" s="155"/>
      <c r="I2279" s="155"/>
      <c r="J2279" s="155"/>
      <c r="K2279" s="155"/>
      <c r="L2279" s="155"/>
      <c r="M2279" s="155"/>
      <c r="N2279" s="155"/>
      <c r="O2279" s="155"/>
      <c r="P2279" s="155"/>
      <c r="Q2279" s="155"/>
      <c r="R2279" s="155"/>
      <c r="S2279" s="155"/>
      <c r="T2279" s="155"/>
      <c r="U2279" s="155"/>
      <c r="V2279" s="155"/>
      <c r="W2279" s="155"/>
      <c r="GL2279" s="155"/>
      <c r="GM2279" s="155"/>
      <c r="GN2279" s="155"/>
      <c r="GO2279" s="155"/>
      <c r="GP2279" s="155"/>
      <c r="GQ2279" s="155"/>
      <c r="GR2279" s="155"/>
      <c r="GS2279" s="155"/>
      <c r="GT2279" s="155"/>
      <c r="GU2279" s="155"/>
      <c r="GV2279" s="155"/>
      <c r="GW2279" s="155"/>
      <c r="GX2279" s="155"/>
      <c r="GY2279" s="155"/>
      <c r="GZ2279" s="155"/>
      <c r="HA2279" s="155"/>
      <c r="HB2279" s="155"/>
      <c r="HC2279" s="155"/>
      <c r="HD2279" s="155"/>
      <c r="HE2279" s="155"/>
    </row>
    <row r="2280" spans="2:213" s="156" customFormat="1" hidden="1">
      <c r="B2280" s="155"/>
      <c r="C2280" s="155"/>
      <c r="D2280" s="155"/>
      <c r="E2280" s="155"/>
      <c r="F2280" s="155"/>
      <c r="G2280" s="155"/>
      <c r="H2280" s="155"/>
      <c r="I2280" s="155"/>
      <c r="J2280" s="155"/>
      <c r="K2280" s="155"/>
      <c r="L2280" s="155"/>
      <c r="M2280" s="155"/>
      <c r="N2280" s="155"/>
      <c r="O2280" s="155"/>
      <c r="P2280" s="155"/>
      <c r="Q2280" s="155"/>
      <c r="R2280" s="155"/>
      <c r="S2280" s="155"/>
      <c r="T2280" s="155"/>
      <c r="U2280" s="155"/>
      <c r="V2280" s="155"/>
      <c r="W2280" s="155"/>
      <c r="GL2280" s="155"/>
      <c r="GM2280" s="155"/>
      <c r="GN2280" s="155"/>
      <c r="GO2280" s="155"/>
      <c r="GP2280" s="155"/>
      <c r="GQ2280" s="155"/>
      <c r="GR2280" s="155"/>
      <c r="GS2280" s="155"/>
      <c r="GT2280" s="155"/>
      <c r="GU2280" s="155"/>
      <c r="GV2280" s="155"/>
      <c r="GW2280" s="155"/>
      <c r="GX2280" s="155"/>
      <c r="GY2280" s="155"/>
      <c r="GZ2280" s="155"/>
      <c r="HA2280" s="155"/>
      <c r="HB2280" s="155"/>
      <c r="HC2280" s="155"/>
      <c r="HD2280" s="155"/>
      <c r="HE2280" s="155"/>
    </row>
    <row r="2281" spans="2:213" s="156" customFormat="1" hidden="1">
      <c r="B2281" s="155"/>
      <c r="C2281" s="155"/>
      <c r="D2281" s="155"/>
      <c r="E2281" s="155"/>
      <c r="F2281" s="155"/>
      <c r="G2281" s="155"/>
      <c r="H2281" s="155"/>
      <c r="I2281" s="155"/>
      <c r="J2281" s="155"/>
      <c r="K2281" s="155"/>
      <c r="L2281" s="155"/>
      <c r="M2281" s="155"/>
      <c r="N2281" s="155"/>
      <c r="O2281" s="155"/>
      <c r="P2281" s="155"/>
      <c r="Q2281" s="155"/>
      <c r="R2281" s="155"/>
      <c r="S2281" s="155"/>
      <c r="T2281" s="155"/>
      <c r="U2281" s="155"/>
      <c r="V2281" s="155"/>
      <c r="W2281" s="155"/>
      <c r="GL2281" s="155"/>
      <c r="GM2281" s="155"/>
      <c r="GN2281" s="155"/>
      <c r="GO2281" s="155"/>
      <c r="GP2281" s="155"/>
      <c r="GQ2281" s="155"/>
      <c r="GR2281" s="155"/>
      <c r="GS2281" s="155"/>
      <c r="GT2281" s="155"/>
      <c r="GU2281" s="155"/>
      <c r="GV2281" s="155"/>
      <c r="GW2281" s="155"/>
      <c r="GX2281" s="155"/>
      <c r="GY2281" s="155"/>
      <c r="GZ2281" s="155"/>
      <c r="HA2281" s="155"/>
      <c r="HB2281" s="155"/>
      <c r="HC2281" s="155"/>
      <c r="HD2281" s="155"/>
      <c r="HE2281" s="155"/>
    </row>
    <row r="2282" spans="2:213" s="156" customFormat="1" hidden="1">
      <c r="B2282" s="155"/>
      <c r="C2282" s="155"/>
      <c r="D2282" s="155"/>
      <c r="E2282" s="155"/>
      <c r="F2282" s="155"/>
      <c r="G2282" s="155"/>
      <c r="H2282" s="155"/>
      <c r="I2282" s="155"/>
      <c r="J2282" s="155"/>
      <c r="K2282" s="155"/>
      <c r="L2282" s="155"/>
      <c r="M2282" s="155"/>
      <c r="N2282" s="155"/>
      <c r="O2282" s="155"/>
      <c r="P2282" s="155"/>
      <c r="Q2282" s="155"/>
      <c r="R2282" s="155"/>
      <c r="S2282" s="155"/>
      <c r="T2282" s="155"/>
      <c r="U2282" s="155"/>
      <c r="V2282" s="155"/>
      <c r="W2282" s="155"/>
      <c r="GL2282" s="155"/>
      <c r="GM2282" s="155"/>
      <c r="GN2282" s="155"/>
      <c r="GO2282" s="155"/>
      <c r="GP2282" s="155"/>
      <c r="GQ2282" s="155"/>
      <c r="GR2282" s="155"/>
      <c r="GS2282" s="155"/>
      <c r="GT2282" s="155"/>
      <c r="GU2282" s="155"/>
      <c r="GV2282" s="155"/>
      <c r="GW2282" s="155"/>
      <c r="GX2282" s="155"/>
      <c r="GY2282" s="155"/>
      <c r="GZ2282" s="155"/>
      <c r="HA2282" s="155"/>
      <c r="HB2282" s="155"/>
      <c r="HC2282" s="155"/>
      <c r="HD2282" s="155"/>
      <c r="HE2282" s="155"/>
    </row>
    <row r="2283" spans="2:213" s="156" customFormat="1" hidden="1">
      <c r="B2283" s="155"/>
      <c r="C2283" s="155"/>
      <c r="D2283" s="155"/>
      <c r="E2283" s="155"/>
      <c r="F2283" s="155"/>
      <c r="G2283" s="155"/>
      <c r="H2283" s="155"/>
      <c r="I2283" s="155"/>
      <c r="J2283" s="155"/>
      <c r="K2283" s="155"/>
      <c r="L2283" s="155"/>
      <c r="M2283" s="155"/>
      <c r="N2283" s="155"/>
      <c r="O2283" s="155"/>
      <c r="P2283" s="155"/>
      <c r="Q2283" s="155"/>
      <c r="R2283" s="155"/>
      <c r="S2283" s="155"/>
      <c r="T2283" s="155"/>
      <c r="U2283" s="155"/>
      <c r="V2283" s="155"/>
      <c r="W2283" s="155"/>
      <c r="GL2283" s="155"/>
      <c r="GM2283" s="155"/>
      <c r="GN2283" s="155"/>
      <c r="GO2283" s="155"/>
      <c r="GP2283" s="155"/>
      <c r="GQ2283" s="155"/>
      <c r="GR2283" s="155"/>
      <c r="GS2283" s="155"/>
      <c r="GT2283" s="155"/>
      <c r="GU2283" s="155"/>
      <c r="GV2283" s="155"/>
      <c r="GW2283" s="155"/>
      <c r="GX2283" s="155"/>
      <c r="GY2283" s="155"/>
      <c r="GZ2283" s="155"/>
      <c r="HA2283" s="155"/>
      <c r="HB2283" s="155"/>
      <c r="HC2283" s="155"/>
      <c r="HD2283" s="155"/>
      <c r="HE2283" s="155"/>
    </row>
    <row r="2284" spans="2:213" s="156" customFormat="1" hidden="1">
      <c r="B2284" s="155"/>
      <c r="C2284" s="155"/>
      <c r="D2284" s="155"/>
      <c r="E2284" s="155"/>
      <c r="F2284" s="155"/>
      <c r="G2284" s="155"/>
      <c r="H2284" s="155"/>
      <c r="I2284" s="155"/>
      <c r="J2284" s="155"/>
      <c r="K2284" s="155"/>
      <c r="L2284" s="155"/>
      <c r="M2284" s="155"/>
      <c r="N2284" s="155"/>
      <c r="O2284" s="155"/>
      <c r="P2284" s="155"/>
      <c r="Q2284" s="155"/>
      <c r="R2284" s="155"/>
      <c r="S2284" s="155"/>
      <c r="T2284" s="155"/>
      <c r="U2284" s="155"/>
      <c r="V2284" s="155"/>
      <c r="W2284" s="155"/>
      <c r="GL2284" s="155"/>
      <c r="GM2284" s="155"/>
      <c r="GN2284" s="155"/>
      <c r="GO2284" s="155"/>
      <c r="GP2284" s="155"/>
      <c r="GQ2284" s="155"/>
      <c r="GR2284" s="155"/>
      <c r="GS2284" s="155"/>
      <c r="GT2284" s="155"/>
      <c r="GU2284" s="155"/>
      <c r="GV2284" s="155"/>
      <c r="GW2284" s="155"/>
      <c r="GX2284" s="155"/>
      <c r="GY2284" s="155"/>
      <c r="GZ2284" s="155"/>
      <c r="HA2284" s="155"/>
      <c r="HB2284" s="155"/>
      <c r="HC2284" s="155"/>
      <c r="HD2284" s="155"/>
      <c r="HE2284" s="155"/>
    </row>
    <row r="2285" spans="2:213" s="156" customFormat="1" hidden="1">
      <c r="B2285" s="155"/>
      <c r="C2285" s="155"/>
      <c r="D2285" s="155"/>
      <c r="E2285" s="155"/>
      <c r="F2285" s="155"/>
      <c r="G2285" s="155"/>
      <c r="H2285" s="155"/>
      <c r="I2285" s="155"/>
      <c r="J2285" s="155"/>
      <c r="K2285" s="155"/>
      <c r="L2285" s="155"/>
      <c r="M2285" s="155"/>
      <c r="N2285" s="155"/>
      <c r="O2285" s="155"/>
      <c r="P2285" s="155"/>
      <c r="Q2285" s="155"/>
      <c r="R2285" s="155"/>
      <c r="S2285" s="155"/>
      <c r="T2285" s="155"/>
      <c r="U2285" s="155"/>
      <c r="V2285" s="155"/>
      <c r="W2285" s="155"/>
      <c r="GL2285" s="155"/>
      <c r="GM2285" s="155"/>
      <c r="GN2285" s="155"/>
      <c r="GO2285" s="155"/>
      <c r="GP2285" s="155"/>
      <c r="GQ2285" s="155"/>
      <c r="GR2285" s="155"/>
      <c r="GS2285" s="155"/>
      <c r="GT2285" s="155"/>
      <c r="GU2285" s="155"/>
      <c r="GV2285" s="155"/>
      <c r="GW2285" s="155"/>
      <c r="GX2285" s="155"/>
      <c r="GY2285" s="155"/>
      <c r="GZ2285" s="155"/>
      <c r="HA2285" s="155"/>
      <c r="HB2285" s="155"/>
      <c r="HC2285" s="155"/>
      <c r="HD2285" s="155"/>
      <c r="HE2285" s="155"/>
    </row>
    <row r="2286" spans="2:213" s="156" customFormat="1" hidden="1">
      <c r="B2286" s="155"/>
      <c r="C2286" s="155"/>
      <c r="D2286" s="155"/>
      <c r="E2286" s="155"/>
      <c r="F2286" s="155"/>
      <c r="G2286" s="155"/>
      <c r="H2286" s="155"/>
      <c r="I2286" s="155"/>
      <c r="J2286" s="155"/>
      <c r="K2286" s="155"/>
      <c r="L2286" s="155"/>
      <c r="M2286" s="155"/>
      <c r="N2286" s="155"/>
      <c r="O2286" s="155"/>
      <c r="P2286" s="155"/>
      <c r="Q2286" s="155"/>
      <c r="R2286" s="155"/>
      <c r="S2286" s="155"/>
      <c r="T2286" s="155"/>
      <c r="U2286" s="155"/>
      <c r="V2286" s="155"/>
      <c r="W2286" s="155"/>
      <c r="GL2286" s="155"/>
      <c r="GM2286" s="155"/>
      <c r="GN2286" s="155"/>
      <c r="GO2286" s="155"/>
      <c r="GP2286" s="155"/>
      <c r="GQ2286" s="155"/>
      <c r="GR2286" s="155"/>
      <c r="GS2286" s="155"/>
      <c r="GT2286" s="155"/>
      <c r="GU2286" s="155"/>
      <c r="GV2286" s="155"/>
      <c r="GW2286" s="155"/>
      <c r="GX2286" s="155"/>
      <c r="GY2286" s="155"/>
      <c r="GZ2286" s="155"/>
      <c r="HA2286" s="155"/>
      <c r="HB2286" s="155"/>
      <c r="HC2286" s="155"/>
      <c r="HD2286" s="155"/>
      <c r="HE2286" s="155"/>
    </row>
    <row r="2287" spans="2:213" s="156" customFormat="1" hidden="1">
      <c r="B2287" s="155"/>
      <c r="C2287" s="155"/>
      <c r="D2287" s="155"/>
      <c r="E2287" s="155"/>
      <c r="F2287" s="155"/>
      <c r="G2287" s="155"/>
      <c r="H2287" s="155"/>
      <c r="I2287" s="155"/>
      <c r="J2287" s="155"/>
      <c r="K2287" s="155"/>
      <c r="L2287" s="155"/>
      <c r="M2287" s="155"/>
      <c r="N2287" s="155"/>
      <c r="O2287" s="155"/>
      <c r="P2287" s="155"/>
      <c r="Q2287" s="155"/>
      <c r="R2287" s="155"/>
      <c r="S2287" s="155"/>
      <c r="T2287" s="155"/>
      <c r="U2287" s="155"/>
      <c r="V2287" s="155"/>
      <c r="W2287" s="155"/>
      <c r="GL2287" s="155"/>
      <c r="GM2287" s="155"/>
      <c r="GN2287" s="155"/>
      <c r="GO2287" s="155"/>
      <c r="GP2287" s="155"/>
      <c r="GQ2287" s="155"/>
      <c r="GR2287" s="155"/>
      <c r="GS2287" s="155"/>
      <c r="GT2287" s="155"/>
      <c r="GU2287" s="155"/>
      <c r="GV2287" s="155"/>
      <c r="GW2287" s="155"/>
      <c r="GX2287" s="155"/>
      <c r="GY2287" s="155"/>
      <c r="GZ2287" s="155"/>
      <c r="HA2287" s="155"/>
      <c r="HB2287" s="155"/>
      <c r="HC2287" s="155"/>
      <c r="HD2287" s="155"/>
      <c r="HE2287" s="155"/>
    </row>
    <row r="2288" spans="2:213" s="156" customFormat="1" hidden="1">
      <c r="B2288" s="155"/>
      <c r="C2288" s="155"/>
      <c r="D2288" s="155"/>
      <c r="E2288" s="155"/>
      <c r="F2288" s="155"/>
      <c r="G2288" s="155"/>
      <c r="H2288" s="155"/>
      <c r="I2288" s="155"/>
      <c r="J2288" s="155"/>
      <c r="K2288" s="155"/>
      <c r="L2288" s="155"/>
      <c r="M2288" s="155"/>
      <c r="N2288" s="155"/>
      <c r="O2288" s="155"/>
      <c r="P2288" s="155"/>
      <c r="Q2288" s="155"/>
      <c r="R2288" s="155"/>
      <c r="S2288" s="155"/>
      <c r="T2288" s="155"/>
      <c r="U2288" s="155"/>
      <c r="V2288" s="155"/>
      <c r="W2288" s="155"/>
      <c r="GL2288" s="155"/>
      <c r="GM2288" s="155"/>
      <c r="GN2288" s="155"/>
      <c r="GO2288" s="155"/>
      <c r="GP2288" s="155"/>
      <c r="GQ2288" s="155"/>
      <c r="GR2288" s="155"/>
      <c r="GS2288" s="155"/>
      <c r="GT2288" s="155"/>
      <c r="GU2288" s="155"/>
      <c r="GV2288" s="155"/>
      <c r="GW2288" s="155"/>
      <c r="GX2288" s="155"/>
      <c r="GY2288" s="155"/>
      <c r="GZ2288" s="155"/>
      <c r="HA2288" s="155"/>
      <c r="HB2288" s="155"/>
      <c r="HC2288" s="155"/>
      <c r="HD2288" s="155"/>
      <c r="HE2288" s="155"/>
    </row>
    <row r="2289" spans="2:213" s="156" customFormat="1" hidden="1">
      <c r="B2289" s="155"/>
      <c r="C2289" s="155"/>
      <c r="D2289" s="155"/>
      <c r="E2289" s="155"/>
      <c r="F2289" s="155"/>
      <c r="G2289" s="155"/>
      <c r="H2289" s="155"/>
      <c r="I2289" s="155"/>
      <c r="J2289" s="155"/>
      <c r="K2289" s="155"/>
      <c r="L2289" s="155"/>
      <c r="M2289" s="155"/>
      <c r="N2289" s="155"/>
      <c r="O2289" s="155"/>
      <c r="P2289" s="155"/>
      <c r="Q2289" s="155"/>
      <c r="R2289" s="155"/>
      <c r="S2289" s="155"/>
      <c r="T2289" s="155"/>
      <c r="U2289" s="155"/>
      <c r="V2289" s="155"/>
      <c r="W2289" s="155"/>
      <c r="GL2289" s="155"/>
      <c r="GM2289" s="155"/>
      <c r="GN2289" s="155"/>
      <c r="GO2289" s="155"/>
      <c r="GP2289" s="155"/>
      <c r="GQ2289" s="155"/>
      <c r="GR2289" s="155"/>
      <c r="GS2289" s="155"/>
      <c r="GT2289" s="155"/>
      <c r="GU2289" s="155"/>
      <c r="GV2289" s="155"/>
      <c r="GW2289" s="155"/>
      <c r="GX2289" s="155"/>
      <c r="GY2289" s="155"/>
      <c r="GZ2289" s="155"/>
      <c r="HA2289" s="155"/>
      <c r="HB2289" s="155"/>
      <c r="HC2289" s="155"/>
      <c r="HD2289" s="155"/>
      <c r="HE2289" s="155"/>
    </row>
    <row r="2290" spans="2:213" s="156" customFormat="1" hidden="1">
      <c r="B2290" s="155"/>
      <c r="C2290" s="155"/>
      <c r="D2290" s="155"/>
      <c r="E2290" s="155"/>
      <c r="F2290" s="155"/>
      <c r="G2290" s="155"/>
      <c r="H2290" s="155"/>
      <c r="I2290" s="155"/>
      <c r="J2290" s="155"/>
      <c r="K2290" s="155"/>
      <c r="L2290" s="155"/>
      <c r="M2290" s="155"/>
      <c r="N2290" s="155"/>
      <c r="O2290" s="155"/>
      <c r="P2290" s="155"/>
      <c r="Q2290" s="155"/>
      <c r="R2290" s="155"/>
      <c r="S2290" s="155"/>
      <c r="T2290" s="155"/>
      <c r="U2290" s="155"/>
      <c r="V2290" s="155"/>
      <c r="W2290" s="155"/>
      <c r="GL2290" s="155"/>
      <c r="GM2290" s="155"/>
      <c r="GN2290" s="155"/>
      <c r="GO2290" s="155"/>
      <c r="GP2290" s="155"/>
      <c r="GQ2290" s="155"/>
      <c r="GR2290" s="155"/>
      <c r="GS2290" s="155"/>
      <c r="GT2290" s="155"/>
      <c r="GU2290" s="155"/>
      <c r="GV2290" s="155"/>
      <c r="GW2290" s="155"/>
      <c r="GX2290" s="155"/>
      <c r="GY2290" s="155"/>
      <c r="GZ2290" s="155"/>
      <c r="HA2290" s="155"/>
      <c r="HB2290" s="155"/>
      <c r="HC2290" s="155"/>
      <c r="HD2290" s="155"/>
      <c r="HE2290" s="155"/>
    </row>
    <row r="2291" spans="2:213" s="156" customFormat="1" hidden="1">
      <c r="B2291" s="155"/>
      <c r="C2291" s="155"/>
      <c r="D2291" s="155"/>
      <c r="E2291" s="155"/>
      <c r="F2291" s="155"/>
      <c r="G2291" s="155"/>
      <c r="H2291" s="155"/>
      <c r="I2291" s="155"/>
      <c r="J2291" s="155"/>
      <c r="K2291" s="155"/>
      <c r="L2291" s="155"/>
      <c r="M2291" s="155"/>
      <c r="N2291" s="155"/>
      <c r="O2291" s="155"/>
      <c r="P2291" s="155"/>
      <c r="Q2291" s="155"/>
      <c r="R2291" s="155"/>
      <c r="S2291" s="155"/>
      <c r="T2291" s="155"/>
      <c r="U2291" s="155"/>
      <c r="V2291" s="155"/>
      <c r="W2291" s="155"/>
      <c r="GL2291" s="155"/>
      <c r="GM2291" s="155"/>
      <c r="GN2291" s="155"/>
      <c r="GO2291" s="155"/>
      <c r="GP2291" s="155"/>
      <c r="GQ2291" s="155"/>
      <c r="GR2291" s="155"/>
      <c r="GS2291" s="155"/>
      <c r="GT2291" s="155"/>
      <c r="GU2291" s="155"/>
      <c r="GV2291" s="155"/>
      <c r="GW2291" s="155"/>
      <c r="GX2291" s="155"/>
      <c r="GY2291" s="155"/>
      <c r="GZ2291" s="155"/>
      <c r="HA2291" s="155"/>
      <c r="HB2291" s="155"/>
      <c r="HC2291" s="155"/>
      <c r="HD2291" s="155"/>
      <c r="HE2291" s="155"/>
    </row>
    <row r="2292" spans="2:213" s="156" customFormat="1" hidden="1">
      <c r="B2292" s="155"/>
      <c r="C2292" s="155"/>
      <c r="D2292" s="155"/>
      <c r="E2292" s="155"/>
      <c r="F2292" s="155"/>
      <c r="G2292" s="155"/>
      <c r="H2292" s="155"/>
      <c r="I2292" s="155"/>
      <c r="J2292" s="155"/>
      <c r="K2292" s="155"/>
      <c r="L2292" s="155"/>
      <c r="M2292" s="155"/>
      <c r="N2292" s="155"/>
      <c r="O2292" s="155"/>
      <c r="P2292" s="155"/>
      <c r="Q2292" s="155"/>
      <c r="R2292" s="155"/>
      <c r="S2292" s="155"/>
      <c r="T2292" s="155"/>
      <c r="U2292" s="155"/>
      <c r="V2292" s="155"/>
      <c r="W2292" s="155"/>
      <c r="GL2292" s="155"/>
      <c r="GM2292" s="155"/>
      <c r="GN2292" s="155"/>
      <c r="GO2292" s="155"/>
      <c r="GP2292" s="155"/>
      <c r="GQ2292" s="155"/>
      <c r="GR2292" s="155"/>
      <c r="GS2292" s="155"/>
      <c r="GT2292" s="155"/>
      <c r="GU2292" s="155"/>
      <c r="GV2292" s="155"/>
      <c r="GW2292" s="155"/>
      <c r="GX2292" s="155"/>
      <c r="GY2292" s="155"/>
      <c r="GZ2292" s="155"/>
      <c r="HA2292" s="155"/>
      <c r="HB2292" s="155"/>
      <c r="HC2292" s="155"/>
      <c r="HD2292" s="155"/>
      <c r="HE2292" s="155"/>
    </row>
    <row r="2293" spans="2:213" s="156" customFormat="1" hidden="1">
      <c r="B2293" s="155"/>
      <c r="C2293" s="155"/>
      <c r="D2293" s="155"/>
      <c r="E2293" s="155"/>
      <c r="F2293" s="155"/>
      <c r="G2293" s="155"/>
      <c r="H2293" s="155"/>
      <c r="I2293" s="155"/>
      <c r="J2293" s="155"/>
      <c r="K2293" s="155"/>
      <c r="L2293" s="155"/>
      <c r="M2293" s="155"/>
      <c r="N2293" s="155"/>
      <c r="O2293" s="155"/>
      <c r="P2293" s="155"/>
      <c r="Q2293" s="155"/>
      <c r="R2293" s="155"/>
      <c r="S2293" s="155"/>
      <c r="T2293" s="155"/>
      <c r="U2293" s="155"/>
      <c r="V2293" s="155"/>
      <c r="W2293" s="155"/>
      <c r="GL2293" s="155"/>
      <c r="GM2293" s="155"/>
      <c r="GN2293" s="155"/>
      <c r="GO2293" s="155"/>
      <c r="GP2293" s="155"/>
      <c r="GQ2293" s="155"/>
      <c r="GR2293" s="155"/>
      <c r="GS2293" s="155"/>
      <c r="GT2293" s="155"/>
      <c r="GU2293" s="155"/>
      <c r="GV2293" s="155"/>
      <c r="GW2293" s="155"/>
      <c r="GX2293" s="155"/>
      <c r="GY2293" s="155"/>
      <c r="GZ2293" s="155"/>
      <c r="HA2293" s="155"/>
      <c r="HB2293" s="155"/>
      <c r="HC2293" s="155"/>
      <c r="HD2293" s="155"/>
      <c r="HE2293" s="155"/>
    </row>
    <row r="2294" spans="2:213" s="156" customFormat="1" hidden="1">
      <c r="B2294" s="155"/>
      <c r="C2294" s="155"/>
      <c r="D2294" s="155"/>
      <c r="E2294" s="155"/>
      <c r="F2294" s="155"/>
      <c r="G2294" s="155"/>
      <c r="H2294" s="155"/>
      <c r="I2294" s="155"/>
      <c r="J2294" s="155"/>
      <c r="K2294" s="155"/>
      <c r="L2294" s="155"/>
      <c r="M2294" s="155"/>
      <c r="N2294" s="155"/>
      <c r="O2294" s="155"/>
      <c r="P2294" s="155"/>
      <c r="Q2294" s="155"/>
      <c r="R2294" s="155"/>
      <c r="S2294" s="155"/>
      <c r="T2294" s="155"/>
      <c r="U2294" s="155"/>
      <c r="V2294" s="155"/>
      <c r="W2294" s="155"/>
      <c r="GL2294" s="155"/>
      <c r="GM2294" s="155"/>
      <c r="GN2294" s="155"/>
      <c r="GO2294" s="155"/>
      <c r="GP2294" s="155"/>
      <c r="GQ2294" s="155"/>
      <c r="GR2294" s="155"/>
      <c r="GS2294" s="155"/>
      <c r="GT2294" s="155"/>
      <c r="GU2294" s="155"/>
      <c r="GV2294" s="155"/>
      <c r="GW2294" s="155"/>
      <c r="GX2294" s="155"/>
      <c r="GY2294" s="155"/>
      <c r="GZ2294" s="155"/>
      <c r="HA2294" s="155"/>
      <c r="HB2294" s="155"/>
      <c r="HC2294" s="155"/>
      <c r="HD2294" s="155"/>
      <c r="HE2294" s="155"/>
    </row>
    <row r="2295" spans="2:213" s="156" customFormat="1" hidden="1">
      <c r="B2295" s="155"/>
      <c r="C2295" s="155"/>
      <c r="D2295" s="155"/>
      <c r="E2295" s="155"/>
      <c r="F2295" s="155"/>
      <c r="G2295" s="155"/>
      <c r="H2295" s="155"/>
      <c r="I2295" s="155"/>
      <c r="J2295" s="155"/>
      <c r="K2295" s="155"/>
      <c r="L2295" s="155"/>
      <c r="M2295" s="155"/>
      <c r="N2295" s="155"/>
      <c r="O2295" s="155"/>
      <c r="P2295" s="155"/>
      <c r="Q2295" s="155"/>
      <c r="R2295" s="155"/>
      <c r="S2295" s="155"/>
      <c r="T2295" s="155"/>
      <c r="U2295" s="155"/>
      <c r="V2295" s="155"/>
      <c r="W2295" s="155"/>
      <c r="GL2295" s="155"/>
      <c r="GM2295" s="155"/>
      <c r="GN2295" s="155"/>
      <c r="GO2295" s="155"/>
      <c r="GP2295" s="155"/>
      <c r="GQ2295" s="155"/>
      <c r="GR2295" s="155"/>
      <c r="GS2295" s="155"/>
      <c r="GT2295" s="155"/>
      <c r="GU2295" s="155"/>
      <c r="GV2295" s="155"/>
      <c r="GW2295" s="155"/>
      <c r="GX2295" s="155"/>
      <c r="GY2295" s="155"/>
      <c r="GZ2295" s="155"/>
      <c r="HA2295" s="155"/>
      <c r="HB2295" s="155"/>
      <c r="HC2295" s="155"/>
      <c r="HD2295" s="155"/>
      <c r="HE2295" s="155"/>
    </row>
    <row r="2296" spans="2:213" s="156" customFormat="1" hidden="1">
      <c r="B2296" s="155"/>
      <c r="C2296" s="155"/>
      <c r="D2296" s="155"/>
      <c r="E2296" s="155"/>
      <c r="F2296" s="155"/>
      <c r="G2296" s="155"/>
      <c r="H2296" s="155"/>
      <c r="I2296" s="155"/>
      <c r="J2296" s="155"/>
      <c r="K2296" s="155"/>
      <c r="L2296" s="155"/>
      <c r="M2296" s="155"/>
      <c r="N2296" s="155"/>
      <c r="O2296" s="155"/>
      <c r="P2296" s="155"/>
      <c r="Q2296" s="155"/>
      <c r="R2296" s="155"/>
      <c r="S2296" s="155"/>
      <c r="T2296" s="155"/>
      <c r="U2296" s="155"/>
      <c r="V2296" s="155"/>
      <c r="W2296" s="155"/>
      <c r="GL2296" s="155"/>
      <c r="GM2296" s="155"/>
      <c r="GN2296" s="155"/>
      <c r="GO2296" s="155"/>
      <c r="GP2296" s="155"/>
      <c r="GQ2296" s="155"/>
      <c r="GR2296" s="155"/>
      <c r="GS2296" s="155"/>
      <c r="GT2296" s="155"/>
      <c r="GU2296" s="155"/>
      <c r="GV2296" s="155"/>
      <c r="GW2296" s="155"/>
      <c r="GX2296" s="155"/>
      <c r="GY2296" s="155"/>
      <c r="GZ2296" s="155"/>
      <c r="HA2296" s="155"/>
      <c r="HB2296" s="155"/>
      <c r="HC2296" s="155"/>
      <c r="HD2296" s="155"/>
      <c r="HE2296" s="155"/>
    </row>
    <row r="2297" spans="2:213" s="156" customFormat="1" hidden="1">
      <c r="B2297" s="155"/>
      <c r="C2297" s="155"/>
      <c r="D2297" s="155"/>
      <c r="E2297" s="155"/>
      <c r="F2297" s="155"/>
      <c r="G2297" s="155"/>
      <c r="H2297" s="155"/>
      <c r="I2297" s="155"/>
      <c r="J2297" s="155"/>
      <c r="K2297" s="155"/>
      <c r="L2297" s="155"/>
      <c r="M2297" s="155"/>
      <c r="N2297" s="155"/>
      <c r="O2297" s="155"/>
      <c r="P2297" s="155"/>
      <c r="Q2297" s="155"/>
      <c r="R2297" s="155"/>
      <c r="S2297" s="155"/>
      <c r="T2297" s="155"/>
      <c r="U2297" s="155"/>
      <c r="V2297" s="155"/>
      <c r="W2297" s="155"/>
      <c r="GL2297" s="155"/>
      <c r="GM2297" s="155"/>
      <c r="GN2297" s="155"/>
      <c r="GO2297" s="155"/>
      <c r="GP2297" s="155"/>
      <c r="GQ2297" s="155"/>
      <c r="GR2297" s="155"/>
      <c r="GS2297" s="155"/>
      <c r="GT2297" s="155"/>
      <c r="GU2297" s="155"/>
      <c r="GV2297" s="155"/>
      <c r="GW2297" s="155"/>
      <c r="GX2297" s="155"/>
      <c r="GY2297" s="155"/>
      <c r="GZ2297" s="155"/>
      <c r="HA2297" s="155"/>
      <c r="HB2297" s="155"/>
      <c r="HC2297" s="155"/>
      <c r="HD2297" s="155"/>
      <c r="HE2297" s="155"/>
    </row>
    <row r="2298" spans="2:213" s="156" customFormat="1" hidden="1">
      <c r="B2298" s="155"/>
      <c r="C2298" s="155"/>
      <c r="D2298" s="155"/>
      <c r="E2298" s="155"/>
      <c r="F2298" s="155"/>
      <c r="G2298" s="155"/>
      <c r="H2298" s="155"/>
      <c r="I2298" s="155"/>
      <c r="J2298" s="155"/>
      <c r="K2298" s="155"/>
      <c r="L2298" s="155"/>
      <c r="M2298" s="155"/>
      <c r="N2298" s="155"/>
      <c r="O2298" s="155"/>
      <c r="P2298" s="155"/>
      <c r="Q2298" s="155"/>
      <c r="R2298" s="155"/>
      <c r="S2298" s="155"/>
      <c r="T2298" s="155"/>
      <c r="U2298" s="155"/>
      <c r="V2298" s="155"/>
      <c r="W2298" s="155"/>
      <c r="GL2298" s="155"/>
      <c r="GM2298" s="155"/>
      <c r="GN2298" s="155"/>
      <c r="GO2298" s="155"/>
      <c r="GP2298" s="155"/>
      <c r="GQ2298" s="155"/>
      <c r="GR2298" s="155"/>
      <c r="GS2298" s="155"/>
      <c r="GT2298" s="155"/>
      <c r="GU2298" s="155"/>
      <c r="GV2298" s="155"/>
      <c r="GW2298" s="155"/>
      <c r="GX2298" s="155"/>
      <c r="GY2298" s="155"/>
      <c r="GZ2298" s="155"/>
      <c r="HA2298" s="155"/>
      <c r="HB2298" s="155"/>
      <c r="HC2298" s="155"/>
      <c r="HD2298" s="155"/>
      <c r="HE2298" s="155"/>
    </row>
    <row r="2299" spans="2:213" s="156" customFormat="1" hidden="1">
      <c r="B2299" s="155"/>
      <c r="C2299" s="155"/>
      <c r="D2299" s="155"/>
      <c r="E2299" s="155"/>
      <c r="F2299" s="155"/>
      <c r="G2299" s="155"/>
      <c r="H2299" s="155"/>
      <c r="I2299" s="155"/>
      <c r="J2299" s="155"/>
      <c r="K2299" s="155"/>
      <c r="L2299" s="155"/>
      <c r="M2299" s="155"/>
      <c r="N2299" s="155"/>
      <c r="O2299" s="155"/>
      <c r="P2299" s="155"/>
      <c r="Q2299" s="155"/>
      <c r="R2299" s="155"/>
      <c r="S2299" s="155"/>
      <c r="T2299" s="155"/>
      <c r="U2299" s="155"/>
      <c r="V2299" s="155"/>
      <c r="W2299" s="155"/>
      <c r="GL2299" s="155"/>
      <c r="GM2299" s="155"/>
      <c r="GN2299" s="155"/>
      <c r="GO2299" s="155"/>
      <c r="GP2299" s="155"/>
      <c r="GQ2299" s="155"/>
      <c r="GR2299" s="155"/>
      <c r="GS2299" s="155"/>
      <c r="GT2299" s="155"/>
      <c r="GU2299" s="155"/>
      <c r="GV2299" s="155"/>
      <c r="GW2299" s="155"/>
      <c r="GX2299" s="155"/>
      <c r="GY2299" s="155"/>
      <c r="GZ2299" s="155"/>
      <c r="HA2299" s="155"/>
      <c r="HB2299" s="155"/>
      <c r="HC2299" s="155"/>
      <c r="HD2299" s="155"/>
      <c r="HE2299" s="155"/>
    </row>
    <row r="2300" spans="2:213" s="156" customFormat="1" hidden="1">
      <c r="B2300" s="155"/>
      <c r="C2300" s="155"/>
      <c r="D2300" s="155"/>
      <c r="E2300" s="155"/>
      <c r="F2300" s="155"/>
      <c r="G2300" s="155"/>
      <c r="H2300" s="155"/>
      <c r="I2300" s="155"/>
      <c r="J2300" s="155"/>
      <c r="K2300" s="155"/>
      <c r="L2300" s="155"/>
      <c r="M2300" s="155"/>
      <c r="N2300" s="155"/>
      <c r="O2300" s="155"/>
      <c r="P2300" s="155"/>
      <c r="Q2300" s="155"/>
      <c r="R2300" s="155"/>
      <c r="S2300" s="155"/>
      <c r="T2300" s="155"/>
      <c r="U2300" s="155"/>
      <c r="V2300" s="155"/>
      <c r="W2300" s="155"/>
      <c r="GL2300" s="155"/>
      <c r="GM2300" s="155"/>
      <c r="GN2300" s="155"/>
      <c r="GO2300" s="155"/>
      <c r="GP2300" s="155"/>
      <c r="GQ2300" s="155"/>
      <c r="GR2300" s="155"/>
      <c r="GS2300" s="155"/>
      <c r="GT2300" s="155"/>
      <c r="GU2300" s="155"/>
      <c r="GV2300" s="155"/>
      <c r="GW2300" s="155"/>
      <c r="GX2300" s="155"/>
      <c r="GY2300" s="155"/>
      <c r="GZ2300" s="155"/>
      <c r="HA2300" s="155"/>
      <c r="HB2300" s="155"/>
      <c r="HC2300" s="155"/>
      <c r="HD2300" s="155"/>
      <c r="HE2300" s="155"/>
    </row>
    <row r="2301" spans="2:213" s="156" customFormat="1" hidden="1">
      <c r="B2301" s="155"/>
      <c r="C2301" s="155"/>
      <c r="D2301" s="155"/>
      <c r="E2301" s="155"/>
      <c r="F2301" s="155"/>
      <c r="G2301" s="155"/>
      <c r="H2301" s="155"/>
      <c r="I2301" s="155"/>
      <c r="J2301" s="155"/>
      <c r="K2301" s="155"/>
      <c r="L2301" s="155"/>
      <c r="M2301" s="155"/>
      <c r="N2301" s="155"/>
      <c r="O2301" s="155"/>
      <c r="P2301" s="155"/>
      <c r="Q2301" s="155"/>
      <c r="R2301" s="155"/>
      <c r="S2301" s="155"/>
      <c r="T2301" s="155"/>
      <c r="U2301" s="155"/>
      <c r="V2301" s="155"/>
      <c r="W2301" s="155"/>
      <c r="GL2301" s="155"/>
      <c r="GM2301" s="155"/>
      <c r="GN2301" s="155"/>
      <c r="GO2301" s="155"/>
      <c r="GP2301" s="155"/>
      <c r="GQ2301" s="155"/>
      <c r="GR2301" s="155"/>
      <c r="GS2301" s="155"/>
      <c r="GT2301" s="155"/>
      <c r="GU2301" s="155"/>
      <c r="GV2301" s="155"/>
      <c r="GW2301" s="155"/>
      <c r="GX2301" s="155"/>
      <c r="GY2301" s="155"/>
      <c r="GZ2301" s="155"/>
      <c r="HA2301" s="155"/>
      <c r="HB2301" s="155"/>
      <c r="HC2301" s="155"/>
      <c r="HD2301" s="155"/>
      <c r="HE2301" s="155"/>
    </row>
    <row r="2302" spans="2:213" s="156" customFormat="1" hidden="1">
      <c r="B2302" s="155"/>
      <c r="C2302" s="155"/>
      <c r="D2302" s="155"/>
      <c r="E2302" s="155"/>
      <c r="F2302" s="155"/>
      <c r="G2302" s="155"/>
      <c r="H2302" s="155"/>
      <c r="I2302" s="155"/>
      <c r="J2302" s="155"/>
      <c r="K2302" s="155"/>
      <c r="L2302" s="155"/>
      <c r="M2302" s="155"/>
      <c r="N2302" s="155"/>
      <c r="O2302" s="155"/>
      <c r="P2302" s="155"/>
      <c r="Q2302" s="155"/>
      <c r="R2302" s="155"/>
      <c r="S2302" s="155"/>
      <c r="T2302" s="155"/>
      <c r="U2302" s="155"/>
      <c r="V2302" s="155"/>
      <c r="W2302" s="155"/>
      <c r="GL2302" s="155"/>
      <c r="GM2302" s="155"/>
      <c r="GN2302" s="155"/>
      <c r="GO2302" s="155"/>
      <c r="GP2302" s="155"/>
      <c r="GQ2302" s="155"/>
      <c r="GR2302" s="155"/>
      <c r="GS2302" s="155"/>
      <c r="GT2302" s="155"/>
      <c r="GU2302" s="155"/>
      <c r="GV2302" s="155"/>
      <c r="GW2302" s="155"/>
      <c r="GX2302" s="155"/>
      <c r="GY2302" s="155"/>
      <c r="GZ2302" s="155"/>
      <c r="HA2302" s="155"/>
      <c r="HB2302" s="155"/>
      <c r="HC2302" s="155"/>
      <c r="HD2302" s="155"/>
      <c r="HE2302" s="155"/>
    </row>
    <row r="2303" spans="2:213" s="156" customFormat="1" hidden="1">
      <c r="B2303" s="155"/>
      <c r="C2303" s="155"/>
      <c r="D2303" s="155"/>
      <c r="E2303" s="155"/>
      <c r="F2303" s="155"/>
      <c r="G2303" s="155"/>
      <c r="H2303" s="155"/>
      <c r="I2303" s="155"/>
      <c r="J2303" s="155"/>
      <c r="K2303" s="155"/>
      <c r="L2303" s="155"/>
      <c r="M2303" s="155"/>
      <c r="N2303" s="155"/>
      <c r="O2303" s="155"/>
      <c r="P2303" s="155"/>
      <c r="Q2303" s="155"/>
      <c r="R2303" s="155"/>
      <c r="S2303" s="155"/>
      <c r="T2303" s="155"/>
      <c r="U2303" s="155"/>
      <c r="V2303" s="155"/>
      <c r="W2303" s="155"/>
      <c r="GL2303" s="155"/>
      <c r="GM2303" s="155"/>
      <c r="GN2303" s="155"/>
      <c r="GO2303" s="155"/>
      <c r="GP2303" s="155"/>
      <c r="GQ2303" s="155"/>
      <c r="GR2303" s="155"/>
      <c r="GS2303" s="155"/>
      <c r="GT2303" s="155"/>
      <c r="GU2303" s="155"/>
      <c r="GV2303" s="155"/>
      <c r="GW2303" s="155"/>
      <c r="GX2303" s="155"/>
      <c r="GY2303" s="155"/>
      <c r="GZ2303" s="155"/>
      <c r="HA2303" s="155"/>
      <c r="HB2303" s="155"/>
      <c r="HC2303" s="155"/>
      <c r="HD2303" s="155"/>
      <c r="HE2303" s="155"/>
    </row>
    <row r="2304" spans="2:213" s="156" customFormat="1" hidden="1">
      <c r="B2304" s="155"/>
      <c r="C2304" s="155"/>
      <c r="D2304" s="155"/>
      <c r="E2304" s="155"/>
      <c r="F2304" s="155"/>
      <c r="G2304" s="155"/>
      <c r="H2304" s="155"/>
      <c r="I2304" s="155"/>
      <c r="J2304" s="155"/>
      <c r="K2304" s="155"/>
      <c r="L2304" s="155"/>
      <c r="M2304" s="155"/>
      <c r="N2304" s="155"/>
      <c r="O2304" s="155"/>
      <c r="P2304" s="155"/>
      <c r="Q2304" s="155"/>
      <c r="R2304" s="155"/>
      <c r="S2304" s="155"/>
      <c r="T2304" s="155"/>
      <c r="U2304" s="155"/>
      <c r="V2304" s="155"/>
      <c r="W2304" s="155"/>
      <c r="GL2304" s="155"/>
      <c r="GM2304" s="155"/>
      <c r="GN2304" s="155"/>
      <c r="GO2304" s="155"/>
      <c r="GP2304" s="155"/>
      <c r="GQ2304" s="155"/>
      <c r="GR2304" s="155"/>
      <c r="GS2304" s="155"/>
      <c r="GT2304" s="155"/>
      <c r="GU2304" s="155"/>
      <c r="GV2304" s="155"/>
      <c r="GW2304" s="155"/>
      <c r="GX2304" s="155"/>
      <c r="GY2304" s="155"/>
      <c r="GZ2304" s="155"/>
      <c r="HA2304" s="155"/>
      <c r="HB2304" s="155"/>
      <c r="HC2304" s="155"/>
      <c r="HD2304" s="155"/>
      <c r="HE2304" s="155"/>
    </row>
    <row r="2305" spans="2:213" s="156" customFormat="1" hidden="1">
      <c r="B2305" s="155"/>
      <c r="C2305" s="155"/>
      <c r="D2305" s="155"/>
      <c r="E2305" s="155"/>
      <c r="F2305" s="155"/>
      <c r="G2305" s="155"/>
      <c r="H2305" s="155"/>
      <c r="I2305" s="155"/>
      <c r="J2305" s="155"/>
      <c r="K2305" s="155"/>
      <c r="L2305" s="155"/>
      <c r="M2305" s="155"/>
      <c r="N2305" s="155"/>
      <c r="O2305" s="155"/>
      <c r="P2305" s="155"/>
      <c r="Q2305" s="155"/>
      <c r="R2305" s="155"/>
      <c r="S2305" s="155"/>
      <c r="T2305" s="155"/>
      <c r="U2305" s="155"/>
      <c r="V2305" s="155"/>
      <c r="W2305" s="155"/>
      <c r="GL2305" s="155"/>
      <c r="GM2305" s="155"/>
      <c r="GN2305" s="155"/>
      <c r="GO2305" s="155"/>
      <c r="GP2305" s="155"/>
      <c r="GQ2305" s="155"/>
      <c r="GR2305" s="155"/>
      <c r="GS2305" s="155"/>
      <c r="GT2305" s="155"/>
      <c r="GU2305" s="155"/>
      <c r="GV2305" s="155"/>
      <c r="GW2305" s="155"/>
      <c r="GX2305" s="155"/>
      <c r="GY2305" s="155"/>
      <c r="GZ2305" s="155"/>
      <c r="HA2305" s="155"/>
      <c r="HB2305" s="155"/>
      <c r="HC2305" s="155"/>
      <c r="HD2305" s="155"/>
      <c r="HE2305" s="155"/>
    </row>
    <row r="2306" spans="2:213" s="156" customFormat="1" hidden="1">
      <c r="B2306" s="155"/>
      <c r="C2306" s="155"/>
      <c r="D2306" s="155"/>
      <c r="E2306" s="155"/>
      <c r="F2306" s="155"/>
      <c r="G2306" s="155"/>
      <c r="H2306" s="155"/>
      <c r="I2306" s="155"/>
      <c r="J2306" s="155"/>
      <c r="K2306" s="155"/>
      <c r="L2306" s="155"/>
      <c r="M2306" s="155"/>
      <c r="N2306" s="155"/>
      <c r="O2306" s="155"/>
      <c r="P2306" s="155"/>
      <c r="Q2306" s="155"/>
      <c r="R2306" s="155"/>
      <c r="S2306" s="155"/>
      <c r="T2306" s="155"/>
      <c r="U2306" s="155"/>
      <c r="V2306" s="155"/>
      <c r="W2306" s="155"/>
      <c r="GL2306" s="155"/>
      <c r="GM2306" s="155"/>
      <c r="GN2306" s="155"/>
      <c r="GO2306" s="155"/>
      <c r="GP2306" s="155"/>
      <c r="GQ2306" s="155"/>
      <c r="GR2306" s="155"/>
      <c r="GS2306" s="155"/>
      <c r="GT2306" s="155"/>
      <c r="GU2306" s="155"/>
      <c r="GV2306" s="155"/>
      <c r="GW2306" s="155"/>
      <c r="GX2306" s="155"/>
      <c r="GY2306" s="155"/>
      <c r="GZ2306" s="155"/>
      <c r="HA2306" s="155"/>
      <c r="HB2306" s="155"/>
      <c r="HC2306" s="155"/>
      <c r="HD2306" s="155"/>
      <c r="HE2306" s="155"/>
    </row>
    <row r="2307" spans="2:213" s="156" customFormat="1" hidden="1">
      <c r="B2307" s="155"/>
      <c r="C2307" s="155"/>
      <c r="D2307" s="155"/>
      <c r="E2307" s="155"/>
      <c r="F2307" s="155"/>
      <c r="G2307" s="155"/>
      <c r="H2307" s="155"/>
      <c r="I2307" s="155"/>
      <c r="J2307" s="155"/>
      <c r="K2307" s="155"/>
      <c r="L2307" s="155"/>
      <c r="M2307" s="155"/>
      <c r="N2307" s="155"/>
      <c r="O2307" s="155"/>
      <c r="P2307" s="155"/>
      <c r="Q2307" s="155"/>
      <c r="R2307" s="155"/>
      <c r="S2307" s="155"/>
      <c r="T2307" s="155"/>
      <c r="U2307" s="155"/>
      <c r="V2307" s="155"/>
      <c r="W2307" s="155"/>
      <c r="GL2307" s="155"/>
      <c r="GM2307" s="155"/>
      <c r="GN2307" s="155"/>
      <c r="GO2307" s="155"/>
      <c r="GP2307" s="155"/>
      <c r="GQ2307" s="155"/>
      <c r="GR2307" s="155"/>
      <c r="GS2307" s="155"/>
      <c r="GT2307" s="155"/>
      <c r="GU2307" s="155"/>
      <c r="GV2307" s="155"/>
      <c r="GW2307" s="155"/>
      <c r="GX2307" s="155"/>
      <c r="GY2307" s="155"/>
      <c r="GZ2307" s="155"/>
      <c r="HA2307" s="155"/>
      <c r="HB2307" s="155"/>
      <c r="HC2307" s="155"/>
      <c r="HD2307" s="155"/>
      <c r="HE2307" s="155"/>
    </row>
    <row r="2308" spans="2:213" s="156" customFormat="1" hidden="1">
      <c r="B2308" s="155"/>
      <c r="C2308" s="155"/>
      <c r="D2308" s="155"/>
      <c r="E2308" s="155"/>
      <c r="F2308" s="155"/>
      <c r="G2308" s="155"/>
      <c r="H2308" s="155"/>
      <c r="I2308" s="155"/>
      <c r="J2308" s="155"/>
      <c r="K2308" s="155"/>
      <c r="L2308" s="155"/>
      <c r="M2308" s="155"/>
      <c r="N2308" s="155"/>
      <c r="O2308" s="155"/>
      <c r="P2308" s="155"/>
      <c r="Q2308" s="155"/>
      <c r="R2308" s="155"/>
      <c r="S2308" s="155"/>
      <c r="T2308" s="155"/>
      <c r="U2308" s="155"/>
      <c r="V2308" s="155"/>
      <c r="W2308" s="155"/>
      <c r="GL2308" s="155"/>
      <c r="GM2308" s="155"/>
      <c r="GN2308" s="155"/>
      <c r="GO2308" s="155"/>
      <c r="GP2308" s="155"/>
      <c r="GQ2308" s="155"/>
      <c r="GR2308" s="155"/>
      <c r="GS2308" s="155"/>
      <c r="GT2308" s="155"/>
      <c r="GU2308" s="155"/>
      <c r="GV2308" s="155"/>
      <c r="GW2308" s="155"/>
      <c r="GX2308" s="155"/>
      <c r="GY2308" s="155"/>
      <c r="GZ2308" s="155"/>
      <c r="HA2308" s="155"/>
      <c r="HB2308" s="155"/>
      <c r="HC2308" s="155"/>
      <c r="HD2308" s="155"/>
      <c r="HE2308" s="155"/>
    </row>
    <row r="2309" spans="2:213" s="156" customFormat="1" hidden="1">
      <c r="B2309" s="155"/>
      <c r="C2309" s="155"/>
      <c r="D2309" s="155"/>
      <c r="E2309" s="155"/>
      <c r="F2309" s="155"/>
      <c r="G2309" s="155"/>
      <c r="H2309" s="155"/>
      <c r="I2309" s="155"/>
      <c r="J2309" s="155"/>
      <c r="K2309" s="155"/>
      <c r="L2309" s="155"/>
      <c r="M2309" s="155"/>
      <c r="N2309" s="155"/>
      <c r="O2309" s="155"/>
      <c r="P2309" s="155"/>
      <c r="Q2309" s="155"/>
      <c r="R2309" s="155"/>
      <c r="S2309" s="155"/>
      <c r="T2309" s="155"/>
      <c r="U2309" s="155"/>
      <c r="V2309" s="155"/>
      <c r="W2309" s="155"/>
      <c r="GL2309" s="155"/>
      <c r="GM2309" s="155"/>
      <c r="GN2309" s="155"/>
      <c r="GO2309" s="155"/>
      <c r="GP2309" s="155"/>
      <c r="GQ2309" s="155"/>
      <c r="GR2309" s="155"/>
      <c r="GS2309" s="155"/>
      <c r="GT2309" s="155"/>
      <c r="GU2309" s="155"/>
      <c r="GV2309" s="155"/>
      <c r="GW2309" s="155"/>
      <c r="GX2309" s="155"/>
      <c r="GY2309" s="155"/>
      <c r="GZ2309" s="155"/>
      <c r="HA2309" s="155"/>
      <c r="HB2309" s="155"/>
      <c r="HC2309" s="155"/>
      <c r="HD2309" s="155"/>
      <c r="HE2309" s="155"/>
    </row>
    <row r="2310" spans="2:213" s="156" customFormat="1" hidden="1">
      <c r="B2310" s="155"/>
      <c r="C2310" s="155"/>
      <c r="D2310" s="155"/>
      <c r="E2310" s="155"/>
      <c r="F2310" s="155"/>
      <c r="G2310" s="155"/>
      <c r="H2310" s="155"/>
      <c r="I2310" s="155"/>
      <c r="J2310" s="155"/>
      <c r="K2310" s="155"/>
      <c r="L2310" s="155"/>
      <c r="M2310" s="155"/>
      <c r="N2310" s="155"/>
      <c r="O2310" s="155"/>
      <c r="P2310" s="155"/>
      <c r="Q2310" s="155"/>
      <c r="R2310" s="155"/>
      <c r="S2310" s="155"/>
      <c r="T2310" s="155"/>
      <c r="U2310" s="155"/>
      <c r="V2310" s="155"/>
      <c r="W2310" s="155"/>
      <c r="GL2310" s="155"/>
      <c r="GM2310" s="155"/>
      <c r="GN2310" s="155"/>
      <c r="GO2310" s="155"/>
      <c r="GP2310" s="155"/>
      <c r="GQ2310" s="155"/>
      <c r="GR2310" s="155"/>
      <c r="GS2310" s="155"/>
      <c r="GT2310" s="155"/>
      <c r="GU2310" s="155"/>
      <c r="GV2310" s="155"/>
      <c r="GW2310" s="155"/>
      <c r="GX2310" s="155"/>
      <c r="GY2310" s="155"/>
      <c r="GZ2310" s="155"/>
      <c r="HA2310" s="155"/>
      <c r="HB2310" s="155"/>
      <c r="HC2310" s="155"/>
      <c r="HD2310" s="155"/>
      <c r="HE2310" s="155"/>
    </row>
    <row r="2311" spans="2:213" s="156" customFormat="1" hidden="1">
      <c r="B2311" s="155"/>
      <c r="C2311" s="155"/>
      <c r="D2311" s="155"/>
      <c r="E2311" s="155"/>
      <c r="F2311" s="155"/>
      <c r="G2311" s="155"/>
      <c r="H2311" s="155"/>
      <c r="I2311" s="155"/>
      <c r="J2311" s="155"/>
      <c r="K2311" s="155"/>
      <c r="L2311" s="155"/>
      <c r="M2311" s="155"/>
      <c r="N2311" s="155"/>
      <c r="O2311" s="155"/>
      <c r="P2311" s="155"/>
      <c r="Q2311" s="155"/>
      <c r="R2311" s="155"/>
      <c r="S2311" s="155"/>
      <c r="T2311" s="155"/>
      <c r="U2311" s="155"/>
      <c r="V2311" s="155"/>
      <c r="W2311" s="155"/>
      <c r="GL2311" s="155"/>
      <c r="GM2311" s="155"/>
      <c r="GN2311" s="155"/>
      <c r="GO2311" s="155"/>
      <c r="GP2311" s="155"/>
      <c r="GQ2311" s="155"/>
      <c r="GR2311" s="155"/>
      <c r="GS2311" s="155"/>
      <c r="GT2311" s="155"/>
      <c r="GU2311" s="155"/>
      <c r="GV2311" s="155"/>
      <c r="GW2311" s="155"/>
      <c r="GX2311" s="155"/>
      <c r="GY2311" s="155"/>
      <c r="GZ2311" s="155"/>
      <c r="HA2311" s="155"/>
      <c r="HB2311" s="155"/>
      <c r="HC2311" s="155"/>
      <c r="HD2311" s="155"/>
      <c r="HE2311" s="155"/>
    </row>
    <row r="2312" spans="2:213" s="156" customFormat="1" hidden="1">
      <c r="B2312" s="155"/>
      <c r="C2312" s="155"/>
      <c r="D2312" s="155"/>
      <c r="E2312" s="155"/>
      <c r="F2312" s="155"/>
      <c r="G2312" s="155"/>
      <c r="H2312" s="155"/>
      <c r="I2312" s="155"/>
      <c r="J2312" s="155"/>
      <c r="K2312" s="155"/>
      <c r="L2312" s="155"/>
      <c r="M2312" s="155"/>
      <c r="N2312" s="155"/>
      <c r="O2312" s="155"/>
      <c r="P2312" s="155"/>
      <c r="Q2312" s="155"/>
      <c r="R2312" s="155"/>
      <c r="S2312" s="155"/>
      <c r="T2312" s="155"/>
      <c r="U2312" s="155"/>
      <c r="V2312" s="155"/>
      <c r="W2312" s="155"/>
      <c r="GL2312" s="155"/>
      <c r="GM2312" s="155"/>
      <c r="GN2312" s="155"/>
      <c r="GO2312" s="155"/>
      <c r="GP2312" s="155"/>
      <c r="GQ2312" s="155"/>
      <c r="GR2312" s="155"/>
      <c r="GS2312" s="155"/>
      <c r="GT2312" s="155"/>
      <c r="GU2312" s="155"/>
      <c r="GV2312" s="155"/>
      <c r="GW2312" s="155"/>
      <c r="GX2312" s="155"/>
      <c r="GY2312" s="155"/>
      <c r="GZ2312" s="155"/>
      <c r="HA2312" s="155"/>
      <c r="HB2312" s="155"/>
      <c r="HC2312" s="155"/>
      <c r="HD2312" s="155"/>
      <c r="HE2312" s="155"/>
    </row>
    <row r="2313" spans="2:213" s="156" customFormat="1" hidden="1">
      <c r="B2313" s="155"/>
      <c r="C2313" s="155"/>
      <c r="D2313" s="155"/>
      <c r="E2313" s="155"/>
      <c r="F2313" s="155"/>
      <c r="G2313" s="155"/>
      <c r="H2313" s="155"/>
      <c r="I2313" s="155"/>
      <c r="J2313" s="155"/>
      <c r="K2313" s="155"/>
      <c r="L2313" s="155"/>
      <c r="M2313" s="155"/>
      <c r="N2313" s="155"/>
      <c r="O2313" s="155"/>
      <c r="P2313" s="155"/>
      <c r="Q2313" s="155"/>
      <c r="R2313" s="155"/>
      <c r="S2313" s="155"/>
      <c r="T2313" s="155"/>
      <c r="U2313" s="155"/>
      <c r="V2313" s="155"/>
      <c r="W2313" s="155"/>
      <c r="GL2313" s="155"/>
      <c r="GM2313" s="155"/>
      <c r="GN2313" s="155"/>
      <c r="GO2313" s="155"/>
      <c r="GP2313" s="155"/>
      <c r="GQ2313" s="155"/>
      <c r="GR2313" s="155"/>
      <c r="GS2313" s="155"/>
      <c r="GT2313" s="155"/>
      <c r="GU2313" s="155"/>
      <c r="GV2313" s="155"/>
      <c r="GW2313" s="155"/>
      <c r="GX2313" s="155"/>
      <c r="GY2313" s="155"/>
      <c r="GZ2313" s="155"/>
      <c r="HA2313" s="155"/>
      <c r="HB2313" s="155"/>
      <c r="HC2313" s="155"/>
      <c r="HD2313" s="155"/>
      <c r="HE2313" s="155"/>
    </row>
    <row r="2314" spans="2:213" s="156" customFormat="1" hidden="1">
      <c r="B2314" s="155"/>
      <c r="C2314" s="155"/>
      <c r="D2314" s="155"/>
      <c r="E2314" s="155"/>
      <c r="F2314" s="155"/>
      <c r="G2314" s="155"/>
      <c r="H2314" s="155"/>
      <c r="I2314" s="155"/>
      <c r="J2314" s="155"/>
      <c r="K2314" s="155"/>
      <c r="L2314" s="155"/>
      <c r="M2314" s="155"/>
      <c r="N2314" s="155"/>
      <c r="O2314" s="155"/>
      <c r="P2314" s="155"/>
      <c r="Q2314" s="155"/>
      <c r="R2314" s="155"/>
      <c r="S2314" s="155"/>
      <c r="T2314" s="155"/>
      <c r="U2314" s="155"/>
      <c r="V2314" s="155"/>
      <c r="W2314" s="155"/>
      <c r="GL2314" s="155"/>
      <c r="GM2314" s="155"/>
      <c r="GN2314" s="155"/>
      <c r="GO2314" s="155"/>
      <c r="GP2314" s="155"/>
      <c r="GQ2314" s="155"/>
      <c r="GR2314" s="155"/>
      <c r="GS2314" s="155"/>
      <c r="GT2314" s="155"/>
      <c r="GU2314" s="155"/>
      <c r="GV2314" s="155"/>
      <c r="GW2314" s="155"/>
      <c r="GX2314" s="155"/>
      <c r="GY2314" s="155"/>
      <c r="GZ2314" s="155"/>
      <c r="HA2314" s="155"/>
      <c r="HB2314" s="155"/>
      <c r="HC2314" s="155"/>
      <c r="HD2314" s="155"/>
      <c r="HE2314" s="155"/>
    </row>
    <row r="2315" spans="2:213" s="156" customFormat="1" hidden="1">
      <c r="B2315" s="155"/>
      <c r="C2315" s="155"/>
      <c r="D2315" s="155"/>
      <c r="E2315" s="155"/>
      <c r="F2315" s="155"/>
      <c r="G2315" s="155"/>
      <c r="H2315" s="155"/>
      <c r="I2315" s="155"/>
      <c r="J2315" s="155"/>
      <c r="K2315" s="155"/>
      <c r="L2315" s="155"/>
      <c r="M2315" s="155"/>
      <c r="N2315" s="155"/>
      <c r="O2315" s="155"/>
      <c r="P2315" s="155"/>
      <c r="Q2315" s="155"/>
      <c r="R2315" s="155"/>
      <c r="S2315" s="155"/>
      <c r="T2315" s="155"/>
      <c r="U2315" s="155"/>
      <c r="V2315" s="155"/>
      <c r="W2315" s="155"/>
      <c r="GL2315" s="155"/>
      <c r="GM2315" s="155"/>
      <c r="GN2315" s="155"/>
      <c r="GO2315" s="155"/>
      <c r="GP2315" s="155"/>
      <c r="GQ2315" s="155"/>
      <c r="GR2315" s="155"/>
      <c r="GS2315" s="155"/>
      <c r="GT2315" s="155"/>
      <c r="GU2315" s="155"/>
      <c r="GV2315" s="155"/>
      <c r="GW2315" s="155"/>
      <c r="GX2315" s="155"/>
      <c r="GY2315" s="155"/>
      <c r="GZ2315" s="155"/>
      <c r="HA2315" s="155"/>
      <c r="HB2315" s="155"/>
      <c r="HC2315" s="155"/>
      <c r="HD2315" s="155"/>
      <c r="HE2315" s="155"/>
    </row>
    <row r="2316" spans="2:213" s="156" customFormat="1" hidden="1">
      <c r="B2316" s="155"/>
      <c r="C2316" s="155"/>
      <c r="D2316" s="155"/>
      <c r="E2316" s="155"/>
      <c r="F2316" s="155"/>
      <c r="G2316" s="155"/>
      <c r="H2316" s="155"/>
      <c r="I2316" s="155"/>
      <c r="J2316" s="155"/>
      <c r="K2316" s="155"/>
      <c r="L2316" s="155"/>
      <c r="M2316" s="155"/>
      <c r="N2316" s="155"/>
      <c r="O2316" s="155"/>
      <c r="P2316" s="155"/>
      <c r="Q2316" s="155"/>
      <c r="R2316" s="155"/>
      <c r="S2316" s="155"/>
      <c r="T2316" s="155"/>
      <c r="U2316" s="155"/>
      <c r="V2316" s="155"/>
      <c r="W2316" s="155"/>
      <c r="GL2316" s="155"/>
      <c r="GM2316" s="155"/>
      <c r="GN2316" s="155"/>
      <c r="GO2316" s="155"/>
      <c r="GP2316" s="155"/>
      <c r="GQ2316" s="155"/>
      <c r="GR2316" s="155"/>
      <c r="GS2316" s="155"/>
      <c r="GT2316" s="155"/>
      <c r="GU2316" s="155"/>
      <c r="GV2316" s="155"/>
      <c r="GW2316" s="155"/>
      <c r="GX2316" s="155"/>
      <c r="GY2316" s="155"/>
      <c r="GZ2316" s="155"/>
      <c r="HA2316" s="155"/>
      <c r="HB2316" s="155"/>
      <c r="HC2316" s="155"/>
      <c r="HD2316" s="155"/>
      <c r="HE2316" s="155"/>
    </row>
    <row r="2317" spans="2:213" s="156" customFormat="1" hidden="1">
      <c r="B2317" s="155"/>
      <c r="C2317" s="155"/>
      <c r="D2317" s="155"/>
      <c r="E2317" s="155"/>
      <c r="F2317" s="155"/>
      <c r="G2317" s="155"/>
      <c r="H2317" s="155"/>
      <c r="I2317" s="155"/>
      <c r="J2317" s="155"/>
      <c r="K2317" s="155"/>
      <c r="L2317" s="155"/>
      <c r="M2317" s="155"/>
      <c r="N2317" s="155"/>
      <c r="O2317" s="155"/>
      <c r="P2317" s="155"/>
      <c r="Q2317" s="155"/>
      <c r="R2317" s="155"/>
      <c r="S2317" s="155"/>
      <c r="T2317" s="155"/>
      <c r="U2317" s="155"/>
      <c r="V2317" s="155"/>
      <c r="W2317" s="155"/>
      <c r="GL2317" s="155"/>
      <c r="GM2317" s="155"/>
      <c r="GN2317" s="155"/>
      <c r="GO2317" s="155"/>
      <c r="GP2317" s="155"/>
      <c r="GQ2317" s="155"/>
      <c r="GR2317" s="155"/>
      <c r="GS2317" s="155"/>
      <c r="GT2317" s="155"/>
      <c r="GU2317" s="155"/>
      <c r="GV2317" s="155"/>
      <c r="GW2317" s="155"/>
      <c r="GX2317" s="155"/>
      <c r="GY2317" s="155"/>
      <c r="GZ2317" s="155"/>
      <c r="HA2317" s="155"/>
      <c r="HB2317" s="155"/>
      <c r="HC2317" s="155"/>
      <c r="HD2317" s="155"/>
      <c r="HE2317" s="155"/>
    </row>
    <row r="2318" spans="2:213" s="156" customFormat="1" hidden="1">
      <c r="B2318" s="155"/>
      <c r="C2318" s="155"/>
      <c r="D2318" s="155"/>
      <c r="E2318" s="155"/>
      <c r="F2318" s="155"/>
      <c r="G2318" s="155"/>
      <c r="H2318" s="155"/>
      <c r="I2318" s="155"/>
      <c r="J2318" s="155"/>
      <c r="K2318" s="155"/>
      <c r="L2318" s="155"/>
      <c r="M2318" s="155"/>
      <c r="N2318" s="155"/>
      <c r="O2318" s="155"/>
      <c r="P2318" s="155"/>
      <c r="Q2318" s="155"/>
      <c r="R2318" s="155"/>
      <c r="S2318" s="155"/>
      <c r="T2318" s="155"/>
      <c r="U2318" s="155"/>
      <c r="V2318" s="155"/>
      <c r="W2318" s="155"/>
      <c r="GL2318" s="155"/>
      <c r="GM2318" s="155"/>
      <c r="GN2318" s="155"/>
      <c r="GO2318" s="155"/>
      <c r="GP2318" s="155"/>
      <c r="GQ2318" s="155"/>
      <c r="GR2318" s="155"/>
      <c r="GS2318" s="155"/>
      <c r="GT2318" s="155"/>
      <c r="GU2318" s="155"/>
      <c r="GV2318" s="155"/>
      <c r="GW2318" s="155"/>
      <c r="GX2318" s="155"/>
      <c r="GY2318" s="155"/>
      <c r="GZ2318" s="155"/>
      <c r="HA2318" s="155"/>
      <c r="HB2318" s="155"/>
      <c r="HC2318" s="155"/>
      <c r="HD2318" s="155"/>
      <c r="HE2318" s="155"/>
    </row>
    <row r="2319" spans="2:213" s="156" customFormat="1" hidden="1">
      <c r="B2319" s="155"/>
      <c r="C2319" s="155"/>
      <c r="D2319" s="155"/>
      <c r="E2319" s="155"/>
      <c r="F2319" s="155"/>
      <c r="G2319" s="155"/>
      <c r="H2319" s="155"/>
      <c r="I2319" s="155"/>
      <c r="J2319" s="155"/>
      <c r="K2319" s="155"/>
      <c r="L2319" s="155"/>
      <c r="M2319" s="155"/>
      <c r="N2319" s="155"/>
      <c r="O2319" s="155"/>
      <c r="P2319" s="155"/>
      <c r="Q2319" s="155"/>
      <c r="R2319" s="155"/>
      <c r="S2319" s="155"/>
      <c r="T2319" s="155"/>
      <c r="U2319" s="155"/>
      <c r="V2319" s="155"/>
      <c r="W2319" s="155"/>
      <c r="GL2319" s="155"/>
      <c r="GM2319" s="155"/>
      <c r="GN2319" s="155"/>
      <c r="GO2319" s="155"/>
      <c r="GP2319" s="155"/>
      <c r="GQ2319" s="155"/>
      <c r="GR2319" s="155"/>
      <c r="GS2319" s="155"/>
      <c r="GT2319" s="155"/>
      <c r="GU2319" s="155"/>
      <c r="GV2319" s="155"/>
      <c r="GW2319" s="155"/>
      <c r="GX2319" s="155"/>
      <c r="GY2319" s="155"/>
      <c r="GZ2319" s="155"/>
      <c r="HA2319" s="155"/>
      <c r="HB2319" s="155"/>
      <c r="HC2319" s="155"/>
      <c r="HD2319" s="155"/>
      <c r="HE2319" s="155"/>
    </row>
    <row r="2320" spans="2:213" s="156" customFormat="1" hidden="1">
      <c r="B2320" s="155"/>
      <c r="C2320" s="155"/>
      <c r="D2320" s="155"/>
      <c r="E2320" s="155"/>
      <c r="F2320" s="155"/>
      <c r="G2320" s="155"/>
      <c r="H2320" s="155"/>
      <c r="I2320" s="155"/>
      <c r="J2320" s="155"/>
      <c r="K2320" s="155"/>
      <c r="L2320" s="155"/>
      <c r="M2320" s="155"/>
      <c r="N2320" s="155"/>
      <c r="O2320" s="155"/>
      <c r="P2320" s="155"/>
      <c r="Q2320" s="155"/>
      <c r="R2320" s="155"/>
      <c r="S2320" s="155"/>
      <c r="T2320" s="155"/>
      <c r="U2320" s="155"/>
      <c r="V2320" s="155"/>
      <c r="W2320" s="155"/>
      <c r="GL2320" s="155"/>
      <c r="GM2320" s="155"/>
      <c r="GN2320" s="155"/>
      <c r="GO2320" s="155"/>
      <c r="GP2320" s="155"/>
      <c r="GQ2320" s="155"/>
      <c r="GR2320" s="155"/>
      <c r="GS2320" s="155"/>
      <c r="GT2320" s="155"/>
      <c r="GU2320" s="155"/>
      <c r="GV2320" s="155"/>
      <c r="GW2320" s="155"/>
      <c r="GX2320" s="155"/>
      <c r="GY2320" s="155"/>
      <c r="GZ2320" s="155"/>
      <c r="HA2320" s="155"/>
      <c r="HB2320" s="155"/>
      <c r="HC2320" s="155"/>
      <c r="HD2320" s="155"/>
      <c r="HE2320" s="155"/>
    </row>
    <row r="2321" spans="2:213" s="156" customFormat="1" hidden="1">
      <c r="B2321" s="155"/>
      <c r="C2321" s="155"/>
      <c r="D2321" s="155"/>
      <c r="E2321" s="155"/>
      <c r="F2321" s="155"/>
      <c r="G2321" s="155"/>
      <c r="H2321" s="155"/>
      <c r="I2321" s="155"/>
      <c r="J2321" s="155"/>
      <c r="K2321" s="155"/>
      <c r="L2321" s="155"/>
      <c r="M2321" s="155"/>
      <c r="N2321" s="155"/>
      <c r="O2321" s="155"/>
      <c r="P2321" s="155"/>
      <c r="Q2321" s="155"/>
      <c r="R2321" s="155"/>
      <c r="S2321" s="155"/>
      <c r="T2321" s="155"/>
      <c r="U2321" s="155"/>
      <c r="V2321" s="155"/>
      <c r="W2321" s="155"/>
      <c r="GL2321" s="155"/>
      <c r="GM2321" s="155"/>
      <c r="GN2321" s="155"/>
      <c r="GO2321" s="155"/>
      <c r="GP2321" s="155"/>
      <c r="GQ2321" s="155"/>
      <c r="GR2321" s="155"/>
      <c r="GS2321" s="155"/>
      <c r="GT2321" s="155"/>
      <c r="GU2321" s="155"/>
      <c r="GV2321" s="155"/>
      <c r="GW2321" s="155"/>
      <c r="GX2321" s="155"/>
      <c r="GY2321" s="155"/>
      <c r="GZ2321" s="155"/>
      <c r="HA2321" s="155"/>
      <c r="HB2321" s="155"/>
      <c r="HC2321" s="155"/>
      <c r="HD2321" s="155"/>
      <c r="HE2321" s="155"/>
    </row>
    <row r="2322" spans="2:213" s="156" customFormat="1" hidden="1">
      <c r="B2322" s="155"/>
      <c r="C2322" s="155"/>
      <c r="D2322" s="155"/>
      <c r="E2322" s="155"/>
      <c r="F2322" s="155"/>
      <c r="G2322" s="155"/>
      <c r="H2322" s="155"/>
      <c r="I2322" s="155"/>
      <c r="J2322" s="155"/>
      <c r="K2322" s="155"/>
      <c r="L2322" s="155"/>
      <c r="M2322" s="155"/>
      <c r="N2322" s="155"/>
      <c r="O2322" s="155"/>
      <c r="P2322" s="155"/>
      <c r="Q2322" s="155"/>
      <c r="R2322" s="155"/>
      <c r="S2322" s="155"/>
      <c r="T2322" s="155"/>
      <c r="U2322" s="155"/>
      <c r="V2322" s="155"/>
      <c r="W2322" s="155"/>
      <c r="GL2322" s="155"/>
      <c r="GM2322" s="155"/>
      <c r="GN2322" s="155"/>
      <c r="GO2322" s="155"/>
      <c r="GP2322" s="155"/>
      <c r="GQ2322" s="155"/>
      <c r="GR2322" s="155"/>
      <c r="GS2322" s="155"/>
      <c r="GT2322" s="155"/>
      <c r="GU2322" s="155"/>
      <c r="GV2322" s="155"/>
      <c r="GW2322" s="155"/>
      <c r="GX2322" s="155"/>
      <c r="GY2322" s="155"/>
      <c r="GZ2322" s="155"/>
      <c r="HA2322" s="155"/>
      <c r="HB2322" s="155"/>
      <c r="HC2322" s="155"/>
      <c r="HD2322" s="155"/>
      <c r="HE2322" s="155"/>
    </row>
    <row r="2323" spans="2:213" s="156" customFormat="1" hidden="1">
      <c r="B2323" s="155"/>
      <c r="C2323" s="155"/>
      <c r="D2323" s="155"/>
      <c r="E2323" s="155"/>
      <c r="F2323" s="155"/>
      <c r="G2323" s="155"/>
      <c r="H2323" s="155"/>
      <c r="I2323" s="155"/>
      <c r="J2323" s="155"/>
      <c r="K2323" s="155"/>
      <c r="L2323" s="155"/>
      <c r="M2323" s="155"/>
      <c r="N2323" s="155"/>
      <c r="O2323" s="155"/>
      <c r="P2323" s="155"/>
      <c r="Q2323" s="155"/>
      <c r="R2323" s="155"/>
      <c r="S2323" s="155"/>
      <c r="T2323" s="155"/>
      <c r="U2323" s="155"/>
      <c r="V2323" s="155"/>
      <c r="W2323" s="155"/>
      <c r="GL2323" s="155"/>
      <c r="GM2323" s="155"/>
      <c r="GN2323" s="155"/>
      <c r="GO2323" s="155"/>
      <c r="GP2323" s="155"/>
      <c r="GQ2323" s="155"/>
      <c r="GR2323" s="155"/>
      <c r="GS2323" s="155"/>
      <c r="GT2323" s="155"/>
      <c r="GU2323" s="155"/>
      <c r="GV2323" s="155"/>
      <c r="GW2323" s="155"/>
      <c r="GX2323" s="155"/>
      <c r="GY2323" s="155"/>
      <c r="GZ2323" s="155"/>
      <c r="HA2323" s="155"/>
      <c r="HB2323" s="155"/>
      <c r="HC2323" s="155"/>
      <c r="HD2323" s="155"/>
      <c r="HE2323" s="155"/>
    </row>
    <row r="2324" spans="2:213" s="156" customFormat="1" hidden="1">
      <c r="B2324" s="155"/>
      <c r="C2324" s="155"/>
      <c r="D2324" s="155"/>
      <c r="E2324" s="155"/>
      <c r="F2324" s="155"/>
      <c r="G2324" s="155"/>
      <c r="H2324" s="155"/>
      <c r="I2324" s="155"/>
      <c r="J2324" s="155"/>
      <c r="K2324" s="155"/>
      <c r="L2324" s="155"/>
      <c r="M2324" s="155"/>
      <c r="N2324" s="155"/>
      <c r="O2324" s="155"/>
      <c r="P2324" s="155"/>
      <c r="Q2324" s="155"/>
      <c r="R2324" s="155"/>
      <c r="S2324" s="155"/>
      <c r="T2324" s="155"/>
      <c r="U2324" s="155"/>
      <c r="V2324" s="155"/>
      <c r="W2324" s="155"/>
      <c r="GL2324" s="155"/>
      <c r="GM2324" s="155"/>
      <c r="GN2324" s="155"/>
      <c r="GO2324" s="155"/>
      <c r="GP2324" s="155"/>
      <c r="GQ2324" s="155"/>
      <c r="GR2324" s="155"/>
      <c r="GS2324" s="155"/>
      <c r="GT2324" s="155"/>
      <c r="GU2324" s="155"/>
      <c r="GV2324" s="155"/>
      <c r="GW2324" s="155"/>
      <c r="GX2324" s="155"/>
      <c r="GY2324" s="155"/>
      <c r="GZ2324" s="155"/>
      <c r="HA2324" s="155"/>
      <c r="HB2324" s="155"/>
      <c r="HC2324" s="155"/>
      <c r="HD2324" s="155"/>
      <c r="HE2324" s="155"/>
    </row>
    <row r="2325" spans="2:213" s="156" customFormat="1" hidden="1">
      <c r="B2325" s="155"/>
      <c r="C2325" s="155"/>
      <c r="D2325" s="155"/>
      <c r="E2325" s="155"/>
      <c r="F2325" s="155"/>
      <c r="G2325" s="155"/>
      <c r="H2325" s="155"/>
      <c r="I2325" s="155"/>
      <c r="J2325" s="155"/>
      <c r="K2325" s="155"/>
      <c r="L2325" s="155"/>
      <c r="M2325" s="155"/>
      <c r="N2325" s="155"/>
      <c r="O2325" s="155"/>
      <c r="P2325" s="155"/>
      <c r="Q2325" s="155"/>
      <c r="R2325" s="155"/>
      <c r="S2325" s="155"/>
      <c r="T2325" s="155"/>
      <c r="U2325" s="155"/>
      <c r="V2325" s="155"/>
      <c r="W2325" s="155"/>
      <c r="GL2325" s="155"/>
      <c r="GM2325" s="155"/>
      <c r="GN2325" s="155"/>
      <c r="GO2325" s="155"/>
      <c r="GP2325" s="155"/>
      <c r="GQ2325" s="155"/>
      <c r="GR2325" s="155"/>
      <c r="GS2325" s="155"/>
      <c r="GT2325" s="155"/>
      <c r="GU2325" s="155"/>
      <c r="GV2325" s="155"/>
      <c r="GW2325" s="155"/>
      <c r="GX2325" s="155"/>
      <c r="GY2325" s="155"/>
      <c r="GZ2325" s="155"/>
      <c r="HA2325" s="155"/>
      <c r="HB2325" s="155"/>
      <c r="HC2325" s="155"/>
      <c r="HD2325" s="155"/>
      <c r="HE2325" s="155"/>
    </row>
    <row r="2326" spans="2:213" s="156" customFormat="1" hidden="1">
      <c r="B2326" s="155"/>
      <c r="C2326" s="155"/>
      <c r="D2326" s="155"/>
      <c r="E2326" s="155"/>
      <c r="F2326" s="155"/>
      <c r="G2326" s="155"/>
      <c r="H2326" s="155"/>
      <c r="I2326" s="155"/>
      <c r="J2326" s="155"/>
      <c r="K2326" s="155"/>
      <c r="L2326" s="155"/>
      <c r="M2326" s="155"/>
      <c r="N2326" s="155"/>
      <c r="O2326" s="155"/>
      <c r="P2326" s="155"/>
      <c r="Q2326" s="155"/>
      <c r="R2326" s="155"/>
      <c r="S2326" s="155"/>
      <c r="T2326" s="155"/>
      <c r="U2326" s="155"/>
      <c r="V2326" s="155"/>
      <c r="W2326" s="155"/>
      <c r="GL2326" s="155"/>
      <c r="GM2326" s="155"/>
      <c r="GN2326" s="155"/>
      <c r="GO2326" s="155"/>
      <c r="GP2326" s="155"/>
      <c r="GQ2326" s="155"/>
      <c r="GR2326" s="155"/>
      <c r="GS2326" s="155"/>
      <c r="GT2326" s="155"/>
      <c r="GU2326" s="155"/>
      <c r="GV2326" s="155"/>
      <c r="GW2326" s="155"/>
      <c r="GX2326" s="155"/>
      <c r="GY2326" s="155"/>
      <c r="GZ2326" s="155"/>
      <c r="HA2326" s="155"/>
      <c r="HB2326" s="155"/>
      <c r="HC2326" s="155"/>
      <c r="HD2326" s="155"/>
      <c r="HE2326" s="155"/>
    </row>
    <row r="2327" spans="2:213" s="156" customFormat="1" hidden="1">
      <c r="B2327" s="155"/>
      <c r="C2327" s="155"/>
      <c r="D2327" s="155"/>
      <c r="E2327" s="155"/>
      <c r="F2327" s="155"/>
      <c r="G2327" s="155"/>
      <c r="H2327" s="155"/>
      <c r="I2327" s="155"/>
      <c r="J2327" s="155"/>
      <c r="K2327" s="155"/>
      <c r="L2327" s="155"/>
      <c r="M2327" s="155"/>
      <c r="N2327" s="155"/>
      <c r="O2327" s="155"/>
      <c r="P2327" s="155"/>
      <c r="Q2327" s="155"/>
      <c r="R2327" s="155"/>
      <c r="S2327" s="155"/>
      <c r="T2327" s="155"/>
      <c r="U2327" s="155"/>
      <c r="V2327" s="155"/>
      <c r="W2327" s="155"/>
      <c r="GL2327" s="155"/>
      <c r="GM2327" s="155"/>
      <c r="GN2327" s="155"/>
      <c r="GO2327" s="155"/>
      <c r="GP2327" s="155"/>
      <c r="GQ2327" s="155"/>
      <c r="GR2327" s="155"/>
      <c r="GS2327" s="155"/>
      <c r="GT2327" s="155"/>
      <c r="GU2327" s="155"/>
      <c r="GV2327" s="155"/>
      <c r="GW2327" s="155"/>
      <c r="GX2327" s="155"/>
      <c r="GY2327" s="155"/>
      <c r="GZ2327" s="155"/>
      <c r="HA2327" s="155"/>
      <c r="HB2327" s="155"/>
      <c r="HC2327" s="155"/>
      <c r="HD2327" s="155"/>
      <c r="HE2327" s="155"/>
    </row>
    <row r="2328" spans="2:213" s="156" customFormat="1" hidden="1">
      <c r="B2328" s="155"/>
      <c r="C2328" s="155"/>
      <c r="D2328" s="155"/>
      <c r="E2328" s="155"/>
      <c r="F2328" s="155"/>
      <c r="G2328" s="155"/>
      <c r="H2328" s="155"/>
      <c r="I2328" s="155"/>
      <c r="J2328" s="155"/>
      <c r="K2328" s="155"/>
      <c r="L2328" s="155"/>
      <c r="M2328" s="155"/>
      <c r="N2328" s="155"/>
      <c r="O2328" s="155"/>
      <c r="P2328" s="155"/>
      <c r="Q2328" s="155"/>
      <c r="R2328" s="155"/>
      <c r="S2328" s="155"/>
      <c r="T2328" s="155"/>
      <c r="U2328" s="155"/>
      <c r="V2328" s="155"/>
      <c r="W2328" s="155"/>
      <c r="GL2328" s="155"/>
      <c r="GM2328" s="155"/>
      <c r="GN2328" s="155"/>
      <c r="GO2328" s="155"/>
      <c r="GP2328" s="155"/>
      <c r="GQ2328" s="155"/>
      <c r="GR2328" s="155"/>
      <c r="GS2328" s="155"/>
      <c r="GT2328" s="155"/>
      <c r="GU2328" s="155"/>
      <c r="GV2328" s="155"/>
      <c r="GW2328" s="155"/>
      <c r="GX2328" s="155"/>
      <c r="GY2328" s="155"/>
      <c r="GZ2328" s="155"/>
      <c r="HA2328" s="155"/>
      <c r="HB2328" s="155"/>
      <c r="HC2328" s="155"/>
      <c r="HD2328" s="155"/>
      <c r="HE2328" s="155"/>
    </row>
    <row r="2329" spans="2:213" s="156" customFormat="1" hidden="1">
      <c r="B2329" s="155"/>
      <c r="C2329" s="155"/>
      <c r="D2329" s="155"/>
      <c r="E2329" s="155"/>
      <c r="F2329" s="155"/>
      <c r="G2329" s="155"/>
      <c r="H2329" s="155"/>
      <c r="I2329" s="155"/>
      <c r="J2329" s="155"/>
      <c r="K2329" s="155"/>
      <c r="L2329" s="155"/>
      <c r="M2329" s="155"/>
      <c r="N2329" s="155"/>
      <c r="O2329" s="155"/>
      <c r="P2329" s="155"/>
      <c r="Q2329" s="155"/>
      <c r="R2329" s="155"/>
      <c r="S2329" s="155"/>
      <c r="T2329" s="155"/>
      <c r="U2329" s="155"/>
      <c r="V2329" s="155"/>
      <c r="W2329" s="155"/>
      <c r="GL2329" s="155"/>
      <c r="GM2329" s="155"/>
      <c r="GN2329" s="155"/>
      <c r="GO2329" s="155"/>
      <c r="GP2329" s="155"/>
      <c r="GQ2329" s="155"/>
      <c r="GR2329" s="155"/>
      <c r="GS2329" s="155"/>
      <c r="GT2329" s="155"/>
      <c r="GU2329" s="155"/>
      <c r="GV2329" s="155"/>
      <c r="GW2329" s="155"/>
      <c r="GX2329" s="155"/>
      <c r="GY2329" s="155"/>
      <c r="GZ2329" s="155"/>
      <c r="HA2329" s="155"/>
      <c r="HB2329" s="155"/>
      <c r="HC2329" s="155"/>
      <c r="HD2329" s="155"/>
      <c r="HE2329" s="155"/>
    </row>
    <row r="2330" spans="2:213" s="156" customFormat="1" hidden="1">
      <c r="B2330" s="155"/>
      <c r="C2330" s="155"/>
      <c r="D2330" s="155"/>
      <c r="E2330" s="155"/>
      <c r="F2330" s="155"/>
      <c r="G2330" s="155"/>
      <c r="H2330" s="155"/>
      <c r="I2330" s="155"/>
      <c r="J2330" s="155"/>
      <c r="K2330" s="155"/>
      <c r="L2330" s="155"/>
      <c r="M2330" s="155"/>
      <c r="N2330" s="155"/>
      <c r="O2330" s="155"/>
      <c r="P2330" s="155"/>
      <c r="Q2330" s="155"/>
      <c r="R2330" s="155"/>
      <c r="S2330" s="155"/>
      <c r="T2330" s="155"/>
      <c r="U2330" s="155"/>
      <c r="V2330" s="155"/>
      <c r="W2330" s="155"/>
      <c r="GL2330" s="155"/>
      <c r="GM2330" s="155"/>
      <c r="GN2330" s="155"/>
      <c r="GO2330" s="155"/>
      <c r="GP2330" s="155"/>
      <c r="GQ2330" s="155"/>
      <c r="GR2330" s="155"/>
      <c r="GS2330" s="155"/>
      <c r="GT2330" s="155"/>
      <c r="GU2330" s="155"/>
      <c r="GV2330" s="155"/>
      <c r="GW2330" s="155"/>
      <c r="GX2330" s="155"/>
      <c r="GY2330" s="155"/>
      <c r="GZ2330" s="155"/>
      <c r="HA2330" s="155"/>
      <c r="HB2330" s="155"/>
      <c r="HC2330" s="155"/>
      <c r="HD2330" s="155"/>
      <c r="HE2330" s="155"/>
    </row>
    <row r="2331" spans="2:213" s="156" customFormat="1" hidden="1">
      <c r="B2331" s="155"/>
      <c r="C2331" s="155"/>
      <c r="D2331" s="155"/>
      <c r="E2331" s="155"/>
      <c r="F2331" s="155"/>
      <c r="G2331" s="155"/>
      <c r="H2331" s="155"/>
      <c r="I2331" s="155"/>
      <c r="J2331" s="155"/>
      <c r="K2331" s="155"/>
      <c r="L2331" s="155"/>
      <c r="M2331" s="155"/>
      <c r="N2331" s="155"/>
      <c r="O2331" s="155"/>
      <c r="P2331" s="155"/>
      <c r="Q2331" s="155"/>
      <c r="R2331" s="155"/>
      <c r="S2331" s="155"/>
      <c r="T2331" s="155"/>
      <c r="U2331" s="155"/>
      <c r="V2331" s="155"/>
      <c r="W2331" s="155"/>
      <c r="GL2331" s="155"/>
      <c r="GM2331" s="155"/>
      <c r="GN2331" s="155"/>
      <c r="GO2331" s="155"/>
      <c r="GP2331" s="155"/>
      <c r="GQ2331" s="155"/>
      <c r="GR2331" s="155"/>
      <c r="GS2331" s="155"/>
      <c r="GT2331" s="155"/>
      <c r="GU2331" s="155"/>
      <c r="GV2331" s="155"/>
      <c r="GW2331" s="155"/>
      <c r="GX2331" s="155"/>
      <c r="GY2331" s="155"/>
      <c r="GZ2331" s="155"/>
      <c r="HA2331" s="155"/>
      <c r="HB2331" s="155"/>
      <c r="HC2331" s="155"/>
      <c r="HD2331" s="155"/>
      <c r="HE2331" s="155"/>
    </row>
    <row r="2332" spans="2:213" s="156" customFormat="1" hidden="1">
      <c r="B2332" s="155"/>
      <c r="C2332" s="155"/>
      <c r="D2332" s="155"/>
      <c r="E2332" s="155"/>
      <c r="F2332" s="155"/>
      <c r="G2332" s="155"/>
      <c r="H2332" s="155"/>
      <c r="I2332" s="155"/>
      <c r="J2332" s="155"/>
      <c r="K2332" s="155"/>
      <c r="L2332" s="155"/>
      <c r="M2332" s="155"/>
      <c r="N2332" s="155"/>
      <c r="O2332" s="155"/>
      <c r="P2332" s="155"/>
      <c r="Q2332" s="155"/>
      <c r="R2332" s="155"/>
      <c r="S2332" s="155"/>
      <c r="T2332" s="155"/>
      <c r="U2332" s="155"/>
      <c r="V2332" s="155"/>
      <c r="W2332" s="155"/>
      <c r="GL2332" s="155"/>
      <c r="GM2332" s="155"/>
      <c r="GN2332" s="155"/>
      <c r="GO2332" s="155"/>
      <c r="GP2332" s="155"/>
      <c r="GQ2332" s="155"/>
      <c r="GR2332" s="155"/>
      <c r="GS2332" s="155"/>
      <c r="GT2332" s="155"/>
      <c r="GU2332" s="155"/>
      <c r="GV2332" s="155"/>
      <c r="GW2332" s="155"/>
      <c r="GX2332" s="155"/>
      <c r="GY2332" s="155"/>
      <c r="GZ2332" s="155"/>
      <c r="HA2332" s="155"/>
      <c r="HB2332" s="155"/>
      <c r="HC2332" s="155"/>
      <c r="HD2332" s="155"/>
      <c r="HE2332" s="155"/>
    </row>
    <row r="2333" spans="2:213" s="156" customFormat="1" hidden="1">
      <c r="B2333" s="155"/>
      <c r="C2333" s="155"/>
      <c r="D2333" s="155"/>
      <c r="E2333" s="155"/>
      <c r="F2333" s="155"/>
      <c r="G2333" s="155"/>
      <c r="H2333" s="155"/>
      <c r="I2333" s="155"/>
      <c r="J2333" s="155"/>
      <c r="K2333" s="155"/>
      <c r="L2333" s="155"/>
      <c r="M2333" s="155"/>
      <c r="N2333" s="155"/>
      <c r="O2333" s="155"/>
      <c r="P2333" s="155"/>
      <c r="Q2333" s="155"/>
      <c r="R2333" s="155"/>
      <c r="S2333" s="155"/>
      <c r="T2333" s="155"/>
      <c r="U2333" s="155"/>
      <c r="V2333" s="155"/>
      <c r="W2333" s="155"/>
      <c r="GL2333" s="155"/>
      <c r="GM2333" s="155"/>
      <c r="GN2333" s="155"/>
      <c r="GO2333" s="155"/>
      <c r="GP2333" s="155"/>
      <c r="GQ2333" s="155"/>
      <c r="GR2333" s="155"/>
      <c r="GS2333" s="155"/>
      <c r="GT2333" s="155"/>
      <c r="GU2333" s="155"/>
      <c r="GV2333" s="155"/>
      <c r="GW2333" s="155"/>
      <c r="GX2333" s="155"/>
      <c r="GY2333" s="155"/>
      <c r="GZ2333" s="155"/>
      <c r="HA2333" s="155"/>
      <c r="HB2333" s="155"/>
      <c r="HC2333" s="155"/>
      <c r="HD2333" s="155"/>
      <c r="HE2333" s="155"/>
    </row>
    <row r="2334" spans="2:213" s="156" customFormat="1" hidden="1">
      <c r="B2334" s="155"/>
      <c r="C2334" s="155"/>
      <c r="D2334" s="155"/>
      <c r="E2334" s="155"/>
      <c r="F2334" s="155"/>
      <c r="G2334" s="155"/>
      <c r="H2334" s="155"/>
      <c r="I2334" s="155"/>
      <c r="J2334" s="155"/>
      <c r="K2334" s="155"/>
      <c r="L2334" s="155"/>
      <c r="M2334" s="155"/>
      <c r="N2334" s="155"/>
      <c r="O2334" s="155"/>
      <c r="P2334" s="155"/>
      <c r="Q2334" s="155"/>
      <c r="R2334" s="155"/>
      <c r="S2334" s="155"/>
      <c r="T2334" s="155"/>
      <c r="U2334" s="155"/>
      <c r="V2334" s="155"/>
      <c r="W2334" s="155"/>
      <c r="GL2334" s="155"/>
      <c r="GM2334" s="155"/>
      <c r="GN2334" s="155"/>
      <c r="GO2334" s="155"/>
      <c r="GP2334" s="155"/>
      <c r="GQ2334" s="155"/>
      <c r="GR2334" s="155"/>
      <c r="GS2334" s="155"/>
      <c r="GT2334" s="155"/>
      <c r="GU2334" s="155"/>
      <c r="GV2334" s="155"/>
      <c r="GW2334" s="155"/>
      <c r="GX2334" s="155"/>
      <c r="GY2334" s="155"/>
      <c r="GZ2334" s="155"/>
      <c r="HA2334" s="155"/>
      <c r="HB2334" s="155"/>
      <c r="HC2334" s="155"/>
      <c r="HD2334" s="155"/>
      <c r="HE2334" s="155"/>
    </row>
    <row r="2335" spans="2:213" s="156" customFormat="1" hidden="1">
      <c r="B2335" s="155"/>
      <c r="C2335" s="155"/>
      <c r="D2335" s="155"/>
      <c r="E2335" s="155"/>
      <c r="F2335" s="155"/>
      <c r="G2335" s="155"/>
      <c r="H2335" s="155"/>
      <c r="I2335" s="155"/>
      <c r="J2335" s="155"/>
      <c r="K2335" s="155"/>
      <c r="L2335" s="155"/>
      <c r="M2335" s="155"/>
      <c r="N2335" s="155"/>
      <c r="O2335" s="155"/>
      <c r="P2335" s="155"/>
      <c r="Q2335" s="155"/>
      <c r="R2335" s="155"/>
      <c r="S2335" s="155"/>
      <c r="T2335" s="155"/>
      <c r="U2335" s="155"/>
      <c r="V2335" s="155"/>
      <c r="W2335" s="155"/>
      <c r="GL2335" s="155"/>
      <c r="GM2335" s="155"/>
      <c r="GN2335" s="155"/>
      <c r="GO2335" s="155"/>
      <c r="GP2335" s="155"/>
      <c r="GQ2335" s="155"/>
      <c r="GR2335" s="155"/>
      <c r="GS2335" s="155"/>
      <c r="GT2335" s="155"/>
      <c r="GU2335" s="155"/>
      <c r="GV2335" s="155"/>
      <c r="GW2335" s="155"/>
      <c r="GX2335" s="155"/>
      <c r="GY2335" s="155"/>
      <c r="GZ2335" s="155"/>
      <c r="HA2335" s="155"/>
      <c r="HB2335" s="155"/>
      <c r="HC2335" s="155"/>
      <c r="HD2335" s="155"/>
      <c r="HE2335" s="155"/>
    </row>
    <row r="2336" spans="2:213" s="156" customFormat="1" hidden="1">
      <c r="B2336" s="155"/>
      <c r="C2336" s="155"/>
      <c r="D2336" s="155"/>
      <c r="E2336" s="155"/>
      <c r="F2336" s="155"/>
      <c r="G2336" s="155"/>
      <c r="H2336" s="155"/>
      <c r="I2336" s="155"/>
      <c r="J2336" s="155"/>
      <c r="K2336" s="155"/>
      <c r="L2336" s="155"/>
      <c r="M2336" s="155"/>
      <c r="N2336" s="155"/>
      <c r="O2336" s="155"/>
      <c r="P2336" s="155"/>
      <c r="Q2336" s="155"/>
      <c r="R2336" s="155"/>
      <c r="S2336" s="155"/>
      <c r="T2336" s="155"/>
      <c r="U2336" s="155"/>
      <c r="V2336" s="155"/>
      <c r="W2336" s="155"/>
      <c r="GL2336" s="155"/>
      <c r="GM2336" s="155"/>
      <c r="GN2336" s="155"/>
      <c r="GO2336" s="155"/>
      <c r="GP2336" s="155"/>
      <c r="GQ2336" s="155"/>
      <c r="GR2336" s="155"/>
      <c r="GS2336" s="155"/>
      <c r="GT2336" s="155"/>
      <c r="GU2336" s="155"/>
      <c r="GV2336" s="155"/>
      <c r="GW2336" s="155"/>
      <c r="GX2336" s="155"/>
      <c r="GY2336" s="155"/>
      <c r="GZ2336" s="155"/>
      <c r="HA2336" s="155"/>
      <c r="HB2336" s="155"/>
      <c r="HC2336" s="155"/>
      <c r="HD2336" s="155"/>
      <c r="HE2336" s="155"/>
    </row>
    <row r="2337" spans="2:213" s="156" customFormat="1" hidden="1">
      <c r="B2337" s="155"/>
      <c r="C2337" s="155"/>
      <c r="D2337" s="155"/>
      <c r="E2337" s="155"/>
      <c r="F2337" s="155"/>
      <c r="G2337" s="155"/>
      <c r="H2337" s="155"/>
      <c r="I2337" s="155"/>
      <c r="J2337" s="155"/>
      <c r="K2337" s="155"/>
      <c r="L2337" s="155"/>
      <c r="M2337" s="155"/>
      <c r="N2337" s="155"/>
      <c r="O2337" s="155"/>
      <c r="P2337" s="155"/>
      <c r="Q2337" s="155"/>
      <c r="R2337" s="155"/>
      <c r="S2337" s="155"/>
      <c r="T2337" s="155"/>
      <c r="U2337" s="155"/>
      <c r="V2337" s="155"/>
      <c r="W2337" s="155"/>
      <c r="GL2337" s="155"/>
      <c r="GM2337" s="155"/>
      <c r="GN2337" s="155"/>
      <c r="GO2337" s="155"/>
      <c r="GP2337" s="155"/>
      <c r="GQ2337" s="155"/>
      <c r="GR2337" s="155"/>
      <c r="GS2337" s="155"/>
      <c r="GT2337" s="155"/>
      <c r="GU2337" s="155"/>
      <c r="GV2337" s="155"/>
      <c r="GW2337" s="155"/>
      <c r="GX2337" s="155"/>
      <c r="GY2337" s="155"/>
      <c r="GZ2337" s="155"/>
      <c r="HA2337" s="155"/>
      <c r="HB2337" s="155"/>
      <c r="HC2337" s="155"/>
      <c r="HD2337" s="155"/>
      <c r="HE2337" s="155"/>
    </row>
    <row r="2338" spans="2:213" s="156" customFormat="1" hidden="1">
      <c r="B2338" s="155"/>
      <c r="C2338" s="155"/>
      <c r="D2338" s="155"/>
      <c r="E2338" s="155"/>
      <c r="F2338" s="155"/>
      <c r="G2338" s="155"/>
      <c r="H2338" s="155"/>
      <c r="I2338" s="155"/>
      <c r="J2338" s="155"/>
      <c r="K2338" s="155"/>
      <c r="L2338" s="155"/>
      <c r="M2338" s="155"/>
      <c r="N2338" s="155"/>
      <c r="O2338" s="155"/>
      <c r="P2338" s="155"/>
      <c r="Q2338" s="155"/>
      <c r="R2338" s="155"/>
      <c r="S2338" s="155"/>
      <c r="T2338" s="155"/>
      <c r="U2338" s="155"/>
      <c r="V2338" s="155"/>
      <c r="W2338" s="155"/>
      <c r="GL2338" s="155"/>
      <c r="GM2338" s="155"/>
      <c r="GN2338" s="155"/>
      <c r="GO2338" s="155"/>
      <c r="GP2338" s="155"/>
      <c r="GQ2338" s="155"/>
      <c r="GR2338" s="155"/>
      <c r="GS2338" s="155"/>
      <c r="GT2338" s="155"/>
      <c r="GU2338" s="155"/>
      <c r="GV2338" s="155"/>
      <c r="GW2338" s="155"/>
      <c r="GX2338" s="155"/>
      <c r="GY2338" s="155"/>
      <c r="GZ2338" s="155"/>
      <c r="HA2338" s="155"/>
      <c r="HB2338" s="155"/>
      <c r="HC2338" s="155"/>
      <c r="HD2338" s="155"/>
      <c r="HE2338" s="155"/>
    </row>
    <row r="2339" spans="2:213" s="156" customFormat="1" hidden="1">
      <c r="B2339" s="155"/>
      <c r="C2339" s="155"/>
      <c r="D2339" s="155"/>
      <c r="E2339" s="155"/>
      <c r="F2339" s="155"/>
      <c r="G2339" s="155"/>
      <c r="H2339" s="155"/>
      <c r="I2339" s="155"/>
      <c r="J2339" s="155"/>
      <c r="K2339" s="155"/>
      <c r="L2339" s="155"/>
      <c r="M2339" s="155"/>
      <c r="N2339" s="155"/>
      <c r="O2339" s="155"/>
      <c r="P2339" s="155"/>
      <c r="Q2339" s="155"/>
      <c r="R2339" s="155"/>
      <c r="S2339" s="155"/>
      <c r="T2339" s="155"/>
      <c r="U2339" s="155"/>
      <c r="V2339" s="155"/>
      <c r="W2339" s="155"/>
      <c r="GL2339" s="155"/>
      <c r="GM2339" s="155"/>
      <c r="GN2339" s="155"/>
      <c r="GO2339" s="155"/>
      <c r="GP2339" s="155"/>
      <c r="GQ2339" s="155"/>
      <c r="GR2339" s="155"/>
      <c r="GS2339" s="155"/>
      <c r="GT2339" s="155"/>
      <c r="GU2339" s="155"/>
      <c r="GV2339" s="155"/>
      <c r="GW2339" s="155"/>
      <c r="GX2339" s="155"/>
      <c r="GY2339" s="155"/>
      <c r="GZ2339" s="155"/>
      <c r="HA2339" s="155"/>
      <c r="HB2339" s="155"/>
      <c r="HC2339" s="155"/>
      <c r="HD2339" s="155"/>
      <c r="HE2339" s="155"/>
    </row>
    <row r="2340" spans="2:213" s="156" customFormat="1" hidden="1">
      <c r="B2340" s="155"/>
      <c r="C2340" s="155"/>
      <c r="D2340" s="155"/>
      <c r="E2340" s="155"/>
      <c r="F2340" s="155"/>
      <c r="G2340" s="155"/>
      <c r="H2340" s="155"/>
      <c r="I2340" s="155"/>
      <c r="J2340" s="155"/>
      <c r="K2340" s="155"/>
      <c r="L2340" s="155"/>
      <c r="M2340" s="155"/>
      <c r="N2340" s="155"/>
      <c r="O2340" s="155"/>
      <c r="P2340" s="155"/>
      <c r="Q2340" s="155"/>
      <c r="R2340" s="155"/>
      <c r="S2340" s="155"/>
      <c r="T2340" s="155"/>
      <c r="U2340" s="155"/>
      <c r="V2340" s="155"/>
      <c r="W2340" s="155"/>
      <c r="GL2340" s="155"/>
      <c r="GM2340" s="155"/>
      <c r="GN2340" s="155"/>
      <c r="GO2340" s="155"/>
      <c r="GP2340" s="155"/>
      <c r="GQ2340" s="155"/>
      <c r="GR2340" s="155"/>
      <c r="GS2340" s="155"/>
      <c r="GT2340" s="155"/>
      <c r="GU2340" s="155"/>
      <c r="GV2340" s="155"/>
      <c r="GW2340" s="155"/>
      <c r="GX2340" s="155"/>
      <c r="GY2340" s="155"/>
      <c r="GZ2340" s="155"/>
      <c r="HA2340" s="155"/>
      <c r="HB2340" s="155"/>
      <c r="HC2340" s="155"/>
      <c r="HD2340" s="155"/>
      <c r="HE2340" s="155"/>
    </row>
    <row r="2341" spans="2:213" s="156" customFormat="1" hidden="1">
      <c r="B2341" s="155"/>
      <c r="C2341" s="155"/>
      <c r="D2341" s="155"/>
      <c r="E2341" s="155"/>
      <c r="F2341" s="155"/>
      <c r="G2341" s="155"/>
      <c r="H2341" s="155"/>
      <c r="I2341" s="155"/>
      <c r="J2341" s="155"/>
      <c r="K2341" s="155"/>
      <c r="L2341" s="155"/>
      <c r="M2341" s="155"/>
      <c r="N2341" s="155"/>
      <c r="O2341" s="155"/>
      <c r="P2341" s="155"/>
      <c r="Q2341" s="155"/>
      <c r="R2341" s="155"/>
      <c r="S2341" s="155"/>
      <c r="T2341" s="155"/>
      <c r="U2341" s="155"/>
      <c r="V2341" s="155"/>
      <c r="W2341" s="155"/>
      <c r="GL2341" s="155"/>
      <c r="GM2341" s="155"/>
      <c r="GN2341" s="155"/>
      <c r="GO2341" s="155"/>
      <c r="GP2341" s="155"/>
      <c r="GQ2341" s="155"/>
      <c r="GR2341" s="155"/>
      <c r="GS2341" s="155"/>
      <c r="GT2341" s="155"/>
      <c r="GU2341" s="155"/>
      <c r="GV2341" s="155"/>
      <c r="GW2341" s="155"/>
      <c r="GX2341" s="155"/>
      <c r="GY2341" s="155"/>
      <c r="GZ2341" s="155"/>
      <c r="HA2341" s="155"/>
      <c r="HB2341" s="155"/>
      <c r="HC2341" s="155"/>
      <c r="HD2341" s="155"/>
      <c r="HE2341" s="155"/>
    </row>
    <row r="2342" spans="2:213" s="156" customFormat="1" hidden="1">
      <c r="B2342" s="155"/>
      <c r="C2342" s="155"/>
      <c r="D2342" s="155"/>
      <c r="E2342" s="155"/>
      <c r="F2342" s="155"/>
      <c r="G2342" s="155"/>
      <c r="H2342" s="155"/>
      <c r="I2342" s="155"/>
      <c r="J2342" s="155"/>
      <c r="K2342" s="155"/>
      <c r="L2342" s="155"/>
      <c r="M2342" s="155"/>
      <c r="N2342" s="155"/>
      <c r="O2342" s="155"/>
      <c r="P2342" s="155"/>
      <c r="Q2342" s="155"/>
      <c r="R2342" s="155"/>
      <c r="S2342" s="155"/>
      <c r="T2342" s="155"/>
      <c r="U2342" s="155"/>
      <c r="V2342" s="155"/>
      <c r="W2342" s="155"/>
      <c r="GL2342" s="155"/>
      <c r="GM2342" s="155"/>
      <c r="GN2342" s="155"/>
      <c r="GO2342" s="155"/>
      <c r="GP2342" s="155"/>
      <c r="GQ2342" s="155"/>
      <c r="GR2342" s="155"/>
      <c r="GS2342" s="155"/>
      <c r="GT2342" s="155"/>
      <c r="GU2342" s="155"/>
      <c r="GV2342" s="155"/>
      <c r="GW2342" s="155"/>
      <c r="GX2342" s="155"/>
      <c r="GY2342" s="155"/>
      <c r="GZ2342" s="155"/>
      <c r="HA2342" s="155"/>
      <c r="HB2342" s="155"/>
      <c r="HC2342" s="155"/>
      <c r="HD2342" s="155"/>
      <c r="HE2342" s="155"/>
    </row>
    <row r="2343" spans="2:213" s="156" customFormat="1" hidden="1">
      <c r="B2343" s="155"/>
      <c r="C2343" s="155"/>
      <c r="D2343" s="155"/>
      <c r="E2343" s="155"/>
      <c r="F2343" s="155"/>
      <c r="G2343" s="155"/>
      <c r="H2343" s="155"/>
      <c r="I2343" s="155"/>
      <c r="J2343" s="155"/>
      <c r="K2343" s="155"/>
      <c r="L2343" s="155"/>
      <c r="M2343" s="155"/>
      <c r="N2343" s="155"/>
      <c r="O2343" s="155"/>
      <c r="P2343" s="155"/>
      <c r="Q2343" s="155"/>
      <c r="R2343" s="155"/>
      <c r="S2343" s="155"/>
      <c r="T2343" s="155"/>
      <c r="U2343" s="155"/>
      <c r="V2343" s="155"/>
      <c r="W2343" s="155"/>
      <c r="GL2343" s="155"/>
      <c r="GM2343" s="155"/>
      <c r="GN2343" s="155"/>
      <c r="GO2343" s="155"/>
      <c r="GP2343" s="155"/>
      <c r="GQ2343" s="155"/>
      <c r="GR2343" s="155"/>
      <c r="GS2343" s="155"/>
      <c r="GT2343" s="155"/>
      <c r="GU2343" s="155"/>
      <c r="GV2343" s="155"/>
      <c r="GW2343" s="155"/>
      <c r="GX2343" s="155"/>
      <c r="GY2343" s="155"/>
      <c r="GZ2343" s="155"/>
      <c r="HA2343" s="155"/>
      <c r="HB2343" s="155"/>
      <c r="HC2343" s="155"/>
      <c r="HD2343" s="155"/>
      <c r="HE2343" s="155"/>
    </row>
    <row r="2344" spans="2:213" s="156" customFormat="1" hidden="1">
      <c r="B2344" s="155"/>
      <c r="C2344" s="155"/>
      <c r="D2344" s="155"/>
      <c r="E2344" s="155"/>
      <c r="F2344" s="155"/>
      <c r="G2344" s="155"/>
      <c r="H2344" s="155"/>
      <c r="I2344" s="155"/>
      <c r="J2344" s="155"/>
      <c r="K2344" s="155"/>
      <c r="L2344" s="155"/>
      <c r="M2344" s="155"/>
      <c r="N2344" s="155"/>
      <c r="O2344" s="155"/>
      <c r="P2344" s="155"/>
      <c r="Q2344" s="155"/>
      <c r="R2344" s="155"/>
      <c r="S2344" s="155"/>
      <c r="T2344" s="155"/>
      <c r="U2344" s="155"/>
      <c r="V2344" s="155"/>
      <c r="W2344" s="155"/>
      <c r="GL2344" s="155"/>
      <c r="GM2344" s="155"/>
      <c r="GN2344" s="155"/>
      <c r="GO2344" s="155"/>
      <c r="GP2344" s="155"/>
      <c r="GQ2344" s="155"/>
      <c r="GR2344" s="155"/>
      <c r="GS2344" s="155"/>
      <c r="GT2344" s="155"/>
      <c r="GU2344" s="155"/>
      <c r="GV2344" s="155"/>
      <c r="GW2344" s="155"/>
      <c r="GX2344" s="155"/>
      <c r="GY2344" s="155"/>
      <c r="GZ2344" s="155"/>
      <c r="HA2344" s="155"/>
      <c r="HB2344" s="155"/>
      <c r="HC2344" s="155"/>
      <c r="HD2344" s="155"/>
      <c r="HE2344" s="155"/>
    </row>
    <row r="2345" spans="2:213" s="156" customFormat="1" hidden="1">
      <c r="B2345" s="155"/>
      <c r="C2345" s="155"/>
      <c r="D2345" s="155"/>
      <c r="E2345" s="155"/>
      <c r="F2345" s="155"/>
      <c r="G2345" s="155"/>
      <c r="H2345" s="155"/>
      <c r="I2345" s="155"/>
      <c r="J2345" s="155"/>
      <c r="K2345" s="155"/>
      <c r="L2345" s="155"/>
      <c r="M2345" s="155"/>
      <c r="N2345" s="155"/>
      <c r="O2345" s="155"/>
      <c r="P2345" s="155"/>
      <c r="Q2345" s="155"/>
      <c r="R2345" s="155"/>
      <c r="S2345" s="155"/>
      <c r="T2345" s="155"/>
      <c r="U2345" s="155"/>
      <c r="V2345" s="155"/>
      <c r="W2345" s="155"/>
      <c r="GL2345" s="155"/>
      <c r="GM2345" s="155"/>
      <c r="GN2345" s="155"/>
      <c r="GO2345" s="155"/>
      <c r="GP2345" s="155"/>
      <c r="GQ2345" s="155"/>
      <c r="GR2345" s="155"/>
      <c r="GS2345" s="155"/>
      <c r="GT2345" s="155"/>
      <c r="GU2345" s="155"/>
      <c r="GV2345" s="155"/>
      <c r="GW2345" s="155"/>
      <c r="GX2345" s="155"/>
      <c r="GY2345" s="155"/>
      <c r="GZ2345" s="155"/>
      <c r="HA2345" s="155"/>
      <c r="HB2345" s="155"/>
      <c r="HC2345" s="155"/>
      <c r="HD2345" s="155"/>
      <c r="HE2345" s="155"/>
    </row>
    <row r="2346" spans="2:213" s="156" customFormat="1" hidden="1">
      <c r="B2346" s="155"/>
      <c r="C2346" s="155"/>
      <c r="D2346" s="155"/>
      <c r="E2346" s="155"/>
      <c r="F2346" s="155"/>
      <c r="G2346" s="155"/>
      <c r="H2346" s="155"/>
      <c r="I2346" s="155"/>
      <c r="J2346" s="155"/>
      <c r="K2346" s="155"/>
      <c r="L2346" s="155"/>
      <c r="M2346" s="155"/>
      <c r="N2346" s="155"/>
      <c r="O2346" s="155"/>
      <c r="P2346" s="155"/>
      <c r="Q2346" s="155"/>
      <c r="R2346" s="155"/>
      <c r="S2346" s="155"/>
      <c r="T2346" s="155"/>
      <c r="U2346" s="155"/>
      <c r="V2346" s="155"/>
      <c r="W2346" s="155"/>
      <c r="GL2346" s="155"/>
      <c r="GM2346" s="155"/>
      <c r="GN2346" s="155"/>
      <c r="GO2346" s="155"/>
      <c r="GP2346" s="155"/>
      <c r="GQ2346" s="155"/>
      <c r="GR2346" s="155"/>
      <c r="GS2346" s="155"/>
      <c r="GT2346" s="155"/>
      <c r="GU2346" s="155"/>
      <c r="GV2346" s="155"/>
      <c r="GW2346" s="155"/>
      <c r="GX2346" s="155"/>
      <c r="GY2346" s="155"/>
      <c r="GZ2346" s="155"/>
      <c r="HA2346" s="155"/>
      <c r="HB2346" s="155"/>
      <c r="HC2346" s="155"/>
      <c r="HD2346" s="155"/>
      <c r="HE2346" s="155"/>
    </row>
    <row r="2347" spans="2:213" s="156" customFormat="1" hidden="1">
      <c r="B2347" s="155"/>
      <c r="C2347" s="155"/>
      <c r="D2347" s="155"/>
      <c r="E2347" s="155"/>
      <c r="F2347" s="155"/>
      <c r="G2347" s="155"/>
      <c r="H2347" s="155"/>
      <c r="I2347" s="155"/>
      <c r="J2347" s="155"/>
      <c r="K2347" s="155"/>
      <c r="L2347" s="155"/>
      <c r="M2347" s="155"/>
      <c r="N2347" s="155"/>
      <c r="O2347" s="155"/>
      <c r="P2347" s="155"/>
      <c r="Q2347" s="155"/>
      <c r="R2347" s="155"/>
      <c r="S2347" s="155"/>
      <c r="T2347" s="155"/>
      <c r="U2347" s="155"/>
      <c r="V2347" s="155"/>
      <c r="W2347" s="155"/>
      <c r="GL2347" s="155"/>
      <c r="GM2347" s="155"/>
      <c r="GN2347" s="155"/>
      <c r="GO2347" s="155"/>
      <c r="GP2347" s="155"/>
      <c r="GQ2347" s="155"/>
      <c r="GR2347" s="155"/>
      <c r="GS2347" s="155"/>
      <c r="GT2347" s="155"/>
      <c r="GU2347" s="155"/>
      <c r="GV2347" s="155"/>
      <c r="GW2347" s="155"/>
      <c r="GX2347" s="155"/>
      <c r="GY2347" s="155"/>
      <c r="GZ2347" s="155"/>
      <c r="HA2347" s="155"/>
      <c r="HB2347" s="155"/>
      <c r="HC2347" s="155"/>
      <c r="HD2347" s="155"/>
      <c r="HE2347" s="155"/>
    </row>
    <row r="2348" spans="2:213" s="156" customFormat="1" hidden="1">
      <c r="B2348" s="155"/>
      <c r="C2348" s="155"/>
      <c r="D2348" s="155"/>
      <c r="E2348" s="155"/>
      <c r="F2348" s="155"/>
      <c r="G2348" s="155"/>
      <c r="H2348" s="155"/>
      <c r="I2348" s="155"/>
      <c r="J2348" s="155"/>
      <c r="K2348" s="155"/>
      <c r="L2348" s="155"/>
      <c r="M2348" s="155"/>
      <c r="N2348" s="155"/>
      <c r="O2348" s="155"/>
      <c r="P2348" s="155"/>
      <c r="Q2348" s="155"/>
      <c r="R2348" s="155"/>
      <c r="S2348" s="155"/>
      <c r="T2348" s="155"/>
      <c r="U2348" s="155"/>
      <c r="V2348" s="155"/>
      <c r="W2348" s="155"/>
      <c r="GL2348" s="155"/>
      <c r="GM2348" s="155"/>
      <c r="GN2348" s="155"/>
      <c r="GO2348" s="155"/>
      <c r="GP2348" s="155"/>
      <c r="GQ2348" s="155"/>
      <c r="GR2348" s="155"/>
      <c r="GS2348" s="155"/>
      <c r="GT2348" s="155"/>
      <c r="GU2348" s="155"/>
      <c r="GV2348" s="155"/>
      <c r="GW2348" s="155"/>
      <c r="GX2348" s="155"/>
      <c r="GY2348" s="155"/>
      <c r="GZ2348" s="155"/>
      <c r="HA2348" s="155"/>
      <c r="HB2348" s="155"/>
      <c r="HC2348" s="155"/>
      <c r="HD2348" s="155"/>
      <c r="HE2348" s="155"/>
    </row>
    <row r="2349" spans="2:213" s="156" customFormat="1" hidden="1">
      <c r="B2349" s="155"/>
      <c r="C2349" s="155"/>
      <c r="D2349" s="155"/>
      <c r="E2349" s="155"/>
      <c r="F2349" s="155"/>
      <c r="G2349" s="155"/>
      <c r="H2349" s="155"/>
      <c r="I2349" s="155"/>
      <c r="J2349" s="155"/>
      <c r="K2349" s="155"/>
      <c r="L2349" s="155"/>
      <c r="M2349" s="155"/>
      <c r="N2349" s="155"/>
      <c r="O2349" s="155"/>
      <c r="P2349" s="155"/>
      <c r="Q2349" s="155"/>
      <c r="R2349" s="155"/>
      <c r="S2349" s="155"/>
      <c r="T2349" s="155"/>
      <c r="U2349" s="155"/>
      <c r="V2349" s="155"/>
      <c r="W2349" s="155"/>
      <c r="GL2349" s="155"/>
      <c r="GM2349" s="155"/>
      <c r="GN2349" s="155"/>
      <c r="GO2349" s="155"/>
      <c r="GP2349" s="155"/>
      <c r="GQ2349" s="155"/>
      <c r="GR2349" s="155"/>
      <c r="GS2349" s="155"/>
      <c r="GT2349" s="155"/>
      <c r="GU2349" s="155"/>
      <c r="GV2349" s="155"/>
      <c r="GW2349" s="155"/>
      <c r="GX2349" s="155"/>
      <c r="GY2349" s="155"/>
      <c r="GZ2349" s="155"/>
      <c r="HA2349" s="155"/>
      <c r="HB2349" s="155"/>
      <c r="HC2349" s="155"/>
      <c r="HD2349" s="155"/>
      <c r="HE2349" s="155"/>
    </row>
    <row r="2350" spans="2:213" s="156" customFormat="1" hidden="1">
      <c r="B2350" s="155"/>
      <c r="C2350" s="155"/>
      <c r="D2350" s="155"/>
      <c r="E2350" s="155"/>
      <c r="F2350" s="155"/>
      <c r="G2350" s="155"/>
      <c r="H2350" s="155"/>
      <c r="I2350" s="155"/>
      <c r="J2350" s="155"/>
      <c r="K2350" s="155"/>
      <c r="L2350" s="155"/>
      <c r="M2350" s="155"/>
      <c r="N2350" s="155"/>
      <c r="O2350" s="155"/>
      <c r="P2350" s="155"/>
      <c r="Q2350" s="155"/>
      <c r="R2350" s="155"/>
      <c r="S2350" s="155"/>
      <c r="T2350" s="155"/>
      <c r="U2350" s="155"/>
      <c r="V2350" s="155"/>
      <c r="W2350" s="155"/>
      <c r="GL2350" s="155"/>
      <c r="GM2350" s="155"/>
      <c r="GN2350" s="155"/>
      <c r="GO2350" s="155"/>
      <c r="GP2350" s="155"/>
      <c r="GQ2350" s="155"/>
      <c r="GR2350" s="155"/>
      <c r="GS2350" s="155"/>
      <c r="GT2350" s="155"/>
      <c r="GU2350" s="155"/>
      <c r="GV2350" s="155"/>
      <c r="GW2350" s="155"/>
      <c r="GX2350" s="155"/>
      <c r="GY2350" s="155"/>
      <c r="GZ2350" s="155"/>
      <c r="HA2350" s="155"/>
      <c r="HB2350" s="155"/>
      <c r="HC2350" s="155"/>
      <c r="HD2350" s="155"/>
      <c r="HE2350" s="155"/>
    </row>
    <row r="2351" spans="2:213" s="156" customFormat="1" hidden="1">
      <c r="B2351" s="155"/>
      <c r="C2351" s="155"/>
      <c r="D2351" s="155"/>
      <c r="E2351" s="155"/>
      <c r="F2351" s="155"/>
      <c r="G2351" s="155"/>
      <c r="H2351" s="155"/>
      <c r="I2351" s="155"/>
      <c r="J2351" s="155"/>
      <c r="K2351" s="155"/>
      <c r="L2351" s="155"/>
      <c r="M2351" s="155"/>
      <c r="N2351" s="155"/>
      <c r="O2351" s="155"/>
      <c r="P2351" s="155"/>
      <c r="Q2351" s="155"/>
      <c r="R2351" s="155"/>
      <c r="S2351" s="155"/>
      <c r="T2351" s="155"/>
      <c r="U2351" s="155"/>
      <c r="V2351" s="155"/>
      <c r="W2351" s="155"/>
      <c r="GL2351" s="155"/>
      <c r="GM2351" s="155"/>
      <c r="GN2351" s="155"/>
      <c r="GO2351" s="155"/>
      <c r="GP2351" s="155"/>
      <c r="GQ2351" s="155"/>
      <c r="GR2351" s="155"/>
      <c r="GS2351" s="155"/>
      <c r="GT2351" s="155"/>
      <c r="GU2351" s="155"/>
      <c r="GV2351" s="155"/>
      <c r="GW2351" s="155"/>
      <c r="GX2351" s="155"/>
      <c r="GY2351" s="155"/>
      <c r="GZ2351" s="155"/>
      <c r="HA2351" s="155"/>
      <c r="HB2351" s="155"/>
      <c r="HC2351" s="155"/>
      <c r="HD2351" s="155"/>
      <c r="HE2351" s="155"/>
    </row>
    <row r="2352" spans="2:213" s="156" customFormat="1" hidden="1">
      <c r="B2352" s="155"/>
      <c r="C2352" s="155"/>
      <c r="D2352" s="155"/>
      <c r="E2352" s="155"/>
      <c r="F2352" s="155"/>
      <c r="G2352" s="155"/>
      <c r="H2352" s="155"/>
      <c r="I2352" s="155"/>
      <c r="J2352" s="155"/>
      <c r="K2352" s="155"/>
      <c r="L2352" s="155"/>
      <c r="M2352" s="155"/>
      <c r="N2352" s="155"/>
      <c r="O2352" s="155"/>
      <c r="P2352" s="155"/>
      <c r="Q2352" s="155"/>
      <c r="R2352" s="155"/>
      <c r="S2352" s="155"/>
      <c r="T2352" s="155"/>
      <c r="U2352" s="155"/>
      <c r="V2352" s="155"/>
      <c r="W2352" s="155"/>
      <c r="GL2352" s="155"/>
      <c r="GM2352" s="155"/>
      <c r="GN2352" s="155"/>
      <c r="GO2352" s="155"/>
      <c r="GP2352" s="155"/>
      <c r="GQ2352" s="155"/>
      <c r="GR2352" s="155"/>
      <c r="GS2352" s="155"/>
      <c r="GT2352" s="155"/>
      <c r="GU2352" s="155"/>
      <c r="GV2352" s="155"/>
      <c r="GW2352" s="155"/>
      <c r="GX2352" s="155"/>
      <c r="GY2352" s="155"/>
      <c r="GZ2352" s="155"/>
      <c r="HA2352" s="155"/>
      <c r="HB2352" s="155"/>
      <c r="HC2352" s="155"/>
      <c r="HD2352" s="155"/>
      <c r="HE2352" s="155"/>
    </row>
    <row r="2353" spans="2:213" s="156" customFormat="1" hidden="1">
      <c r="B2353" s="155"/>
      <c r="C2353" s="155"/>
      <c r="D2353" s="155"/>
      <c r="E2353" s="155"/>
      <c r="F2353" s="155"/>
      <c r="G2353" s="155"/>
      <c r="H2353" s="155"/>
      <c r="I2353" s="155"/>
      <c r="J2353" s="155"/>
      <c r="K2353" s="155"/>
      <c r="L2353" s="155"/>
      <c r="M2353" s="155"/>
      <c r="N2353" s="155"/>
      <c r="O2353" s="155"/>
      <c r="P2353" s="155"/>
      <c r="Q2353" s="155"/>
      <c r="R2353" s="155"/>
      <c r="S2353" s="155"/>
      <c r="T2353" s="155"/>
      <c r="U2353" s="155"/>
      <c r="V2353" s="155"/>
      <c r="W2353" s="155"/>
      <c r="GL2353" s="155"/>
      <c r="GM2353" s="155"/>
      <c r="GN2353" s="155"/>
      <c r="GO2353" s="155"/>
      <c r="GP2353" s="155"/>
      <c r="GQ2353" s="155"/>
      <c r="GR2353" s="155"/>
      <c r="GS2353" s="155"/>
      <c r="GT2353" s="155"/>
      <c r="GU2353" s="155"/>
      <c r="GV2353" s="155"/>
      <c r="GW2353" s="155"/>
      <c r="GX2353" s="155"/>
      <c r="GY2353" s="155"/>
      <c r="GZ2353" s="155"/>
      <c r="HA2353" s="155"/>
      <c r="HB2353" s="155"/>
      <c r="HC2353" s="155"/>
      <c r="HD2353" s="155"/>
      <c r="HE2353" s="155"/>
    </row>
    <row r="2354" spans="2:213" s="156" customFormat="1" hidden="1">
      <c r="B2354" s="155"/>
      <c r="C2354" s="155"/>
      <c r="D2354" s="155"/>
      <c r="E2354" s="155"/>
      <c r="F2354" s="155"/>
      <c r="G2354" s="155"/>
      <c r="H2354" s="155"/>
      <c r="I2354" s="155"/>
      <c r="J2354" s="155"/>
      <c r="K2354" s="155"/>
      <c r="L2354" s="155"/>
      <c r="M2354" s="155"/>
      <c r="N2354" s="155"/>
      <c r="O2354" s="155"/>
      <c r="P2354" s="155"/>
      <c r="Q2354" s="155"/>
      <c r="R2354" s="155"/>
      <c r="S2354" s="155"/>
      <c r="T2354" s="155"/>
      <c r="U2354" s="155"/>
      <c r="V2354" s="155"/>
      <c r="W2354" s="155"/>
      <c r="GL2354" s="155"/>
      <c r="GM2354" s="155"/>
      <c r="GN2354" s="155"/>
      <c r="GO2354" s="155"/>
      <c r="GP2354" s="155"/>
      <c r="GQ2354" s="155"/>
      <c r="GR2354" s="155"/>
      <c r="GS2354" s="155"/>
      <c r="GT2354" s="155"/>
      <c r="GU2354" s="155"/>
      <c r="GV2354" s="155"/>
      <c r="GW2354" s="155"/>
      <c r="GX2354" s="155"/>
      <c r="GY2354" s="155"/>
      <c r="GZ2354" s="155"/>
      <c r="HA2354" s="155"/>
      <c r="HB2354" s="155"/>
      <c r="HC2354" s="155"/>
      <c r="HD2354" s="155"/>
      <c r="HE2354" s="155"/>
    </row>
    <row r="2355" spans="2:213" s="156" customFormat="1" hidden="1">
      <c r="B2355" s="155"/>
      <c r="C2355" s="155"/>
      <c r="D2355" s="155"/>
      <c r="E2355" s="155"/>
      <c r="F2355" s="155"/>
      <c r="G2355" s="155"/>
      <c r="H2355" s="155"/>
      <c r="I2355" s="155"/>
      <c r="J2355" s="155"/>
      <c r="K2355" s="155"/>
      <c r="L2355" s="155"/>
      <c r="M2355" s="155"/>
      <c r="N2355" s="155"/>
      <c r="O2355" s="155"/>
      <c r="P2355" s="155"/>
      <c r="Q2355" s="155"/>
      <c r="R2355" s="155"/>
      <c r="S2355" s="155"/>
      <c r="T2355" s="155"/>
      <c r="U2355" s="155"/>
      <c r="V2355" s="155"/>
      <c r="W2355" s="155"/>
      <c r="GL2355" s="155"/>
      <c r="GM2355" s="155"/>
      <c r="GN2355" s="155"/>
      <c r="GO2355" s="155"/>
      <c r="GP2355" s="155"/>
      <c r="GQ2355" s="155"/>
      <c r="GR2355" s="155"/>
      <c r="GS2355" s="155"/>
      <c r="GT2355" s="155"/>
      <c r="GU2355" s="155"/>
      <c r="GV2355" s="155"/>
      <c r="GW2355" s="155"/>
      <c r="GX2355" s="155"/>
      <c r="GY2355" s="155"/>
      <c r="GZ2355" s="155"/>
      <c r="HA2355" s="155"/>
      <c r="HB2355" s="155"/>
      <c r="HC2355" s="155"/>
      <c r="HD2355" s="155"/>
      <c r="HE2355" s="155"/>
    </row>
    <row r="2356" spans="2:213" s="156" customFormat="1" hidden="1">
      <c r="B2356" s="155"/>
      <c r="C2356" s="155"/>
      <c r="D2356" s="155"/>
      <c r="E2356" s="155"/>
      <c r="F2356" s="155"/>
      <c r="G2356" s="155"/>
      <c r="H2356" s="155"/>
      <c r="I2356" s="155"/>
      <c r="J2356" s="155"/>
      <c r="K2356" s="155"/>
      <c r="L2356" s="155"/>
      <c r="M2356" s="155"/>
      <c r="N2356" s="155"/>
      <c r="O2356" s="155"/>
      <c r="P2356" s="155"/>
      <c r="Q2356" s="155"/>
      <c r="R2356" s="155"/>
      <c r="S2356" s="155"/>
      <c r="T2356" s="155"/>
      <c r="U2356" s="155"/>
      <c r="V2356" s="155"/>
      <c r="W2356" s="155"/>
      <c r="GL2356" s="155"/>
      <c r="GM2356" s="155"/>
      <c r="GN2356" s="155"/>
      <c r="GO2356" s="155"/>
      <c r="GP2356" s="155"/>
      <c r="GQ2356" s="155"/>
      <c r="GR2356" s="155"/>
      <c r="GS2356" s="155"/>
      <c r="GT2356" s="155"/>
      <c r="GU2356" s="155"/>
      <c r="GV2356" s="155"/>
      <c r="GW2356" s="155"/>
      <c r="GX2356" s="155"/>
      <c r="GY2356" s="155"/>
      <c r="GZ2356" s="155"/>
      <c r="HA2356" s="155"/>
      <c r="HB2356" s="155"/>
      <c r="HC2356" s="155"/>
      <c r="HD2356" s="155"/>
      <c r="HE2356" s="155"/>
    </row>
    <row r="2357" spans="2:213" s="156" customFormat="1" hidden="1">
      <c r="B2357" s="155"/>
      <c r="C2357" s="155"/>
      <c r="D2357" s="155"/>
      <c r="E2357" s="155"/>
      <c r="F2357" s="155"/>
      <c r="G2357" s="155"/>
      <c r="H2357" s="155"/>
      <c r="I2357" s="155"/>
      <c r="J2357" s="155"/>
      <c r="K2357" s="155"/>
      <c r="L2357" s="155"/>
      <c r="M2357" s="155"/>
      <c r="N2357" s="155"/>
      <c r="O2357" s="155"/>
      <c r="P2357" s="155"/>
      <c r="Q2357" s="155"/>
      <c r="R2357" s="155"/>
      <c r="S2357" s="155"/>
      <c r="T2357" s="155"/>
      <c r="U2357" s="155"/>
      <c r="V2357" s="155"/>
      <c r="W2357" s="155"/>
      <c r="GL2357" s="155"/>
      <c r="GM2357" s="155"/>
      <c r="GN2357" s="155"/>
      <c r="GO2357" s="155"/>
      <c r="GP2357" s="155"/>
      <c r="GQ2357" s="155"/>
      <c r="GR2357" s="155"/>
      <c r="GS2357" s="155"/>
      <c r="GT2357" s="155"/>
      <c r="GU2357" s="155"/>
      <c r="GV2357" s="155"/>
      <c r="GW2357" s="155"/>
      <c r="GX2357" s="155"/>
      <c r="GY2357" s="155"/>
      <c r="GZ2357" s="155"/>
      <c r="HA2357" s="155"/>
      <c r="HB2357" s="155"/>
      <c r="HC2357" s="155"/>
      <c r="HD2357" s="155"/>
      <c r="HE2357" s="155"/>
    </row>
    <row r="2358" spans="2:213" s="156" customFormat="1" hidden="1">
      <c r="B2358" s="155"/>
      <c r="C2358" s="155"/>
      <c r="D2358" s="155"/>
      <c r="E2358" s="155"/>
      <c r="F2358" s="155"/>
      <c r="G2358" s="155"/>
      <c r="H2358" s="155"/>
      <c r="I2358" s="155"/>
      <c r="J2358" s="155"/>
      <c r="K2358" s="155"/>
      <c r="L2358" s="155"/>
      <c r="M2358" s="155"/>
      <c r="N2358" s="155"/>
      <c r="O2358" s="155"/>
      <c r="P2358" s="155"/>
      <c r="Q2358" s="155"/>
      <c r="R2358" s="155"/>
      <c r="S2358" s="155"/>
      <c r="T2358" s="155"/>
      <c r="U2358" s="155"/>
      <c r="V2358" s="155"/>
      <c r="W2358" s="155"/>
      <c r="GL2358" s="155"/>
      <c r="GM2358" s="155"/>
      <c r="GN2358" s="155"/>
      <c r="GO2358" s="155"/>
      <c r="GP2358" s="155"/>
      <c r="GQ2358" s="155"/>
      <c r="GR2358" s="155"/>
      <c r="GS2358" s="155"/>
      <c r="GT2358" s="155"/>
      <c r="GU2358" s="155"/>
      <c r="GV2358" s="155"/>
      <c r="GW2358" s="155"/>
      <c r="GX2358" s="155"/>
      <c r="GY2358" s="155"/>
      <c r="GZ2358" s="155"/>
      <c r="HA2358" s="155"/>
      <c r="HB2358" s="155"/>
      <c r="HC2358" s="155"/>
      <c r="HD2358" s="155"/>
      <c r="HE2358" s="155"/>
    </row>
    <row r="2359" spans="2:213" s="156" customFormat="1" hidden="1">
      <c r="B2359" s="155"/>
      <c r="C2359" s="155"/>
      <c r="D2359" s="155"/>
      <c r="E2359" s="155"/>
      <c r="F2359" s="155"/>
      <c r="G2359" s="155"/>
      <c r="H2359" s="155"/>
      <c r="I2359" s="155"/>
      <c r="J2359" s="155"/>
      <c r="K2359" s="155"/>
      <c r="L2359" s="155"/>
      <c r="M2359" s="155"/>
      <c r="N2359" s="155"/>
      <c r="O2359" s="155"/>
      <c r="P2359" s="155"/>
      <c r="Q2359" s="155"/>
      <c r="R2359" s="155"/>
      <c r="S2359" s="155"/>
      <c r="T2359" s="155"/>
      <c r="U2359" s="155"/>
      <c r="V2359" s="155"/>
      <c r="W2359" s="155"/>
      <c r="GL2359" s="155"/>
      <c r="GM2359" s="155"/>
      <c r="GN2359" s="155"/>
      <c r="GO2359" s="155"/>
      <c r="GP2359" s="155"/>
      <c r="GQ2359" s="155"/>
      <c r="GR2359" s="155"/>
      <c r="GS2359" s="155"/>
      <c r="GT2359" s="155"/>
      <c r="GU2359" s="155"/>
      <c r="GV2359" s="155"/>
      <c r="GW2359" s="155"/>
      <c r="GX2359" s="155"/>
      <c r="GY2359" s="155"/>
      <c r="GZ2359" s="155"/>
      <c r="HA2359" s="155"/>
      <c r="HB2359" s="155"/>
      <c r="HC2359" s="155"/>
      <c r="HD2359" s="155"/>
      <c r="HE2359" s="155"/>
    </row>
    <row r="2360" spans="2:213" s="156" customFormat="1" hidden="1">
      <c r="B2360" s="155"/>
      <c r="C2360" s="155"/>
      <c r="D2360" s="155"/>
      <c r="E2360" s="155"/>
      <c r="F2360" s="155"/>
      <c r="G2360" s="155"/>
      <c r="H2360" s="155"/>
      <c r="I2360" s="155"/>
      <c r="J2360" s="155"/>
      <c r="K2360" s="155"/>
      <c r="L2360" s="155"/>
      <c r="M2360" s="155"/>
      <c r="N2360" s="155"/>
      <c r="O2360" s="155"/>
      <c r="P2360" s="155"/>
      <c r="Q2360" s="155"/>
      <c r="R2360" s="155"/>
      <c r="S2360" s="155"/>
      <c r="T2360" s="155"/>
      <c r="U2360" s="155"/>
      <c r="V2360" s="155"/>
      <c r="W2360" s="155"/>
      <c r="GL2360" s="155"/>
      <c r="GM2360" s="155"/>
      <c r="GN2360" s="155"/>
      <c r="GO2360" s="155"/>
      <c r="GP2360" s="155"/>
      <c r="GQ2360" s="155"/>
      <c r="GR2360" s="155"/>
      <c r="GS2360" s="155"/>
      <c r="GT2360" s="155"/>
      <c r="GU2360" s="155"/>
      <c r="GV2360" s="155"/>
      <c r="GW2360" s="155"/>
      <c r="GX2360" s="155"/>
      <c r="GY2360" s="155"/>
      <c r="GZ2360" s="155"/>
      <c r="HA2360" s="155"/>
      <c r="HB2360" s="155"/>
      <c r="HC2360" s="155"/>
      <c r="HD2360" s="155"/>
      <c r="HE2360" s="155"/>
    </row>
    <row r="2361" spans="2:213" s="156" customFormat="1" hidden="1">
      <c r="B2361" s="155"/>
      <c r="C2361" s="155"/>
      <c r="D2361" s="155"/>
      <c r="E2361" s="155"/>
      <c r="F2361" s="155"/>
      <c r="G2361" s="155"/>
      <c r="H2361" s="155"/>
      <c r="I2361" s="155"/>
      <c r="J2361" s="155"/>
      <c r="K2361" s="155"/>
      <c r="L2361" s="155"/>
      <c r="M2361" s="155"/>
      <c r="N2361" s="155"/>
      <c r="O2361" s="155"/>
      <c r="P2361" s="155"/>
      <c r="Q2361" s="155"/>
      <c r="R2361" s="155"/>
      <c r="S2361" s="155"/>
      <c r="T2361" s="155"/>
      <c r="U2361" s="155"/>
      <c r="V2361" s="155"/>
      <c r="W2361" s="155"/>
      <c r="GL2361" s="155"/>
      <c r="GM2361" s="155"/>
      <c r="GN2361" s="155"/>
      <c r="GO2361" s="155"/>
      <c r="GP2361" s="155"/>
      <c r="GQ2361" s="155"/>
      <c r="GR2361" s="155"/>
      <c r="GS2361" s="155"/>
      <c r="GT2361" s="155"/>
      <c r="GU2361" s="155"/>
      <c r="GV2361" s="155"/>
      <c r="GW2361" s="155"/>
      <c r="GX2361" s="155"/>
      <c r="GY2361" s="155"/>
      <c r="GZ2361" s="155"/>
      <c r="HA2361" s="155"/>
      <c r="HB2361" s="155"/>
      <c r="HC2361" s="155"/>
      <c r="HD2361" s="155"/>
      <c r="HE2361" s="155"/>
    </row>
    <row r="2362" spans="2:213" s="156" customFormat="1" hidden="1">
      <c r="B2362" s="155"/>
      <c r="C2362" s="155"/>
      <c r="D2362" s="155"/>
      <c r="E2362" s="155"/>
      <c r="F2362" s="155"/>
      <c r="G2362" s="155"/>
      <c r="H2362" s="155"/>
      <c r="I2362" s="155"/>
      <c r="J2362" s="155"/>
      <c r="K2362" s="155"/>
      <c r="L2362" s="155"/>
      <c r="M2362" s="155"/>
      <c r="N2362" s="155"/>
      <c r="O2362" s="155"/>
      <c r="P2362" s="155"/>
      <c r="Q2362" s="155"/>
      <c r="R2362" s="155"/>
      <c r="S2362" s="155"/>
      <c r="T2362" s="155"/>
      <c r="U2362" s="155"/>
      <c r="V2362" s="155"/>
      <c r="W2362" s="155"/>
      <c r="GL2362" s="155"/>
      <c r="GM2362" s="155"/>
      <c r="GN2362" s="155"/>
      <c r="GO2362" s="155"/>
      <c r="GP2362" s="155"/>
      <c r="GQ2362" s="155"/>
      <c r="GR2362" s="155"/>
      <c r="GS2362" s="155"/>
      <c r="GT2362" s="155"/>
      <c r="GU2362" s="155"/>
      <c r="GV2362" s="155"/>
      <c r="GW2362" s="155"/>
      <c r="GX2362" s="155"/>
      <c r="GY2362" s="155"/>
      <c r="GZ2362" s="155"/>
      <c r="HA2362" s="155"/>
      <c r="HB2362" s="155"/>
      <c r="HC2362" s="155"/>
      <c r="HD2362" s="155"/>
      <c r="HE2362" s="155"/>
    </row>
    <row r="2363" spans="2:213" s="156" customFormat="1" hidden="1">
      <c r="B2363" s="155"/>
      <c r="C2363" s="155"/>
      <c r="D2363" s="155"/>
      <c r="E2363" s="155"/>
      <c r="F2363" s="155"/>
      <c r="G2363" s="155"/>
      <c r="H2363" s="155"/>
      <c r="I2363" s="155"/>
      <c r="J2363" s="155"/>
      <c r="K2363" s="155"/>
      <c r="L2363" s="155"/>
      <c r="M2363" s="155"/>
      <c r="N2363" s="155"/>
      <c r="O2363" s="155"/>
      <c r="P2363" s="155"/>
      <c r="Q2363" s="155"/>
      <c r="R2363" s="155"/>
      <c r="S2363" s="155"/>
      <c r="T2363" s="155"/>
      <c r="U2363" s="155"/>
      <c r="V2363" s="155"/>
      <c r="W2363" s="155"/>
      <c r="GL2363" s="155"/>
      <c r="GM2363" s="155"/>
      <c r="GN2363" s="155"/>
      <c r="GO2363" s="155"/>
      <c r="GP2363" s="155"/>
      <c r="GQ2363" s="155"/>
      <c r="GR2363" s="155"/>
      <c r="GS2363" s="155"/>
      <c r="GT2363" s="155"/>
      <c r="GU2363" s="155"/>
      <c r="GV2363" s="155"/>
      <c r="GW2363" s="155"/>
      <c r="GX2363" s="155"/>
      <c r="GY2363" s="155"/>
      <c r="GZ2363" s="155"/>
      <c r="HA2363" s="155"/>
      <c r="HB2363" s="155"/>
      <c r="HC2363" s="155"/>
      <c r="HD2363" s="155"/>
      <c r="HE2363" s="155"/>
    </row>
    <row r="2364" spans="2:213" s="156" customFormat="1" hidden="1">
      <c r="B2364" s="155"/>
      <c r="C2364" s="155"/>
      <c r="D2364" s="155"/>
      <c r="E2364" s="155"/>
      <c r="F2364" s="155"/>
      <c r="G2364" s="155"/>
      <c r="H2364" s="155"/>
      <c r="I2364" s="155"/>
      <c r="J2364" s="155"/>
      <c r="K2364" s="155"/>
      <c r="L2364" s="155"/>
      <c r="M2364" s="155"/>
      <c r="N2364" s="155"/>
      <c r="O2364" s="155"/>
      <c r="P2364" s="155"/>
      <c r="Q2364" s="155"/>
      <c r="R2364" s="155"/>
      <c r="S2364" s="155"/>
      <c r="T2364" s="155"/>
      <c r="U2364" s="155"/>
      <c r="V2364" s="155"/>
      <c r="W2364" s="155"/>
      <c r="GL2364" s="155"/>
      <c r="GM2364" s="155"/>
      <c r="GN2364" s="155"/>
      <c r="GO2364" s="155"/>
      <c r="GP2364" s="155"/>
      <c r="GQ2364" s="155"/>
      <c r="GR2364" s="155"/>
      <c r="GS2364" s="155"/>
      <c r="GT2364" s="155"/>
      <c r="GU2364" s="155"/>
      <c r="GV2364" s="155"/>
      <c r="GW2364" s="155"/>
      <c r="GX2364" s="155"/>
      <c r="GY2364" s="155"/>
      <c r="GZ2364" s="155"/>
      <c r="HA2364" s="155"/>
      <c r="HB2364" s="155"/>
      <c r="HC2364" s="155"/>
      <c r="HD2364" s="155"/>
      <c r="HE2364" s="155"/>
    </row>
    <row r="2365" spans="2:213" s="156" customFormat="1" hidden="1">
      <c r="B2365" s="155"/>
      <c r="C2365" s="155"/>
      <c r="D2365" s="155"/>
      <c r="E2365" s="155"/>
      <c r="F2365" s="155"/>
      <c r="G2365" s="155"/>
      <c r="H2365" s="155"/>
      <c r="I2365" s="155"/>
      <c r="J2365" s="155"/>
      <c r="K2365" s="155"/>
      <c r="L2365" s="155"/>
      <c r="M2365" s="155"/>
      <c r="N2365" s="155"/>
      <c r="O2365" s="155"/>
      <c r="P2365" s="155"/>
      <c r="Q2365" s="155"/>
      <c r="R2365" s="155"/>
      <c r="S2365" s="155"/>
      <c r="T2365" s="155"/>
      <c r="U2365" s="155"/>
      <c r="V2365" s="155"/>
      <c r="W2365" s="155"/>
      <c r="GL2365" s="155"/>
      <c r="GM2365" s="155"/>
      <c r="GN2365" s="155"/>
      <c r="GO2365" s="155"/>
      <c r="GP2365" s="155"/>
      <c r="GQ2365" s="155"/>
      <c r="GR2365" s="155"/>
      <c r="GS2365" s="155"/>
      <c r="GT2365" s="155"/>
      <c r="GU2365" s="155"/>
      <c r="GV2365" s="155"/>
      <c r="GW2365" s="155"/>
      <c r="GX2365" s="155"/>
      <c r="GY2365" s="155"/>
      <c r="GZ2365" s="155"/>
      <c r="HA2365" s="155"/>
      <c r="HB2365" s="155"/>
      <c r="HC2365" s="155"/>
      <c r="HD2365" s="155"/>
      <c r="HE2365" s="155"/>
    </row>
    <row r="2366" spans="2:213" s="156" customFormat="1" hidden="1">
      <c r="B2366" s="155"/>
      <c r="C2366" s="155"/>
      <c r="D2366" s="155"/>
      <c r="E2366" s="155"/>
      <c r="F2366" s="155"/>
      <c r="G2366" s="155"/>
      <c r="H2366" s="155"/>
      <c r="I2366" s="155"/>
      <c r="J2366" s="155"/>
      <c r="K2366" s="155"/>
      <c r="L2366" s="155"/>
      <c r="M2366" s="155"/>
      <c r="N2366" s="155"/>
      <c r="O2366" s="155"/>
      <c r="P2366" s="155"/>
      <c r="Q2366" s="155"/>
      <c r="R2366" s="155"/>
      <c r="S2366" s="155"/>
      <c r="T2366" s="155"/>
      <c r="U2366" s="155"/>
      <c r="V2366" s="155"/>
      <c r="W2366" s="155"/>
      <c r="GL2366" s="155"/>
      <c r="GM2366" s="155"/>
      <c r="GN2366" s="155"/>
      <c r="GO2366" s="155"/>
      <c r="GP2366" s="155"/>
      <c r="GQ2366" s="155"/>
      <c r="GR2366" s="155"/>
      <c r="GS2366" s="155"/>
      <c r="GT2366" s="155"/>
      <c r="GU2366" s="155"/>
      <c r="GV2366" s="155"/>
      <c r="GW2366" s="155"/>
      <c r="GX2366" s="155"/>
      <c r="GY2366" s="155"/>
      <c r="GZ2366" s="155"/>
      <c r="HA2366" s="155"/>
      <c r="HB2366" s="155"/>
      <c r="HC2366" s="155"/>
      <c r="HD2366" s="155"/>
      <c r="HE2366" s="155"/>
    </row>
    <row r="2367" spans="2:213" s="156" customFormat="1" hidden="1">
      <c r="B2367" s="155"/>
      <c r="C2367" s="155"/>
      <c r="D2367" s="155"/>
      <c r="E2367" s="155"/>
      <c r="F2367" s="155"/>
      <c r="G2367" s="155"/>
      <c r="H2367" s="155"/>
      <c r="I2367" s="155"/>
      <c r="J2367" s="155"/>
      <c r="K2367" s="155"/>
      <c r="L2367" s="155"/>
      <c r="M2367" s="155"/>
      <c r="N2367" s="155"/>
      <c r="O2367" s="155"/>
      <c r="P2367" s="155"/>
      <c r="Q2367" s="155"/>
      <c r="R2367" s="155"/>
      <c r="S2367" s="155"/>
      <c r="T2367" s="155"/>
      <c r="U2367" s="155"/>
      <c r="V2367" s="155"/>
      <c r="W2367" s="155"/>
      <c r="GL2367" s="155"/>
      <c r="GM2367" s="155"/>
      <c r="GN2367" s="155"/>
      <c r="GO2367" s="155"/>
      <c r="GP2367" s="155"/>
      <c r="GQ2367" s="155"/>
      <c r="GR2367" s="155"/>
      <c r="GS2367" s="155"/>
      <c r="GT2367" s="155"/>
      <c r="GU2367" s="155"/>
      <c r="GV2367" s="155"/>
      <c r="GW2367" s="155"/>
      <c r="GX2367" s="155"/>
      <c r="GY2367" s="155"/>
      <c r="GZ2367" s="155"/>
      <c r="HA2367" s="155"/>
      <c r="HB2367" s="155"/>
      <c r="HC2367" s="155"/>
      <c r="HD2367" s="155"/>
      <c r="HE2367" s="155"/>
    </row>
    <row r="2368" spans="2:213" s="156" customFormat="1" hidden="1">
      <c r="B2368" s="155"/>
      <c r="C2368" s="155"/>
      <c r="D2368" s="155"/>
      <c r="E2368" s="155"/>
      <c r="F2368" s="155"/>
      <c r="G2368" s="155"/>
      <c r="H2368" s="155"/>
      <c r="I2368" s="155"/>
      <c r="J2368" s="155"/>
      <c r="K2368" s="155"/>
      <c r="L2368" s="155"/>
      <c r="M2368" s="155"/>
      <c r="N2368" s="155"/>
      <c r="O2368" s="155"/>
      <c r="P2368" s="155"/>
      <c r="Q2368" s="155"/>
      <c r="R2368" s="155"/>
      <c r="S2368" s="155"/>
      <c r="T2368" s="155"/>
      <c r="U2368" s="155"/>
      <c r="V2368" s="155"/>
      <c r="W2368" s="155"/>
      <c r="GL2368" s="155"/>
      <c r="GM2368" s="155"/>
      <c r="GN2368" s="155"/>
      <c r="GO2368" s="155"/>
      <c r="GP2368" s="155"/>
      <c r="GQ2368" s="155"/>
      <c r="GR2368" s="155"/>
      <c r="GS2368" s="155"/>
      <c r="GT2368" s="155"/>
      <c r="GU2368" s="155"/>
      <c r="GV2368" s="155"/>
      <c r="GW2368" s="155"/>
      <c r="GX2368" s="155"/>
      <c r="GY2368" s="155"/>
      <c r="GZ2368" s="155"/>
      <c r="HA2368" s="155"/>
      <c r="HB2368" s="155"/>
      <c r="HC2368" s="155"/>
      <c r="HD2368" s="155"/>
      <c r="HE2368" s="155"/>
    </row>
    <row r="2369" spans="2:213" s="156" customFormat="1" hidden="1">
      <c r="B2369" s="155"/>
      <c r="C2369" s="155"/>
      <c r="D2369" s="155"/>
      <c r="E2369" s="155"/>
      <c r="F2369" s="155"/>
      <c r="G2369" s="155"/>
      <c r="H2369" s="155"/>
      <c r="I2369" s="155"/>
      <c r="J2369" s="155"/>
      <c r="K2369" s="155"/>
      <c r="L2369" s="155"/>
      <c r="M2369" s="155"/>
      <c r="N2369" s="155"/>
      <c r="O2369" s="155"/>
      <c r="P2369" s="155"/>
      <c r="Q2369" s="155"/>
      <c r="R2369" s="155"/>
      <c r="S2369" s="155"/>
      <c r="T2369" s="155"/>
      <c r="U2369" s="155"/>
      <c r="V2369" s="155"/>
      <c r="W2369" s="155"/>
      <c r="GL2369" s="155"/>
      <c r="GM2369" s="155"/>
      <c r="GN2369" s="155"/>
      <c r="GO2369" s="155"/>
      <c r="GP2369" s="155"/>
      <c r="GQ2369" s="155"/>
      <c r="GR2369" s="155"/>
      <c r="GS2369" s="155"/>
      <c r="GT2369" s="155"/>
      <c r="GU2369" s="155"/>
      <c r="GV2369" s="155"/>
      <c r="GW2369" s="155"/>
      <c r="GX2369" s="155"/>
      <c r="GY2369" s="155"/>
      <c r="GZ2369" s="155"/>
      <c r="HA2369" s="155"/>
      <c r="HB2369" s="155"/>
      <c r="HC2369" s="155"/>
      <c r="HD2369" s="155"/>
      <c r="HE2369" s="155"/>
    </row>
    <row r="2370" spans="2:213" s="156" customFormat="1" hidden="1">
      <c r="B2370" s="155"/>
      <c r="C2370" s="155"/>
      <c r="D2370" s="155"/>
      <c r="E2370" s="155"/>
      <c r="F2370" s="155"/>
      <c r="G2370" s="155"/>
      <c r="H2370" s="155"/>
      <c r="I2370" s="155"/>
      <c r="J2370" s="155"/>
      <c r="K2370" s="155"/>
      <c r="L2370" s="155"/>
      <c r="M2370" s="155"/>
      <c r="N2370" s="155"/>
      <c r="O2370" s="155"/>
      <c r="P2370" s="155"/>
      <c r="Q2370" s="155"/>
      <c r="R2370" s="155"/>
      <c r="S2370" s="155"/>
      <c r="T2370" s="155"/>
      <c r="U2370" s="155"/>
      <c r="V2370" s="155"/>
      <c r="W2370" s="155"/>
      <c r="GL2370" s="155"/>
      <c r="GM2370" s="155"/>
      <c r="GN2370" s="155"/>
      <c r="GO2370" s="155"/>
      <c r="GP2370" s="155"/>
      <c r="GQ2370" s="155"/>
      <c r="GR2370" s="155"/>
      <c r="GS2370" s="155"/>
      <c r="GT2370" s="155"/>
      <c r="GU2370" s="155"/>
      <c r="GV2370" s="155"/>
      <c r="GW2370" s="155"/>
      <c r="GX2370" s="155"/>
      <c r="GY2370" s="155"/>
      <c r="GZ2370" s="155"/>
      <c r="HA2370" s="155"/>
      <c r="HB2370" s="155"/>
      <c r="HC2370" s="155"/>
      <c r="HD2370" s="155"/>
      <c r="HE2370" s="155"/>
    </row>
    <row r="2371" spans="2:213" s="156" customFormat="1" hidden="1">
      <c r="B2371" s="155"/>
      <c r="C2371" s="155"/>
      <c r="D2371" s="155"/>
      <c r="E2371" s="155"/>
      <c r="F2371" s="155"/>
      <c r="G2371" s="155"/>
      <c r="H2371" s="155"/>
      <c r="I2371" s="155"/>
      <c r="J2371" s="155"/>
      <c r="K2371" s="155"/>
      <c r="L2371" s="155"/>
      <c r="M2371" s="155"/>
      <c r="N2371" s="155"/>
      <c r="O2371" s="155"/>
      <c r="P2371" s="155"/>
      <c r="Q2371" s="155"/>
      <c r="R2371" s="155"/>
      <c r="S2371" s="155"/>
      <c r="T2371" s="155"/>
      <c r="U2371" s="155"/>
      <c r="V2371" s="155"/>
      <c r="W2371" s="155"/>
      <c r="GL2371" s="155"/>
      <c r="GM2371" s="155"/>
      <c r="GN2371" s="155"/>
      <c r="GO2371" s="155"/>
      <c r="GP2371" s="155"/>
      <c r="GQ2371" s="155"/>
      <c r="GR2371" s="155"/>
      <c r="GS2371" s="155"/>
      <c r="GT2371" s="155"/>
      <c r="GU2371" s="155"/>
      <c r="GV2371" s="155"/>
      <c r="GW2371" s="155"/>
      <c r="GX2371" s="155"/>
      <c r="GY2371" s="155"/>
      <c r="GZ2371" s="155"/>
      <c r="HA2371" s="155"/>
      <c r="HB2371" s="155"/>
      <c r="HC2371" s="155"/>
      <c r="HD2371" s="155"/>
      <c r="HE2371" s="155"/>
    </row>
    <row r="2372" spans="2:213" s="156" customFormat="1" hidden="1">
      <c r="B2372" s="155"/>
      <c r="C2372" s="155"/>
      <c r="D2372" s="155"/>
      <c r="E2372" s="155"/>
      <c r="F2372" s="155"/>
      <c r="G2372" s="155"/>
      <c r="H2372" s="155"/>
      <c r="I2372" s="155"/>
      <c r="J2372" s="155"/>
      <c r="K2372" s="155"/>
      <c r="L2372" s="155"/>
      <c r="M2372" s="155"/>
      <c r="N2372" s="155"/>
      <c r="O2372" s="155"/>
      <c r="P2372" s="155"/>
      <c r="Q2372" s="155"/>
      <c r="R2372" s="155"/>
      <c r="S2372" s="155"/>
      <c r="T2372" s="155"/>
      <c r="U2372" s="155"/>
      <c r="V2372" s="155"/>
      <c r="W2372" s="155"/>
      <c r="GL2372" s="155"/>
      <c r="GM2372" s="155"/>
      <c r="GN2372" s="155"/>
      <c r="GO2372" s="155"/>
      <c r="GP2372" s="155"/>
      <c r="GQ2372" s="155"/>
      <c r="GR2372" s="155"/>
      <c r="GS2372" s="155"/>
      <c r="GT2372" s="155"/>
      <c r="GU2372" s="155"/>
      <c r="GV2372" s="155"/>
      <c r="GW2372" s="155"/>
      <c r="GX2372" s="155"/>
      <c r="GY2372" s="155"/>
      <c r="GZ2372" s="155"/>
      <c r="HA2372" s="155"/>
      <c r="HB2372" s="155"/>
      <c r="HC2372" s="155"/>
      <c r="HD2372" s="155"/>
      <c r="HE2372" s="155"/>
    </row>
    <row r="2373" spans="2:213" s="156" customFormat="1" hidden="1">
      <c r="B2373" s="155"/>
      <c r="C2373" s="155"/>
      <c r="D2373" s="155"/>
      <c r="E2373" s="155"/>
      <c r="F2373" s="155"/>
      <c r="G2373" s="155"/>
      <c r="H2373" s="155"/>
      <c r="I2373" s="155"/>
      <c r="J2373" s="155"/>
      <c r="K2373" s="155"/>
      <c r="L2373" s="155"/>
      <c r="M2373" s="155"/>
      <c r="N2373" s="155"/>
      <c r="O2373" s="155"/>
      <c r="P2373" s="155"/>
      <c r="Q2373" s="155"/>
      <c r="R2373" s="155"/>
      <c r="S2373" s="155"/>
      <c r="T2373" s="155"/>
      <c r="U2373" s="155"/>
      <c r="V2373" s="155"/>
      <c r="W2373" s="155"/>
      <c r="GL2373" s="155"/>
      <c r="GM2373" s="155"/>
      <c r="GN2373" s="155"/>
      <c r="GO2373" s="155"/>
      <c r="GP2373" s="155"/>
      <c r="GQ2373" s="155"/>
      <c r="GR2373" s="155"/>
      <c r="GS2373" s="155"/>
      <c r="GT2373" s="155"/>
      <c r="GU2373" s="155"/>
      <c r="GV2373" s="155"/>
      <c r="GW2373" s="155"/>
      <c r="GX2373" s="155"/>
      <c r="GY2373" s="155"/>
      <c r="GZ2373" s="155"/>
      <c r="HA2373" s="155"/>
      <c r="HB2373" s="155"/>
      <c r="HC2373" s="155"/>
      <c r="HD2373" s="155"/>
      <c r="HE2373" s="155"/>
    </row>
    <row r="2374" spans="2:213" s="156" customFormat="1" hidden="1">
      <c r="B2374" s="155"/>
      <c r="C2374" s="155"/>
      <c r="D2374" s="155"/>
      <c r="E2374" s="155"/>
      <c r="F2374" s="155"/>
      <c r="G2374" s="155"/>
      <c r="H2374" s="155"/>
      <c r="I2374" s="155"/>
      <c r="J2374" s="155"/>
      <c r="K2374" s="155"/>
      <c r="L2374" s="155"/>
      <c r="M2374" s="155"/>
      <c r="N2374" s="155"/>
      <c r="O2374" s="155"/>
      <c r="P2374" s="155"/>
      <c r="Q2374" s="155"/>
      <c r="R2374" s="155"/>
      <c r="S2374" s="155"/>
      <c r="T2374" s="155"/>
      <c r="U2374" s="155"/>
      <c r="V2374" s="155"/>
      <c r="W2374" s="155"/>
      <c r="GL2374" s="155"/>
      <c r="GM2374" s="155"/>
      <c r="GN2374" s="155"/>
      <c r="GO2374" s="155"/>
      <c r="GP2374" s="155"/>
      <c r="GQ2374" s="155"/>
      <c r="GR2374" s="155"/>
      <c r="GS2374" s="155"/>
      <c r="GT2374" s="155"/>
      <c r="GU2374" s="155"/>
      <c r="GV2374" s="155"/>
      <c r="GW2374" s="155"/>
      <c r="GX2374" s="155"/>
      <c r="GY2374" s="155"/>
      <c r="GZ2374" s="155"/>
      <c r="HA2374" s="155"/>
      <c r="HB2374" s="155"/>
      <c r="HC2374" s="155"/>
      <c r="HD2374" s="155"/>
      <c r="HE2374" s="155"/>
    </row>
    <row r="2375" spans="2:213" s="156" customFormat="1" hidden="1">
      <c r="B2375" s="155"/>
      <c r="C2375" s="155"/>
      <c r="D2375" s="155"/>
      <c r="E2375" s="155"/>
      <c r="F2375" s="155"/>
      <c r="G2375" s="155"/>
      <c r="H2375" s="155"/>
      <c r="I2375" s="155"/>
      <c r="J2375" s="155"/>
      <c r="K2375" s="155"/>
      <c r="L2375" s="155"/>
      <c r="M2375" s="155"/>
      <c r="N2375" s="155"/>
      <c r="O2375" s="155"/>
      <c r="P2375" s="155"/>
      <c r="Q2375" s="155"/>
      <c r="R2375" s="155"/>
      <c r="S2375" s="155"/>
      <c r="T2375" s="155"/>
      <c r="U2375" s="155"/>
      <c r="V2375" s="155"/>
      <c r="W2375" s="155"/>
      <c r="GL2375" s="155"/>
      <c r="GM2375" s="155"/>
      <c r="GN2375" s="155"/>
      <c r="GO2375" s="155"/>
      <c r="GP2375" s="155"/>
      <c r="GQ2375" s="155"/>
      <c r="GR2375" s="155"/>
      <c r="GS2375" s="155"/>
      <c r="GT2375" s="155"/>
      <c r="GU2375" s="155"/>
      <c r="GV2375" s="155"/>
      <c r="GW2375" s="155"/>
      <c r="GX2375" s="155"/>
      <c r="GY2375" s="155"/>
      <c r="GZ2375" s="155"/>
      <c r="HA2375" s="155"/>
      <c r="HB2375" s="155"/>
      <c r="HC2375" s="155"/>
      <c r="HD2375" s="155"/>
      <c r="HE2375" s="155"/>
    </row>
    <row r="2376" spans="2:213" s="156" customFormat="1" hidden="1">
      <c r="B2376" s="155"/>
      <c r="C2376" s="155"/>
      <c r="D2376" s="155"/>
      <c r="E2376" s="155"/>
      <c r="F2376" s="155"/>
      <c r="G2376" s="155"/>
      <c r="H2376" s="155"/>
      <c r="I2376" s="155"/>
      <c r="J2376" s="155"/>
      <c r="K2376" s="155"/>
      <c r="L2376" s="155"/>
      <c r="M2376" s="155"/>
      <c r="N2376" s="155"/>
      <c r="O2376" s="155"/>
      <c r="P2376" s="155"/>
      <c r="Q2376" s="155"/>
      <c r="R2376" s="155"/>
      <c r="S2376" s="155"/>
      <c r="T2376" s="155"/>
      <c r="U2376" s="155"/>
      <c r="V2376" s="155"/>
      <c r="W2376" s="155"/>
      <c r="GL2376" s="155"/>
      <c r="GM2376" s="155"/>
      <c r="GN2376" s="155"/>
      <c r="GO2376" s="155"/>
      <c r="GP2376" s="155"/>
      <c r="GQ2376" s="155"/>
      <c r="GR2376" s="155"/>
      <c r="GS2376" s="155"/>
      <c r="GT2376" s="155"/>
      <c r="GU2376" s="155"/>
      <c r="GV2376" s="155"/>
      <c r="GW2376" s="155"/>
      <c r="GX2376" s="155"/>
      <c r="GY2376" s="155"/>
      <c r="GZ2376" s="155"/>
      <c r="HA2376" s="155"/>
      <c r="HB2376" s="155"/>
      <c r="HC2376" s="155"/>
      <c r="HD2376" s="155"/>
      <c r="HE2376" s="155"/>
    </row>
    <row r="2377" spans="2:213" s="156" customFormat="1" hidden="1">
      <c r="B2377" s="155"/>
      <c r="C2377" s="155"/>
      <c r="D2377" s="155"/>
      <c r="E2377" s="155"/>
      <c r="F2377" s="155"/>
      <c r="G2377" s="155"/>
      <c r="H2377" s="155"/>
      <c r="I2377" s="155"/>
      <c r="J2377" s="155"/>
      <c r="K2377" s="155"/>
      <c r="L2377" s="155"/>
      <c r="M2377" s="155"/>
      <c r="N2377" s="155"/>
      <c r="O2377" s="155"/>
      <c r="P2377" s="155"/>
      <c r="Q2377" s="155"/>
      <c r="R2377" s="155"/>
      <c r="S2377" s="155"/>
      <c r="T2377" s="155"/>
      <c r="U2377" s="155"/>
      <c r="V2377" s="155"/>
      <c r="W2377" s="155"/>
      <c r="GL2377" s="155"/>
      <c r="GM2377" s="155"/>
      <c r="GN2377" s="155"/>
      <c r="GO2377" s="155"/>
      <c r="GP2377" s="155"/>
      <c r="GQ2377" s="155"/>
      <c r="GR2377" s="155"/>
      <c r="GS2377" s="155"/>
      <c r="GT2377" s="155"/>
      <c r="GU2377" s="155"/>
      <c r="GV2377" s="155"/>
      <c r="GW2377" s="155"/>
      <c r="GX2377" s="155"/>
      <c r="GY2377" s="155"/>
      <c r="GZ2377" s="155"/>
      <c r="HA2377" s="155"/>
      <c r="HB2377" s="155"/>
      <c r="HC2377" s="155"/>
      <c r="HD2377" s="155"/>
      <c r="HE2377" s="155"/>
    </row>
    <row r="2378" spans="2:213" s="156" customFormat="1" hidden="1">
      <c r="B2378" s="155"/>
      <c r="C2378" s="155"/>
      <c r="D2378" s="155"/>
      <c r="E2378" s="155"/>
      <c r="F2378" s="155"/>
      <c r="G2378" s="155"/>
      <c r="H2378" s="155"/>
      <c r="I2378" s="155"/>
      <c r="J2378" s="155"/>
      <c r="K2378" s="155"/>
      <c r="L2378" s="155"/>
      <c r="M2378" s="155"/>
      <c r="N2378" s="155"/>
      <c r="O2378" s="155"/>
      <c r="P2378" s="155"/>
      <c r="Q2378" s="155"/>
      <c r="R2378" s="155"/>
      <c r="S2378" s="155"/>
      <c r="T2378" s="155"/>
      <c r="U2378" s="155"/>
      <c r="V2378" s="155"/>
      <c r="W2378" s="155"/>
      <c r="GL2378" s="155"/>
      <c r="GM2378" s="155"/>
      <c r="GN2378" s="155"/>
      <c r="GO2378" s="155"/>
      <c r="GP2378" s="155"/>
      <c r="GQ2378" s="155"/>
      <c r="GR2378" s="155"/>
      <c r="GS2378" s="155"/>
      <c r="GT2378" s="155"/>
      <c r="GU2378" s="155"/>
      <c r="GV2378" s="155"/>
      <c r="GW2378" s="155"/>
      <c r="GX2378" s="155"/>
      <c r="GY2378" s="155"/>
      <c r="GZ2378" s="155"/>
      <c r="HA2378" s="155"/>
      <c r="HB2378" s="155"/>
      <c r="HC2378" s="155"/>
      <c r="HD2378" s="155"/>
      <c r="HE2378" s="155"/>
    </row>
    <row r="2379" spans="2:213" s="156" customFormat="1" hidden="1">
      <c r="B2379" s="155"/>
      <c r="C2379" s="155"/>
      <c r="D2379" s="155"/>
      <c r="E2379" s="155"/>
      <c r="F2379" s="155"/>
      <c r="G2379" s="155"/>
      <c r="H2379" s="155"/>
      <c r="I2379" s="155"/>
      <c r="J2379" s="155"/>
      <c r="K2379" s="155"/>
      <c r="L2379" s="155"/>
      <c r="M2379" s="155"/>
      <c r="N2379" s="155"/>
      <c r="O2379" s="155"/>
      <c r="P2379" s="155"/>
      <c r="Q2379" s="155"/>
      <c r="R2379" s="155"/>
      <c r="S2379" s="155"/>
      <c r="T2379" s="155"/>
      <c r="U2379" s="155"/>
      <c r="V2379" s="155"/>
      <c r="W2379" s="155"/>
      <c r="GL2379" s="155"/>
      <c r="GM2379" s="155"/>
      <c r="GN2379" s="155"/>
      <c r="GO2379" s="155"/>
      <c r="GP2379" s="155"/>
      <c r="GQ2379" s="155"/>
      <c r="GR2379" s="155"/>
      <c r="GS2379" s="155"/>
      <c r="GT2379" s="155"/>
      <c r="GU2379" s="155"/>
      <c r="GV2379" s="155"/>
      <c r="GW2379" s="155"/>
      <c r="GX2379" s="155"/>
      <c r="GY2379" s="155"/>
      <c r="GZ2379" s="155"/>
      <c r="HA2379" s="155"/>
      <c r="HB2379" s="155"/>
      <c r="HC2379" s="155"/>
      <c r="HD2379" s="155"/>
      <c r="HE2379" s="155"/>
    </row>
    <row r="2380" spans="2:213" s="156" customFormat="1" hidden="1">
      <c r="B2380" s="155"/>
      <c r="C2380" s="155"/>
      <c r="D2380" s="155"/>
      <c r="E2380" s="155"/>
      <c r="F2380" s="155"/>
      <c r="G2380" s="155"/>
      <c r="H2380" s="155"/>
      <c r="I2380" s="155"/>
      <c r="J2380" s="155"/>
      <c r="K2380" s="155"/>
      <c r="L2380" s="155"/>
      <c r="M2380" s="155"/>
      <c r="N2380" s="155"/>
      <c r="O2380" s="155"/>
      <c r="P2380" s="155"/>
      <c r="Q2380" s="155"/>
      <c r="R2380" s="155"/>
      <c r="S2380" s="155"/>
      <c r="T2380" s="155"/>
      <c r="U2380" s="155"/>
      <c r="V2380" s="155"/>
      <c r="W2380" s="155"/>
      <c r="GL2380" s="155"/>
      <c r="GM2380" s="155"/>
      <c r="GN2380" s="155"/>
      <c r="GO2380" s="155"/>
      <c r="GP2380" s="155"/>
      <c r="GQ2380" s="155"/>
      <c r="GR2380" s="155"/>
      <c r="GS2380" s="155"/>
      <c r="GT2380" s="155"/>
      <c r="GU2380" s="155"/>
      <c r="GV2380" s="155"/>
      <c r="GW2380" s="155"/>
      <c r="GX2380" s="155"/>
      <c r="GY2380" s="155"/>
      <c r="GZ2380" s="155"/>
      <c r="HA2380" s="155"/>
      <c r="HB2380" s="155"/>
      <c r="HC2380" s="155"/>
      <c r="HD2380" s="155"/>
      <c r="HE2380" s="155"/>
    </row>
    <row r="2381" spans="2:213" s="156" customFormat="1" hidden="1">
      <c r="B2381" s="155"/>
      <c r="C2381" s="155"/>
      <c r="D2381" s="155"/>
      <c r="E2381" s="155"/>
      <c r="F2381" s="155"/>
      <c r="G2381" s="155"/>
      <c r="H2381" s="155"/>
      <c r="I2381" s="155"/>
      <c r="J2381" s="155"/>
      <c r="K2381" s="155"/>
      <c r="L2381" s="155"/>
      <c r="M2381" s="155"/>
      <c r="N2381" s="155"/>
      <c r="O2381" s="155"/>
      <c r="P2381" s="155"/>
      <c r="Q2381" s="155"/>
      <c r="R2381" s="155"/>
      <c r="S2381" s="155"/>
      <c r="T2381" s="155"/>
      <c r="U2381" s="155"/>
      <c r="V2381" s="155"/>
      <c r="W2381" s="155"/>
      <c r="GL2381" s="155"/>
      <c r="GM2381" s="155"/>
      <c r="GN2381" s="155"/>
      <c r="GO2381" s="155"/>
      <c r="GP2381" s="155"/>
      <c r="GQ2381" s="155"/>
      <c r="GR2381" s="155"/>
      <c r="GS2381" s="155"/>
      <c r="GT2381" s="155"/>
      <c r="GU2381" s="155"/>
      <c r="GV2381" s="155"/>
      <c r="GW2381" s="155"/>
      <c r="GX2381" s="155"/>
      <c r="GY2381" s="155"/>
      <c r="GZ2381" s="155"/>
      <c r="HA2381" s="155"/>
      <c r="HB2381" s="155"/>
      <c r="HC2381" s="155"/>
      <c r="HD2381" s="155"/>
      <c r="HE2381" s="155"/>
    </row>
    <row r="2382" spans="2:213" s="156" customFormat="1" hidden="1">
      <c r="B2382" s="155"/>
      <c r="C2382" s="155"/>
      <c r="D2382" s="155"/>
      <c r="E2382" s="155"/>
      <c r="F2382" s="155"/>
      <c r="G2382" s="155"/>
      <c r="H2382" s="155"/>
      <c r="I2382" s="155"/>
      <c r="J2382" s="155"/>
      <c r="K2382" s="155"/>
      <c r="L2382" s="155"/>
      <c r="M2382" s="155"/>
      <c r="N2382" s="155"/>
      <c r="O2382" s="155"/>
      <c r="P2382" s="155"/>
      <c r="Q2382" s="155"/>
      <c r="R2382" s="155"/>
      <c r="S2382" s="155"/>
      <c r="T2382" s="155"/>
      <c r="U2382" s="155"/>
      <c r="V2382" s="155"/>
      <c r="W2382" s="155"/>
      <c r="GL2382" s="155"/>
      <c r="GM2382" s="155"/>
      <c r="GN2382" s="155"/>
      <c r="GO2382" s="155"/>
      <c r="GP2382" s="155"/>
      <c r="GQ2382" s="155"/>
      <c r="GR2382" s="155"/>
      <c r="GS2382" s="155"/>
      <c r="GT2382" s="155"/>
      <c r="GU2382" s="155"/>
      <c r="GV2382" s="155"/>
      <c r="GW2382" s="155"/>
      <c r="GX2382" s="155"/>
      <c r="GY2382" s="155"/>
      <c r="GZ2382" s="155"/>
      <c r="HA2382" s="155"/>
      <c r="HB2382" s="155"/>
      <c r="HC2382" s="155"/>
      <c r="HD2382" s="155"/>
      <c r="HE2382" s="155"/>
    </row>
    <row r="2383" spans="2:213" s="156" customFormat="1" hidden="1">
      <c r="B2383" s="155"/>
      <c r="C2383" s="155"/>
      <c r="D2383" s="155"/>
      <c r="E2383" s="155"/>
      <c r="F2383" s="155"/>
      <c r="G2383" s="155"/>
      <c r="H2383" s="155"/>
      <c r="I2383" s="155"/>
      <c r="J2383" s="155"/>
      <c r="K2383" s="155"/>
      <c r="L2383" s="155"/>
      <c r="M2383" s="155"/>
      <c r="N2383" s="155"/>
      <c r="O2383" s="155"/>
      <c r="P2383" s="155"/>
      <c r="Q2383" s="155"/>
      <c r="R2383" s="155"/>
      <c r="S2383" s="155"/>
      <c r="T2383" s="155"/>
      <c r="U2383" s="155"/>
      <c r="V2383" s="155"/>
      <c r="W2383" s="155"/>
      <c r="GL2383" s="155"/>
      <c r="GM2383" s="155"/>
      <c r="GN2383" s="155"/>
      <c r="GO2383" s="155"/>
      <c r="GP2383" s="155"/>
      <c r="GQ2383" s="155"/>
      <c r="GR2383" s="155"/>
      <c r="GS2383" s="155"/>
      <c r="GT2383" s="155"/>
      <c r="GU2383" s="155"/>
      <c r="GV2383" s="155"/>
      <c r="GW2383" s="155"/>
      <c r="GX2383" s="155"/>
      <c r="GY2383" s="155"/>
      <c r="GZ2383" s="155"/>
      <c r="HA2383" s="155"/>
      <c r="HB2383" s="155"/>
      <c r="HC2383" s="155"/>
      <c r="HD2383" s="155"/>
      <c r="HE2383" s="155"/>
    </row>
    <row r="2384" spans="2:213" s="156" customFormat="1" hidden="1">
      <c r="B2384" s="155"/>
      <c r="C2384" s="155"/>
      <c r="D2384" s="155"/>
      <c r="E2384" s="155"/>
      <c r="F2384" s="155"/>
      <c r="G2384" s="155"/>
      <c r="H2384" s="155"/>
      <c r="I2384" s="155"/>
      <c r="J2384" s="155"/>
      <c r="K2384" s="155"/>
      <c r="L2384" s="155"/>
      <c r="M2384" s="155"/>
      <c r="N2384" s="155"/>
      <c r="O2384" s="155"/>
      <c r="P2384" s="155"/>
      <c r="Q2384" s="155"/>
      <c r="R2384" s="155"/>
      <c r="S2384" s="155"/>
      <c r="T2384" s="155"/>
      <c r="U2384" s="155"/>
      <c r="V2384" s="155"/>
      <c r="W2384" s="155"/>
      <c r="GL2384" s="155"/>
      <c r="GM2384" s="155"/>
      <c r="GN2384" s="155"/>
      <c r="GO2384" s="155"/>
      <c r="GP2384" s="155"/>
      <c r="GQ2384" s="155"/>
      <c r="GR2384" s="155"/>
      <c r="GS2384" s="155"/>
      <c r="GT2384" s="155"/>
      <c r="GU2384" s="155"/>
      <c r="GV2384" s="155"/>
      <c r="GW2384" s="155"/>
      <c r="GX2384" s="155"/>
      <c r="GY2384" s="155"/>
      <c r="GZ2384" s="155"/>
      <c r="HA2384" s="155"/>
      <c r="HB2384" s="155"/>
      <c r="HC2384" s="155"/>
      <c r="HD2384" s="155"/>
      <c r="HE2384" s="155"/>
    </row>
    <row r="2385" spans="2:213" s="156" customFormat="1" hidden="1">
      <c r="B2385" s="155"/>
      <c r="C2385" s="155"/>
      <c r="D2385" s="155"/>
      <c r="E2385" s="155"/>
      <c r="F2385" s="155"/>
      <c r="G2385" s="155"/>
      <c r="H2385" s="155"/>
      <c r="I2385" s="155"/>
      <c r="J2385" s="155"/>
      <c r="K2385" s="155"/>
      <c r="L2385" s="155"/>
      <c r="M2385" s="155"/>
      <c r="N2385" s="155"/>
      <c r="O2385" s="155"/>
      <c r="P2385" s="155"/>
      <c r="Q2385" s="155"/>
      <c r="R2385" s="155"/>
      <c r="S2385" s="155"/>
      <c r="T2385" s="155"/>
      <c r="U2385" s="155"/>
      <c r="V2385" s="155"/>
      <c r="W2385" s="155"/>
      <c r="GL2385" s="155"/>
      <c r="GM2385" s="155"/>
      <c r="GN2385" s="155"/>
      <c r="GO2385" s="155"/>
      <c r="GP2385" s="155"/>
      <c r="GQ2385" s="155"/>
      <c r="GR2385" s="155"/>
      <c r="GS2385" s="155"/>
      <c r="GT2385" s="155"/>
      <c r="GU2385" s="155"/>
      <c r="GV2385" s="155"/>
      <c r="GW2385" s="155"/>
      <c r="GX2385" s="155"/>
      <c r="GY2385" s="155"/>
      <c r="GZ2385" s="155"/>
      <c r="HA2385" s="155"/>
      <c r="HB2385" s="155"/>
      <c r="HC2385" s="155"/>
      <c r="HD2385" s="155"/>
      <c r="HE2385" s="155"/>
    </row>
    <row r="2386" spans="2:213" s="156" customFormat="1" hidden="1">
      <c r="B2386" s="155"/>
      <c r="C2386" s="155"/>
      <c r="D2386" s="155"/>
      <c r="E2386" s="155"/>
      <c r="F2386" s="155"/>
      <c r="G2386" s="155"/>
      <c r="H2386" s="155"/>
      <c r="I2386" s="155"/>
      <c r="J2386" s="155"/>
      <c r="K2386" s="155"/>
      <c r="L2386" s="155"/>
      <c r="M2386" s="155"/>
      <c r="N2386" s="155"/>
      <c r="O2386" s="155"/>
      <c r="P2386" s="155"/>
      <c r="Q2386" s="155"/>
      <c r="R2386" s="155"/>
      <c r="S2386" s="155"/>
      <c r="T2386" s="155"/>
      <c r="U2386" s="155"/>
      <c r="V2386" s="155"/>
      <c r="W2386" s="155"/>
      <c r="GL2386" s="155"/>
      <c r="GM2386" s="155"/>
      <c r="GN2386" s="155"/>
      <c r="GO2386" s="155"/>
      <c r="GP2386" s="155"/>
      <c r="GQ2386" s="155"/>
      <c r="GR2386" s="155"/>
      <c r="GS2386" s="155"/>
      <c r="GT2386" s="155"/>
      <c r="GU2386" s="155"/>
      <c r="GV2386" s="155"/>
      <c r="GW2386" s="155"/>
      <c r="GX2386" s="155"/>
      <c r="GY2386" s="155"/>
      <c r="GZ2386" s="155"/>
      <c r="HA2386" s="155"/>
      <c r="HB2386" s="155"/>
      <c r="HC2386" s="155"/>
      <c r="HD2386" s="155"/>
      <c r="HE2386" s="155"/>
    </row>
    <row r="2387" spans="2:213" s="156" customFormat="1" hidden="1">
      <c r="B2387" s="155"/>
      <c r="C2387" s="155"/>
      <c r="D2387" s="155"/>
      <c r="E2387" s="155"/>
      <c r="F2387" s="155"/>
      <c r="G2387" s="155"/>
      <c r="H2387" s="155"/>
      <c r="I2387" s="155"/>
      <c r="J2387" s="155"/>
      <c r="K2387" s="155"/>
      <c r="L2387" s="155"/>
      <c r="M2387" s="155"/>
      <c r="N2387" s="155"/>
      <c r="O2387" s="155"/>
      <c r="P2387" s="155"/>
      <c r="Q2387" s="155"/>
      <c r="R2387" s="155"/>
      <c r="S2387" s="155"/>
      <c r="T2387" s="155"/>
      <c r="U2387" s="155"/>
      <c r="V2387" s="155"/>
      <c r="W2387" s="155"/>
      <c r="GL2387" s="155"/>
      <c r="GM2387" s="155"/>
      <c r="GN2387" s="155"/>
      <c r="GO2387" s="155"/>
      <c r="GP2387" s="155"/>
      <c r="GQ2387" s="155"/>
      <c r="GR2387" s="155"/>
      <c r="GS2387" s="155"/>
      <c r="GT2387" s="155"/>
      <c r="GU2387" s="155"/>
      <c r="GV2387" s="155"/>
      <c r="GW2387" s="155"/>
      <c r="GX2387" s="155"/>
      <c r="GY2387" s="155"/>
      <c r="GZ2387" s="155"/>
      <c r="HA2387" s="155"/>
      <c r="HB2387" s="155"/>
      <c r="HC2387" s="155"/>
      <c r="HD2387" s="155"/>
      <c r="HE2387" s="155"/>
    </row>
    <row r="2388" spans="2:213" s="156" customFormat="1" hidden="1">
      <c r="B2388" s="155"/>
      <c r="C2388" s="155"/>
      <c r="D2388" s="155"/>
      <c r="E2388" s="155"/>
      <c r="F2388" s="155"/>
      <c r="G2388" s="155"/>
      <c r="H2388" s="155"/>
      <c r="I2388" s="155"/>
      <c r="J2388" s="155"/>
      <c r="K2388" s="155"/>
      <c r="L2388" s="155"/>
      <c r="M2388" s="155"/>
      <c r="N2388" s="155"/>
      <c r="O2388" s="155"/>
      <c r="P2388" s="155"/>
      <c r="Q2388" s="155"/>
      <c r="R2388" s="155"/>
      <c r="S2388" s="155"/>
      <c r="T2388" s="155"/>
      <c r="U2388" s="155"/>
      <c r="V2388" s="155"/>
      <c r="W2388" s="155"/>
      <c r="GL2388" s="155"/>
      <c r="GM2388" s="155"/>
      <c r="GN2388" s="155"/>
      <c r="GO2388" s="155"/>
      <c r="GP2388" s="155"/>
      <c r="GQ2388" s="155"/>
      <c r="GR2388" s="155"/>
      <c r="GS2388" s="155"/>
      <c r="GT2388" s="155"/>
      <c r="GU2388" s="155"/>
      <c r="GV2388" s="155"/>
      <c r="GW2388" s="155"/>
      <c r="GX2388" s="155"/>
      <c r="GY2388" s="155"/>
      <c r="GZ2388" s="155"/>
      <c r="HA2388" s="155"/>
      <c r="HB2388" s="155"/>
      <c r="HC2388" s="155"/>
      <c r="HD2388" s="155"/>
      <c r="HE2388" s="155"/>
    </row>
    <row r="2389" spans="2:213" s="156" customFormat="1" hidden="1">
      <c r="B2389" s="155"/>
      <c r="C2389" s="155"/>
      <c r="D2389" s="155"/>
      <c r="E2389" s="155"/>
      <c r="F2389" s="155"/>
      <c r="G2389" s="155"/>
      <c r="H2389" s="155"/>
      <c r="I2389" s="155"/>
      <c r="J2389" s="155"/>
      <c r="K2389" s="155"/>
      <c r="L2389" s="155"/>
      <c r="M2389" s="155"/>
      <c r="N2389" s="155"/>
      <c r="O2389" s="155"/>
      <c r="P2389" s="155"/>
      <c r="Q2389" s="155"/>
      <c r="R2389" s="155"/>
      <c r="S2389" s="155"/>
      <c r="T2389" s="155"/>
      <c r="U2389" s="155"/>
      <c r="V2389" s="155"/>
      <c r="W2389" s="155"/>
      <c r="GL2389" s="155"/>
      <c r="GM2389" s="155"/>
      <c r="GN2389" s="155"/>
      <c r="GO2389" s="155"/>
      <c r="GP2389" s="155"/>
      <c r="GQ2389" s="155"/>
      <c r="GR2389" s="155"/>
      <c r="GS2389" s="155"/>
      <c r="GT2389" s="155"/>
      <c r="GU2389" s="155"/>
      <c r="GV2389" s="155"/>
      <c r="GW2389" s="155"/>
      <c r="GX2389" s="155"/>
      <c r="GY2389" s="155"/>
      <c r="GZ2389" s="155"/>
      <c r="HA2389" s="155"/>
      <c r="HB2389" s="155"/>
      <c r="HC2389" s="155"/>
      <c r="HD2389" s="155"/>
      <c r="HE2389" s="155"/>
    </row>
    <row r="2390" spans="2:213" s="156" customFormat="1" hidden="1">
      <c r="B2390" s="155"/>
      <c r="C2390" s="155"/>
      <c r="D2390" s="155"/>
      <c r="E2390" s="155"/>
      <c r="F2390" s="155"/>
      <c r="G2390" s="155"/>
      <c r="H2390" s="155"/>
      <c r="I2390" s="155"/>
      <c r="J2390" s="155"/>
      <c r="K2390" s="155"/>
      <c r="L2390" s="155"/>
      <c r="M2390" s="155"/>
      <c r="N2390" s="155"/>
      <c r="O2390" s="155"/>
      <c r="P2390" s="155"/>
      <c r="Q2390" s="155"/>
      <c r="R2390" s="155"/>
      <c r="S2390" s="155"/>
      <c r="T2390" s="155"/>
      <c r="U2390" s="155"/>
      <c r="V2390" s="155"/>
      <c r="W2390" s="155"/>
      <c r="GL2390" s="155"/>
      <c r="GM2390" s="155"/>
      <c r="GN2390" s="155"/>
      <c r="GO2390" s="155"/>
      <c r="GP2390" s="155"/>
      <c r="GQ2390" s="155"/>
      <c r="GR2390" s="155"/>
      <c r="GS2390" s="155"/>
      <c r="GT2390" s="155"/>
      <c r="GU2390" s="155"/>
      <c r="GV2390" s="155"/>
      <c r="GW2390" s="155"/>
      <c r="GX2390" s="155"/>
      <c r="GY2390" s="155"/>
      <c r="GZ2390" s="155"/>
      <c r="HA2390" s="155"/>
      <c r="HB2390" s="155"/>
      <c r="HC2390" s="155"/>
      <c r="HD2390" s="155"/>
      <c r="HE2390" s="155"/>
    </row>
    <row r="2391" spans="2:213" s="156" customFormat="1" hidden="1">
      <c r="B2391" s="155"/>
      <c r="C2391" s="155"/>
      <c r="D2391" s="155"/>
      <c r="E2391" s="155"/>
      <c r="F2391" s="155"/>
      <c r="G2391" s="155"/>
      <c r="H2391" s="155"/>
      <c r="I2391" s="155"/>
      <c r="J2391" s="155"/>
      <c r="K2391" s="155"/>
      <c r="L2391" s="155"/>
      <c r="M2391" s="155"/>
      <c r="N2391" s="155"/>
      <c r="O2391" s="155"/>
      <c r="P2391" s="155"/>
      <c r="Q2391" s="155"/>
      <c r="R2391" s="155"/>
      <c r="S2391" s="155"/>
      <c r="T2391" s="155"/>
      <c r="U2391" s="155"/>
      <c r="V2391" s="155"/>
      <c r="W2391" s="155"/>
      <c r="GL2391" s="155"/>
      <c r="GM2391" s="155"/>
      <c r="GN2391" s="155"/>
      <c r="GO2391" s="155"/>
      <c r="GP2391" s="155"/>
      <c r="GQ2391" s="155"/>
      <c r="GR2391" s="155"/>
      <c r="GS2391" s="155"/>
      <c r="GT2391" s="155"/>
      <c r="GU2391" s="155"/>
      <c r="GV2391" s="155"/>
      <c r="GW2391" s="155"/>
      <c r="GX2391" s="155"/>
      <c r="GY2391" s="155"/>
      <c r="GZ2391" s="155"/>
      <c r="HA2391" s="155"/>
      <c r="HB2391" s="155"/>
      <c r="HC2391" s="155"/>
      <c r="HD2391" s="155"/>
      <c r="HE2391" s="155"/>
    </row>
    <row r="2392" spans="2:213" s="156" customFormat="1" hidden="1">
      <c r="B2392" s="155"/>
      <c r="C2392" s="155"/>
      <c r="D2392" s="155"/>
      <c r="E2392" s="155"/>
      <c r="F2392" s="155"/>
      <c r="G2392" s="155"/>
      <c r="H2392" s="155"/>
      <c r="I2392" s="155"/>
      <c r="J2392" s="155"/>
      <c r="K2392" s="155"/>
      <c r="L2392" s="155"/>
      <c r="M2392" s="155"/>
      <c r="N2392" s="155"/>
      <c r="O2392" s="155"/>
      <c r="P2392" s="155"/>
      <c r="Q2392" s="155"/>
      <c r="R2392" s="155"/>
      <c r="S2392" s="155"/>
      <c r="T2392" s="155"/>
      <c r="U2392" s="155"/>
      <c r="V2392" s="155"/>
      <c r="W2392" s="155"/>
      <c r="GL2392" s="155"/>
      <c r="GM2392" s="155"/>
      <c r="GN2392" s="155"/>
      <c r="GO2392" s="155"/>
      <c r="GP2392" s="155"/>
      <c r="GQ2392" s="155"/>
      <c r="GR2392" s="155"/>
      <c r="GS2392" s="155"/>
      <c r="GT2392" s="155"/>
      <c r="GU2392" s="155"/>
      <c r="GV2392" s="155"/>
      <c r="GW2392" s="155"/>
      <c r="GX2392" s="155"/>
      <c r="GY2392" s="155"/>
      <c r="GZ2392" s="155"/>
      <c r="HA2392" s="155"/>
      <c r="HB2392" s="155"/>
      <c r="HC2392" s="155"/>
      <c r="HD2392" s="155"/>
      <c r="HE2392" s="155"/>
    </row>
    <row r="2393" spans="2:213" s="156" customFormat="1" hidden="1">
      <c r="B2393" s="155"/>
      <c r="C2393" s="155"/>
      <c r="D2393" s="155"/>
      <c r="E2393" s="155"/>
      <c r="F2393" s="155"/>
      <c r="G2393" s="155"/>
      <c r="H2393" s="155"/>
      <c r="I2393" s="155"/>
      <c r="J2393" s="155"/>
      <c r="K2393" s="155"/>
      <c r="L2393" s="155"/>
      <c r="M2393" s="155"/>
      <c r="N2393" s="155"/>
      <c r="O2393" s="155"/>
      <c r="P2393" s="155"/>
      <c r="Q2393" s="155"/>
      <c r="R2393" s="155"/>
      <c r="S2393" s="155"/>
      <c r="T2393" s="155"/>
      <c r="U2393" s="155"/>
      <c r="V2393" s="155"/>
      <c r="W2393" s="155"/>
      <c r="GL2393" s="155"/>
      <c r="GM2393" s="155"/>
      <c r="GN2393" s="155"/>
      <c r="GO2393" s="155"/>
      <c r="GP2393" s="155"/>
      <c r="GQ2393" s="155"/>
      <c r="GR2393" s="155"/>
      <c r="GS2393" s="155"/>
      <c r="GT2393" s="155"/>
      <c r="GU2393" s="155"/>
      <c r="GV2393" s="155"/>
      <c r="GW2393" s="155"/>
      <c r="GX2393" s="155"/>
      <c r="GY2393" s="155"/>
      <c r="GZ2393" s="155"/>
      <c r="HA2393" s="155"/>
      <c r="HB2393" s="155"/>
      <c r="HC2393" s="155"/>
      <c r="HD2393" s="155"/>
      <c r="HE2393" s="155"/>
    </row>
    <row r="2394" spans="2:213" s="156" customFormat="1" hidden="1">
      <c r="B2394" s="155"/>
      <c r="C2394" s="155"/>
      <c r="D2394" s="155"/>
      <c r="E2394" s="155"/>
      <c r="F2394" s="155"/>
      <c r="G2394" s="155"/>
      <c r="H2394" s="155"/>
      <c r="I2394" s="155"/>
      <c r="J2394" s="155"/>
      <c r="K2394" s="155"/>
      <c r="L2394" s="155"/>
      <c r="M2394" s="155"/>
      <c r="N2394" s="155"/>
      <c r="O2394" s="155"/>
      <c r="P2394" s="155"/>
      <c r="Q2394" s="155"/>
      <c r="R2394" s="155"/>
      <c r="S2394" s="155"/>
      <c r="T2394" s="155"/>
      <c r="U2394" s="155"/>
      <c r="V2394" s="155"/>
      <c r="W2394" s="155"/>
      <c r="GL2394" s="155"/>
      <c r="GM2394" s="155"/>
      <c r="GN2394" s="155"/>
      <c r="GO2394" s="155"/>
      <c r="GP2394" s="155"/>
      <c r="GQ2394" s="155"/>
      <c r="GR2394" s="155"/>
      <c r="GS2394" s="155"/>
      <c r="GT2394" s="155"/>
      <c r="GU2394" s="155"/>
      <c r="GV2394" s="155"/>
      <c r="GW2394" s="155"/>
      <c r="GX2394" s="155"/>
      <c r="GY2394" s="155"/>
      <c r="GZ2394" s="155"/>
      <c r="HA2394" s="155"/>
      <c r="HB2394" s="155"/>
      <c r="HC2394" s="155"/>
      <c r="HD2394" s="155"/>
      <c r="HE2394" s="155"/>
    </row>
    <row r="2395" spans="2:213" s="156" customFormat="1" hidden="1">
      <c r="B2395" s="155"/>
      <c r="C2395" s="155"/>
      <c r="D2395" s="155"/>
      <c r="E2395" s="155"/>
      <c r="F2395" s="155"/>
      <c r="G2395" s="155"/>
      <c r="H2395" s="155"/>
      <c r="I2395" s="155"/>
      <c r="J2395" s="155"/>
      <c r="K2395" s="155"/>
      <c r="L2395" s="155"/>
      <c r="M2395" s="155"/>
      <c r="N2395" s="155"/>
      <c r="O2395" s="155"/>
      <c r="P2395" s="155"/>
      <c r="Q2395" s="155"/>
      <c r="R2395" s="155"/>
      <c r="S2395" s="155"/>
      <c r="T2395" s="155"/>
      <c r="U2395" s="155"/>
      <c r="V2395" s="155"/>
      <c r="W2395" s="155"/>
      <c r="GL2395" s="155"/>
      <c r="GM2395" s="155"/>
      <c r="GN2395" s="155"/>
      <c r="GO2395" s="155"/>
      <c r="GP2395" s="155"/>
      <c r="GQ2395" s="155"/>
      <c r="GR2395" s="155"/>
      <c r="GS2395" s="155"/>
      <c r="GT2395" s="155"/>
      <c r="GU2395" s="155"/>
      <c r="GV2395" s="155"/>
      <c r="GW2395" s="155"/>
      <c r="GX2395" s="155"/>
      <c r="GY2395" s="155"/>
      <c r="GZ2395" s="155"/>
      <c r="HA2395" s="155"/>
      <c r="HB2395" s="155"/>
      <c r="HC2395" s="155"/>
      <c r="HD2395" s="155"/>
      <c r="HE2395" s="155"/>
    </row>
    <row r="2396" spans="2:213" s="156" customFormat="1" hidden="1">
      <c r="B2396" s="155"/>
      <c r="C2396" s="155"/>
      <c r="D2396" s="155"/>
      <c r="E2396" s="155"/>
      <c r="F2396" s="155"/>
      <c r="G2396" s="155"/>
      <c r="H2396" s="155"/>
      <c r="I2396" s="155"/>
      <c r="J2396" s="155"/>
      <c r="K2396" s="155"/>
      <c r="L2396" s="155"/>
      <c r="M2396" s="155"/>
      <c r="N2396" s="155"/>
      <c r="O2396" s="155"/>
      <c r="P2396" s="155"/>
      <c r="Q2396" s="155"/>
      <c r="R2396" s="155"/>
      <c r="S2396" s="155"/>
      <c r="T2396" s="155"/>
      <c r="U2396" s="155"/>
      <c r="V2396" s="155"/>
      <c r="W2396" s="155"/>
      <c r="GL2396" s="155"/>
      <c r="GM2396" s="155"/>
      <c r="GN2396" s="155"/>
      <c r="GO2396" s="155"/>
      <c r="GP2396" s="155"/>
      <c r="GQ2396" s="155"/>
      <c r="GR2396" s="155"/>
      <c r="GS2396" s="155"/>
      <c r="GT2396" s="155"/>
      <c r="GU2396" s="155"/>
      <c r="GV2396" s="155"/>
      <c r="GW2396" s="155"/>
      <c r="GX2396" s="155"/>
      <c r="GY2396" s="155"/>
      <c r="GZ2396" s="155"/>
      <c r="HA2396" s="155"/>
      <c r="HB2396" s="155"/>
      <c r="HC2396" s="155"/>
      <c r="HD2396" s="155"/>
      <c r="HE2396" s="155"/>
    </row>
    <row r="2397" spans="2:213" s="156" customFormat="1" hidden="1">
      <c r="B2397" s="155"/>
      <c r="C2397" s="155"/>
      <c r="D2397" s="155"/>
      <c r="E2397" s="155"/>
      <c r="F2397" s="155"/>
      <c r="G2397" s="155"/>
      <c r="H2397" s="155"/>
      <c r="I2397" s="155"/>
      <c r="J2397" s="155"/>
      <c r="K2397" s="155"/>
      <c r="L2397" s="155"/>
      <c r="M2397" s="155"/>
      <c r="N2397" s="155"/>
      <c r="O2397" s="155"/>
      <c r="P2397" s="155"/>
      <c r="Q2397" s="155"/>
      <c r="R2397" s="155"/>
      <c r="S2397" s="155"/>
      <c r="T2397" s="155"/>
      <c r="U2397" s="155"/>
      <c r="V2397" s="155"/>
      <c r="W2397" s="155"/>
      <c r="GL2397" s="155"/>
      <c r="GM2397" s="155"/>
      <c r="GN2397" s="155"/>
      <c r="GO2397" s="155"/>
      <c r="GP2397" s="155"/>
      <c r="GQ2397" s="155"/>
      <c r="GR2397" s="155"/>
      <c r="GS2397" s="155"/>
      <c r="GT2397" s="155"/>
      <c r="GU2397" s="155"/>
      <c r="GV2397" s="155"/>
      <c r="GW2397" s="155"/>
      <c r="GX2397" s="155"/>
      <c r="GY2397" s="155"/>
      <c r="GZ2397" s="155"/>
      <c r="HA2397" s="155"/>
      <c r="HB2397" s="155"/>
      <c r="HC2397" s="155"/>
      <c r="HD2397" s="155"/>
      <c r="HE2397" s="155"/>
    </row>
    <row r="2398" spans="2:213" s="156" customFormat="1" hidden="1">
      <c r="B2398" s="155"/>
      <c r="C2398" s="155"/>
      <c r="D2398" s="155"/>
      <c r="E2398" s="155"/>
      <c r="F2398" s="155"/>
      <c r="G2398" s="155"/>
      <c r="H2398" s="155"/>
      <c r="I2398" s="155"/>
      <c r="J2398" s="155"/>
      <c r="K2398" s="155"/>
      <c r="L2398" s="155"/>
      <c r="M2398" s="155"/>
      <c r="N2398" s="155"/>
      <c r="O2398" s="155"/>
      <c r="P2398" s="155"/>
      <c r="Q2398" s="155"/>
      <c r="R2398" s="155"/>
      <c r="S2398" s="155"/>
      <c r="T2398" s="155"/>
      <c r="U2398" s="155"/>
      <c r="V2398" s="155"/>
      <c r="W2398" s="155"/>
      <c r="GL2398" s="155"/>
      <c r="GM2398" s="155"/>
      <c r="GN2398" s="155"/>
      <c r="GO2398" s="155"/>
      <c r="GP2398" s="155"/>
      <c r="GQ2398" s="155"/>
      <c r="GR2398" s="155"/>
      <c r="GS2398" s="155"/>
      <c r="GT2398" s="155"/>
      <c r="GU2398" s="155"/>
      <c r="GV2398" s="155"/>
      <c r="GW2398" s="155"/>
      <c r="GX2398" s="155"/>
      <c r="GY2398" s="155"/>
      <c r="GZ2398" s="155"/>
      <c r="HA2398" s="155"/>
      <c r="HB2398" s="155"/>
      <c r="HC2398" s="155"/>
      <c r="HD2398" s="155"/>
      <c r="HE2398" s="155"/>
    </row>
    <row r="2399" spans="2:213" s="156" customFormat="1" hidden="1">
      <c r="B2399" s="155"/>
      <c r="C2399" s="155"/>
      <c r="D2399" s="155"/>
      <c r="E2399" s="155"/>
      <c r="F2399" s="155"/>
      <c r="G2399" s="155"/>
      <c r="H2399" s="155"/>
      <c r="I2399" s="155"/>
      <c r="J2399" s="155"/>
      <c r="K2399" s="155"/>
      <c r="L2399" s="155"/>
      <c r="M2399" s="155"/>
      <c r="N2399" s="155"/>
      <c r="O2399" s="155"/>
      <c r="P2399" s="155"/>
      <c r="Q2399" s="155"/>
      <c r="R2399" s="155"/>
      <c r="S2399" s="155"/>
      <c r="T2399" s="155"/>
      <c r="U2399" s="155"/>
      <c r="V2399" s="155"/>
      <c r="W2399" s="155"/>
      <c r="GL2399" s="155"/>
      <c r="GM2399" s="155"/>
      <c r="GN2399" s="155"/>
      <c r="GO2399" s="155"/>
      <c r="GP2399" s="155"/>
      <c r="GQ2399" s="155"/>
      <c r="GR2399" s="155"/>
      <c r="GS2399" s="155"/>
      <c r="GT2399" s="155"/>
      <c r="GU2399" s="155"/>
      <c r="GV2399" s="155"/>
      <c r="GW2399" s="155"/>
      <c r="GX2399" s="155"/>
      <c r="GY2399" s="155"/>
      <c r="GZ2399" s="155"/>
      <c r="HA2399" s="155"/>
      <c r="HB2399" s="155"/>
      <c r="HC2399" s="155"/>
      <c r="HD2399" s="155"/>
      <c r="HE2399" s="155"/>
    </row>
    <row r="2400" spans="2:213" s="156" customFormat="1" hidden="1">
      <c r="B2400" s="155"/>
      <c r="C2400" s="155"/>
      <c r="D2400" s="155"/>
      <c r="E2400" s="155"/>
      <c r="F2400" s="155"/>
      <c r="G2400" s="155"/>
      <c r="H2400" s="155"/>
      <c r="I2400" s="155"/>
      <c r="J2400" s="155"/>
      <c r="K2400" s="155"/>
      <c r="L2400" s="155"/>
      <c r="M2400" s="155"/>
      <c r="N2400" s="155"/>
      <c r="O2400" s="155"/>
      <c r="P2400" s="155"/>
      <c r="Q2400" s="155"/>
      <c r="R2400" s="155"/>
      <c r="S2400" s="155"/>
      <c r="T2400" s="155"/>
      <c r="U2400" s="155"/>
      <c r="V2400" s="155"/>
      <c r="W2400" s="155"/>
      <c r="GL2400" s="155"/>
      <c r="GM2400" s="155"/>
      <c r="GN2400" s="155"/>
      <c r="GO2400" s="155"/>
      <c r="GP2400" s="155"/>
      <c r="GQ2400" s="155"/>
      <c r="GR2400" s="155"/>
      <c r="GS2400" s="155"/>
      <c r="GT2400" s="155"/>
      <c r="GU2400" s="155"/>
      <c r="GV2400" s="155"/>
      <c r="GW2400" s="155"/>
      <c r="GX2400" s="155"/>
      <c r="GY2400" s="155"/>
      <c r="GZ2400" s="155"/>
      <c r="HA2400" s="155"/>
      <c r="HB2400" s="155"/>
      <c r="HC2400" s="155"/>
      <c r="HD2400" s="155"/>
      <c r="HE2400" s="155"/>
    </row>
    <row r="2401" spans="2:213" s="156" customFormat="1" hidden="1">
      <c r="B2401" s="155"/>
      <c r="C2401" s="155"/>
      <c r="D2401" s="155"/>
      <c r="E2401" s="155"/>
      <c r="F2401" s="155"/>
      <c r="G2401" s="155"/>
      <c r="H2401" s="155"/>
      <c r="I2401" s="155"/>
      <c r="J2401" s="155"/>
      <c r="K2401" s="155"/>
      <c r="L2401" s="155"/>
      <c r="M2401" s="155"/>
      <c r="N2401" s="155"/>
      <c r="O2401" s="155"/>
      <c r="P2401" s="155"/>
      <c r="Q2401" s="155"/>
      <c r="R2401" s="155"/>
      <c r="S2401" s="155"/>
      <c r="T2401" s="155"/>
      <c r="U2401" s="155"/>
      <c r="V2401" s="155"/>
      <c r="W2401" s="155"/>
      <c r="GL2401" s="155"/>
      <c r="GM2401" s="155"/>
      <c r="GN2401" s="155"/>
      <c r="GO2401" s="155"/>
      <c r="GP2401" s="155"/>
      <c r="GQ2401" s="155"/>
      <c r="GR2401" s="155"/>
      <c r="GS2401" s="155"/>
      <c r="GT2401" s="155"/>
      <c r="GU2401" s="155"/>
      <c r="GV2401" s="155"/>
      <c r="GW2401" s="155"/>
      <c r="GX2401" s="155"/>
      <c r="GY2401" s="155"/>
      <c r="GZ2401" s="155"/>
      <c r="HA2401" s="155"/>
      <c r="HB2401" s="155"/>
      <c r="HC2401" s="155"/>
      <c r="HD2401" s="155"/>
      <c r="HE2401" s="155"/>
    </row>
    <row r="2402" spans="2:213" s="156" customFormat="1" hidden="1">
      <c r="B2402" s="155"/>
      <c r="C2402" s="155"/>
      <c r="D2402" s="155"/>
      <c r="E2402" s="155"/>
      <c r="F2402" s="155"/>
      <c r="G2402" s="155"/>
      <c r="H2402" s="155"/>
      <c r="I2402" s="155"/>
      <c r="J2402" s="155"/>
      <c r="K2402" s="155"/>
      <c r="L2402" s="155"/>
      <c r="M2402" s="155"/>
      <c r="N2402" s="155"/>
      <c r="O2402" s="155"/>
      <c r="P2402" s="155"/>
      <c r="Q2402" s="155"/>
      <c r="R2402" s="155"/>
      <c r="S2402" s="155"/>
      <c r="T2402" s="155"/>
      <c r="U2402" s="155"/>
      <c r="V2402" s="155"/>
      <c r="W2402" s="155"/>
      <c r="GL2402" s="155"/>
      <c r="GM2402" s="155"/>
      <c r="GN2402" s="155"/>
      <c r="GO2402" s="155"/>
      <c r="GP2402" s="155"/>
      <c r="GQ2402" s="155"/>
      <c r="GR2402" s="155"/>
      <c r="GS2402" s="155"/>
      <c r="GT2402" s="155"/>
      <c r="GU2402" s="155"/>
      <c r="GV2402" s="155"/>
      <c r="GW2402" s="155"/>
      <c r="GX2402" s="155"/>
      <c r="GY2402" s="155"/>
      <c r="GZ2402" s="155"/>
      <c r="HA2402" s="155"/>
      <c r="HB2402" s="155"/>
      <c r="HC2402" s="155"/>
      <c r="HD2402" s="155"/>
      <c r="HE2402" s="155"/>
    </row>
    <row r="2403" spans="2:213" s="156" customFormat="1" hidden="1">
      <c r="B2403" s="155"/>
      <c r="C2403" s="155"/>
      <c r="D2403" s="155"/>
      <c r="E2403" s="155"/>
      <c r="F2403" s="155"/>
      <c r="G2403" s="155"/>
      <c r="H2403" s="155"/>
      <c r="I2403" s="155"/>
      <c r="J2403" s="155"/>
      <c r="K2403" s="155"/>
      <c r="L2403" s="155"/>
      <c r="M2403" s="155"/>
      <c r="N2403" s="155"/>
      <c r="O2403" s="155"/>
      <c r="P2403" s="155"/>
      <c r="Q2403" s="155"/>
      <c r="R2403" s="155"/>
      <c r="S2403" s="155"/>
      <c r="T2403" s="155"/>
      <c r="U2403" s="155"/>
      <c r="V2403" s="155"/>
      <c r="W2403" s="155"/>
      <c r="GL2403" s="155"/>
      <c r="GM2403" s="155"/>
      <c r="GN2403" s="155"/>
      <c r="GO2403" s="155"/>
      <c r="GP2403" s="155"/>
      <c r="GQ2403" s="155"/>
      <c r="GR2403" s="155"/>
      <c r="GS2403" s="155"/>
      <c r="GT2403" s="155"/>
      <c r="GU2403" s="155"/>
      <c r="GV2403" s="155"/>
      <c r="GW2403" s="155"/>
      <c r="GX2403" s="155"/>
      <c r="GY2403" s="155"/>
      <c r="GZ2403" s="155"/>
      <c r="HA2403" s="155"/>
      <c r="HB2403" s="155"/>
      <c r="HC2403" s="155"/>
      <c r="HD2403" s="155"/>
      <c r="HE2403" s="155"/>
    </row>
    <row r="2404" spans="2:213" s="156" customFormat="1" hidden="1">
      <c r="B2404" s="155"/>
      <c r="C2404" s="155"/>
      <c r="D2404" s="155"/>
      <c r="E2404" s="155"/>
      <c r="F2404" s="155"/>
      <c r="G2404" s="155"/>
      <c r="H2404" s="155"/>
      <c r="I2404" s="155"/>
      <c r="J2404" s="155"/>
      <c r="K2404" s="155"/>
      <c r="L2404" s="155"/>
      <c r="M2404" s="155"/>
      <c r="N2404" s="155"/>
      <c r="O2404" s="155"/>
      <c r="P2404" s="155"/>
      <c r="Q2404" s="155"/>
      <c r="R2404" s="155"/>
      <c r="S2404" s="155"/>
      <c r="T2404" s="155"/>
      <c r="U2404" s="155"/>
      <c r="V2404" s="155"/>
      <c r="W2404" s="155"/>
      <c r="GL2404" s="155"/>
      <c r="GM2404" s="155"/>
      <c r="GN2404" s="155"/>
      <c r="GO2404" s="155"/>
      <c r="GP2404" s="155"/>
      <c r="GQ2404" s="155"/>
      <c r="GR2404" s="155"/>
      <c r="GS2404" s="155"/>
      <c r="GT2404" s="155"/>
      <c r="GU2404" s="155"/>
      <c r="GV2404" s="155"/>
      <c r="GW2404" s="155"/>
      <c r="GX2404" s="155"/>
      <c r="GY2404" s="155"/>
      <c r="GZ2404" s="155"/>
      <c r="HA2404" s="155"/>
      <c r="HB2404" s="155"/>
      <c r="HC2404" s="155"/>
      <c r="HD2404" s="155"/>
      <c r="HE2404" s="155"/>
    </row>
    <row r="2405" spans="2:213" s="156" customFormat="1" hidden="1">
      <c r="B2405" s="155"/>
      <c r="C2405" s="155"/>
      <c r="D2405" s="155"/>
      <c r="E2405" s="155"/>
      <c r="F2405" s="155"/>
      <c r="G2405" s="155"/>
      <c r="H2405" s="155"/>
      <c r="I2405" s="155"/>
      <c r="J2405" s="155"/>
      <c r="K2405" s="155"/>
      <c r="L2405" s="155"/>
      <c r="M2405" s="155"/>
      <c r="N2405" s="155"/>
      <c r="O2405" s="155"/>
      <c r="P2405" s="155"/>
      <c r="Q2405" s="155"/>
      <c r="R2405" s="155"/>
      <c r="S2405" s="155"/>
      <c r="T2405" s="155"/>
      <c r="U2405" s="155"/>
      <c r="V2405" s="155"/>
      <c r="W2405" s="155"/>
      <c r="GL2405" s="155"/>
      <c r="GM2405" s="155"/>
      <c r="GN2405" s="155"/>
      <c r="GO2405" s="155"/>
      <c r="GP2405" s="155"/>
      <c r="GQ2405" s="155"/>
      <c r="GR2405" s="155"/>
      <c r="GS2405" s="155"/>
      <c r="GT2405" s="155"/>
      <c r="GU2405" s="155"/>
      <c r="GV2405" s="155"/>
      <c r="GW2405" s="155"/>
      <c r="GX2405" s="155"/>
      <c r="GY2405" s="155"/>
      <c r="GZ2405" s="155"/>
      <c r="HA2405" s="155"/>
      <c r="HB2405" s="155"/>
      <c r="HC2405" s="155"/>
      <c r="HD2405" s="155"/>
      <c r="HE2405" s="155"/>
    </row>
    <row r="2406" spans="2:213" s="156" customFormat="1" hidden="1">
      <c r="B2406" s="155"/>
      <c r="C2406" s="155"/>
      <c r="D2406" s="155"/>
      <c r="E2406" s="155"/>
      <c r="F2406" s="155"/>
      <c r="G2406" s="155"/>
      <c r="H2406" s="155"/>
      <c r="I2406" s="155"/>
      <c r="J2406" s="155"/>
      <c r="K2406" s="155"/>
      <c r="L2406" s="155"/>
      <c r="M2406" s="155"/>
      <c r="N2406" s="155"/>
      <c r="O2406" s="155"/>
      <c r="P2406" s="155"/>
      <c r="Q2406" s="155"/>
      <c r="R2406" s="155"/>
      <c r="S2406" s="155"/>
      <c r="T2406" s="155"/>
      <c r="U2406" s="155"/>
      <c r="V2406" s="155"/>
      <c r="W2406" s="155"/>
      <c r="GL2406" s="155"/>
      <c r="GM2406" s="155"/>
      <c r="GN2406" s="155"/>
      <c r="GO2406" s="155"/>
      <c r="GP2406" s="155"/>
      <c r="GQ2406" s="155"/>
      <c r="GR2406" s="155"/>
      <c r="GS2406" s="155"/>
      <c r="GT2406" s="155"/>
      <c r="GU2406" s="155"/>
      <c r="GV2406" s="155"/>
      <c r="GW2406" s="155"/>
      <c r="GX2406" s="155"/>
      <c r="GY2406" s="155"/>
      <c r="GZ2406" s="155"/>
      <c r="HA2406" s="155"/>
      <c r="HB2406" s="155"/>
      <c r="HC2406" s="155"/>
      <c r="HD2406" s="155"/>
      <c r="HE2406" s="155"/>
    </row>
    <row r="2407" spans="2:213" s="156" customFormat="1" hidden="1">
      <c r="B2407" s="155"/>
      <c r="C2407" s="155"/>
      <c r="D2407" s="155"/>
      <c r="E2407" s="155"/>
      <c r="F2407" s="155"/>
      <c r="G2407" s="155"/>
      <c r="H2407" s="155"/>
      <c r="I2407" s="155"/>
      <c r="J2407" s="155"/>
      <c r="K2407" s="155"/>
      <c r="L2407" s="155"/>
      <c r="M2407" s="155"/>
      <c r="N2407" s="155"/>
      <c r="O2407" s="155"/>
      <c r="P2407" s="155"/>
      <c r="Q2407" s="155"/>
      <c r="R2407" s="155"/>
      <c r="S2407" s="155"/>
      <c r="T2407" s="155"/>
      <c r="U2407" s="155"/>
      <c r="V2407" s="155"/>
      <c r="W2407" s="155"/>
      <c r="GL2407" s="155"/>
      <c r="GM2407" s="155"/>
      <c r="GN2407" s="155"/>
      <c r="GO2407" s="155"/>
      <c r="GP2407" s="155"/>
      <c r="GQ2407" s="155"/>
      <c r="GR2407" s="155"/>
      <c r="GS2407" s="155"/>
      <c r="GT2407" s="155"/>
      <c r="GU2407" s="155"/>
      <c r="GV2407" s="155"/>
      <c r="GW2407" s="155"/>
      <c r="GX2407" s="155"/>
      <c r="GY2407" s="155"/>
      <c r="GZ2407" s="155"/>
      <c r="HA2407" s="155"/>
      <c r="HB2407" s="155"/>
      <c r="HC2407" s="155"/>
      <c r="HD2407" s="155"/>
      <c r="HE2407" s="155"/>
    </row>
    <row r="2408" spans="2:213" s="156" customFormat="1" hidden="1">
      <c r="B2408" s="155"/>
      <c r="C2408" s="155"/>
      <c r="D2408" s="155"/>
      <c r="E2408" s="155"/>
      <c r="F2408" s="155"/>
      <c r="G2408" s="155"/>
      <c r="H2408" s="155"/>
      <c r="I2408" s="155"/>
      <c r="J2408" s="155"/>
      <c r="K2408" s="155"/>
      <c r="L2408" s="155"/>
      <c r="M2408" s="155"/>
      <c r="N2408" s="155"/>
      <c r="O2408" s="155"/>
      <c r="P2408" s="155"/>
      <c r="Q2408" s="155"/>
      <c r="R2408" s="155"/>
      <c r="S2408" s="155"/>
      <c r="T2408" s="155"/>
      <c r="U2408" s="155"/>
      <c r="V2408" s="155"/>
      <c r="W2408" s="155"/>
      <c r="GL2408" s="155"/>
      <c r="GM2408" s="155"/>
      <c r="GN2408" s="155"/>
      <c r="GO2408" s="155"/>
      <c r="GP2408" s="155"/>
      <c r="GQ2408" s="155"/>
      <c r="GR2408" s="155"/>
      <c r="GS2408" s="155"/>
      <c r="GT2408" s="155"/>
      <c r="GU2408" s="155"/>
      <c r="GV2408" s="155"/>
      <c r="GW2408" s="155"/>
      <c r="GX2408" s="155"/>
      <c r="GY2408" s="155"/>
      <c r="GZ2408" s="155"/>
      <c r="HA2408" s="155"/>
      <c r="HB2408" s="155"/>
      <c r="HC2408" s="155"/>
      <c r="HD2408" s="155"/>
      <c r="HE2408" s="155"/>
    </row>
    <row r="2409" spans="2:213" s="156" customFormat="1" hidden="1">
      <c r="B2409" s="155"/>
      <c r="C2409" s="155"/>
      <c r="D2409" s="155"/>
      <c r="E2409" s="155"/>
      <c r="F2409" s="155"/>
      <c r="G2409" s="155"/>
      <c r="H2409" s="155"/>
      <c r="I2409" s="155"/>
      <c r="J2409" s="155"/>
      <c r="K2409" s="155"/>
      <c r="L2409" s="155"/>
      <c r="M2409" s="155"/>
      <c r="N2409" s="155"/>
      <c r="O2409" s="155"/>
      <c r="P2409" s="155"/>
      <c r="Q2409" s="155"/>
      <c r="R2409" s="155"/>
      <c r="S2409" s="155"/>
      <c r="T2409" s="155"/>
      <c r="U2409" s="155"/>
      <c r="V2409" s="155"/>
      <c r="W2409" s="155"/>
      <c r="GL2409" s="155"/>
      <c r="GM2409" s="155"/>
      <c r="GN2409" s="155"/>
      <c r="GO2409" s="155"/>
      <c r="GP2409" s="155"/>
      <c r="GQ2409" s="155"/>
      <c r="GR2409" s="155"/>
      <c r="GS2409" s="155"/>
      <c r="GT2409" s="155"/>
      <c r="GU2409" s="155"/>
      <c r="GV2409" s="155"/>
      <c r="GW2409" s="155"/>
      <c r="GX2409" s="155"/>
      <c r="GY2409" s="155"/>
      <c r="GZ2409" s="155"/>
      <c r="HA2409" s="155"/>
      <c r="HB2409" s="155"/>
      <c r="HC2409" s="155"/>
      <c r="HD2409" s="155"/>
      <c r="HE2409" s="155"/>
    </row>
    <row r="2410" spans="2:213" s="156" customFormat="1" hidden="1">
      <c r="B2410" s="155"/>
      <c r="C2410" s="155"/>
      <c r="D2410" s="155"/>
      <c r="E2410" s="155"/>
      <c r="F2410" s="155"/>
      <c r="G2410" s="155"/>
      <c r="H2410" s="155"/>
      <c r="I2410" s="155"/>
      <c r="J2410" s="155"/>
      <c r="K2410" s="155"/>
      <c r="L2410" s="155"/>
      <c r="M2410" s="155"/>
      <c r="N2410" s="155"/>
      <c r="O2410" s="155"/>
      <c r="P2410" s="155"/>
      <c r="Q2410" s="155"/>
      <c r="R2410" s="155"/>
      <c r="S2410" s="155"/>
      <c r="T2410" s="155"/>
      <c r="U2410" s="155"/>
      <c r="V2410" s="155"/>
      <c r="W2410" s="155"/>
      <c r="GL2410" s="155"/>
      <c r="GM2410" s="155"/>
      <c r="GN2410" s="155"/>
      <c r="GO2410" s="155"/>
      <c r="GP2410" s="155"/>
      <c r="GQ2410" s="155"/>
      <c r="GR2410" s="155"/>
      <c r="GS2410" s="155"/>
      <c r="GT2410" s="155"/>
      <c r="GU2410" s="155"/>
      <c r="GV2410" s="155"/>
      <c r="GW2410" s="155"/>
      <c r="GX2410" s="155"/>
      <c r="GY2410" s="155"/>
      <c r="GZ2410" s="155"/>
      <c r="HA2410" s="155"/>
      <c r="HB2410" s="155"/>
      <c r="HC2410" s="155"/>
      <c r="HD2410" s="155"/>
      <c r="HE2410" s="155"/>
    </row>
    <row r="2411" spans="2:213" s="156" customFormat="1" hidden="1">
      <c r="B2411" s="155"/>
      <c r="C2411" s="155"/>
      <c r="D2411" s="155"/>
      <c r="E2411" s="155"/>
      <c r="F2411" s="155"/>
      <c r="G2411" s="155"/>
      <c r="H2411" s="155"/>
      <c r="I2411" s="155"/>
      <c r="J2411" s="155"/>
      <c r="K2411" s="155"/>
      <c r="L2411" s="155"/>
      <c r="M2411" s="155"/>
      <c r="N2411" s="155"/>
      <c r="O2411" s="155"/>
      <c r="P2411" s="155"/>
      <c r="Q2411" s="155"/>
      <c r="R2411" s="155"/>
      <c r="S2411" s="155"/>
      <c r="T2411" s="155"/>
      <c r="U2411" s="155"/>
      <c r="V2411" s="155"/>
      <c r="W2411" s="155"/>
      <c r="GL2411" s="155"/>
      <c r="GM2411" s="155"/>
      <c r="GN2411" s="155"/>
      <c r="GO2411" s="155"/>
      <c r="GP2411" s="155"/>
      <c r="GQ2411" s="155"/>
      <c r="GR2411" s="155"/>
      <c r="GS2411" s="155"/>
      <c r="GT2411" s="155"/>
      <c r="GU2411" s="155"/>
      <c r="GV2411" s="155"/>
      <c r="GW2411" s="155"/>
      <c r="GX2411" s="155"/>
      <c r="GY2411" s="155"/>
      <c r="GZ2411" s="155"/>
      <c r="HA2411" s="155"/>
      <c r="HB2411" s="155"/>
      <c r="HC2411" s="155"/>
      <c r="HD2411" s="155"/>
      <c r="HE2411" s="155"/>
    </row>
    <row r="2412" spans="2:213" s="156" customFormat="1" hidden="1">
      <c r="B2412" s="155"/>
      <c r="C2412" s="155"/>
      <c r="D2412" s="155"/>
      <c r="E2412" s="155"/>
      <c r="F2412" s="155"/>
      <c r="G2412" s="155"/>
      <c r="H2412" s="155"/>
      <c r="I2412" s="155"/>
      <c r="J2412" s="155"/>
      <c r="K2412" s="155"/>
      <c r="L2412" s="155"/>
      <c r="M2412" s="155"/>
      <c r="N2412" s="155"/>
      <c r="O2412" s="155"/>
      <c r="P2412" s="155"/>
      <c r="Q2412" s="155"/>
      <c r="R2412" s="155"/>
      <c r="S2412" s="155"/>
      <c r="T2412" s="155"/>
      <c r="U2412" s="155"/>
      <c r="V2412" s="155"/>
      <c r="W2412" s="155"/>
      <c r="GL2412" s="155"/>
      <c r="GM2412" s="155"/>
      <c r="GN2412" s="155"/>
      <c r="GO2412" s="155"/>
      <c r="GP2412" s="155"/>
      <c r="GQ2412" s="155"/>
      <c r="GR2412" s="155"/>
      <c r="GS2412" s="155"/>
      <c r="GT2412" s="155"/>
      <c r="GU2412" s="155"/>
      <c r="GV2412" s="155"/>
      <c r="GW2412" s="155"/>
      <c r="GX2412" s="155"/>
      <c r="GY2412" s="155"/>
      <c r="GZ2412" s="155"/>
      <c r="HA2412" s="155"/>
      <c r="HB2412" s="155"/>
      <c r="HC2412" s="155"/>
      <c r="HD2412" s="155"/>
      <c r="HE2412" s="155"/>
    </row>
    <row r="2413" spans="2:213" s="156" customFormat="1" hidden="1">
      <c r="B2413" s="155"/>
      <c r="C2413" s="155"/>
      <c r="D2413" s="155"/>
      <c r="E2413" s="155"/>
      <c r="F2413" s="155"/>
      <c r="G2413" s="155"/>
      <c r="H2413" s="155"/>
      <c r="I2413" s="155"/>
      <c r="J2413" s="155"/>
      <c r="K2413" s="155"/>
      <c r="L2413" s="155"/>
      <c r="M2413" s="155"/>
      <c r="N2413" s="155"/>
      <c r="O2413" s="155"/>
      <c r="P2413" s="155"/>
      <c r="Q2413" s="155"/>
      <c r="R2413" s="155"/>
      <c r="S2413" s="155"/>
      <c r="T2413" s="155"/>
      <c r="U2413" s="155"/>
      <c r="V2413" s="155"/>
      <c r="W2413" s="155"/>
      <c r="GL2413" s="155"/>
      <c r="GM2413" s="155"/>
      <c r="GN2413" s="155"/>
      <c r="GO2413" s="155"/>
      <c r="GP2413" s="155"/>
      <c r="GQ2413" s="155"/>
      <c r="GR2413" s="155"/>
      <c r="GS2413" s="155"/>
      <c r="GT2413" s="155"/>
      <c r="GU2413" s="155"/>
      <c r="GV2413" s="155"/>
      <c r="GW2413" s="155"/>
      <c r="GX2413" s="155"/>
      <c r="GY2413" s="155"/>
      <c r="GZ2413" s="155"/>
      <c r="HA2413" s="155"/>
      <c r="HB2413" s="155"/>
      <c r="HC2413" s="155"/>
      <c r="HD2413" s="155"/>
      <c r="HE2413" s="155"/>
    </row>
    <row r="2414" spans="2:213" s="156" customFormat="1" hidden="1">
      <c r="B2414" s="155"/>
      <c r="C2414" s="155"/>
      <c r="D2414" s="155"/>
      <c r="E2414" s="155"/>
      <c r="F2414" s="155"/>
      <c r="G2414" s="155"/>
      <c r="H2414" s="155"/>
      <c r="I2414" s="155"/>
      <c r="J2414" s="155"/>
      <c r="K2414" s="155"/>
      <c r="L2414" s="155"/>
      <c r="M2414" s="155"/>
      <c r="N2414" s="155"/>
      <c r="O2414" s="155"/>
      <c r="P2414" s="155"/>
      <c r="Q2414" s="155"/>
      <c r="R2414" s="155"/>
      <c r="S2414" s="155"/>
      <c r="T2414" s="155"/>
      <c r="U2414" s="155"/>
      <c r="V2414" s="155"/>
      <c r="W2414" s="155"/>
      <c r="GL2414" s="155"/>
      <c r="GM2414" s="155"/>
      <c r="GN2414" s="155"/>
      <c r="GO2414" s="155"/>
      <c r="GP2414" s="155"/>
      <c r="GQ2414" s="155"/>
      <c r="GR2414" s="155"/>
      <c r="GS2414" s="155"/>
      <c r="GT2414" s="155"/>
      <c r="GU2414" s="155"/>
      <c r="GV2414" s="155"/>
      <c r="GW2414" s="155"/>
      <c r="GX2414" s="155"/>
      <c r="GY2414" s="155"/>
      <c r="GZ2414" s="155"/>
      <c r="HA2414" s="155"/>
      <c r="HB2414" s="155"/>
      <c r="HC2414" s="155"/>
      <c r="HD2414" s="155"/>
      <c r="HE2414" s="155"/>
    </row>
    <row r="2415" spans="2:213" s="156" customFormat="1" hidden="1">
      <c r="B2415" s="155"/>
      <c r="C2415" s="155"/>
      <c r="D2415" s="155"/>
      <c r="E2415" s="155"/>
      <c r="F2415" s="155"/>
      <c r="G2415" s="155"/>
      <c r="H2415" s="155"/>
      <c r="I2415" s="155"/>
      <c r="J2415" s="155"/>
      <c r="K2415" s="155"/>
      <c r="L2415" s="155"/>
      <c r="M2415" s="155"/>
      <c r="N2415" s="155"/>
      <c r="O2415" s="155"/>
      <c r="P2415" s="155"/>
      <c r="Q2415" s="155"/>
      <c r="R2415" s="155"/>
      <c r="S2415" s="155"/>
      <c r="T2415" s="155"/>
      <c r="U2415" s="155"/>
      <c r="V2415" s="155"/>
      <c r="W2415" s="155"/>
      <c r="GL2415" s="155"/>
      <c r="GM2415" s="155"/>
      <c r="GN2415" s="155"/>
      <c r="GO2415" s="155"/>
      <c r="GP2415" s="155"/>
      <c r="GQ2415" s="155"/>
      <c r="GR2415" s="155"/>
      <c r="GS2415" s="155"/>
      <c r="GT2415" s="155"/>
      <c r="GU2415" s="155"/>
      <c r="GV2415" s="155"/>
      <c r="GW2415" s="155"/>
      <c r="GX2415" s="155"/>
      <c r="GY2415" s="155"/>
      <c r="GZ2415" s="155"/>
      <c r="HA2415" s="155"/>
      <c r="HB2415" s="155"/>
      <c r="HC2415" s="155"/>
      <c r="HD2415" s="155"/>
      <c r="HE2415" s="155"/>
    </row>
    <row r="2416" spans="2:213" s="156" customFormat="1" hidden="1">
      <c r="B2416" s="155"/>
      <c r="C2416" s="155"/>
      <c r="D2416" s="155"/>
      <c r="E2416" s="155"/>
      <c r="F2416" s="155"/>
      <c r="G2416" s="155"/>
      <c r="H2416" s="155"/>
      <c r="I2416" s="155"/>
      <c r="J2416" s="155"/>
      <c r="K2416" s="155"/>
      <c r="L2416" s="155"/>
      <c r="M2416" s="155"/>
      <c r="N2416" s="155"/>
      <c r="O2416" s="155"/>
      <c r="P2416" s="155"/>
      <c r="Q2416" s="155"/>
      <c r="R2416" s="155"/>
      <c r="S2416" s="155"/>
      <c r="T2416" s="155"/>
      <c r="U2416" s="155"/>
      <c r="V2416" s="155"/>
      <c r="W2416" s="155"/>
      <c r="GL2416" s="155"/>
      <c r="GM2416" s="155"/>
      <c r="GN2416" s="155"/>
      <c r="GO2416" s="155"/>
      <c r="GP2416" s="155"/>
      <c r="GQ2416" s="155"/>
      <c r="GR2416" s="155"/>
      <c r="GS2416" s="155"/>
      <c r="GT2416" s="155"/>
      <c r="GU2416" s="155"/>
      <c r="GV2416" s="155"/>
      <c r="GW2416" s="155"/>
      <c r="GX2416" s="155"/>
      <c r="GY2416" s="155"/>
      <c r="GZ2416" s="155"/>
      <c r="HA2416" s="155"/>
      <c r="HB2416" s="155"/>
      <c r="HC2416" s="155"/>
      <c r="HD2416" s="155"/>
      <c r="HE2416" s="155"/>
    </row>
    <row r="2417" spans="2:213" s="156" customFormat="1" hidden="1">
      <c r="B2417" s="155"/>
      <c r="C2417" s="155"/>
      <c r="D2417" s="155"/>
      <c r="E2417" s="155"/>
      <c r="F2417" s="155"/>
      <c r="G2417" s="155"/>
      <c r="H2417" s="155"/>
      <c r="I2417" s="155"/>
      <c r="J2417" s="155"/>
      <c r="K2417" s="155"/>
      <c r="L2417" s="155"/>
      <c r="M2417" s="155"/>
      <c r="N2417" s="155"/>
      <c r="O2417" s="155"/>
      <c r="P2417" s="155"/>
      <c r="Q2417" s="155"/>
      <c r="R2417" s="155"/>
      <c r="S2417" s="155"/>
      <c r="T2417" s="155"/>
      <c r="U2417" s="155"/>
      <c r="V2417" s="155"/>
      <c r="W2417" s="155"/>
      <c r="GL2417" s="155"/>
      <c r="GM2417" s="155"/>
      <c r="GN2417" s="155"/>
      <c r="GO2417" s="155"/>
      <c r="GP2417" s="155"/>
      <c r="GQ2417" s="155"/>
      <c r="GR2417" s="155"/>
      <c r="GS2417" s="155"/>
      <c r="GT2417" s="155"/>
      <c r="GU2417" s="155"/>
      <c r="GV2417" s="155"/>
      <c r="GW2417" s="155"/>
      <c r="GX2417" s="155"/>
      <c r="GY2417" s="155"/>
      <c r="GZ2417" s="155"/>
      <c r="HA2417" s="155"/>
      <c r="HB2417" s="155"/>
      <c r="HC2417" s="155"/>
      <c r="HD2417" s="155"/>
      <c r="HE2417" s="155"/>
    </row>
    <row r="2418" spans="2:213" s="156" customFormat="1" hidden="1">
      <c r="B2418" s="155"/>
      <c r="C2418" s="155"/>
      <c r="D2418" s="155"/>
      <c r="E2418" s="155"/>
      <c r="F2418" s="155"/>
      <c r="G2418" s="155"/>
      <c r="H2418" s="155"/>
      <c r="I2418" s="155"/>
      <c r="J2418" s="155"/>
      <c r="K2418" s="155"/>
      <c r="L2418" s="155"/>
      <c r="M2418" s="155"/>
      <c r="N2418" s="155"/>
      <c r="O2418" s="155"/>
      <c r="P2418" s="155"/>
      <c r="Q2418" s="155"/>
      <c r="R2418" s="155"/>
      <c r="S2418" s="155"/>
      <c r="T2418" s="155"/>
      <c r="U2418" s="155"/>
      <c r="V2418" s="155"/>
      <c r="W2418" s="155"/>
      <c r="GL2418" s="155"/>
      <c r="GM2418" s="155"/>
      <c r="GN2418" s="155"/>
      <c r="GO2418" s="155"/>
      <c r="GP2418" s="155"/>
      <c r="GQ2418" s="155"/>
      <c r="GR2418" s="155"/>
      <c r="GS2418" s="155"/>
      <c r="GT2418" s="155"/>
      <c r="GU2418" s="155"/>
      <c r="GV2418" s="155"/>
      <c r="GW2418" s="155"/>
      <c r="GX2418" s="155"/>
      <c r="GY2418" s="155"/>
      <c r="GZ2418" s="155"/>
      <c r="HA2418" s="155"/>
      <c r="HB2418" s="155"/>
      <c r="HC2418" s="155"/>
      <c r="HD2418" s="155"/>
      <c r="HE2418" s="155"/>
    </row>
    <row r="2419" spans="2:213" s="156" customFormat="1" hidden="1">
      <c r="B2419" s="155"/>
      <c r="C2419" s="155"/>
      <c r="D2419" s="155"/>
      <c r="E2419" s="155"/>
      <c r="F2419" s="155"/>
      <c r="G2419" s="155"/>
      <c r="H2419" s="155"/>
      <c r="I2419" s="155"/>
      <c r="J2419" s="155"/>
      <c r="K2419" s="155"/>
      <c r="L2419" s="155"/>
      <c r="M2419" s="155"/>
      <c r="N2419" s="155"/>
      <c r="O2419" s="155"/>
      <c r="P2419" s="155"/>
      <c r="Q2419" s="155"/>
      <c r="R2419" s="155"/>
      <c r="S2419" s="155"/>
      <c r="T2419" s="155"/>
      <c r="U2419" s="155"/>
      <c r="V2419" s="155"/>
      <c r="W2419" s="155"/>
      <c r="GL2419" s="155"/>
      <c r="GM2419" s="155"/>
      <c r="GN2419" s="155"/>
      <c r="GO2419" s="155"/>
      <c r="GP2419" s="155"/>
      <c r="GQ2419" s="155"/>
      <c r="GR2419" s="155"/>
      <c r="GS2419" s="155"/>
      <c r="GT2419" s="155"/>
      <c r="GU2419" s="155"/>
      <c r="GV2419" s="155"/>
      <c r="GW2419" s="155"/>
      <c r="GX2419" s="155"/>
      <c r="GY2419" s="155"/>
      <c r="GZ2419" s="155"/>
      <c r="HA2419" s="155"/>
      <c r="HB2419" s="155"/>
      <c r="HC2419" s="155"/>
      <c r="HD2419" s="155"/>
      <c r="HE2419" s="155"/>
    </row>
    <row r="2420" spans="2:213" s="156" customFormat="1" hidden="1">
      <c r="B2420" s="155"/>
      <c r="C2420" s="155"/>
      <c r="D2420" s="155"/>
      <c r="E2420" s="155"/>
      <c r="F2420" s="155"/>
      <c r="G2420" s="155"/>
      <c r="H2420" s="155"/>
      <c r="I2420" s="155"/>
      <c r="J2420" s="155"/>
      <c r="K2420" s="155"/>
      <c r="L2420" s="155"/>
      <c r="M2420" s="155"/>
      <c r="N2420" s="155"/>
      <c r="O2420" s="155"/>
      <c r="P2420" s="155"/>
      <c r="Q2420" s="155"/>
      <c r="R2420" s="155"/>
      <c r="S2420" s="155"/>
      <c r="T2420" s="155"/>
      <c r="U2420" s="155"/>
      <c r="V2420" s="155"/>
      <c r="W2420" s="155"/>
      <c r="GL2420" s="155"/>
      <c r="GM2420" s="155"/>
      <c r="GN2420" s="155"/>
      <c r="GO2420" s="155"/>
      <c r="GP2420" s="155"/>
      <c r="GQ2420" s="155"/>
      <c r="GR2420" s="155"/>
      <c r="GS2420" s="155"/>
      <c r="GT2420" s="155"/>
      <c r="GU2420" s="155"/>
      <c r="GV2420" s="155"/>
      <c r="GW2420" s="155"/>
      <c r="GX2420" s="155"/>
      <c r="GY2420" s="155"/>
      <c r="GZ2420" s="155"/>
      <c r="HA2420" s="155"/>
      <c r="HB2420" s="155"/>
      <c r="HC2420" s="155"/>
      <c r="HD2420" s="155"/>
      <c r="HE2420" s="155"/>
    </row>
    <row r="2421" spans="2:213" s="156" customFormat="1" hidden="1">
      <c r="B2421" s="155"/>
      <c r="C2421" s="155"/>
      <c r="D2421" s="155"/>
      <c r="E2421" s="155"/>
      <c r="F2421" s="155"/>
      <c r="G2421" s="155"/>
      <c r="H2421" s="155"/>
      <c r="I2421" s="155"/>
      <c r="J2421" s="155"/>
      <c r="K2421" s="155"/>
      <c r="L2421" s="155"/>
      <c r="M2421" s="155"/>
      <c r="N2421" s="155"/>
      <c r="O2421" s="155"/>
      <c r="P2421" s="155"/>
      <c r="Q2421" s="155"/>
      <c r="R2421" s="155"/>
      <c r="S2421" s="155"/>
      <c r="T2421" s="155"/>
      <c r="U2421" s="155"/>
      <c r="V2421" s="155"/>
      <c r="W2421" s="155"/>
      <c r="GL2421" s="155"/>
      <c r="GM2421" s="155"/>
      <c r="GN2421" s="155"/>
      <c r="GO2421" s="155"/>
      <c r="GP2421" s="155"/>
      <c r="GQ2421" s="155"/>
      <c r="GR2421" s="155"/>
      <c r="GS2421" s="155"/>
      <c r="GT2421" s="155"/>
      <c r="GU2421" s="155"/>
      <c r="GV2421" s="155"/>
      <c r="GW2421" s="155"/>
      <c r="GX2421" s="155"/>
      <c r="GY2421" s="155"/>
      <c r="GZ2421" s="155"/>
      <c r="HA2421" s="155"/>
      <c r="HB2421" s="155"/>
      <c r="HC2421" s="155"/>
      <c r="HD2421" s="155"/>
      <c r="HE2421" s="155"/>
    </row>
    <row r="2422" spans="2:213" s="156" customFormat="1" hidden="1">
      <c r="B2422" s="155"/>
      <c r="C2422" s="155"/>
      <c r="D2422" s="155"/>
      <c r="E2422" s="155"/>
      <c r="F2422" s="155"/>
      <c r="G2422" s="155"/>
      <c r="H2422" s="155"/>
      <c r="I2422" s="155"/>
      <c r="J2422" s="155"/>
      <c r="K2422" s="155"/>
      <c r="L2422" s="155"/>
      <c r="M2422" s="155"/>
      <c r="N2422" s="155"/>
      <c r="O2422" s="155"/>
      <c r="P2422" s="155"/>
      <c r="Q2422" s="155"/>
      <c r="R2422" s="155"/>
      <c r="S2422" s="155"/>
      <c r="T2422" s="155"/>
      <c r="U2422" s="155"/>
      <c r="V2422" s="155"/>
      <c r="W2422" s="155"/>
      <c r="GL2422" s="155"/>
      <c r="GM2422" s="155"/>
      <c r="GN2422" s="155"/>
      <c r="GO2422" s="155"/>
      <c r="GP2422" s="155"/>
      <c r="GQ2422" s="155"/>
      <c r="GR2422" s="155"/>
      <c r="GS2422" s="155"/>
      <c r="GT2422" s="155"/>
      <c r="GU2422" s="155"/>
      <c r="GV2422" s="155"/>
      <c r="GW2422" s="155"/>
      <c r="GX2422" s="155"/>
      <c r="GY2422" s="155"/>
      <c r="GZ2422" s="155"/>
      <c r="HA2422" s="155"/>
      <c r="HB2422" s="155"/>
      <c r="HC2422" s="155"/>
      <c r="HD2422" s="155"/>
      <c r="HE2422" s="155"/>
    </row>
    <row r="2423" spans="2:213" s="156" customFormat="1" hidden="1">
      <c r="B2423" s="155"/>
      <c r="C2423" s="155"/>
      <c r="D2423" s="155"/>
      <c r="E2423" s="155"/>
      <c r="F2423" s="155"/>
      <c r="G2423" s="155"/>
      <c r="H2423" s="155"/>
      <c r="I2423" s="155"/>
      <c r="J2423" s="155"/>
      <c r="K2423" s="155"/>
      <c r="L2423" s="155"/>
      <c r="M2423" s="155"/>
      <c r="N2423" s="155"/>
      <c r="O2423" s="155"/>
      <c r="P2423" s="155"/>
      <c r="Q2423" s="155"/>
      <c r="R2423" s="155"/>
      <c r="S2423" s="155"/>
      <c r="T2423" s="155"/>
      <c r="U2423" s="155"/>
      <c r="V2423" s="155"/>
      <c r="W2423" s="155"/>
      <c r="GL2423" s="155"/>
      <c r="GM2423" s="155"/>
      <c r="GN2423" s="155"/>
      <c r="GO2423" s="155"/>
      <c r="GP2423" s="155"/>
      <c r="GQ2423" s="155"/>
      <c r="GR2423" s="155"/>
      <c r="GS2423" s="155"/>
      <c r="GT2423" s="155"/>
      <c r="GU2423" s="155"/>
      <c r="GV2423" s="155"/>
      <c r="GW2423" s="155"/>
      <c r="GX2423" s="155"/>
      <c r="GY2423" s="155"/>
      <c r="GZ2423" s="155"/>
      <c r="HA2423" s="155"/>
      <c r="HB2423" s="155"/>
      <c r="HC2423" s="155"/>
      <c r="HD2423" s="155"/>
      <c r="HE2423" s="155"/>
    </row>
    <row r="2424" spans="2:213" s="156" customFormat="1" hidden="1">
      <c r="B2424" s="155"/>
      <c r="C2424" s="155"/>
      <c r="D2424" s="155"/>
      <c r="E2424" s="155"/>
      <c r="F2424" s="155"/>
      <c r="G2424" s="155"/>
      <c r="H2424" s="155"/>
      <c r="I2424" s="155"/>
      <c r="J2424" s="155"/>
      <c r="K2424" s="155"/>
      <c r="L2424" s="155"/>
      <c r="M2424" s="155"/>
      <c r="N2424" s="155"/>
      <c r="O2424" s="155"/>
      <c r="P2424" s="155"/>
      <c r="Q2424" s="155"/>
      <c r="R2424" s="155"/>
      <c r="S2424" s="155"/>
      <c r="T2424" s="155"/>
      <c r="U2424" s="155"/>
      <c r="V2424" s="155"/>
      <c r="W2424" s="155"/>
      <c r="GL2424" s="155"/>
      <c r="GM2424" s="155"/>
      <c r="GN2424" s="155"/>
      <c r="GO2424" s="155"/>
      <c r="GP2424" s="155"/>
      <c r="GQ2424" s="155"/>
      <c r="GR2424" s="155"/>
      <c r="GS2424" s="155"/>
      <c r="GT2424" s="155"/>
      <c r="GU2424" s="155"/>
      <c r="GV2424" s="155"/>
      <c r="GW2424" s="155"/>
      <c r="GX2424" s="155"/>
      <c r="GY2424" s="155"/>
      <c r="GZ2424" s="155"/>
      <c r="HA2424" s="155"/>
      <c r="HB2424" s="155"/>
      <c r="HC2424" s="155"/>
      <c r="HD2424" s="155"/>
      <c r="HE2424" s="155"/>
    </row>
    <row r="2425" spans="2:213" s="156" customFormat="1" hidden="1">
      <c r="B2425" s="155"/>
      <c r="C2425" s="155"/>
      <c r="D2425" s="155"/>
      <c r="E2425" s="155"/>
      <c r="F2425" s="155"/>
      <c r="G2425" s="155"/>
      <c r="H2425" s="155"/>
      <c r="I2425" s="155"/>
      <c r="J2425" s="155"/>
      <c r="K2425" s="155"/>
      <c r="L2425" s="155"/>
      <c r="M2425" s="155"/>
      <c r="N2425" s="155"/>
      <c r="O2425" s="155"/>
      <c r="P2425" s="155"/>
      <c r="Q2425" s="155"/>
      <c r="R2425" s="155"/>
      <c r="S2425" s="155"/>
      <c r="T2425" s="155"/>
      <c r="U2425" s="155"/>
      <c r="V2425" s="155"/>
      <c r="W2425" s="155"/>
      <c r="GL2425" s="155"/>
      <c r="GM2425" s="155"/>
      <c r="GN2425" s="155"/>
      <c r="GO2425" s="155"/>
      <c r="GP2425" s="155"/>
      <c r="GQ2425" s="155"/>
      <c r="GR2425" s="155"/>
      <c r="GS2425" s="155"/>
      <c r="GT2425" s="155"/>
      <c r="GU2425" s="155"/>
      <c r="GV2425" s="155"/>
      <c r="GW2425" s="155"/>
      <c r="GX2425" s="155"/>
      <c r="GY2425" s="155"/>
      <c r="GZ2425" s="155"/>
      <c r="HA2425" s="155"/>
      <c r="HB2425" s="155"/>
      <c r="HC2425" s="155"/>
      <c r="HD2425" s="155"/>
      <c r="HE2425" s="155"/>
    </row>
    <row r="2426" spans="2:213" s="156" customFormat="1" hidden="1">
      <c r="B2426" s="155"/>
      <c r="C2426" s="155"/>
      <c r="D2426" s="155"/>
      <c r="E2426" s="155"/>
      <c r="F2426" s="155"/>
      <c r="G2426" s="155"/>
      <c r="H2426" s="155"/>
      <c r="I2426" s="155"/>
      <c r="J2426" s="155"/>
      <c r="K2426" s="155"/>
      <c r="L2426" s="155"/>
      <c r="M2426" s="155"/>
      <c r="N2426" s="155"/>
      <c r="O2426" s="155"/>
      <c r="P2426" s="155"/>
      <c r="Q2426" s="155"/>
      <c r="R2426" s="155"/>
      <c r="S2426" s="155"/>
      <c r="T2426" s="155"/>
      <c r="U2426" s="155"/>
      <c r="V2426" s="155"/>
      <c r="W2426" s="155"/>
      <c r="GL2426" s="155"/>
      <c r="GM2426" s="155"/>
      <c r="GN2426" s="155"/>
      <c r="GO2426" s="155"/>
      <c r="GP2426" s="155"/>
      <c r="GQ2426" s="155"/>
      <c r="GR2426" s="155"/>
      <c r="GS2426" s="155"/>
      <c r="GT2426" s="155"/>
      <c r="GU2426" s="155"/>
      <c r="GV2426" s="155"/>
      <c r="GW2426" s="155"/>
      <c r="GX2426" s="155"/>
      <c r="GY2426" s="155"/>
      <c r="GZ2426" s="155"/>
      <c r="HA2426" s="155"/>
      <c r="HB2426" s="155"/>
      <c r="HC2426" s="155"/>
      <c r="HD2426" s="155"/>
      <c r="HE2426" s="155"/>
    </row>
    <row r="2427" spans="2:213" s="156" customFormat="1" hidden="1">
      <c r="B2427" s="155"/>
      <c r="C2427" s="155"/>
      <c r="D2427" s="155"/>
      <c r="E2427" s="155"/>
      <c r="F2427" s="155"/>
      <c r="G2427" s="155"/>
      <c r="H2427" s="155"/>
      <c r="I2427" s="155"/>
      <c r="J2427" s="155"/>
      <c r="K2427" s="155"/>
      <c r="L2427" s="155"/>
      <c r="M2427" s="155"/>
      <c r="N2427" s="155"/>
      <c r="O2427" s="155"/>
      <c r="P2427" s="155"/>
      <c r="Q2427" s="155"/>
      <c r="R2427" s="155"/>
      <c r="S2427" s="155"/>
      <c r="T2427" s="155"/>
      <c r="U2427" s="155"/>
      <c r="V2427" s="155"/>
      <c r="W2427" s="155"/>
      <c r="GL2427" s="155"/>
      <c r="GM2427" s="155"/>
      <c r="GN2427" s="155"/>
      <c r="GO2427" s="155"/>
      <c r="GP2427" s="155"/>
      <c r="GQ2427" s="155"/>
      <c r="GR2427" s="155"/>
      <c r="GS2427" s="155"/>
      <c r="GT2427" s="155"/>
      <c r="GU2427" s="155"/>
      <c r="GV2427" s="155"/>
      <c r="GW2427" s="155"/>
      <c r="GX2427" s="155"/>
      <c r="GY2427" s="155"/>
      <c r="GZ2427" s="155"/>
      <c r="HA2427" s="155"/>
      <c r="HB2427" s="155"/>
      <c r="HC2427" s="155"/>
      <c r="HD2427" s="155"/>
      <c r="HE2427" s="155"/>
    </row>
    <row r="2428" spans="2:213" s="156" customFormat="1" hidden="1">
      <c r="B2428" s="155"/>
      <c r="C2428" s="155"/>
      <c r="D2428" s="155"/>
      <c r="E2428" s="155"/>
      <c r="F2428" s="155"/>
      <c r="G2428" s="155"/>
      <c r="H2428" s="155"/>
      <c r="I2428" s="155"/>
      <c r="J2428" s="155"/>
      <c r="K2428" s="155"/>
      <c r="L2428" s="155"/>
      <c r="M2428" s="155"/>
      <c r="N2428" s="155"/>
      <c r="O2428" s="155"/>
      <c r="P2428" s="155"/>
      <c r="Q2428" s="155"/>
      <c r="R2428" s="155"/>
      <c r="S2428" s="155"/>
      <c r="T2428" s="155"/>
      <c r="U2428" s="155"/>
      <c r="V2428" s="155"/>
      <c r="W2428" s="155"/>
      <c r="GL2428" s="155"/>
      <c r="GM2428" s="155"/>
      <c r="GN2428" s="155"/>
      <c r="GO2428" s="155"/>
      <c r="GP2428" s="155"/>
      <c r="GQ2428" s="155"/>
      <c r="GR2428" s="155"/>
      <c r="GS2428" s="155"/>
      <c r="GT2428" s="155"/>
      <c r="GU2428" s="155"/>
      <c r="GV2428" s="155"/>
      <c r="GW2428" s="155"/>
      <c r="GX2428" s="155"/>
      <c r="GY2428" s="155"/>
      <c r="GZ2428" s="155"/>
      <c r="HA2428" s="155"/>
      <c r="HB2428" s="155"/>
      <c r="HC2428" s="155"/>
      <c r="HD2428" s="155"/>
      <c r="HE2428" s="155"/>
    </row>
    <row r="2429" spans="2:213" s="156" customFormat="1" hidden="1">
      <c r="B2429" s="155"/>
      <c r="C2429" s="155"/>
      <c r="D2429" s="155"/>
      <c r="E2429" s="155"/>
      <c r="F2429" s="155"/>
      <c r="G2429" s="155"/>
      <c r="H2429" s="155"/>
      <c r="I2429" s="155"/>
      <c r="J2429" s="155"/>
      <c r="K2429" s="155"/>
      <c r="L2429" s="155"/>
      <c r="M2429" s="155"/>
      <c r="N2429" s="155"/>
      <c r="O2429" s="155"/>
      <c r="P2429" s="155"/>
      <c r="Q2429" s="155"/>
      <c r="R2429" s="155"/>
      <c r="S2429" s="155"/>
      <c r="T2429" s="155"/>
      <c r="U2429" s="155"/>
      <c r="V2429" s="155"/>
      <c r="W2429" s="155"/>
      <c r="GL2429" s="155"/>
      <c r="GM2429" s="155"/>
      <c r="GN2429" s="155"/>
      <c r="GO2429" s="155"/>
      <c r="GP2429" s="155"/>
      <c r="GQ2429" s="155"/>
      <c r="GR2429" s="155"/>
      <c r="GS2429" s="155"/>
      <c r="GT2429" s="155"/>
      <c r="GU2429" s="155"/>
      <c r="GV2429" s="155"/>
      <c r="GW2429" s="155"/>
      <c r="GX2429" s="155"/>
      <c r="GY2429" s="155"/>
      <c r="GZ2429" s="155"/>
      <c r="HA2429" s="155"/>
      <c r="HB2429" s="155"/>
      <c r="HC2429" s="155"/>
      <c r="HD2429" s="155"/>
      <c r="HE2429" s="155"/>
    </row>
    <row r="2430" spans="2:213" s="156" customFormat="1" hidden="1">
      <c r="B2430" s="155"/>
      <c r="C2430" s="155"/>
      <c r="D2430" s="155"/>
      <c r="E2430" s="155"/>
      <c r="F2430" s="155"/>
      <c r="G2430" s="155"/>
      <c r="H2430" s="155"/>
      <c r="I2430" s="155"/>
      <c r="J2430" s="155"/>
      <c r="K2430" s="155"/>
      <c r="L2430" s="155"/>
      <c r="M2430" s="155"/>
      <c r="N2430" s="155"/>
      <c r="O2430" s="155"/>
      <c r="P2430" s="155"/>
      <c r="Q2430" s="155"/>
      <c r="R2430" s="155"/>
      <c r="S2430" s="155"/>
      <c r="T2430" s="155"/>
      <c r="U2430" s="155"/>
      <c r="V2430" s="155"/>
      <c r="W2430" s="155"/>
      <c r="GL2430" s="155"/>
      <c r="GM2430" s="155"/>
      <c r="GN2430" s="155"/>
      <c r="GO2430" s="155"/>
      <c r="GP2430" s="155"/>
      <c r="GQ2430" s="155"/>
      <c r="GR2430" s="155"/>
      <c r="GS2430" s="155"/>
      <c r="GT2430" s="155"/>
      <c r="GU2430" s="155"/>
      <c r="GV2430" s="155"/>
      <c r="GW2430" s="155"/>
      <c r="GX2430" s="155"/>
      <c r="GY2430" s="155"/>
      <c r="GZ2430" s="155"/>
      <c r="HA2430" s="155"/>
      <c r="HB2430" s="155"/>
      <c r="HC2430" s="155"/>
      <c r="HD2430" s="155"/>
      <c r="HE2430" s="155"/>
    </row>
    <row r="2431" spans="2:213" s="156" customFormat="1" hidden="1">
      <c r="B2431" s="155"/>
      <c r="C2431" s="155"/>
      <c r="D2431" s="155"/>
      <c r="E2431" s="155"/>
      <c r="F2431" s="155"/>
      <c r="G2431" s="155"/>
      <c r="H2431" s="155"/>
      <c r="I2431" s="155"/>
      <c r="J2431" s="155"/>
      <c r="K2431" s="155"/>
      <c r="L2431" s="155"/>
      <c r="M2431" s="155"/>
      <c r="N2431" s="155"/>
      <c r="O2431" s="155"/>
      <c r="P2431" s="155"/>
      <c r="Q2431" s="155"/>
      <c r="R2431" s="155"/>
      <c r="S2431" s="155"/>
      <c r="T2431" s="155"/>
      <c r="U2431" s="155"/>
      <c r="V2431" s="155"/>
      <c r="W2431" s="155"/>
      <c r="GL2431" s="155"/>
      <c r="GM2431" s="155"/>
      <c r="GN2431" s="155"/>
      <c r="GO2431" s="155"/>
      <c r="GP2431" s="155"/>
      <c r="GQ2431" s="155"/>
      <c r="GR2431" s="155"/>
      <c r="GS2431" s="155"/>
      <c r="GT2431" s="155"/>
      <c r="GU2431" s="155"/>
      <c r="GV2431" s="155"/>
      <c r="GW2431" s="155"/>
      <c r="GX2431" s="155"/>
      <c r="GY2431" s="155"/>
      <c r="GZ2431" s="155"/>
      <c r="HA2431" s="155"/>
      <c r="HB2431" s="155"/>
      <c r="HC2431" s="155"/>
      <c r="HD2431" s="155"/>
      <c r="HE2431" s="155"/>
    </row>
    <row r="2432" spans="2:213" s="156" customFormat="1" hidden="1">
      <c r="B2432" s="155"/>
      <c r="C2432" s="155"/>
      <c r="D2432" s="155"/>
      <c r="E2432" s="155"/>
      <c r="F2432" s="155"/>
      <c r="G2432" s="155"/>
      <c r="H2432" s="155"/>
      <c r="I2432" s="155"/>
      <c r="J2432" s="155"/>
      <c r="K2432" s="155"/>
      <c r="L2432" s="155"/>
      <c r="M2432" s="155"/>
      <c r="N2432" s="155"/>
      <c r="O2432" s="155"/>
      <c r="P2432" s="155"/>
      <c r="Q2432" s="155"/>
      <c r="R2432" s="155"/>
      <c r="S2432" s="155"/>
      <c r="T2432" s="155"/>
      <c r="U2432" s="155"/>
      <c r="V2432" s="155"/>
      <c r="W2432" s="155"/>
      <c r="GL2432" s="155"/>
      <c r="GM2432" s="155"/>
      <c r="GN2432" s="155"/>
      <c r="GO2432" s="155"/>
      <c r="GP2432" s="155"/>
      <c r="GQ2432" s="155"/>
      <c r="GR2432" s="155"/>
      <c r="GS2432" s="155"/>
      <c r="GT2432" s="155"/>
      <c r="GU2432" s="155"/>
      <c r="GV2432" s="155"/>
      <c r="GW2432" s="155"/>
      <c r="GX2432" s="155"/>
      <c r="GY2432" s="155"/>
      <c r="GZ2432" s="155"/>
      <c r="HA2432" s="155"/>
      <c r="HB2432" s="155"/>
      <c r="HC2432" s="155"/>
      <c r="HD2432" s="155"/>
      <c r="HE2432" s="155"/>
    </row>
    <row r="2433" spans="2:213" s="156" customFormat="1" hidden="1">
      <c r="B2433" s="155"/>
      <c r="C2433" s="155"/>
      <c r="D2433" s="155"/>
      <c r="E2433" s="155"/>
      <c r="F2433" s="155"/>
      <c r="G2433" s="155"/>
      <c r="H2433" s="155"/>
      <c r="I2433" s="155"/>
      <c r="J2433" s="155"/>
      <c r="K2433" s="155"/>
      <c r="L2433" s="155"/>
      <c r="M2433" s="155"/>
      <c r="N2433" s="155"/>
      <c r="O2433" s="155"/>
      <c r="P2433" s="155"/>
      <c r="Q2433" s="155"/>
      <c r="R2433" s="155"/>
      <c r="S2433" s="155"/>
      <c r="T2433" s="155"/>
      <c r="U2433" s="155"/>
      <c r="V2433" s="155"/>
      <c r="W2433" s="155"/>
      <c r="GL2433" s="155"/>
      <c r="GM2433" s="155"/>
      <c r="GN2433" s="155"/>
      <c r="GO2433" s="155"/>
      <c r="GP2433" s="155"/>
      <c r="GQ2433" s="155"/>
      <c r="GR2433" s="155"/>
      <c r="GS2433" s="155"/>
      <c r="GT2433" s="155"/>
      <c r="GU2433" s="155"/>
      <c r="GV2433" s="155"/>
      <c r="GW2433" s="155"/>
      <c r="GX2433" s="155"/>
      <c r="GY2433" s="155"/>
      <c r="GZ2433" s="155"/>
      <c r="HA2433" s="155"/>
      <c r="HB2433" s="155"/>
      <c r="HC2433" s="155"/>
      <c r="HD2433" s="155"/>
      <c r="HE2433" s="155"/>
    </row>
    <row r="2434" spans="2:213" s="156" customFormat="1" hidden="1">
      <c r="B2434" s="155"/>
      <c r="C2434" s="155"/>
      <c r="D2434" s="155"/>
      <c r="E2434" s="155"/>
      <c r="F2434" s="155"/>
      <c r="G2434" s="155"/>
      <c r="H2434" s="155"/>
      <c r="I2434" s="155"/>
      <c r="J2434" s="155"/>
      <c r="K2434" s="155"/>
      <c r="L2434" s="155"/>
      <c r="M2434" s="155"/>
      <c r="N2434" s="155"/>
      <c r="O2434" s="155"/>
      <c r="P2434" s="155"/>
      <c r="Q2434" s="155"/>
      <c r="R2434" s="155"/>
      <c r="S2434" s="155"/>
      <c r="T2434" s="155"/>
      <c r="U2434" s="155"/>
      <c r="V2434" s="155"/>
      <c r="W2434" s="155"/>
      <c r="GL2434" s="155"/>
      <c r="GM2434" s="155"/>
      <c r="GN2434" s="155"/>
      <c r="GO2434" s="155"/>
      <c r="GP2434" s="155"/>
      <c r="GQ2434" s="155"/>
      <c r="GR2434" s="155"/>
      <c r="GS2434" s="155"/>
      <c r="GT2434" s="155"/>
      <c r="GU2434" s="155"/>
      <c r="GV2434" s="155"/>
      <c r="GW2434" s="155"/>
      <c r="GX2434" s="155"/>
      <c r="GY2434" s="155"/>
      <c r="GZ2434" s="155"/>
      <c r="HA2434" s="155"/>
      <c r="HB2434" s="155"/>
      <c r="HC2434" s="155"/>
      <c r="HD2434" s="155"/>
      <c r="HE2434" s="155"/>
    </row>
    <row r="2435" spans="2:213" s="156" customFormat="1" hidden="1">
      <c r="B2435" s="155"/>
      <c r="C2435" s="155"/>
      <c r="D2435" s="155"/>
      <c r="E2435" s="155"/>
      <c r="F2435" s="155"/>
      <c r="G2435" s="155"/>
      <c r="H2435" s="155"/>
      <c r="I2435" s="155"/>
      <c r="J2435" s="155"/>
      <c r="K2435" s="155"/>
      <c r="L2435" s="155"/>
      <c r="M2435" s="155"/>
      <c r="N2435" s="155"/>
      <c r="O2435" s="155"/>
      <c r="P2435" s="155"/>
      <c r="Q2435" s="155"/>
      <c r="R2435" s="155"/>
      <c r="S2435" s="155"/>
      <c r="T2435" s="155"/>
      <c r="U2435" s="155"/>
      <c r="V2435" s="155"/>
      <c r="W2435" s="155"/>
      <c r="GL2435" s="155"/>
      <c r="GM2435" s="155"/>
      <c r="GN2435" s="155"/>
      <c r="GO2435" s="155"/>
      <c r="GP2435" s="155"/>
      <c r="GQ2435" s="155"/>
      <c r="GR2435" s="155"/>
      <c r="GS2435" s="155"/>
      <c r="GT2435" s="155"/>
      <c r="GU2435" s="155"/>
      <c r="GV2435" s="155"/>
      <c r="GW2435" s="155"/>
      <c r="GX2435" s="155"/>
      <c r="GY2435" s="155"/>
      <c r="GZ2435" s="155"/>
      <c r="HA2435" s="155"/>
      <c r="HB2435" s="155"/>
      <c r="HC2435" s="155"/>
      <c r="HD2435" s="155"/>
      <c r="HE2435" s="155"/>
    </row>
    <row r="2436" spans="2:213" s="156" customFormat="1" hidden="1">
      <c r="B2436" s="155"/>
      <c r="C2436" s="155"/>
      <c r="D2436" s="155"/>
      <c r="E2436" s="155"/>
      <c r="F2436" s="155"/>
      <c r="G2436" s="155"/>
      <c r="H2436" s="155"/>
      <c r="I2436" s="155"/>
      <c r="J2436" s="155"/>
      <c r="K2436" s="155"/>
      <c r="L2436" s="155"/>
      <c r="M2436" s="155"/>
      <c r="N2436" s="155"/>
      <c r="O2436" s="155"/>
      <c r="P2436" s="155"/>
      <c r="Q2436" s="155"/>
      <c r="R2436" s="155"/>
      <c r="S2436" s="155"/>
      <c r="T2436" s="155"/>
      <c r="U2436" s="155"/>
      <c r="V2436" s="155"/>
      <c r="W2436" s="155"/>
      <c r="GL2436" s="155"/>
      <c r="GM2436" s="155"/>
      <c r="GN2436" s="155"/>
      <c r="GO2436" s="155"/>
      <c r="GP2436" s="155"/>
      <c r="GQ2436" s="155"/>
      <c r="GR2436" s="155"/>
      <c r="GS2436" s="155"/>
      <c r="GT2436" s="155"/>
      <c r="GU2436" s="155"/>
      <c r="GV2436" s="155"/>
      <c r="GW2436" s="155"/>
      <c r="GX2436" s="155"/>
      <c r="GY2436" s="155"/>
      <c r="GZ2436" s="155"/>
      <c r="HA2436" s="155"/>
      <c r="HB2436" s="155"/>
      <c r="HC2436" s="155"/>
      <c r="HD2436" s="155"/>
      <c r="HE2436" s="155"/>
    </row>
    <row r="2437" spans="2:213" s="156" customFormat="1" hidden="1">
      <c r="B2437" s="155"/>
      <c r="C2437" s="155"/>
      <c r="D2437" s="155"/>
      <c r="E2437" s="155"/>
      <c r="F2437" s="155"/>
      <c r="G2437" s="155"/>
      <c r="H2437" s="155"/>
      <c r="I2437" s="155"/>
      <c r="J2437" s="155"/>
      <c r="K2437" s="155"/>
      <c r="L2437" s="155"/>
      <c r="M2437" s="155"/>
      <c r="N2437" s="155"/>
      <c r="O2437" s="155"/>
      <c r="P2437" s="155"/>
      <c r="Q2437" s="155"/>
      <c r="R2437" s="155"/>
      <c r="S2437" s="155"/>
      <c r="T2437" s="155"/>
      <c r="U2437" s="155"/>
      <c r="V2437" s="155"/>
      <c r="W2437" s="155"/>
      <c r="GL2437" s="155"/>
      <c r="GM2437" s="155"/>
      <c r="GN2437" s="155"/>
      <c r="GO2437" s="155"/>
      <c r="GP2437" s="155"/>
      <c r="GQ2437" s="155"/>
      <c r="GR2437" s="155"/>
      <c r="GS2437" s="155"/>
      <c r="GT2437" s="155"/>
      <c r="GU2437" s="155"/>
      <c r="GV2437" s="155"/>
      <c r="GW2437" s="155"/>
      <c r="GX2437" s="155"/>
      <c r="GY2437" s="155"/>
      <c r="GZ2437" s="155"/>
      <c r="HA2437" s="155"/>
      <c r="HB2437" s="155"/>
      <c r="HC2437" s="155"/>
      <c r="HD2437" s="155"/>
      <c r="HE2437" s="155"/>
    </row>
    <row r="2438" spans="2:213" s="156" customFormat="1" hidden="1">
      <c r="B2438" s="155"/>
      <c r="C2438" s="155"/>
      <c r="D2438" s="155"/>
      <c r="E2438" s="155"/>
      <c r="F2438" s="155"/>
      <c r="G2438" s="155"/>
      <c r="H2438" s="155"/>
      <c r="I2438" s="155"/>
      <c r="J2438" s="155"/>
      <c r="K2438" s="155"/>
      <c r="L2438" s="155"/>
      <c r="M2438" s="155"/>
      <c r="N2438" s="155"/>
      <c r="O2438" s="155"/>
      <c r="P2438" s="155"/>
      <c r="Q2438" s="155"/>
      <c r="R2438" s="155"/>
      <c r="S2438" s="155"/>
      <c r="T2438" s="155"/>
      <c r="U2438" s="155"/>
      <c r="V2438" s="155"/>
      <c r="W2438" s="155"/>
      <c r="GL2438" s="155"/>
      <c r="GM2438" s="155"/>
      <c r="GN2438" s="155"/>
      <c r="GO2438" s="155"/>
      <c r="GP2438" s="155"/>
      <c r="GQ2438" s="155"/>
      <c r="GR2438" s="155"/>
      <c r="GS2438" s="155"/>
      <c r="GT2438" s="155"/>
      <c r="GU2438" s="155"/>
      <c r="GV2438" s="155"/>
      <c r="GW2438" s="155"/>
      <c r="GX2438" s="155"/>
      <c r="GY2438" s="155"/>
      <c r="GZ2438" s="155"/>
      <c r="HA2438" s="155"/>
      <c r="HB2438" s="155"/>
      <c r="HC2438" s="155"/>
      <c r="HD2438" s="155"/>
      <c r="HE2438" s="155"/>
    </row>
    <row r="2439" spans="2:213" s="156" customFormat="1" hidden="1">
      <c r="B2439" s="155"/>
      <c r="C2439" s="155"/>
      <c r="D2439" s="155"/>
      <c r="E2439" s="155"/>
      <c r="F2439" s="155"/>
      <c r="G2439" s="155"/>
      <c r="H2439" s="155"/>
      <c r="I2439" s="155"/>
      <c r="J2439" s="155"/>
      <c r="K2439" s="155"/>
      <c r="L2439" s="155"/>
      <c r="M2439" s="155"/>
      <c r="N2439" s="155"/>
      <c r="O2439" s="155"/>
      <c r="P2439" s="155"/>
      <c r="Q2439" s="155"/>
      <c r="R2439" s="155"/>
      <c r="S2439" s="155"/>
      <c r="T2439" s="155"/>
      <c r="U2439" s="155"/>
      <c r="V2439" s="155"/>
      <c r="W2439" s="155"/>
      <c r="GL2439" s="155"/>
      <c r="GM2439" s="155"/>
      <c r="GN2439" s="155"/>
      <c r="GO2439" s="155"/>
      <c r="GP2439" s="155"/>
      <c r="GQ2439" s="155"/>
      <c r="GR2439" s="155"/>
      <c r="GS2439" s="155"/>
      <c r="GT2439" s="155"/>
      <c r="GU2439" s="155"/>
      <c r="GV2439" s="155"/>
      <c r="GW2439" s="155"/>
      <c r="GX2439" s="155"/>
      <c r="GY2439" s="155"/>
      <c r="GZ2439" s="155"/>
      <c r="HA2439" s="155"/>
      <c r="HB2439" s="155"/>
      <c r="HC2439" s="155"/>
      <c r="HD2439" s="155"/>
      <c r="HE2439" s="155"/>
    </row>
    <row r="2440" spans="2:213" s="156" customFormat="1" hidden="1">
      <c r="B2440" s="155"/>
      <c r="C2440" s="155"/>
      <c r="D2440" s="155"/>
      <c r="E2440" s="155"/>
      <c r="F2440" s="155"/>
      <c r="G2440" s="155"/>
      <c r="H2440" s="155"/>
      <c r="I2440" s="155"/>
      <c r="J2440" s="155"/>
      <c r="K2440" s="155"/>
      <c r="L2440" s="155"/>
      <c r="M2440" s="155"/>
      <c r="N2440" s="155"/>
      <c r="O2440" s="155"/>
      <c r="P2440" s="155"/>
      <c r="Q2440" s="155"/>
      <c r="R2440" s="155"/>
      <c r="S2440" s="155"/>
      <c r="T2440" s="155"/>
      <c r="U2440" s="155"/>
      <c r="V2440" s="155"/>
      <c r="W2440" s="155"/>
      <c r="GL2440" s="155"/>
      <c r="GM2440" s="155"/>
      <c r="GN2440" s="155"/>
      <c r="GO2440" s="155"/>
      <c r="GP2440" s="155"/>
      <c r="GQ2440" s="155"/>
      <c r="GR2440" s="155"/>
      <c r="GS2440" s="155"/>
      <c r="GT2440" s="155"/>
      <c r="GU2440" s="155"/>
      <c r="GV2440" s="155"/>
      <c r="GW2440" s="155"/>
      <c r="GX2440" s="155"/>
      <c r="GY2440" s="155"/>
      <c r="GZ2440" s="155"/>
      <c r="HA2440" s="155"/>
      <c r="HB2440" s="155"/>
      <c r="HC2440" s="155"/>
      <c r="HD2440" s="155"/>
      <c r="HE2440" s="155"/>
    </row>
    <row r="2441" spans="2:213" s="156" customFormat="1" hidden="1">
      <c r="B2441" s="155"/>
      <c r="C2441" s="155"/>
      <c r="D2441" s="155"/>
      <c r="E2441" s="155"/>
      <c r="F2441" s="155"/>
      <c r="G2441" s="155"/>
      <c r="H2441" s="155"/>
      <c r="I2441" s="155"/>
      <c r="J2441" s="155"/>
      <c r="K2441" s="155"/>
      <c r="L2441" s="155"/>
      <c r="M2441" s="155"/>
      <c r="N2441" s="155"/>
      <c r="O2441" s="155"/>
      <c r="P2441" s="155"/>
      <c r="Q2441" s="155"/>
      <c r="R2441" s="155"/>
      <c r="S2441" s="155"/>
      <c r="T2441" s="155"/>
      <c r="U2441" s="155"/>
      <c r="V2441" s="155"/>
      <c r="W2441" s="155"/>
      <c r="GL2441" s="155"/>
      <c r="GM2441" s="155"/>
      <c r="GN2441" s="155"/>
      <c r="GO2441" s="155"/>
      <c r="GP2441" s="155"/>
      <c r="GQ2441" s="155"/>
      <c r="GR2441" s="155"/>
      <c r="GS2441" s="155"/>
      <c r="GT2441" s="155"/>
      <c r="GU2441" s="155"/>
      <c r="GV2441" s="155"/>
      <c r="GW2441" s="155"/>
      <c r="GX2441" s="155"/>
      <c r="GY2441" s="155"/>
      <c r="GZ2441" s="155"/>
      <c r="HA2441" s="155"/>
      <c r="HB2441" s="155"/>
      <c r="HC2441" s="155"/>
      <c r="HD2441" s="155"/>
      <c r="HE2441" s="155"/>
    </row>
    <row r="2442" spans="2:213" s="156" customFormat="1" hidden="1">
      <c r="B2442" s="155"/>
      <c r="C2442" s="155"/>
      <c r="D2442" s="155"/>
      <c r="E2442" s="155"/>
      <c r="F2442" s="155"/>
      <c r="G2442" s="155"/>
      <c r="H2442" s="155"/>
      <c r="I2442" s="155"/>
      <c r="J2442" s="155"/>
      <c r="K2442" s="155"/>
      <c r="L2442" s="155"/>
      <c r="M2442" s="155"/>
      <c r="N2442" s="155"/>
      <c r="O2442" s="155"/>
      <c r="P2442" s="155"/>
      <c r="Q2442" s="155"/>
      <c r="R2442" s="155"/>
      <c r="S2442" s="155"/>
      <c r="T2442" s="155"/>
      <c r="U2442" s="155"/>
      <c r="V2442" s="155"/>
      <c r="W2442" s="155"/>
      <c r="GL2442" s="155"/>
      <c r="GM2442" s="155"/>
      <c r="GN2442" s="155"/>
      <c r="GO2442" s="155"/>
      <c r="GP2442" s="155"/>
      <c r="GQ2442" s="155"/>
      <c r="GR2442" s="155"/>
      <c r="GS2442" s="155"/>
      <c r="GT2442" s="155"/>
      <c r="GU2442" s="155"/>
      <c r="GV2442" s="155"/>
      <c r="GW2442" s="155"/>
      <c r="GX2442" s="155"/>
      <c r="GY2442" s="155"/>
      <c r="GZ2442" s="155"/>
      <c r="HA2442" s="155"/>
      <c r="HB2442" s="155"/>
      <c r="HC2442" s="155"/>
      <c r="HD2442" s="155"/>
      <c r="HE2442" s="155"/>
    </row>
    <row r="2443" spans="2:213" s="156" customFormat="1" hidden="1">
      <c r="B2443" s="155"/>
      <c r="C2443" s="155"/>
      <c r="D2443" s="155"/>
      <c r="E2443" s="155"/>
      <c r="F2443" s="155"/>
      <c r="G2443" s="155"/>
      <c r="H2443" s="155"/>
      <c r="I2443" s="155"/>
      <c r="J2443" s="155"/>
      <c r="K2443" s="155"/>
      <c r="L2443" s="155"/>
      <c r="M2443" s="155"/>
      <c r="N2443" s="155"/>
      <c r="O2443" s="155"/>
      <c r="P2443" s="155"/>
      <c r="Q2443" s="155"/>
      <c r="R2443" s="155"/>
      <c r="S2443" s="155"/>
      <c r="T2443" s="155"/>
      <c r="U2443" s="155"/>
      <c r="V2443" s="155"/>
      <c r="W2443" s="155"/>
      <c r="GL2443" s="155"/>
      <c r="GM2443" s="155"/>
      <c r="GN2443" s="155"/>
      <c r="GO2443" s="155"/>
      <c r="GP2443" s="155"/>
      <c r="GQ2443" s="155"/>
      <c r="GR2443" s="155"/>
      <c r="GS2443" s="155"/>
      <c r="GT2443" s="155"/>
      <c r="GU2443" s="155"/>
      <c r="GV2443" s="155"/>
      <c r="GW2443" s="155"/>
      <c r="GX2443" s="155"/>
      <c r="GY2443" s="155"/>
      <c r="GZ2443" s="155"/>
      <c r="HA2443" s="155"/>
      <c r="HB2443" s="155"/>
      <c r="HC2443" s="155"/>
      <c r="HD2443" s="155"/>
      <c r="HE2443" s="155"/>
    </row>
    <row r="2444" spans="2:213" s="156" customFormat="1" hidden="1">
      <c r="B2444" s="155"/>
      <c r="C2444" s="155"/>
      <c r="D2444" s="155"/>
      <c r="E2444" s="155"/>
      <c r="F2444" s="155"/>
      <c r="G2444" s="155"/>
      <c r="H2444" s="155"/>
      <c r="I2444" s="155"/>
      <c r="J2444" s="155"/>
      <c r="K2444" s="155"/>
      <c r="L2444" s="155"/>
      <c r="M2444" s="155"/>
      <c r="N2444" s="155"/>
      <c r="O2444" s="155"/>
      <c r="P2444" s="155"/>
      <c r="Q2444" s="155"/>
      <c r="R2444" s="155"/>
      <c r="S2444" s="155"/>
      <c r="T2444" s="155"/>
      <c r="U2444" s="155"/>
      <c r="V2444" s="155"/>
      <c r="W2444" s="155"/>
      <c r="GL2444" s="155"/>
      <c r="GM2444" s="155"/>
      <c r="GN2444" s="155"/>
      <c r="GO2444" s="155"/>
      <c r="GP2444" s="155"/>
      <c r="GQ2444" s="155"/>
      <c r="GR2444" s="155"/>
      <c r="GS2444" s="155"/>
      <c r="GT2444" s="155"/>
      <c r="GU2444" s="155"/>
      <c r="GV2444" s="155"/>
      <c r="GW2444" s="155"/>
      <c r="GX2444" s="155"/>
      <c r="GY2444" s="155"/>
      <c r="GZ2444" s="155"/>
      <c r="HA2444" s="155"/>
      <c r="HB2444" s="155"/>
      <c r="HC2444" s="155"/>
      <c r="HD2444" s="155"/>
      <c r="HE2444" s="155"/>
    </row>
    <row r="2445" spans="2:213" s="156" customFormat="1" hidden="1">
      <c r="B2445" s="155"/>
      <c r="C2445" s="155"/>
      <c r="D2445" s="155"/>
      <c r="E2445" s="155"/>
      <c r="F2445" s="155"/>
      <c r="G2445" s="155"/>
      <c r="H2445" s="155"/>
      <c r="I2445" s="155"/>
      <c r="J2445" s="155"/>
      <c r="K2445" s="155"/>
      <c r="L2445" s="155"/>
      <c r="M2445" s="155"/>
      <c r="N2445" s="155"/>
      <c r="O2445" s="155"/>
      <c r="P2445" s="155"/>
      <c r="Q2445" s="155"/>
      <c r="R2445" s="155"/>
      <c r="S2445" s="155"/>
      <c r="T2445" s="155"/>
      <c r="U2445" s="155"/>
      <c r="V2445" s="155"/>
      <c r="W2445" s="155"/>
      <c r="GL2445" s="155"/>
      <c r="GM2445" s="155"/>
      <c r="GN2445" s="155"/>
      <c r="GO2445" s="155"/>
      <c r="GP2445" s="155"/>
      <c r="GQ2445" s="155"/>
      <c r="GR2445" s="155"/>
      <c r="GS2445" s="155"/>
      <c r="GT2445" s="155"/>
      <c r="GU2445" s="155"/>
      <c r="GV2445" s="155"/>
      <c r="GW2445" s="155"/>
      <c r="GX2445" s="155"/>
      <c r="GY2445" s="155"/>
      <c r="GZ2445" s="155"/>
      <c r="HA2445" s="155"/>
      <c r="HB2445" s="155"/>
      <c r="HC2445" s="155"/>
      <c r="HD2445" s="155"/>
      <c r="HE2445" s="155"/>
    </row>
    <row r="2446" spans="2:213" s="156" customFormat="1" hidden="1">
      <c r="B2446" s="155"/>
      <c r="C2446" s="155"/>
      <c r="D2446" s="155"/>
      <c r="E2446" s="155"/>
      <c r="F2446" s="155"/>
      <c r="G2446" s="155"/>
      <c r="H2446" s="155"/>
      <c r="I2446" s="155"/>
      <c r="J2446" s="155"/>
      <c r="K2446" s="155"/>
      <c r="L2446" s="155"/>
      <c r="M2446" s="155"/>
      <c r="N2446" s="155"/>
      <c r="O2446" s="155"/>
      <c r="P2446" s="155"/>
      <c r="Q2446" s="155"/>
      <c r="R2446" s="155"/>
      <c r="S2446" s="155"/>
      <c r="T2446" s="155"/>
      <c r="U2446" s="155"/>
      <c r="V2446" s="155"/>
      <c r="W2446" s="155"/>
      <c r="GL2446" s="155"/>
      <c r="GM2446" s="155"/>
      <c r="GN2446" s="155"/>
      <c r="GO2446" s="155"/>
      <c r="GP2446" s="155"/>
      <c r="GQ2446" s="155"/>
      <c r="GR2446" s="155"/>
      <c r="GS2446" s="155"/>
      <c r="GT2446" s="155"/>
      <c r="GU2446" s="155"/>
      <c r="GV2446" s="155"/>
      <c r="GW2446" s="155"/>
      <c r="GX2446" s="155"/>
      <c r="GY2446" s="155"/>
      <c r="GZ2446" s="155"/>
      <c r="HA2446" s="155"/>
      <c r="HB2446" s="155"/>
      <c r="HC2446" s="155"/>
      <c r="HD2446" s="155"/>
      <c r="HE2446" s="155"/>
    </row>
    <row r="2447" spans="2:213" s="156" customFormat="1" hidden="1">
      <c r="B2447" s="155"/>
      <c r="C2447" s="155"/>
      <c r="D2447" s="155"/>
      <c r="E2447" s="155"/>
      <c r="F2447" s="155"/>
      <c r="G2447" s="155"/>
      <c r="H2447" s="155"/>
      <c r="I2447" s="155"/>
      <c r="J2447" s="155"/>
      <c r="K2447" s="155"/>
      <c r="L2447" s="155"/>
      <c r="M2447" s="155"/>
      <c r="N2447" s="155"/>
      <c r="O2447" s="155"/>
      <c r="P2447" s="155"/>
      <c r="Q2447" s="155"/>
      <c r="R2447" s="155"/>
      <c r="S2447" s="155"/>
      <c r="T2447" s="155"/>
      <c r="U2447" s="155"/>
      <c r="V2447" s="155"/>
      <c r="W2447" s="155"/>
      <c r="GL2447" s="155"/>
      <c r="GM2447" s="155"/>
      <c r="GN2447" s="155"/>
      <c r="GO2447" s="155"/>
      <c r="GP2447" s="155"/>
      <c r="GQ2447" s="155"/>
      <c r="GR2447" s="155"/>
      <c r="GS2447" s="155"/>
      <c r="GT2447" s="155"/>
      <c r="GU2447" s="155"/>
      <c r="GV2447" s="155"/>
      <c r="GW2447" s="155"/>
      <c r="GX2447" s="155"/>
      <c r="GY2447" s="155"/>
      <c r="GZ2447" s="155"/>
      <c r="HA2447" s="155"/>
      <c r="HB2447" s="155"/>
      <c r="HC2447" s="155"/>
      <c r="HD2447" s="155"/>
      <c r="HE2447" s="155"/>
    </row>
    <row r="2448" spans="2:213" s="156" customFormat="1" hidden="1">
      <c r="B2448" s="155"/>
      <c r="C2448" s="155"/>
      <c r="D2448" s="155"/>
      <c r="E2448" s="155"/>
      <c r="F2448" s="155"/>
      <c r="G2448" s="155"/>
      <c r="H2448" s="155"/>
      <c r="I2448" s="155"/>
      <c r="J2448" s="155"/>
      <c r="K2448" s="155"/>
      <c r="L2448" s="155"/>
      <c r="M2448" s="155"/>
      <c r="N2448" s="155"/>
      <c r="O2448" s="155"/>
      <c r="P2448" s="155"/>
      <c r="Q2448" s="155"/>
      <c r="R2448" s="155"/>
      <c r="S2448" s="155"/>
      <c r="T2448" s="155"/>
      <c r="U2448" s="155"/>
      <c r="V2448" s="155"/>
      <c r="W2448" s="155"/>
      <c r="GL2448" s="155"/>
      <c r="GM2448" s="155"/>
      <c r="GN2448" s="155"/>
      <c r="GO2448" s="155"/>
      <c r="GP2448" s="155"/>
      <c r="GQ2448" s="155"/>
      <c r="GR2448" s="155"/>
      <c r="GS2448" s="155"/>
      <c r="GT2448" s="155"/>
      <c r="GU2448" s="155"/>
      <c r="GV2448" s="155"/>
      <c r="GW2448" s="155"/>
      <c r="GX2448" s="155"/>
      <c r="GY2448" s="155"/>
      <c r="GZ2448" s="155"/>
      <c r="HA2448" s="155"/>
      <c r="HB2448" s="155"/>
      <c r="HC2448" s="155"/>
      <c r="HD2448" s="155"/>
      <c r="HE2448" s="155"/>
    </row>
    <row r="2449" spans="2:213" s="156" customFormat="1" hidden="1">
      <c r="B2449" s="155"/>
      <c r="C2449" s="155"/>
      <c r="D2449" s="155"/>
      <c r="E2449" s="155"/>
      <c r="F2449" s="155"/>
      <c r="G2449" s="155"/>
      <c r="H2449" s="155"/>
      <c r="I2449" s="155"/>
      <c r="J2449" s="155"/>
      <c r="K2449" s="155"/>
      <c r="L2449" s="155"/>
      <c r="M2449" s="155"/>
      <c r="N2449" s="155"/>
      <c r="O2449" s="155"/>
      <c r="P2449" s="155"/>
      <c r="Q2449" s="155"/>
      <c r="R2449" s="155"/>
      <c r="S2449" s="155"/>
      <c r="T2449" s="155"/>
      <c r="U2449" s="155"/>
      <c r="V2449" s="155"/>
      <c r="W2449" s="155"/>
      <c r="GL2449" s="155"/>
      <c r="GM2449" s="155"/>
      <c r="GN2449" s="155"/>
      <c r="GO2449" s="155"/>
      <c r="GP2449" s="155"/>
      <c r="GQ2449" s="155"/>
      <c r="GR2449" s="155"/>
      <c r="GS2449" s="155"/>
      <c r="GT2449" s="155"/>
      <c r="GU2449" s="155"/>
      <c r="GV2449" s="155"/>
      <c r="GW2449" s="155"/>
      <c r="GX2449" s="155"/>
      <c r="GY2449" s="155"/>
      <c r="GZ2449" s="155"/>
      <c r="HA2449" s="155"/>
      <c r="HB2449" s="155"/>
      <c r="HC2449" s="155"/>
      <c r="HD2449" s="155"/>
      <c r="HE2449" s="155"/>
    </row>
    <row r="2450" spans="2:213" s="156" customFormat="1" hidden="1">
      <c r="B2450" s="155"/>
      <c r="C2450" s="155"/>
      <c r="D2450" s="155"/>
      <c r="E2450" s="155"/>
      <c r="F2450" s="155"/>
      <c r="G2450" s="155"/>
      <c r="H2450" s="155"/>
      <c r="I2450" s="155"/>
      <c r="J2450" s="155"/>
      <c r="K2450" s="155"/>
      <c r="L2450" s="155"/>
      <c r="M2450" s="155"/>
      <c r="N2450" s="155"/>
      <c r="O2450" s="155"/>
      <c r="P2450" s="155"/>
      <c r="Q2450" s="155"/>
      <c r="R2450" s="155"/>
      <c r="S2450" s="155"/>
      <c r="T2450" s="155"/>
      <c r="U2450" s="155"/>
      <c r="V2450" s="155"/>
      <c r="W2450" s="155"/>
      <c r="GL2450" s="155"/>
      <c r="GM2450" s="155"/>
      <c r="GN2450" s="155"/>
      <c r="GO2450" s="155"/>
      <c r="GP2450" s="155"/>
      <c r="GQ2450" s="155"/>
      <c r="GR2450" s="155"/>
      <c r="GS2450" s="155"/>
      <c r="GT2450" s="155"/>
      <c r="GU2450" s="155"/>
      <c r="GV2450" s="155"/>
      <c r="GW2450" s="155"/>
      <c r="GX2450" s="155"/>
      <c r="GY2450" s="155"/>
      <c r="GZ2450" s="155"/>
      <c r="HA2450" s="155"/>
      <c r="HB2450" s="155"/>
      <c r="HC2450" s="155"/>
      <c r="HD2450" s="155"/>
      <c r="HE2450" s="155"/>
    </row>
    <row r="2451" spans="2:213" s="156" customFormat="1" hidden="1">
      <c r="B2451" s="155"/>
      <c r="C2451" s="155"/>
      <c r="D2451" s="155"/>
      <c r="E2451" s="155"/>
      <c r="F2451" s="155"/>
      <c r="G2451" s="155"/>
      <c r="H2451" s="155"/>
      <c r="I2451" s="155"/>
      <c r="J2451" s="155"/>
      <c r="K2451" s="155"/>
      <c r="L2451" s="155"/>
      <c r="M2451" s="155"/>
      <c r="N2451" s="155"/>
      <c r="O2451" s="155"/>
      <c r="P2451" s="155"/>
      <c r="Q2451" s="155"/>
      <c r="R2451" s="155"/>
      <c r="S2451" s="155"/>
      <c r="T2451" s="155"/>
      <c r="U2451" s="155"/>
      <c r="V2451" s="155"/>
      <c r="W2451" s="155"/>
      <c r="GL2451" s="155"/>
      <c r="GM2451" s="155"/>
      <c r="GN2451" s="155"/>
      <c r="GO2451" s="155"/>
      <c r="GP2451" s="155"/>
      <c r="GQ2451" s="155"/>
      <c r="GR2451" s="155"/>
      <c r="GS2451" s="155"/>
      <c r="GT2451" s="155"/>
      <c r="GU2451" s="155"/>
      <c r="GV2451" s="155"/>
      <c r="GW2451" s="155"/>
      <c r="GX2451" s="155"/>
      <c r="GY2451" s="155"/>
      <c r="GZ2451" s="155"/>
      <c r="HA2451" s="155"/>
      <c r="HB2451" s="155"/>
      <c r="HC2451" s="155"/>
      <c r="HD2451" s="155"/>
      <c r="HE2451" s="155"/>
    </row>
    <row r="2452" spans="2:213" s="156" customFormat="1" hidden="1">
      <c r="B2452" s="155"/>
      <c r="C2452" s="155"/>
      <c r="D2452" s="155"/>
      <c r="E2452" s="155"/>
      <c r="F2452" s="155"/>
      <c r="G2452" s="155"/>
      <c r="H2452" s="155"/>
      <c r="I2452" s="155"/>
      <c r="J2452" s="155"/>
      <c r="K2452" s="155"/>
      <c r="L2452" s="155"/>
      <c r="M2452" s="155"/>
      <c r="N2452" s="155"/>
      <c r="O2452" s="155"/>
      <c r="P2452" s="155"/>
      <c r="Q2452" s="155"/>
      <c r="R2452" s="155"/>
      <c r="S2452" s="155"/>
      <c r="T2452" s="155"/>
      <c r="U2452" s="155"/>
      <c r="V2452" s="155"/>
      <c r="W2452" s="155"/>
      <c r="GL2452" s="155"/>
      <c r="GM2452" s="155"/>
      <c r="GN2452" s="155"/>
      <c r="GO2452" s="155"/>
      <c r="GP2452" s="155"/>
      <c r="GQ2452" s="155"/>
      <c r="GR2452" s="155"/>
      <c r="GS2452" s="155"/>
      <c r="GT2452" s="155"/>
      <c r="GU2452" s="155"/>
      <c r="GV2452" s="155"/>
      <c r="GW2452" s="155"/>
      <c r="GX2452" s="155"/>
      <c r="GY2452" s="155"/>
      <c r="GZ2452" s="155"/>
      <c r="HA2452" s="155"/>
      <c r="HB2452" s="155"/>
      <c r="HC2452" s="155"/>
      <c r="HD2452" s="155"/>
      <c r="HE2452" s="155"/>
    </row>
    <row r="2453" spans="2:213" s="156" customFormat="1" hidden="1">
      <c r="B2453" s="155"/>
      <c r="C2453" s="155"/>
      <c r="D2453" s="155"/>
      <c r="E2453" s="155"/>
      <c r="F2453" s="155"/>
      <c r="G2453" s="155"/>
      <c r="H2453" s="155"/>
      <c r="I2453" s="155"/>
      <c r="J2453" s="155"/>
      <c r="K2453" s="155"/>
      <c r="L2453" s="155"/>
      <c r="M2453" s="155"/>
      <c r="N2453" s="155"/>
      <c r="O2453" s="155"/>
      <c r="P2453" s="155"/>
      <c r="Q2453" s="155"/>
      <c r="R2453" s="155"/>
      <c r="S2453" s="155"/>
      <c r="T2453" s="155"/>
      <c r="U2453" s="155"/>
      <c r="V2453" s="155"/>
      <c r="W2453" s="155"/>
      <c r="GL2453" s="155"/>
      <c r="GM2453" s="155"/>
      <c r="GN2453" s="155"/>
      <c r="GO2453" s="155"/>
      <c r="GP2453" s="155"/>
      <c r="GQ2453" s="155"/>
      <c r="GR2453" s="155"/>
      <c r="GS2453" s="155"/>
      <c r="GT2453" s="155"/>
      <c r="GU2453" s="155"/>
      <c r="GV2453" s="155"/>
      <c r="GW2453" s="155"/>
      <c r="GX2453" s="155"/>
      <c r="GY2453" s="155"/>
      <c r="GZ2453" s="155"/>
      <c r="HA2453" s="155"/>
      <c r="HB2453" s="155"/>
      <c r="HC2453" s="155"/>
      <c r="HD2453" s="155"/>
      <c r="HE2453" s="155"/>
    </row>
    <row r="2454" spans="2:213" s="156" customFormat="1" hidden="1">
      <c r="B2454" s="155"/>
      <c r="C2454" s="155"/>
      <c r="D2454" s="155"/>
      <c r="E2454" s="155"/>
      <c r="F2454" s="155"/>
      <c r="G2454" s="155"/>
      <c r="H2454" s="155"/>
      <c r="I2454" s="155"/>
      <c r="J2454" s="155"/>
      <c r="K2454" s="155"/>
      <c r="L2454" s="155"/>
      <c r="M2454" s="155"/>
      <c r="N2454" s="155"/>
      <c r="O2454" s="155"/>
      <c r="P2454" s="155"/>
      <c r="Q2454" s="155"/>
      <c r="R2454" s="155"/>
      <c r="S2454" s="155"/>
      <c r="T2454" s="155"/>
      <c r="U2454" s="155"/>
      <c r="V2454" s="155"/>
      <c r="W2454" s="155"/>
      <c r="GL2454" s="155"/>
      <c r="GM2454" s="155"/>
      <c r="GN2454" s="155"/>
      <c r="GO2454" s="155"/>
      <c r="GP2454" s="155"/>
      <c r="GQ2454" s="155"/>
      <c r="GR2454" s="155"/>
      <c r="GS2454" s="155"/>
      <c r="GT2454" s="155"/>
      <c r="GU2454" s="155"/>
      <c r="GV2454" s="155"/>
      <c r="GW2454" s="155"/>
      <c r="GX2454" s="155"/>
      <c r="GY2454" s="155"/>
      <c r="GZ2454" s="155"/>
      <c r="HA2454" s="155"/>
      <c r="HB2454" s="155"/>
      <c r="HC2454" s="155"/>
      <c r="HD2454" s="155"/>
      <c r="HE2454" s="155"/>
    </row>
    <row r="2455" spans="2:213" s="156" customFormat="1" hidden="1">
      <c r="B2455" s="155"/>
      <c r="C2455" s="155"/>
      <c r="D2455" s="155"/>
      <c r="E2455" s="155"/>
      <c r="F2455" s="155"/>
      <c r="G2455" s="155"/>
      <c r="H2455" s="155"/>
      <c r="I2455" s="155"/>
      <c r="J2455" s="155"/>
      <c r="K2455" s="155"/>
      <c r="L2455" s="155"/>
      <c r="M2455" s="155"/>
      <c r="N2455" s="155"/>
      <c r="O2455" s="155"/>
      <c r="P2455" s="155"/>
      <c r="Q2455" s="155"/>
      <c r="R2455" s="155"/>
      <c r="S2455" s="155"/>
      <c r="T2455" s="155"/>
      <c r="U2455" s="155"/>
      <c r="V2455" s="155"/>
      <c r="W2455" s="155"/>
      <c r="GL2455" s="155"/>
      <c r="GM2455" s="155"/>
      <c r="GN2455" s="155"/>
      <c r="GO2455" s="155"/>
      <c r="GP2455" s="155"/>
      <c r="GQ2455" s="155"/>
      <c r="GR2455" s="155"/>
      <c r="GS2455" s="155"/>
      <c r="GT2455" s="155"/>
      <c r="GU2455" s="155"/>
      <c r="GV2455" s="155"/>
      <c r="GW2455" s="155"/>
      <c r="GX2455" s="155"/>
      <c r="GY2455" s="155"/>
      <c r="GZ2455" s="155"/>
      <c r="HA2455" s="155"/>
      <c r="HB2455" s="155"/>
      <c r="HC2455" s="155"/>
      <c r="HD2455" s="155"/>
      <c r="HE2455" s="155"/>
    </row>
    <row r="2456" spans="2:213" s="156" customFormat="1" hidden="1">
      <c r="B2456" s="155"/>
      <c r="C2456" s="155"/>
      <c r="D2456" s="155"/>
      <c r="E2456" s="155"/>
      <c r="F2456" s="155"/>
      <c r="G2456" s="155"/>
      <c r="H2456" s="155"/>
      <c r="I2456" s="155"/>
      <c r="J2456" s="155"/>
      <c r="K2456" s="155"/>
      <c r="L2456" s="155"/>
      <c r="M2456" s="155"/>
      <c r="N2456" s="155"/>
      <c r="O2456" s="155"/>
      <c r="P2456" s="155"/>
      <c r="Q2456" s="155"/>
      <c r="R2456" s="155"/>
      <c r="S2456" s="155"/>
      <c r="T2456" s="155"/>
      <c r="U2456" s="155"/>
      <c r="V2456" s="155"/>
      <c r="W2456" s="155"/>
      <c r="GL2456" s="155"/>
      <c r="GM2456" s="155"/>
      <c r="GN2456" s="155"/>
      <c r="GO2456" s="155"/>
      <c r="GP2456" s="155"/>
      <c r="GQ2456" s="155"/>
      <c r="GR2456" s="155"/>
      <c r="GS2456" s="155"/>
      <c r="GT2456" s="155"/>
      <c r="GU2456" s="155"/>
      <c r="GV2456" s="155"/>
      <c r="GW2456" s="155"/>
      <c r="GX2456" s="155"/>
      <c r="GY2456" s="155"/>
      <c r="GZ2456" s="155"/>
      <c r="HA2456" s="155"/>
      <c r="HB2456" s="155"/>
      <c r="HC2456" s="155"/>
      <c r="HD2456" s="155"/>
      <c r="HE2456" s="155"/>
    </row>
    <row r="2457" spans="2:213" s="156" customFormat="1" hidden="1">
      <c r="B2457" s="155"/>
      <c r="C2457" s="155"/>
      <c r="D2457" s="155"/>
      <c r="E2457" s="155"/>
      <c r="F2457" s="155"/>
      <c r="G2457" s="155"/>
      <c r="H2457" s="155"/>
      <c r="I2457" s="155"/>
      <c r="J2457" s="155"/>
      <c r="K2457" s="155"/>
      <c r="L2457" s="155"/>
      <c r="M2457" s="155"/>
      <c r="N2457" s="155"/>
      <c r="O2457" s="155"/>
      <c r="P2457" s="155"/>
      <c r="Q2457" s="155"/>
      <c r="R2457" s="155"/>
      <c r="S2457" s="155"/>
      <c r="T2457" s="155"/>
      <c r="U2457" s="155"/>
      <c r="V2457" s="155"/>
      <c r="W2457" s="155"/>
      <c r="GL2457" s="155"/>
      <c r="GM2457" s="155"/>
      <c r="GN2457" s="155"/>
      <c r="GO2457" s="155"/>
      <c r="GP2457" s="155"/>
      <c r="GQ2457" s="155"/>
      <c r="GR2457" s="155"/>
      <c r="GS2457" s="155"/>
      <c r="GT2457" s="155"/>
      <c r="GU2457" s="155"/>
      <c r="GV2457" s="155"/>
      <c r="GW2457" s="155"/>
      <c r="GX2457" s="155"/>
      <c r="GY2457" s="155"/>
      <c r="GZ2457" s="155"/>
      <c r="HA2457" s="155"/>
      <c r="HB2457" s="155"/>
      <c r="HC2457" s="155"/>
      <c r="HD2457" s="155"/>
      <c r="HE2457" s="155"/>
    </row>
    <row r="2458" spans="2:213" s="156" customFormat="1" hidden="1">
      <c r="B2458" s="155"/>
      <c r="C2458" s="155"/>
      <c r="D2458" s="155"/>
      <c r="E2458" s="155"/>
      <c r="F2458" s="155"/>
      <c r="G2458" s="155"/>
      <c r="H2458" s="155"/>
      <c r="I2458" s="155"/>
      <c r="J2458" s="155"/>
      <c r="K2458" s="155"/>
      <c r="L2458" s="155"/>
      <c r="M2458" s="155"/>
      <c r="N2458" s="155"/>
      <c r="O2458" s="155"/>
      <c r="P2458" s="155"/>
      <c r="Q2458" s="155"/>
      <c r="R2458" s="155"/>
      <c r="S2458" s="155"/>
      <c r="T2458" s="155"/>
      <c r="U2458" s="155"/>
      <c r="V2458" s="155"/>
      <c r="W2458" s="155"/>
      <c r="GL2458" s="155"/>
      <c r="GM2458" s="155"/>
      <c r="GN2458" s="155"/>
      <c r="GO2458" s="155"/>
      <c r="GP2458" s="155"/>
      <c r="GQ2458" s="155"/>
      <c r="GR2458" s="155"/>
      <c r="GS2458" s="155"/>
      <c r="GT2458" s="155"/>
      <c r="GU2458" s="155"/>
      <c r="GV2458" s="155"/>
      <c r="GW2458" s="155"/>
      <c r="GX2458" s="155"/>
      <c r="GY2458" s="155"/>
      <c r="GZ2458" s="155"/>
      <c r="HA2458" s="155"/>
      <c r="HB2458" s="155"/>
      <c r="HC2458" s="155"/>
      <c r="HD2458" s="155"/>
      <c r="HE2458" s="155"/>
    </row>
    <row r="2459" spans="2:213" s="156" customFormat="1" hidden="1">
      <c r="B2459" s="155"/>
      <c r="C2459" s="155"/>
      <c r="D2459" s="155"/>
      <c r="E2459" s="155"/>
      <c r="F2459" s="155"/>
      <c r="G2459" s="155"/>
      <c r="H2459" s="155"/>
      <c r="I2459" s="155"/>
      <c r="J2459" s="155"/>
      <c r="K2459" s="155"/>
      <c r="L2459" s="155"/>
      <c r="M2459" s="155"/>
      <c r="N2459" s="155"/>
      <c r="O2459" s="155"/>
      <c r="P2459" s="155"/>
      <c r="Q2459" s="155"/>
      <c r="R2459" s="155"/>
      <c r="S2459" s="155"/>
      <c r="T2459" s="155"/>
      <c r="U2459" s="155"/>
      <c r="V2459" s="155"/>
      <c r="W2459" s="155"/>
      <c r="GL2459" s="155"/>
      <c r="GM2459" s="155"/>
      <c r="GN2459" s="155"/>
      <c r="GO2459" s="155"/>
      <c r="GP2459" s="155"/>
      <c r="GQ2459" s="155"/>
      <c r="GR2459" s="155"/>
      <c r="GS2459" s="155"/>
      <c r="GT2459" s="155"/>
      <c r="GU2459" s="155"/>
      <c r="GV2459" s="155"/>
      <c r="GW2459" s="155"/>
      <c r="GX2459" s="155"/>
      <c r="GY2459" s="155"/>
      <c r="GZ2459" s="155"/>
      <c r="HA2459" s="155"/>
      <c r="HB2459" s="155"/>
      <c r="HC2459" s="155"/>
      <c r="HD2459" s="155"/>
      <c r="HE2459" s="155"/>
    </row>
    <row r="2460" spans="2:213" s="156" customFormat="1" hidden="1">
      <c r="B2460" s="155"/>
      <c r="C2460" s="155"/>
      <c r="D2460" s="155"/>
      <c r="E2460" s="155"/>
      <c r="F2460" s="155"/>
      <c r="G2460" s="155"/>
      <c r="H2460" s="155"/>
      <c r="I2460" s="155"/>
      <c r="J2460" s="155"/>
      <c r="K2460" s="155"/>
      <c r="L2460" s="155"/>
      <c r="M2460" s="155"/>
      <c r="N2460" s="155"/>
      <c r="O2460" s="155"/>
      <c r="P2460" s="155"/>
      <c r="Q2460" s="155"/>
      <c r="R2460" s="155"/>
      <c r="S2460" s="155"/>
      <c r="T2460" s="155"/>
      <c r="U2460" s="155"/>
      <c r="V2460" s="155"/>
      <c r="W2460" s="155"/>
      <c r="GL2460" s="155"/>
      <c r="GM2460" s="155"/>
      <c r="GN2460" s="155"/>
      <c r="GO2460" s="155"/>
      <c r="GP2460" s="155"/>
      <c r="GQ2460" s="155"/>
      <c r="GR2460" s="155"/>
      <c r="GS2460" s="155"/>
      <c r="GT2460" s="155"/>
      <c r="GU2460" s="155"/>
      <c r="GV2460" s="155"/>
      <c r="GW2460" s="155"/>
      <c r="GX2460" s="155"/>
      <c r="GY2460" s="155"/>
      <c r="GZ2460" s="155"/>
      <c r="HA2460" s="155"/>
      <c r="HB2460" s="155"/>
      <c r="HC2460" s="155"/>
      <c r="HD2460" s="155"/>
      <c r="HE2460" s="155"/>
    </row>
    <row r="2461" spans="2:213" s="156" customFormat="1" hidden="1">
      <c r="B2461" s="155"/>
      <c r="C2461" s="155"/>
      <c r="D2461" s="155"/>
      <c r="E2461" s="155"/>
      <c r="F2461" s="155"/>
      <c r="G2461" s="155"/>
      <c r="H2461" s="155"/>
      <c r="I2461" s="155"/>
      <c r="J2461" s="155"/>
      <c r="K2461" s="155"/>
      <c r="L2461" s="155"/>
      <c r="M2461" s="155"/>
      <c r="N2461" s="155"/>
      <c r="O2461" s="155"/>
      <c r="P2461" s="155"/>
      <c r="Q2461" s="155"/>
      <c r="R2461" s="155"/>
      <c r="S2461" s="155"/>
      <c r="T2461" s="155"/>
      <c r="U2461" s="155"/>
      <c r="V2461" s="155"/>
      <c r="W2461" s="155"/>
      <c r="GL2461" s="155"/>
      <c r="GM2461" s="155"/>
      <c r="GN2461" s="155"/>
      <c r="GO2461" s="155"/>
      <c r="GP2461" s="155"/>
      <c r="GQ2461" s="155"/>
      <c r="GR2461" s="155"/>
      <c r="GS2461" s="155"/>
      <c r="GT2461" s="155"/>
      <c r="GU2461" s="155"/>
      <c r="GV2461" s="155"/>
      <c r="GW2461" s="155"/>
      <c r="GX2461" s="155"/>
      <c r="GY2461" s="155"/>
      <c r="GZ2461" s="155"/>
      <c r="HA2461" s="155"/>
      <c r="HB2461" s="155"/>
      <c r="HC2461" s="155"/>
      <c r="HD2461" s="155"/>
      <c r="HE2461" s="155"/>
    </row>
    <row r="2462" spans="2:213" s="156" customFormat="1" hidden="1">
      <c r="B2462" s="155"/>
      <c r="C2462" s="155"/>
      <c r="D2462" s="155"/>
      <c r="E2462" s="155"/>
      <c r="F2462" s="155"/>
      <c r="G2462" s="155"/>
      <c r="H2462" s="155"/>
      <c r="I2462" s="155"/>
      <c r="J2462" s="155"/>
      <c r="K2462" s="155"/>
      <c r="L2462" s="155"/>
      <c r="M2462" s="155"/>
      <c r="N2462" s="155"/>
      <c r="O2462" s="155"/>
      <c r="P2462" s="155"/>
      <c r="Q2462" s="155"/>
      <c r="R2462" s="155"/>
      <c r="S2462" s="155"/>
      <c r="T2462" s="155"/>
      <c r="U2462" s="155"/>
      <c r="V2462" s="155"/>
      <c r="W2462" s="155"/>
      <c r="GL2462" s="155"/>
      <c r="GM2462" s="155"/>
      <c r="GN2462" s="155"/>
      <c r="GO2462" s="155"/>
      <c r="GP2462" s="155"/>
      <c r="GQ2462" s="155"/>
      <c r="GR2462" s="155"/>
      <c r="GS2462" s="155"/>
      <c r="GT2462" s="155"/>
      <c r="GU2462" s="155"/>
      <c r="GV2462" s="155"/>
      <c r="GW2462" s="155"/>
      <c r="GX2462" s="155"/>
      <c r="GY2462" s="155"/>
      <c r="GZ2462" s="155"/>
      <c r="HA2462" s="155"/>
      <c r="HB2462" s="155"/>
      <c r="HC2462" s="155"/>
      <c r="HD2462" s="155"/>
      <c r="HE2462" s="155"/>
    </row>
    <row r="2463" spans="2:213" s="156" customFormat="1" hidden="1">
      <c r="B2463" s="155"/>
      <c r="C2463" s="155"/>
      <c r="D2463" s="155"/>
      <c r="E2463" s="155"/>
      <c r="F2463" s="155"/>
      <c r="G2463" s="155"/>
      <c r="H2463" s="155"/>
      <c r="I2463" s="155"/>
      <c r="J2463" s="155"/>
      <c r="K2463" s="155"/>
      <c r="L2463" s="155"/>
      <c r="M2463" s="155"/>
      <c r="N2463" s="155"/>
      <c r="O2463" s="155"/>
      <c r="P2463" s="155"/>
      <c r="Q2463" s="155"/>
      <c r="R2463" s="155"/>
      <c r="S2463" s="155"/>
      <c r="T2463" s="155"/>
      <c r="U2463" s="155"/>
      <c r="V2463" s="155"/>
      <c r="W2463" s="155"/>
      <c r="GL2463" s="155"/>
      <c r="GM2463" s="155"/>
      <c r="GN2463" s="155"/>
      <c r="GO2463" s="155"/>
      <c r="GP2463" s="155"/>
      <c r="GQ2463" s="155"/>
      <c r="GR2463" s="155"/>
      <c r="GS2463" s="155"/>
      <c r="GT2463" s="155"/>
      <c r="GU2463" s="155"/>
      <c r="GV2463" s="155"/>
      <c r="GW2463" s="155"/>
      <c r="GX2463" s="155"/>
      <c r="GY2463" s="155"/>
      <c r="GZ2463" s="155"/>
      <c r="HA2463" s="155"/>
      <c r="HB2463" s="155"/>
      <c r="HC2463" s="155"/>
      <c r="HD2463" s="155"/>
      <c r="HE2463" s="155"/>
    </row>
    <row r="2464" spans="2:213" s="156" customFormat="1" hidden="1">
      <c r="B2464" s="155"/>
      <c r="C2464" s="155"/>
      <c r="D2464" s="155"/>
      <c r="E2464" s="155"/>
      <c r="F2464" s="155"/>
      <c r="G2464" s="155"/>
      <c r="H2464" s="155"/>
      <c r="I2464" s="155"/>
      <c r="J2464" s="155"/>
      <c r="K2464" s="155"/>
      <c r="L2464" s="155"/>
      <c r="M2464" s="155"/>
      <c r="N2464" s="155"/>
      <c r="O2464" s="155"/>
      <c r="P2464" s="155"/>
      <c r="Q2464" s="155"/>
      <c r="R2464" s="155"/>
      <c r="S2464" s="155"/>
      <c r="T2464" s="155"/>
      <c r="U2464" s="155"/>
      <c r="V2464" s="155"/>
      <c r="W2464" s="155"/>
      <c r="GL2464" s="155"/>
      <c r="GM2464" s="155"/>
      <c r="GN2464" s="155"/>
      <c r="GO2464" s="155"/>
      <c r="GP2464" s="155"/>
      <c r="GQ2464" s="155"/>
      <c r="GR2464" s="155"/>
      <c r="GS2464" s="155"/>
      <c r="GT2464" s="155"/>
      <c r="GU2464" s="155"/>
      <c r="GV2464" s="155"/>
      <c r="GW2464" s="155"/>
      <c r="GX2464" s="155"/>
      <c r="GY2464" s="155"/>
      <c r="GZ2464" s="155"/>
      <c r="HA2464" s="155"/>
      <c r="HB2464" s="155"/>
      <c r="HC2464" s="155"/>
      <c r="HD2464" s="155"/>
      <c r="HE2464" s="155"/>
    </row>
    <row r="2465" spans="2:213" s="156" customFormat="1" hidden="1">
      <c r="B2465" s="155"/>
      <c r="C2465" s="155"/>
      <c r="D2465" s="155"/>
      <c r="E2465" s="155"/>
      <c r="F2465" s="155"/>
      <c r="G2465" s="155"/>
      <c r="H2465" s="155"/>
      <c r="I2465" s="155"/>
      <c r="J2465" s="155"/>
      <c r="K2465" s="155"/>
      <c r="L2465" s="155"/>
      <c r="M2465" s="155"/>
      <c r="N2465" s="155"/>
      <c r="O2465" s="155"/>
      <c r="P2465" s="155"/>
      <c r="Q2465" s="155"/>
      <c r="R2465" s="155"/>
      <c r="S2465" s="155"/>
      <c r="T2465" s="155"/>
      <c r="U2465" s="155"/>
      <c r="V2465" s="155"/>
      <c r="W2465" s="155"/>
      <c r="GL2465" s="155"/>
      <c r="GM2465" s="155"/>
      <c r="GN2465" s="155"/>
      <c r="GO2465" s="155"/>
      <c r="GP2465" s="155"/>
      <c r="GQ2465" s="155"/>
      <c r="GR2465" s="155"/>
      <c r="GS2465" s="155"/>
      <c r="GT2465" s="155"/>
      <c r="GU2465" s="155"/>
      <c r="GV2465" s="155"/>
      <c r="GW2465" s="155"/>
      <c r="GX2465" s="155"/>
      <c r="GY2465" s="155"/>
      <c r="GZ2465" s="155"/>
      <c r="HA2465" s="155"/>
      <c r="HB2465" s="155"/>
      <c r="HC2465" s="155"/>
      <c r="HD2465" s="155"/>
      <c r="HE2465" s="155"/>
    </row>
    <row r="2466" spans="2:213" s="156" customFormat="1" hidden="1">
      <c r="B2466" s="155"/>
      <c r="C2466" s="155"/>
      <c r="D2466" s="155"/>
      <c r="E2466" s="155"/>
      <c r="F2466" s="155"/>
      <c r="G2466" s="155"/>
      <c r="H2466" s="155"/>
      <c r="I2466" s="155"/>
      <c r="J2466" s="155"/>
      <c r="K2466" s="155"/>
      <c r="L2466" s="155"/>
      <c r="M2466" s="155"/>
      <c r="N2466" s="155"/>
      <c r="O2466" s="155"/>
      <c r="P2466" s="155"/>
      <c r="Q2466" s="155"/>
      <c r="R2466" s="155"/>
      <c r="S2466" s="155"/>
      <c r="T2466" s="155"/>
      <c r="U2466" s="155"/>
      <c r="V2466" s="155"/>
      <c r="W2466" s="155"/>
      <c r="GL2466" s="155"/>
      <c r="GM2466" s="155"/>
      <c r="GN2466" s="155"/>
      <c r="GO2466" s="155"/>
      <c r="GP2466" s="155"/>
      <c r="GQ2466" s="155"/>
      <c r="GR2466" s="155"/>
      <c r="GS2466" s="155"/>
      <c r="GT2466" s="155"/>
      <c r="GU2466" s="155"/>
      <c r="GV2466" s="155"/>
      <c r="GW2466" s="155"/>
      <c r="GX2466" s="155"/>
      <c r="GY2466" s="155"/>
      <c r="GZ2466" s="155"/>
      <c r="HA2466" s="155"/>
      <c r="HB2466" s="155"/>
      <c r="HC2466" s="155"/>
      <c r="HD2466" s="155"/>
      <c r="HE2466" s="155"/>
    </row>
    <row r="2467" spans="2:213" s="156" customFormat="1" hidden="1">
      <c r="B2467" s="155"/>
      <c r="C2467" s="155"/>
      <c r="D2467" s="155"/>
      <c r="E2467" s="155"/>
      <c r="F2467" s="155"/>
      <c r="G2467" s="155"/>
      <c r="H2467" s="155"/>
      <c r="I2467" s="155"/>
      <c r="J2467" s="155"/>
      <c r="K2467" s="155"/>
      <c r="L2467" s="155"/>
      <c r="M2467" s="155"/>
      <c r="N2467" s="155"/>
      <c r="O2467" s="155"/>
      <c r="P2467" s="155"/>
      <c r="Q2467" s="155"/>
      <c r="R2467" s="155"/>
      <c r="S2467" s="155"/>
      <c r="T2467" s="155"/>
      <c r="U2467" s="155"/>
      <c r="V2467" s="155"/>
      <c r="W2467" s="155"/>
      <c r="GL2467" s="155"/>
      <c r="GM2467" s="155"/>
      <c r="GN2467" s="155"/>
      <c r="GO2467" s="155"/>
      <c r="GP2467" s="155"/>
      <c r="GQ2467" s="155"/>
      <c r="GR2467" s="155"/>
      <c r="GS2467" s="155"/>
      <c r="GT2467" s="155"/>
      <c r="GU2467" s="155"/>
      <c r="GV2467" s="155"/>
      <c r="GW2467" s="155"/>
      <c r="GX2467" s="155"/>
      <c r="GY2467" s="155"/>
      <c r="GZ2467" s="155"/>
      <c r="HA2467" s="155"/>
      <c r="HB2467" s="155"/>
      <c r="HC2467" s="155"/>
      <c r="HD2467" s="155"/>
      <c r="HE2467" s="155"/>
    </row>
    <row r="2468" spans="2:213" s="156" customFormat="1" hidden="1">
      <c r="B2468" s="155"/>
      <c r="C2468" s="155"/>
      <c r="D2468" s="155"/>
      <c r="E2468" s="155"/>
      <c r="F2468" s="155"/>
      <c r="G2468" s="155"/>
      <c r="H2468" s="155"/>
      <c r="I2468" s="155"/>
      <c r="J2468" s="155"/>
      <c r="K2468" s="155"/>
      <c r="L2468" s="155"/>
      <c r="M2468" s="155"/>
      <c r="N2468" s="155"/>
      <c r="O2468" s="155"/>
      <c r="P2468" s="155"/>
      <c r="Q2468" s="155"/>
      <c r="R2468" s="155"/>
      <c r="S2468" s="155"/>
      <c r="T2468" s="155"/>
      <c r="U2468" s="155"/>
      <c r="V2468" s="155"/>
      <c r="W2468" s="155"/>
      <c r="GL2468" s="155"/>
      <c r="GM2468" s="155"/>
      <c r="GN2468" s="155"/>
      <c r="GO2468" s="155"/>
      <c r="GP2468" s="155"/>
      <c r="GQ2468" s="155"/>
      <c r="GR2468" s="155"/>
      <c r="GS2468" s="155"/>
      <c r="GT2468" s="155"/>
      <c r="GU2468" s="155"/>
      <c r="GV2468" s="155"/>
      <c r="GW2468" s="155"/>
      <c r="GX2468" s="155"/>
      <c r="GY2468" s="155"/>
      <c r="GZ2468" s="155"/>
      <c r="HA2468" s="155"/>
      <c r="HB2468" s="155"/>
      <c r="HC2468" s="155"/>
      <c r="HD2468" s="155"/>
      <c r="HE2468" s="155"/>
    </row>
    <row r="2469" spans="2:213" s="156" customFormat="1" hidden="1">
      <c r="B2469" s="155"/>
      <c r="C2469" s="155"/>
      <c r="D2469" s="155"/>
      <c r="E2469" s="155"/>
      <c r="F2469" s="155"/>
      <c r="G2469" s="155"/>
      <c r="H2469" s="155"/>
      <c r="I2469" s="155"/>
      <c r="J2469" s="155"/>
      <c r="K2469" s="155"/>
      <c r="L2469" s="155"/>
      <c r="M2469" s="155"/>
      <c r="N2469" s="155"/>
      <c r="O2469" s="155"/>
      <c r="P2469" s="155"/>
      <c r="Q2469" s="155"/>
      <c r="R2469" s="155"/>
      <c r="S2469" s="155"/>
      <c r="T2469" s="155"/>
      <c r="U2469" s="155"/>
      <c r="V2469" s="155"/>
      <c r="W2469" s="155"/>
      <c r="GL2469" s="155"/>
      <c r="GM2469" s="155"/>
      <c r="GN2469" s="155"/>
      <c r="GO2469" s="155"/>
      <c r="GP2469" s="155"/>
      <c r="GQ2469" s="155"/>
      <c r="GR2469" s="155"/>
      <c r="GS2469" s="155"/>
      <c r="GT2469" s="155"/>
      <c r="GU2469" s="155"/>
      <c r="GV2469" s="155"/>
      <c r="GW2469" s="155"/>
      <c r="GX2469" s="155"/>
      <c r="GY2469" s="155"/>
      <c r="GZ2469" s="155"/>
      <c r="HA2469" s="155"/>
      <c r="HB2469" s="155"/>
      <c r="HC2469" s="155"/>
      <c r="HD2469" s="155"/>
      <c r="HE2469" s="155"/>
    </row>
    <row r="2470" spans="2:213" s="156" customFormat="1" hidden="1">
      <c r="B2470" s="155"/>
      <c r="C2470" s="155"/>
      <c r="D2470" s="155"/>
      <c r="E2470" s="155"/>
      <c r="F2470" s="155"/>
      <c r="G2470" s="155"/>
      <c r="H2470" s="155"/>
      <c r="I2470" s="155"/>
      <c r="J2470" s="155"/>
      <c r="K2470" s="155"/>
      <c r="L2470" s="155"/>
      <c r="M2470" s="155"/>
      <c r="N2470" s="155"/>
      <c r="O2470" s="155"/>
      <c r="P2470" s="155"/>
      <c r="Q2470" s="155"/>
      <c r="R2470" s="155"/>
      <c r="S2470" s="155"/>
      <c r="T2470" s="155"/>
      <c r="U2470" s="155"/>
      <c r="V2470" s="155"/>
      <c r="W2470" s="155"/>
      <c r="GL2470" s="155"/>
      <c r="GM2470" s="155"/>
      <c r="GN2470" s="155"/>
      <c r="GO2470" s="155"/>
      <c r="GP2470" s="155"/>
      <c r="GQ2470" s="155"/>
      <c r="GR2470" s="155"/>
      <c r="GS2470" s="155"/>
      <c r="GT2470" s="155"/>
      <c r="GU2470" s="155"/>
      <c r="GV2470" s="155"/>
      <c r="GW2470" s="155"/>
      <c r="GX2470" s="155"/>
      <c r="GY2470" s="155"/>
      <c r="GZ2470" s="155"/>
      <c r="HA2470" s="155"/>
      <c r="HB2470" s="155"/>
      <c r="HC2470" s="155"/>
      <c r="HD2470" s="155"/>
      <c r="HE2470" s="155"/>
    </row>
    <row r="2471" spans="2:213" s="156" customFormat="1" hidden="1">
      <c r="B2471" s="155"/>
      <c r="C2471" s="155"/>
      <c r="D2471" s="155"/>
      <c r="E2471" s="155"/>
      <c r="F2471" s="155"/>
      <c r="G2471" s="155"/>
      <c r="H2471" s="155"/>
      <c r="I2471" s="155"/>
      <c r="J2471" s="155"/>
      <c r="K2471" s="155"/>
      <c r="L2471" s="155"/>
      <c r="M2471" s="155"/>
      <c r="N2471" s="155"/>
      <c r="O2471" s="155"/>
      <c r="P2471" s="155"/>
      <c r="Q2471" s="155"/>
      <c r="R2471" s="155"/>
      <c r="S2471" s="155"/>
      <c r="T2471" s="155"/>
      <c r="U2471" s="155"/>
      <c r="V2471" s="155"/>
      <c r="W2471" s="155"/>
      <c r="GL2471" s="155"/>
      <c r="GM2471" s="155"/>
      <c r="GN2471" s="155"/>
      <c r="GO2471" s="155"/>
      <c r="GP2471" s="155"/>
      <c r="GQ2471" s="155"/>
      <c r="GR2471" s="155"/>
      <c r="GS2471" s="155"/>
      <c r="GT2471" s="155"/>
      <c r="GU2471" s="155"/>
      <c r="GV2471" s="155"/>
      <c r="GW2471" s="155"/>
      <c r="GX2471" s="155"/>
      <c r="GY2471" s="155"/>
      <c r="GZ2471" s="155"/>
      <c r="HA2471" s="155"/>
      <c r="HB2471" s="155"/>
      <c r="HC2471" s="155"/>
      <c r="HD2471" s="155"/>
      <c r="HE2471" s="155"/>
    </row>
    <row r="2472" spans="2:213" s="156" customFormat="1" hidden="1">
      <c r="B2472" s="155"/>
      <c r="C2472" s="155"/>
      <c r="D2472" s="155"/>
      <c r="E2472" s="155"/>
      <c r="F2472" s="155"/>
      <c r="G2472" s="155"/>
      <c r="H2472" s="155"/>
      <c r="I2472" s="155"/>
      <c r="J2472" s="155"/>
      <c r="K2472" s="155"/>
      <c r="L2472" s="155"/>
      <c r="M2472" s="155"/>
      <c r="N2472" s="155"/>
      <c r="O2472" s="155"/>
      <c r="P2472" s="155"/>
      <c r="Q2472" s="155"/>
      <c r="R2472" s="155"/>
      <c r="S2472" s="155"/>
      <c r="T2472" s="155"/>
      <c r="U2472" s="155"/>
      <c r="V2472" s="155"/>
      <c r="W2472" s="155"/>
      <c r="GL2472" s="155"/>
      <c r="GM2472" s="155"/>
      <c r="GN2472" s="155"/>
      <c r="GO2472" s="155"/>
      <c r="GP2472" s="155"/>
      <c r="GQ2472" s="155"/>
      <c r="GR2472" s="155"/>
      <c r="GS2472" s="155"/>
      <c r="GT2472" s="155"/>
      <c r="GU2472" s="155"/>
      <c r="GV2472" s="155"/>
      <c r="GW2472" s="155"/>
      <c r="GX2472" s="155"/>
      <c r="GY2472" s="155"/>
      <c r="GZ2472" s="155"/>
      <c r="HA2472" s="155"/>
      <c r="HB2472" s="155"/>
      <c r="HC2472" s="155"/>
      <c r="HD2472" s="155"/>
      <c r="HE2472" s="155"/>
    </row>
    <row r="2473" spans="2:213" s="156" customFormat="1" hidden="1">
      <c r="B2473" s="155"/>
      <c r="C2473" s="155"/>
      <c r="D2473" s="155"/>
      <c r="E2473" s="155"/>
      <c r="F2473" s="155"/>
      <c r="G2473" s="155"/>
      <c r="H2473" s="155"/>
      <c r="I2473" s="155"/>
      <c r="J2473" s="155"/>
      <c r="K2473" s="155"/>
      <c r="L2473" s="155"/>
      <c r="M2473" s="155"/>
      <c r="N2473" s="155"/>
      <c r="O2473" s="155"/>
      <c r="P2473" s="155"/>
      <c r="Q2473" s="155"/>
      <c r="R2473" s="155"/>
      <c r="S2473" s="155"/>
      <c r="T2473" s="155"/>
      <c r="U2473" s="155"/>
      <c r="V2473" s="155"/>
      <c r="W2473" s="155"/>
      <c r="GL2473" s="155"/>
      <c r="GM2473" s="155"/>
      <c r="GN2473" s="155"/>
      <c r="GO2473" s="155"/>
      <c r="GP2473" s="155"/>
      <c r="GQ2473" s="155"/>
      <c r="GR2473" s="155"/>
      <c r="GS2473" s="155"/>
      <c r="GT2473" s="155"/>
      <c r="GU2473" s="155"/>
      <c r="GV2473" s="155"/>
      <c r="GW2473" s="155"/>
      <c r="GX2473" s="155"/>
      <c r="GY2473" s="155"/>
      <c r="GZ2473" s="155"/>
      <c r="HA2473" s="155"/>
      <c r="HB2473" s="155"/>
      <c r="HC2473" s="155"/>
      <c r="HD2473" s="155"/>
      <c r="HE2473" s="155"/>
    </row>
    <row r="2474" spans="2:213" s="156" customFormat="1" hidden="1">
      <c r="B2474" s="155"/>
      <c r="C2474" s="155"/>
      <c r="D2474" s="155"/>
      <c r="E2474" s="155"/>
      <c r="F2474" s="155"/>
      <c r="G2474" s="155"/>
      <c r="H2474" s="155"/>
      <c r="I2474" s="155"/>
      <c r="J2474" s="155"/>
      <c r="K2474" s="155"/>
      <c r="L2474" s="155"/>
      <c r="M2474" s="155"/>
      <c r="N2474" s="155"/>
      <c r="O2474" s="155"/>
      <c r="P2474" s="155"/>
      <c r="Q2474" s="155"/>
      <c r="R2474" s="155"/>
      <c r="S2474" s="155"/>
      <c r="T2474" s="155"/>
      <c r="U2474" s="155"/>
      <c r="V2474" s="155"/>
      <c r="W2474" s="155"/>
      <c r="GL2474" s="155"/>
      <c r="GM2474" s="155"/>
      <c r="GN2474" s="155"/>
      <c r="GO2474" s="155"/>
      <c r="GP2474" s="155"/>
      <c r="GQ2474" s="155"/>
      <c r="GR2474" s="155"/>
      <c r="GS2474" s="155"/>
      <c r="GT2474" s="155"/>
      <c r="GU2474" s="155"/>
      <c r="GV2474" s="155"/>
      <c r="GW2474" s="155"/>
      <c r="GX2474" s="155"/>
      <c r="GY2474" s="155"/>
      <c r="GZ2474" s="155"/>
      <c r="HA2474" s="155"/>
      <c r="HB2474" s="155"/>
      <c r="HC2474" s="155"/>
      <c r="HD2474" s="155"/>
      <c r="HE2474" s="155"/>
    </row>
    <row r="2475" spans="2:213" s="156" customFormat="1" hidden="1">
      <c r="B2475" s="155"/>
      <c r="C2475" s="155"/>
      <c r="D2475" s="155"/>
      <c r="E2475" s="155"/>
      <c r="F2475" s="155"/>
      <c r="G2475" s="155"/>
      <c r="H2475" s="155"/>
      <c r="I2475" s="155"/>
      <c r="J2475" s="155"/>
      <c r="K2475" s="155"/>
      <c r="L2475" s="155"/>
      <c r="M2475" s="155"/>
      <c r="N2475" s="155"/>
      <c r="O2475" s="155"/>
      <c r="P2475" s="155"/>
      <c r="Q2475" s="155"/>
      <c r="R2475" s="155"/>
      <c r="S2475" s="155"/>
      <c r="T2475" s="155"/>
      <c r="U2475" s="155"/>
      <c r="V2475" s="155"/>
      <c r="W2475" s="155"/>
      <c r="GL2475" s="155"/>
      <c r="GM2475" s="155"/>
      <c r="GN2475" s="155"/>
      <c r="GO2475" s="155"/>
      <c r="GP2475" s="155"/>
      <c r="GQ2475" s="155"/>
      <c r="GR2475" s="155"/>
      <c r="GS2475" s="155"/>
      <c r="GT2475" s="155"/>
      <c r="GU2475" s="155"/>
      <c r="GV2475" s="155"/>
      <c r="GW2475" s="155"/>
      <c r="GX2475" s="155"/>
      <c r="GY2475" s="155"/>
      <c r="GZ2475" s="155"/>
      <c r="HA2475" s="155"/>
      <c r="HB2475" s="155"/>
      <c r="HC2475" s="155"/>
      <c r="HD2475" s="155"/>
      <c r="HE2475" s="155"/>
    </row>
    <row r="2476" spans="2:213" s="156" customFormat="1" hidden="1">
      <c r="B2476" s="155"/>
      <c r="C2476" s="155"/>
      <c r="D2476" s="155"/>
      <c r="E2476" s="155"/>
      <c r="F2476" s="155"/>
      <c r="G2476" s="155"/>
      <c r="H2476" s="155"/>
      <c r="I2476" s="155"/>
      <c r="J2476" s="155"/>
      <c r="K2476" s="155"/>
      <c r="L2476" s="155"/>
      <c r="M2476" s="155"/>
      <c r="N2476" s="155"/>
      <c r="O2476" s="155"/>
      <c r="P2476" s="155"/>
      <c r="Q2476" s="155"/>
      <c r="R2476" s="155"/>
      <c r="S2476" s="155"/>
      <c r="T2476" s="155"/>
      <c r="U2476" s="155"/>
      <c r="V2476" s="155"/>
      <c r="W2476" s="155"/>
      <c r="GL2476" s="155"/>
      <c r="GM2476" s="155"/>
      <c r="GN2476" s="155"/>
      <c r="GO2476" s="155"/>
      <c r="GP2476" s="155"/>
      <c r="GQ2476" s="155"/>
      <c r="GR2476" s="155"/>
      <c r="GS2476" s="155"/>
      <c r="GT2476" s="155"/>
      <c r="GU2476" s="155"/>
      <c r="GV2476" s="155"/>
      <c r="GW2476" s="155"/>
      <c r="GX2476" s="155"/>
      <c r="GY2476" s="155"/>
      <c r="GZ2476" s="155"/>
      <c r="HA2476" s="155"/>
      <c r="HB2476" s="155"/>
      <c r="HC2476" s="155"/>
      <c r="HD2476" s="155"/>
      <c r="HE2476" s="155"/>
    </row>
    <row r="2477" spans="2:213" s="156" customFormat="1" hidden="1">
      <c r="B2477" s="155"/>
      <c r="C2477" s="155"/>
      <c r="D2477" s="155"/>
      <c r="E2477" s="155"/>
      <c r="F2477" s="155"/>
      <c r="G2477" s="155"/>
      <c r="H2477" s="155"/>
      <c r="I2477" s="155"/>
      <c r="J2477" s="155"/>
      <c r="K2477" s="155"/>
      <c r="L2477" s="155"/>
      <c r="M2477" s="155"/>
      <c r="N2477" s="155"/>
      <c r="O2477" s="155"/>
      <c r="P2477" s="155"/>
      <c r="Q2477" s="155"/>
      <c r="R2477" s="155"/>
      <c r="S2477" s="155"/>
      <c r="T2477" s="155"/>
      <c r="U2477" s="155"/>
      <c r="V2477" s="155"/>
      <c r="W2477" s="155"/>
      <c r="GL2477" s="155"/>
      <c r="GM2477" s="155"/>
      <c r="GN2477" s="155"/>
      <c r="GO2477" s="155"/>
      <c r="GP2477" s="155"/>
      <c r="GQ2477" s="155"/>
      <c r="GR2477" s="155"/>
      <c r="GS2477" s="155"/>
      <c r="GT2477" s="155"/>
      <c r="GU2477" s="155"/>
      <c r="GV2477" s="155"/>
      <c r="GW2477" s="155"/>
      <c r="GX2477" s="155"/>
      <c r="GY2477" s="155"/>
      <c r="GZ2477" s="155"/>
      <c r="HA2477" s="155"/>
      <c r="HB2477" s="155"/>
      <c r="HC2477" s="155"/>
      <c r="HD2477" s="155"/>
      <c r="HE2477" s="155"/>
    </row>
    <row r="2478" spans="2:213" s="156" customFormat="1" hidden="1">
      <c r="B2478" s="155"/>
      <c r="C2478" s="155"/>
      <c r="D2478" s="155"/>
      <c r="E2478" s="155"/>
      <c r="F2478" s="155"/>
      <c r="G2478" s="155"/>
      <c r="H2478" s="155"/>
      <c r="I2478" s="155"/>
      <c r="J2478" s="155"/>
      <c r="K2478" s="155"/>
      <c r="L2478" s="155"/>
      <c r="M2478" s="155"/>
      <c r="N2478" s="155"/>
      <c r="O2478" s="155"/>
      <c r="P2478" s="155"/>
      <c r="Q2478" s="155"/>
      <c r="R2478" s="155"/>
      <c r="S2478" s="155"/>
      <c r="T2478" s="155"/>
      <c r="U2478" s="155"/>
      <c r="V2478" s="155"/>
      <c r="W2478" s="155"/>
      <c r="GL2478" s="155"/>
      <c r="GM2478" s="155"/>
      <c r="GN2478" s="155"/>
      <c r="GO2478" s="155"/>
      <c r="GP2478" s="155"/>
      <c r="GQ2478" s="155"/>
      <c r="GR2478" s="155"/>
      <c r="GS2478" s="155"/>
      <c r="GT2478" s="155"/>
      <c r="GU2478" s="155"/>
      <c r="GV2478" s="155"/>
      <c r="GW2478" s="155"/>
      <c r="GX2478" s="155"/>
      <c r="GY2478" s="155"/>
      <c r="GZ2478" s="155"/>
      <c r="HA2478" s="155"/>
      <c r="HB2478" s="155"/>
      <c r="HC2478" s="155"/>
      <c r="HD2478" s="155"/>
      <c r="HE2478" s="155"/>
    </row>
    <row r="2479" spans="2:213" s="156" customFormat="1" hidden="1">
      <c r="B2479" s="155"/>
      <c r="C2479" s="155"/>
      <c r="D2479" s="155"/>
      <c r="E2479" s="155"/>
      <c r="F2479" s="155"/>
      <c r="G2479" s="155"/>
      <c r="H2479" s="155"/>
      <c r="I2479" s="155"/>
      <c r="J2479" s="155"/>
      <c r="K2479" s="155"/>
      <c r="L2479" s="155"/>
      <c r="M2479" s="155"/>
      <c r="N2479" s="155"/>
      <c r="O2479" s="155"/>
      <c r="P2479" s="155"/>
      <c r="Q2479" s="155"/>
      <c r="R2479" s="155"/>
      <c r="S2479" s="155"/>
      <c r="T2479" s="155"/>
      <c r="U2479" s="155"/>
      <c r="V2479" s="155"/>
      <c r="W2479" s="155"/>
      <c r="GL2479" s="155"/>
      <c r="GM2479" s="155"/>
      <c r="GN2479" s="155"/>
      <c r="GO2479" s="155"/>
      <c r="GP2479" s="155"/>
      <c r="GQ2479" s="155"/>
      <c r="GR2479" s="155"/>
      <c r="GS2479" s="155"/>
      <c r="GT2479" s="155"/>
      <c r="GU2479" s="155"/>
      <c r="GV2479" s="155"/>
      <c r="GW2479" s="155"/>
      <c r="GX2479" s="155"/>
      <c r="GY2479" s="155"/>
      <c r="GZ2479" s="155"/>
      <c r="HA2479" s="155"/>
      <c r="HB2479" s="155"/>
      <c r="HC2479" s="155"/>
      <c r="HD2479" s="155"/>
      <c r="HE2479" s="155"/>
    </row>
    <row r="2480" spans="2:213" s="156" customFormat="1" hidden="1">
      <c r="B2480" s="155"/>
      <c r="C2480" s="155"/>
      <c r="D2480" s="155"/>
      <c r="E2480" s="155"/>
      <c r="F2480" s="155"/>
      <c r="G2480" s="155"/>
      <c r="H2480" s="155"/>
      <c r="I2480" s="155"/>
      <c r="J2480" s="155"/>
      <c r="K2480" s="155"/>
      <c r="L2480" s="155"/>
      <c r="M2480" s="155"/>
      <c r="N2480" s="155"/>
      <c r="O2480" s="155"/>
      <c r="P2480" s="155"/>
      <c r="Q2480" s="155"/>
      <c r="R2480" s="155"/>
      <c r="S2480" s="155"/>
      <c r="T2480" s="155"/>
      <c r="U2480" s="155"/>
      <c r="V2480" s="155"/>
      <c r="W2480" s="155"/>
      <c r="GL2480" s="155"/>
      <c r="GM2480" s="155"/>
      <c r="GN2480" s="155"/>
      <c r="GO2480" s="155"/>
      <c r="GP2480" s="155"/>
      <c r="GQ2480" s="155"/>
      <c r="GR2480" s="155"/>
      <c r="GS2480" s="155"/>
      <c r="GT2480" s="155"/>
      <c r="GU2480" s="155"/>
      <c r="GV2480" s="155"/>
      <c r="GW2480" s="155"/>
      <c r="GX2480" s="155"/>
      <c r="GY2480" s="155"/>
      <c r="GZ2480" s="155"/>
      <c r="HA2480" s="155"/>
      <c r="HB2480" s="155"/>
      <c r="HC2480" s="155"/>
      <c r="HD2480" s="155"/>
      <c r="HE2480" s="155"/>
    </row>
    <row r="2481" spans="2:213" s="156" customFormat="1" hidden="1">
      <c r="B2481" s="155"/>
      <c r="C2481" s="155"/>
      <c r="D2481" s="155"/>
      <c r="E2481" s="155"/>
      <c r="F2481" s="155"/>
      <c r="G2481" s="155"/>
      <c r="H2481" s="155"/>
      <c r="I2481" s="155"/>
      <c r="J2481" s="155"/>
      <c r="K2481" s="155"/>
      <c r="L2481" s="155"/>
      <c r="M2481" s="155"/>
      <c r="N2481" s="155"/>
      <c r="O2481" s="155"/>
      <c r="P2481" s="155"/>
      <c r="Q2481" s="155"/>
      <c r="R2481" s="155"/>
      <c r="S2481" s="155"/>
      <c r="T2481" s="155"/>
      <c r="U2481" s="155"/>
      <c r="V2481" s="155"/>
      <c r="W2481" s="155"/>
      <c r="GL2481" s="155"/>
      <c r="GM2481" s="155"/>
      <c r="GN2481" s="155"/>
      <c r="GO2481" s="155"/>
      <c r="GP2481" s="155"/>
      <c r="GQ2481" s="155"/>
      <c r="GR2481" s="155"/>
      <c r="GS2481" s="155"/>
      <c r="GT2481" s="155"/>
      <c r="GU2481" s="155"/>
      <c r="GV2481" s="155"/>
      <c r="GW2481" s="155"/>
      <c r="GX2481" s="155"/>
      <c r="GY2481" s="155"/>
      <c r="GZ2481" s="155"/>
      <c r="HA2481" s="155"/>
      <c r="HB2481" s="155"/>
      <c r="HC2481" s="155"/>
      <c r="HD2481" s="155"/>
      <c r="HE2481" s="155"/>
    </row>
    <row r="2482" spans="2:213" s="156" customFormat="1" hidden="1">
      <c r="B2482" s="155"/>
      <c r="C2482" s="155"/>
      <c r="D2482" s="155"/>
      <c r="E2482" s="155"/>
      <c r="F2482" s="155"/>
      <c r="G2482" s="155"/>
      <c r="H2482" s="155"/>
      <c r="I2482" s="155"/>
      <c r="J2482" s="155"/>
      <c r="K2482" s="155"/>
      <c r="L2482" s="155"/>
      <c r="M2482" s="155"/>
      <c r="N2482" s="155"/>
      <c r="O2482" s="155"/>
      <c r="P2482" s="155"/>
      <c r="Q2482" s="155"/>
      <c r="R2482" s="155"/>
      <c r="S2482" s="155"/>
      <c r="T2482" s="155"/>
      <c r="U2482" s="155"/>
      <c r="V2482" s="155"/>
      <c r="W2482" s="155"/>
      <c r="GL2482" s="155"/>
      <c r="GM2482" s="155"/>
      <c r="GN2482" s="155"/>
      <c r="GO2482" s="155"/>
      <c r="GP2482" s="155"/>
      <c r="GQ2482" s="155"/>
      <c r="GR2482" s="155"/>
      <c r="GS2482" s="155"/>
      <c r="GT2482" s="155"/>
      <c r="GU2482" s="155"/>
      <c r="GV2482" s="155"/>
      <c r="GW2482" s="155"/>
      <c r="GX2482" s="155"/>
      <c r="GY2482" s="155"/>
      <c r="GZ2482" s="155"/>
      <c r="HA2482" s="155"/>
      <c r="HB2482" s="155"/>
      <c r="HC2482" s="155"/>
      <c r="HD2482" s="155"/>
      <c r="HE2482" s="155"/>
    </row>
    <row r="2483" spans="2:213" s="156" customFormat="1" hidden="1">
      <c r="B2483" s="155"/>
      <c r="C2483" s="155"/>
      <c r="D2483" s="155"/>
      <c r="E2483" s="155"/>
      <c r="F2483" s="155"/>
      <c r="G2483" s="155"/>
      <c r="H2483" s="155"/>
      <c r="I2483" s="155"/>
      <c r="J2483" s="155"/>
      <c r="K2483" s="155"/>
      <c r="L2483" s="155"/>
      <c r="M2483" s="155"/>
      <c r="N2483" s="155"/>
      <c r="O2483" s="155"/>
      <c r="P2483" s="155"/>
      <c r="Q2483" s="155"/>
      <c r="R2483" s="155"/>
      <c r="S2483" s="155"/>
      <c r="T2483" s="155"/>
      <c r="U2483" s="155"/>
      <c r="V2483" s="155"/>
      <c r="W2483" s="155"/>
      <c r="GL2483" s="155"/>
      <c r="GM2483" s="155"/>
      <c r="GN2483" s="155"/>
      <c r="GO2483" s="155"/>
      <c r="GP2483" s="155"/>
      <c r="GQ2483" s="155"/>
      <c r="GR2483" s="155"/>
      <c r="GS2483" s="155"/>
      <c r="GT2483" s="155"/>
      <c r="GU2483" s="155"/>
      <c r="GV2483" s="155"/>
      <c r="GW2483" s="155"/>
      <c r="GX2483" s="155"/>
      <c r="GY2483" s="155"/>
      <c r="GZ2483" s="155"/>
      <c r="HA2483" s="155"/>
      <c r="HB2483" s="155"/>
      <c r="HC2483" s="155"/>
      <c r="HD2483" s="155"/>
      <c r="HE2483" s="155"/>
    </row>
    <row r="2484" spans="2:213" s="156" customFormat="1" hidden="1">
      <c r="B2484" s="155"/>
      <c r="C2484" s="155"/>
      <c r="D2484" s="155"/>
      <c r="E2484" s="155"/>
      <c r="F2484" s="155"/>
      <c r="G2484" s="155"/>
      <c r="H2484" s="155"/>
      <c r="I2484" s="155"/>
      <c r="J2484" s="155"/>
      <c r="K2484" s="155"/>
      <c r="L2484" s="155"/>
      <c r="M2484" s="155"/>
      <c r="N2484" s="155"/>
      <c r="O2484" s="155"/>
      <c r="P2484" s="155"/>
      <c r="Q2484" s="155"/>
      <c r="R2484" s="155"/>
      <c r="S2484" s="155"/>
      <c r="T2484" s="155"/>
      <c r="U2484" s="155"/>
      <c r="V2484" s="155"/>
      <c r="W2484" s="155"/>
      <c r="GL2484" s="155"/>
      <c r="GM2484" s="155"/>
      <c r="GN2484" s="155"/>
      <c r="GO2484" s="155"/>
      <c r="GP2484" s="155"/>
      <c r="GQ2484" s="155"/>
      <c r="GR2484" s="155"/>
      <c r="GS2484" s="155"/>
      <c r="GT2484" s="155"/>
      <c r="GU2484" s="155"/>
      <c r="GV2484" s="155"/>
      <c r="GW2484" s="155"/>
      <c r="GX2484" s="155"/>
      <c r="GY2484" s="155"/>
      <c r="GZ2484" s="155"/>
      <c r="HA2484" s="155"/>
      <c r="HB2484" s="155"/>
      <c r="HC2484" s="155"/>
      <c r="HD2484" s="155"/>
      <c r="HE2484" s="155"/>
    </row>
    <row r="2485" spans="2:213" s="156" customFormat="1" hidden="1">
      <c r="B2485" s="155"/>
      <c r="C2485" s="155"/>
      <c r="D2485" s="155"/>
      <c r="E2485" s="155"/>
      <c r="F2485" s="155"/>
      <c r="G2485" s="155"/>
      <c r="H2485" s="155"/>
      <c r="I2485" s="155"/>
      <c r="J2485" s="155"/>
      <c r="K2485" s="155"/>
      <c r="L2485" s="155"/>
      <c r="M2485" s="155"/>
      <c r="N2485" s="155"/>
      <c r="O2485" s="155"/>
      <c r="P2485" s="155"/>
      <c r="Q2485" s="155"/>
      <c r="R2485" s="155"/>
      <c r="S2485" s="155"/>
      <c r="T2485" s="155"/>
      <c r="U2485" s="155"/>
      <c r="V2485" s="155"/>
      <c r="W2485" s="155"/>
      <c r="GL2485" s="155"/>
      <c r="GM2485" s="155"/>
      <c r="GN2485" s="155"/>
      <c r="GO2485" s="155"/>
      <c r="GP2485" s="155"/>
      <c r="GQ2485" s="155"/>
      <c r="GR2485" s="155"/>
      <c r="GS2485" s="155"/>
      <c r="GT2485" s="155"/>
      <c r="GU2485" s="155"/>
      <c r="GV2485" s="155"/>
      <c r="GW2485" s="155"/>
      <c r="GX2485" s="155"/>
      <c r="GY2485" s="155"/>
      <c r="GZ2485" s="155"/>
      <c r="HA2485" s="155"/>
      <c r="HB2485" s="155"/>
      <c r="HC2485" s="155"/>
      <c r="HD2485" s="155"/>
      <c r="HE2485" s="155"/>
    </row>
    <row r="2486" spans="2:213" s="156" customFormat="1" hidden="1">
      <c r="B2486" s="155"/>
      <c r="C2486" s="155"/>
      <c r="D2486" s="155"/>
      <c r="E2486" s="155"/>
      <c r="F2486" s="155"/>
      <c r="G2486" s="155"/>
      <c r="H2486" s="155"/>
      <c r="I2486" s="155"/>
      <c r="J2486" s="155"/>
      <c r="K2486" s="155"/>
      <c r="L2486" s="155"/>
      <c r="M2486" s="155"/>
      <c r="N2486" s="155"/>
      <c r="O2486" s="155"/>
      <c r="P2486" s="155"/>
      <c r="Q2486" s="155"/>
      <c r="R2486" s="155"/>
      <c r="S2486" s="155"/>
      <c r="T2486" s="155"/>
      <c r="U2486" s="155"/>
      <c r="V2486" s="155"/>
      <c r="W2486" s="155"/>
      <c r="GL2486" s="155"/>
      <c r="GM2486" s="155"/>
      <c r="GN2486" s="155"/>
      <c r="GO2486" s="155"/>
      <c r="GP2486" s="155"/>
      <c r="GQ2486" s="155"/>
      <c r="GR2486" s="155"/>
      <c r="GS2486" s="155"/>
      <c r="GT2486" s="155"/>
      <c r="GU2486" s="155"/>
      <c r="GV2486" s="155"/>
      <c r="GW2486" s="155"/>
      <c r="GX2486" s="155"/>
      <c r="GY2486" s="155"/>
      <c r="GZ2486" s="155"/>
      <c r="HA2486" s="155"/>
      <c r="HB2486" s="155"/>
      <c r="HC2486" s="155"/>
      <c r="HD2486" s="155"/>
      <c r="HE2486" s="155"/>
    </row>
    <row r="2487" spans="2:213" s="156" customFormat="1" hidden="1">
      <c r="B2487" s="155"/>
      <c r="C2487" s="155"/>
      <c r="D2487" s="155"/>
      <c r="E2487" s="155"/>
      <c r="F2487" s="155"/>
      <c r="G2487" s="155"/>
      <c r="H2487" s="155"/>
      <c r="I2487" s="155"/>
      <c r="J2487" s="155"/>
      <c r="K2487" s="155"/>
      <c r="L2487" s="155"/>
      <c r="M2487" s="155"/>
      <c r="N2487" s="155"/>
      <c r="O2487" s="155"/>
      <c r="P2487" s="155"/>
      <c r="Q2487" s="155"/>
      <c r="R2487" s="155"/>
      <c r="S2487" s="155"/>
      <c r="T2487" s="155"/>
      <c r="U2487" s="155"/>
      <c r="V2487" s="155"/>
      <c r="W2487" s="155"/>
      <c r="GL2487" s="155"/>
      <c r="GM2487" s="155"/>
      <c r="GN2487" s="155"/>
      <c r="GO2487" s="155"/>
      <c r="GP2487" s="155"/>
      <c r="GQ2487" s="155"/>
      <c r="GR2487" s="155"/>
      <c r="GS2487" s="155"/>
      <c r="GT2487" s="155"/>
      <c r="GU2487" s="155"/>
      <c r="GV2487" s="155"/>
      <c r="GW2487" s="155"/>
      <c r="GX2487" s="155"/>
      <c r="GY2487" s="155"/>
      <c r="GZ2487" s="155"/>
      <c r="HA2487" s="155"/>
      <c r="HB2487" s="155"/>
      <c r="HC2487" s="155"/>
      <c r="HD2487" s="155"/>
      <c r="HE2487" s="155"/>
    </row>
    <row r="2488" spans="2:213" s="156" customFormat="1" hidden="1">
      <c r="B2488" s="155"/>
      <c r="C2488" s="155"/>
      <c r="D2488" s="155"/>
      <c r="E2488" s="155"/>
      <c r="F2488" s="155"/>
      <c r="G2488" s="155"/>
      <c r="H2488" s="155"/>
      <c r="I2488" s="155"/>
      <c r="J2488" s="155"/>
      <c r="K2488" s="155"/>
      <c r="L2488" s="155"/>
      <c r="M2488" s="155"/>
      <c r="N2488" s="155"/>
      <c r="O2488" s="155"/>
      <c r="P2488" s="155"/>
      <c r="Q2488" s="155"/>
      <c r="R2488" s="155"/>
      <c r="S2488" s="155"/>
      <c r="T2488" s="155"/>
      <c r="U2488" s="155"/>
      <c r="V2488" s="155"/>
      <c r="W2488" s="155"/>
      <c r="GL2488" s="155"/>
      <c r="GM2488" s="155"/>
      <c r="GN2488" s="155"/>
      <c r="GO2488" s="155"/>
      <c r="GP2488" s="155"/>
      <c r="GQ2488" s="155"/>
      <c r="GR2488" s="155"/>
      <c r="GS2488" s="155"/>
      <c r="GT2488" s="155"/>
      <c r="GU2488" s="155"/>
      <c r="GV2488" s="155"/>
      <c r="GW2488" s="155"/>
      <c r="GX2488" s="155"/>
      <c r="GY2488" s="155"/>
      <c r="GZ2488" s="155"/>
      <c r="HA2488" s="155"/>
      <c r="HB2488" s="155"/>
      <c r="HC2488" s="155"/>
      <c r="HD2488" s="155"/>
      <c r="HE2488" s="155"/>
    </row>
    <row r="2489" spans="2:213" s="156" customFormat="1" hidden="1">
      <c r="B2489" s="155"/>
      <c r="C2489" s="155"/>
      <c r="D2489" s="155"/>
      <c r="E2489" s="155"/>
      <c r="F2489" s="155"/>
      <c r="G2489" s="155"/>
      <c r="H2489" s="155"/>
      <c r="I2489" s="155"/>
      <c r="J2489" s="155"/>
      <c r="K2489" s="155"/>
      <c r="L2489" s="155"/>
      <c r="M2489" s="155"/>
      <c r="N2489" s="155"/>
      <c r="O2489" s="155"/>
      <c r="P2489" s="155"/>
      <c r="Q2489" s="155"/>
      <c r="R2489" s="155"/>
      <c r="S2489" s="155"/>
      <c r="T2489" s="155"/>
      <c r="U2489" s="155"/>
      <c r="V2489" s="155"/>
      <c r="W2489" s="155"/>
      <c r="GL2489" s="155"/>
      <c r="GM2489" s="155"/>
      <c r="GN2489" s="155"/>
      <c r="GO2489" s="155"/>
      <c r="GP2489" s="155"/>
      <c r="GQ2489" s="155"/>
      <c r="GR2489" s="155"/>
      <c r="GS2489" s="155"/>
      <c r="GT2489" s="155"/>
      <c r="GU2489" s="155"/>
      <c r="GV2489" s="155"/>
      <c r="GW2489" s="155"/>
      <c r="GX2489" s="155"/>
      <c r="GY2489" s="155"/>
      <c r="GZ2489" s="155"/>
      <c r="HA2489" s="155"/>
      <c r="HB2489" s="155"/>
      <c r="HC2489" s="155"/>
      <c r="HD2489" s="155"/>
      <c r="HE2489" s="155"/>
    </row>
    <row r="2490" spans="2:213" s="156" customFormat="1" hidden="1">
      <c r="B2490" s="155"/>
      <c r="C2490" s="155"/>
      <c r="D2490" s="155"/>
      <c r="E2490" s="155"/>
      <c r="F2490" s="155"/>
      <c r="G2490" s="155"/>
      <c r="H2490" s="155"/>
      <c r="I2490" s="155"/>
      <c r="J2490" s="155"/>
      <c r="K2490" s="155"/>
      <c r="L2490" s="155"/>
      <c r="M2490" s="155"/>
      <c r="N2490" s="155"/>
      <c r="O2490" s="155"/>
      <c r="P2490" s="155"/>
      <c r="Q2490" s="155"/>
      <c r="R2490" s="155"/>
      <c r="S2490" s="155"/>
      <c r="T2490" s="155"/>
      <c r="U2490" s="155"/>
      <c r="V2490" s="155"/>
      <c r="W2490" s="155"/>
      <c r="GL2490" s="155"/>
      <c r="GM2490" s="155"/>
      <c r="GN2490" s="155"/>
      <c r="GO2490" s="155"/>
      <c r="GP2490" s="155"/>
      <c r="GQ2490" s="155"/>
      <c r="GR2490" s="155"/>
      <c r="GS2490" s="155"/>
      <c r="GT2490" s="155"/>
      <c r="GU2490" s="155"/>
      <c r="GV2490" s="155"/>
      <c r="GW2490" s="155"/>
      <c r="GX2490" s="155"/>
      <c r="GY2490" s="155"/>
      <c r="GZ2490" s="155"/>
      <c r="HA2490" s="155"/>
      <c r="HB2490" s="155"/>
      <c r="HC2490" s="155"/>
      <c r="HD2490" s="155"/>
      <c r="HE2490" s="155"/>
    </row>
    <row r="2491" spans="2:213" s="156" customFormat="1" hidden="1">
      <c r="B2491" s="155"/>
      <c r="C2491" s="155"/>
      <c r="D2491" s="155"/>
      <c r="E2491" s="155"/>
      <c r="F2491" s="155"/>
      <c r="G2491" s="155"/>
      <c r="H2491" s="155"/>
      <c r="I2491" s="155"/>
      <c r="J2491" s="155"/>
      <c r="K2491" s="155"/>
      <c r="L2491" s="155"/>
      <c r="M2491" s="155"/>
      <c r="N2491" s="155"/>
      <c r="O2491" s="155"/>
      <c r="P2491" s="155"/>
      <c r="Q2491" s="155"/>
      <c r="R2491" s="155"/>
      <c r="S2491" s="155"/>
      <c r="T2491" s="155"/>
      <c r="U2491" s="155"/>
      <c r="V2491" s="155"/>
      <c r="W2491" s="155"/>
      <c r="GL2491" s="155"/>
      <c r="GM2491" s="155"/>
      <c r="GN2491" s="155"/>
      <c r="GO2491" s="155"/>
      <c r="GP2491" s="155"/>
      <c r="GQ2491" s="155"/>
      <c r="GR2491" s="155"/>
      <c r="GS2491" s="155"/>
      <c r="GT2491" s="155"/>
      <c r="GU2491" s="155"/>
      <c r="GV2491" s="155"/>
      <c r="GW2491" s="155"/>
      <c r="GX2491" s="155"/>
      <c r="GY2491" s="155"/>
      <c r="GZ2491" s="155"/>
      <c r="HA2491" s="155"/>
      <c r="HB2491" s="155"/>
      <c r="HC2491" s="155"/>
      <c r="HD2491" s="155"/>
      <c r="HE2491" s="155"/>
    </row>
    <row r="2492" spans="2:213" s="156" customFormat="1" hidden="1">
      <c r="B2492" s="155"/>
      <c r="C2492" s="155"/>
      <c r="D2492" s="155"/>
      <c r="E2492" s="155"/>
      <c r="F2492" s="155"/>
      <c r="G2492" s="155"/>
      <c r="H2492" s="155"/>
      <c r="I2492" s="155"/>
      <c r="J2492" s="155"/>
      <c r="K2492" s="155"/>
      <c r="L2492" s="155"/>
      <c r="M2492" s="155"/>
      <c r="N2492" s="155"/>
      <c r="O2492" s="155"/>
      <c r="P2492" s="155"/>
      <c r="Q2492" s="155"/>
      <c r="R2492" s="155"/>
      <c r="S2492" s="155"/>
      <c r="T2492" s="155"/>
      <c r="U2492" s="155"/>
      <c r="V2492" s="155"/>
      <c r="W2492" s="155"/>
      <c r="GL2492" s="155"/>
      <c r="GM2492" s="155"/>
      <c r="GN2492" s="155"/>
      <c r="GO2492" s="155"/>
      <c r="GP2492" s="155"/>
      <c r="GQ2492" s="155"/>
      <c r="GR2492" s="155"/>
      <c r="GS2492" s="155"/>
      <c r="GT2492" s="155"/>
      <c r="GU2492" s="155"/>
      <c r="GV2492" s="155"/>
      <c r="GW2492" s="155"/>
      <c r="GX2492" s="155"/>
      <c r="GY2492" s="155"/>
      <c r="GZ2492" s="155"/>
      <c r="HA2492" s="155"/>
      <c r="HB2492" s="155"/>
      <c r="HC2492" s="155"/>
      <c r="HD2492" s="155"/>
      <c r="HE2492" s="155"/>
    </row>
    <row r="2493" spans="2:213" s="156" customFormat="1" hidden="1">
      <c r="B2493" s="155"/>
      <c r="C2493" s="155"/>
      <c r="D2493" s="155"/>
      <c r="E2493" s="155"/>
      <c r="F2493" s="155"/>
      <c r="G2493" s="155"/>
      <c r="H2493" s="155"/>
      <c r="I2493" s="155"/>
      <c r="J2493" s="155"/>
      <c r="K2493" s="155"/>
      <c r="L2493" s="155"/>
      <c r="M2493" s="155"/>
      <c r="N2493" s="155"/>
      <c r="O2493" s="155"/>
      <c r="P2493" s="155"/>
      <c r="Q2493" s="155"/>
      <c r="R2493" s="155"/>
      <c r="S2493" s="155"/>
      <c r="T2493" s="155"/>
      <c r="U2493" s="155"/>
      <c r="V2493" s="155"/>
      <c r="W2493" s="155"/>
      <c r="GL2493" s="155"/>
      <c r="GM2493" s="155"/>
      <c r="GN2493" s="155"/>
      <c r="GO2493" s="155"/>
      <c r="GP2493" s="155"/>
      <c r="GQ2493" s="155"/>
      <c r="GR2493" s="155"/>
      <c r="GS2493" s="155"/>
      <c r="GT2493" s="155"/>
      <c r="GU2493" s="155"/>
      <c r="GV2493" s="155"/>
      <c r="GW2493" s="155"/>
      <c r="GX2493" s="155"/>
      <c r="GY2493" s="155"/>
      <c r="GZ2493" s="155"/>
      <c r="HA2493" s="155"/>
      <c r="HB2493" s="155"/>
      <c r="HC2493" s="155"/>
      <c r="HD2493" s="155"/>
      <c r="HE2493" s="155"/>
    </row>
    <row r="2494" spans="2:213" s="156" customFormat="1" hidden="1">
      <c r="B2494" s="155"/>
      <c r="C2494" s="155"/>
      <c r="D2494" s="155"/>
      <c r="E2494" s="155"/>
      <c r="F2494" s="155"/>
      <c r="G2494" s="155"/>
      <c r="H2494" s="155"/>
      <c r="I2494" s="155"/>
      <c r="J2494" s="155"/>
      <c r="K2494" s="155"/>
      <c r="L2494" s="155"/>
      <c r="M2494" s="155"/>
      <c r="N2494" s="155"/>
      <c r="O2494" s="155"/>
      <c r="P2494" s="155"/>
      <c r="Q2494" s="155"/>
      <c r="R2494" s="155"/>
      <c r="S2494" s="155"/>
      <c r="T2494" s="155"/>
      <c r="U2494" s="155"/>
      <c r="V2494" s="155"/>
      <c r="W2494" s="155"/>
      <c r="GL2494" s="155"/>
      <c r="GM2494" s="155"/>
      <c r="GN2494" s="155"/>
      <c r="GO2494" s="155"/>
      <c r="GP2494" s="155"/>
      <c r="GQ2494" s="155"/>
      <c r="GR2494" s="155"/>
      <c r="GS2494" s="155"/>
      <c r="GT2494" s="155"/>
      <c r="GU2494" s="155"/>
      <c r="GV2494" s="155"/>
      <c r="GW2494" s="155"/>
      <c r="GX2494" s="155"/>
      <c r="GY2494" s="155"/>
      <c r="GZ2494" s="155"/>
      <c r="HA2494" s="155"/>
      <c r="HB2494" s="155"/>
      <c r="HC2494" s="155"/>
      <c r="HD2494" s="155"/>
      <c r="HE2494" s="155"/>
    </row>
    <row r="2495" spans="2:213" s="156" customFormat="1" hidden="1">
      <c r="B2495" s="155"/>
      <c r="C2495" s="155"/>
      <c r="D2495" s="155"/>
      <c r="E2495" s="155"/>
      <c r="F2495" s="155"/>
      <c r="G2495" s="155"/>
      <c r="H2495" s="155"/>
      <c r="I2495" s="155"/>
      <c r="J2495" s="155"/>
      <c r="K2495" s="155"/>
      <c r="L2495" s="155"/>
      <c r="M2495" s="155"/>
      <c r="N2495" s="155"/>
      <c r="O2495" s="155"/>
      <c r="P2495" s="155"/>
      <c r="Q2495" s="155"/>
      <c r="R2495" s="155"/>
      <c r="S2495" s="155"/>
      <c r="T2495" s="155"/>
      <c r="U2495" s="155"/>
      <c r="V2495" s="155"/>
      <c r="W2495" s="155"/>
      <c r="GL2495" s="155"/>
      <c r="GM2495" s="155"/>
      <c r="GN2495" s="155"/>
      <c r="GO2495" s="155"/>
      <c r="GP2495" s="155"/>
      <c r="GQ2495" s="155"/>
      <c r="GR2495" s="155"/>
      <c r="GS2495" s="155"/>
      <c r="GT2495" s="155"/>
      <c r="GU2495" s="155"/>
      <c r="GV2495" s="155"/>
      <c r="GW2495" s="155"/>
      <c r="GX2495" s="155"/>
      <c r="GY2495" s="155"/>
      <c r="GZ2495" s="155"/>
      <c r="HA2495" s="155"/>
      <c r="HB2495" s="155"/>
      <c r="HC2495" s="155"/>
      <c r="HD2495" s="155"/>
      <c r="HE2495" s="155"/>
    </row>
    <row r="2496" spans="2:213" s="156" customFormat="1" hidden="1">
      <c r="B2496" s="155"/>
      <c r="C2496" s="155"/>
      <c r="D2496" s="155"/>
      <c r="E2496" s="155"/>
      <c r="F2496" s="155"/>
      <c r="G2496" s="155"/>
      <c r="H2496" s="155"/>
      <c r="I2496" s="155"/>
      <c r="J2496" s="155"/>
      <c r="K2496" s="155"/>
      <c r="L2496" s="155"/>
      <c r="M2496" s="155"/>
      <c r="N2496" s="155"/>
      <c r="O2496" s="155"/>
      <c r="P2496" s="155"/>
      <c r="Q2496" s="155"/>
      <c r="R2496" s="155"/>
      <c r="S2496" s="155"/>
      <c r="T2496" s="155"/>
      <c r="U2496" s="155"/>
      <c r="V2496" s="155"/>
      <c r="W2496" s="155"/>
      <c r="GL2496" s="155"/>
      <c r="GM2496" s="155"/>
      <c r="GN2496" s="155"/>
      <c r="GO2496" s="155"/>
      <c r="GP2496" s="155"/>
      <c r="GQ2496" s="155"/>
      <c r="GR2496" s="155"/>
      <c r="GS2496" s="155"/>
      <c r="GT2496" s="155"/>
      <c r="GU2496" s="155"/>
      <c r="GV2496" s="155"/>
      <c r="GW2496" s="155"/>
      <c r="GX2496" s="155"/>
      <c r="GY2496" s="155"/>
      <c r="GZ2496" s="155"/>
      <c r="HA2496" s="155"/>
      <c r="HB2496" s="155"/>
      <c r="HC2496" s="155"/>
      <c r="HD2496" s="155"/>
      <c r="HE2496" s="155"/>
    </row>
    <row r="2497" spans="2:213" s="156" customFormat="1" hidden="1">
      <c r="B2497" s="155"/>
      <c r="C2497" s="155"/>
      <c r="D2497" s="155"/>
      <c r="E2497" s="155"/>
      <c r="F2497" s="155"/>
      <c r="G2497" s="155"/>
      <c r="H2497" s="155"/>
      <c r="I2497" s="155"/>
      <c r="J2497" s="155"/>
      <c r="K2497" s="155"/>
      <c r="L2497" s="155"/>
      <c r="M2497" s="155"/>
      <c r="N2497" s="155"/>
      <c r="O2497" s="155"/>
      <c r="P2497" s="155"/>
      <c r="Q2497" s="155"/>
      <c r="R2497" s="155"/>
      <c r="S2497" s="155"/>
      <c r="T2497" s="155"/>
      <c r="U2497" s="155"/>
      <c r="V2497" s="155"/>
      <c r="W2497" s="155"/>
      <c r="GL2497" s="155"/>
      <c r="GM2497" s="155"/>
      <c r="GN2497" s="155"/>
      <c r="GO2497" s="155"/>
      <c r="GP2497" s="155"/>
      <c r="GQ2497" s="155"/>
      <c r="GR2497" s="155"/>
      <c r="GS2497" s="155"/>
      <c r="GT2497" s="155"/>
      <c r="GU2497" s="155"/>
      <c r="GV2497" s="155"/>
      <c r="GW2497" s="155"/>
      <c r="GX2497" s="155"/>
      <c r="GY2497" s="155"/>
      <c r="GZ2497" s="155"/>
      <c r="HA2497" s="155"/>
      <c r="HB2497" s="155"/>
      <c r="HC2497" s="155"/>
      <c r="HD2497" s="155"/>
      <c r="HE2497" s="155"/>
    </row>
    <row r="2498" spans="2:213" s="156" customFormat="1" hidden="1">
      <c r="B2498" s="155"/>
      <c r="C2498" s="155"/>
      <c r="D2498" s="155"/>
      <c r="E2498" s="155"/>
      <c r="F2498" s="155"/>
      <c r="G2498" s="155"/>
      <c r="H2498" s="155"/>
      <c r="I2498" s="155"/>
      <c r="J2498" s="155"/>
      <c r="K2498" s="155"/>
      <c r="L2498" s="155"/>
      <c r="M2498" s="155"/>
      <c r="N2498" s="155"/>
      <c r="O2498" s="155"/>
      <c r="P2498" s="155"/>
      <c r="Q2498" s="155"/>
      <c r="R2498" s="155"/>
      <c r="S2498" s="155"/>
      <c r="T2498" s="155"/>
      <c r="U2498" s="155"/>
      <c r="V2498" s="155"/>
      <c r="W2498" s="155"/>
      <c r="GL2498" s="155"/>
      <c r="GM2498" s="155"/>
      <c r="GN2498" s="155"/>
      <c r="GO2498" s="155"/>
      <c r="GP2498" s="155"/>
      <c r="GQ2498" s="155"/>
      <c r="GR2498" s="155"/>
      <c r="GS2498" s="155"/>
      <c r="GT2498" s="155"/>
      <c r="GU2498" s="155"/>
      <c r="GV2498" s="155"/>
      <c r="GW2498" s="155"/>
      <c r="GX2498" s="155"/>
      <c r="GY2498" s="155"/>
      <c r="GZ2498" s="155"/>
      <c r="HA2498" s="155"/>
      <c r="HB2498" s="155"/>
      <c r="HC2498" s="155"/>
      <c r="HD2498" s="155"/>
      <c r="HE2498" s="155"/>
    </row>
    <row r="2499" spans="2:213" s="156" customFormat="1" hidden="1">
      <c r="B2499" s="155"/>
      <c r="C2499" s="155"/>
      <c r="D2499" s="155"/>
      <c r="E2499" s="155"/>
      <c r="F2499" s="155"/>
      <c r="G2499" s="155"/>
      <c r="H2499" s="155"/>
      <c r="I2499" s="155"/>
      <c r="J2499" s="155"/>
      <c r="K2499" s="155"/>
      <c r="L2499" s="155"/>
      <c r="M2499" s="155"/>
      <c r="N2499" s="155"/>
      <c r="O2499" s="155"/>
      <c r="P2499" s="155"/>
      <c r="Q2499" s="155"/>
      <c r="R2499" s="155"/>
      <c r="S2499" s="155"/>
      <c r="T2499" s="155"/>
      <c r="U2499" s="155"/>
      <c r="V2499" s="155"/>
      <c r="W2499" s="155"/>
      <c r="GL2499" s="155"/>
      <c r="GM2499" s="155"/>
      <c r="GN2499" s="155"/>
      <c r="GO2499" s="155"/>
      <c r="GP2499" s="155"/>
      <c r="GQ2499" s="155"/>
      <c r="GR2499" s="155"/>
      <c r="GS2499" s="155"/>
      <c r="GT2499" s="155"/>
      <c r="GU2499" s="155"/>
      <c r="GV2499" s="155"/>
      <c r="GW2499" s="155"/>
      <c r="GX2499" s="155"/>
      <c r="GY2499" s="155"/>
      <c r="GZ2499" s="155"/>
      <c r="HA2499" s="155"/>
      <c r="HB2499" s="155"/>
      <c r="HC2499" s="155"/>
      <c r="HD2499" s="155"/>
      <c r="HE2499" s="155"/>
    </row>
    <row r="2500" spans="2:213" s="156" customFormat="1" hidden="1">
      <c r="B2500" s="155"/>
      <c r="C2500" s="155"/>
      <c r="D2500" s="155"/>
      <c r="E2500" s="155"/>
      <c r="F2500" s="155"/>
      <c r="G2500" s="155"/>
      <c r="H2500" s="155"/>
      <c r="I2500" s="155"/>
      <c r="J2500" s="155"/>
      <c r="K2500" s="155"/>
      <c r="L2500" s="155"/>
      <c r="M2500" s="155"/>
      <c r="N2500" s="155"/>
      <c r="O2500" s="155"/>
      <c r="P2500" s="155"/>
      <c r="Q2500" s="155"/>
      <c r="R2500" s="155"/>
      <c r="S2500" s="155"/>
      <c r="T2500" s="155"/>
      <c r="U2500" s="155"/>
      <c r="V2500" s="155"/>
      <c r="W2500" s="155"/>
      <c r="GL2500" s="155"/>
      <c r="GM2500" s="155"/>
      <c r="GN2500" s="155"/>
      <c r="GO2500" s="155"/>
      <c r="GP2500" s="155"/>
      <c r="GQ2500" s="155"/>
      <c r="GR2500" s="155"/>
      <c r="GS2500" s="155"/>
      <c r="GT2500" s="155"/>
      <c r="GU2500" s="155"/>
      <c r="GV2500" s="155"/>
      <c r="GW2500" s="155"/>
      <c r="GX2500" s="155"/>
      <c r="GY2500" s="155"/>
      <c r="GZ2500" s="155"/>
      <c r="HA2500" s="155"/>
      <c r="HB2500" s="155"/>
      <c r="HC2500" s="155"/>
      <c r="HD2500" s="155"/>
      <c r="HE2500" s="155"/>
    </row>
    <row r="2501" spans="2:213" s="156" customFormat="1" hidden="1">
      <c r="B2501" s="155"/>
      <c r="C2501" s="155"/>
      <c r="D2501" s="155"/>
      <c r="E2501" s="155"/>
      <c r="F2501" s="155"/>
      <c r="G2501" s="155"/>
      <c r="H2501" s="155"/>
      <c r="I2501" s="155"/>
      <c r="J2501" s="155"/>
      <c r="K2501" s="155"/>
      <c r="L2501" s="155"/>
      <c r="M2501" s="155"/>
      <c r="N2501" s="155"/>
      <c r="O2501" s="155"/>
      <c r="P2501" s="155"/>
      <c r="Q2501" s="155"/>
      <c r="R2501" s="155"/>
      <c r="S2501" s="155"/>
      <c r="T2501" s="155"/>
      <c r="U2501" s="155"/>
      <c r="V2501" s="155"/>
      <c r="W2501" s="155"/>
      <c r="GL2501" s="155"/>
      <c r="GM2501" s="155"/>
      <c r="GN2501" s="155"/>
      <c r="GO2501" s="155"/>
      <c r="GP2501" s="155"/>
      <c r="GQ2501" s="155"/>
      <c r="GR2501" s="155"/>
      <c r="GS2501" s="155"/>
      <c r="GT2501" s="155"/>
      <c r="GU2501" s="155"/>
      <c r="GV2501" s="155"/>
      <c r="GW2501" s="155"/>
      <c r="GX2501" s="155"/>
      <c r="GY2501" s="155"/>
      <c r="GZ2501" s="155"/>
      <c r="HA2501" s="155"/>
      <c r="HB2501" s="155"/>
      <c r="HC2501" s="155"/>
      <c r="HD2501" s="155"/>
      <c r="HE2501" s="155"/>
    </row>
    <row r="2502" spans="2:213" s="156" customFormat="1" hidden="1">
      <c r="B2502" s="155"/>
      <c r="C2502" s="155"/>
      <c r="D2502" s="155"/>
      <c r="E2502" s="155"/>
      <c r="F2502" s="155"/>
      <c r="G2502" s="155"/>
      <c r="H2502" s="155"/>
      <c r="I2502" s="155"/>
      <c r="J2502" s="155"/>
      <c r="K2502" s="155"/>
      <c r="L2502" s="155"/>
      <c r="M2502" s="155"/>
      <c r="N2502" s="155"/>
      <c r="O2502" s="155"/>
      <c r="P2502" s="155"/>
      <c r="Q2502" s="155"/>
      <c r="R2502" s="155"/>
      <c r="S2502" s="155"/>
      <c r="T2502" s="155"/>
      <c r="U2502" s="155"/>
      <c r="V2502" s="155"/>
      <c r="W2502" s="155"/>
      <c r="GL2502" s="155"/>
      <c r="GM2502" s="155"/>
      <c r="GN2502" s="155"/>
      <c r="GO2502" s="155"/>
      <c r="GP2502" s="155"/>
      <c r="GQ2502" s="155"/>
      <c r="GR2502" s="155"/>
      <c r="GS2502" s="155"/>
      <c r="GT2502" s="155"/>
      <c r="GU2502" s="155"/>
      <c r="GV2502" s="155"/>
      <c r="GW2502" s="155"/>
      <c r="GX2502" s="155"/>
      <c r="GY2502" s="155"/>
      <c r="GZ2502" s="155"/>
      <c r="HA2502" s="155"/>
      <c r="HB2502" s="155"/>
      <c r="HC2502" s="155"/>
      <c r="HD2502" s="155"/>
      <c r="HE2502" s="155"/>
    </row>
    <row r="2503" spans="2:213" s="156" customFormat="1" hidden="1">
      <c r="B2503" s="155"/>
      <c r="C2503" s="155"/>
      <c r="D2503" s="155"/>
      <c r="E2503" s="155"/>
      <c r="F2503" s="155"/>
      <c r="G2503" s="155"/>
      <c r="H2503" s="155"/>
      <c r="I2503" s="155"/>
      <c r="J2503" s="155"/>
      <c r="K2503" s="155"/>
      <c r="L2503" s="155"/>
      <c r="M2503" s="155"/>
      <c r="N2503" s="155"/>
      <c r="O2503" s="155"/>
      <c r="P2503" s="155"/>
      <c r="Q2503" s="155"/>
      <c r="R2503" s="155"/>
      <c r="S2503" s="155"/>
      <c r="T2503" s="155"/>
      <c r="U2503" s="155"/>
      <c r="V2503" s="155"/>
      <c r="W2503" s="155"/>
      <c r="GL2503" s="155"/>
      <c r="GM2503" s="155"/>
      <c r="GN2503" s="155"/>
      <c r="GO2503" s="155"/>
      <c r="GP2503" s="155"/>
      <c r="GQ2503" s="155"/>
      <c r="GR2503" s="155"/>
      <c r="GS2503" s="155"/>
      <c r="GT2503" s="155"/>
      <c r="GU2503" s="155"/>
      <c r="GV2503" s="155"/>
      <c r="GW2503" s="155"/>
      <c r="GX2503" s="155"/>
      <c r="GY2503" s="155"/>
      <c r="GZ2503" s="155"/>
      <c r="HA2503" s="155"/>
      <c r="HB2503" s="155"/>
      <c r="HC2503" s="155"/>
      <c r="HD2503" s="155"/>
      <c r="HE2503" s="155"/>
    </row>
    <row r="2504" spans="2:213" s="156" customFormat="1" hidden="1">
      <c r="B2504" s="155"/>
      <c r="C2504" s="155"/>
      <c r="D2504" s="155"/>
      <c r="E2504" s="155"/>
      <c r="F2504" s="155"/>
      <c r="G2504" s="155"/>
      <c r="H2504" s="155"/>
      <c r="I2504" s="155"/>
      <c r="J2504" s="155"/>
      <c r="K2504" s="155"/>
      <c r="L2504" s="155"/>
      <c r="M2504" s="155"/>
      <c r="N2504" s="155"/>
      <c r="O2504" s="155"/>
      <c r="P2504" s="155"/>
      <c r="Q2504" s="155"/>
      <c r="R2504" s="155"/>
      <c r="S2504" s="155"/>
      <c r="T2504" s="155"/>
      <c r="U2504" s="155"/>
      <c r="V2504" s="155"/>
      <c r="W2504" s="155"/>
      <c r="GL2504" s="155"/>
      <c r="GM2504" s="155"/>
      <c r="GN2504" s="155"/>
      <c r="GO2504" s="155"/>
      <c r="GP2504" s="155"/>
      <c r="GQ2504" s="155"/>
      <c r="GR2504" s="155"/>
      <c r="GS2504" s="155"/>
      <c r="GT2504" s="155"/>
      <c r="GU2504" s="155"/>
      <c r="GV2504" s="155"/>
      <c r="GW2504" s="155"/>
      <c r="GX2504" s="155"/>
      <c r="GY2504" s="155"/>
      <c r="GZ2504" s="155"/>
      <c r="HA2504" s="155"/>
      <c r="HB2504" s="155"/>
      <c r="HC2504" s="155"/>
      <c r="HD2504" s="155"/>
      <c r="HE2504" s="155"/>
    </row>
    <row r="2505" spans="2:213" s="156" customFormat="1" hidden="1">
      <c r="B2505" s="155"/>
      <c r="C2505" s="155"/>
      <c r="D2505" s="155"/>
      <c r="E2505" s="155"/>
      <c r="F2505" s="155"/>
      <c r="G2505" s="155"/>
      <c r="H2505" s="155"/>
      <c r="I2505" s="155"/>
      <c r="J2505" s="155"/>
      <c r="K2505" s="155"/>
      <c r="L2505" s="155"/>
      <c r="M2505" s="155"/>
      <c r="N2505" s="155"/>
      <c r="O2505" s="155"/>
      <c r="P2505" s="155"/>
      <c r="Q2505" s="155"/>
      <c r="R2505" s="155"/>
      <c r="S2505" s="155"/>
      <c r="T2505" s="155"/>
      <c r="U2505" s="155"/>
      <c r="V2505" s="155"/>
      <c r="W2505" s="155"/>
      <c r="GL2505" s="155"/>
      <c r="GM2505" s="155"/>
      <c r="GN2505" s="155"/>
      <c r="GO2505" s="155"/>
      <c r="GP2505" s="155"/>
      <c r="GQ2505" s="155"/>
      <c r="GR2505" s="155"/>
      <c r="GS2505" s="155"/>
      <c r="GT2505" s="155"/>
      <c r="GU2505" s="155"/>
      <c r="GV2505" s="155"/>
      <c r="GW2505" s="155"/>
      <c r="GX2505" s="155"/>
      <c r="GY2505" s="155"/>
      <c r="GZ2505" s="155"/>
      <c r="HA2505" s="155"/>
      <c r="HB2505" s="155"/>
      <c r="HC2505" s="155"/>
      <c r="HD2505" s="155"/>
      <c r="HE2505" s="155"/>
    </row>
    <row r="2506" spans="2:213" s="156" customFormat="1" hidden="1">
      <c r="B2506" s="155"/>
      <c r="C2506" s="155"/>
      <c r="D2506" s="155"/>
      <c r="E2506" s="155"/>
      <c r="F2506" s="155"/>
      <c r="G2506" s="155"/>
      <c r="H2506" s="155"/>
      <c r="I2506" s="155"/>
      <c r="J2506" s="155"/>
      <c r="K2506" s="155"/>
      <c r="L2506" s="155"/>
      <c r="M2506" s="155"/>
      <c r="N2506" s="155"/>
      <c r="O2506" s="155"/>
      <c r="P2506" s="155"/>
      <c r="Q2506" s="155"/>
      <c r="R2506" s="155"/>
      <c r="S2506" s="155"/>
      <c r="T2506" s="155"/>
      <c r="U2506" s="155"/>
      <c r="V2506" s="155"/>
      <c r="W2506" s="155"/>
      <c r="GL2506" s="155"/>
      <c r="GM2506" s="155"/>
      <c r="GN2506" s="155"/>
      <c r="GO2506" s="155"/>
      <c r="GP2506" s="155"/>
      <c r="GQ2506" s="155"/>
      <c r="GR2506" s="155"/>
      <c r="GS2506" s="155"/>
      <c r="GT2506" s="155"/>
      <c r="GU2506" s="155"/>
      <c r="GV2506" s="155"/>
      <c r="GW2506" s="155"/>
      <c r="GX2506" s="155"/>
      <c r="GY2506" s="155"/>
      <c r="GZ2506" s="155"/>
      <c r="HA2506" s="155"/>
      <c r="HB2506" s="155"/>
      <c r="HC2506" s="155"/>
      <c r="HD2506" s="155"/>
      <c r="HE2506" s="155"/>
    </row>
    <row r="2507" spans="2:213" s="156" customFormat="1" hidden="1">
      <c r="B2507" s="155"/>
      <c r="C2507" s="155"/>
      <c r="D2507" s="155"/>
      <c r="E2507" s="155"/>
      <c r="F2507" s="155"/>
      <c r="G2507" s="155"/>
      <c r="H2507" s="155"/>
      <c r="I2507" s="155"/>
      <c r="J2507" s="155"/>
      <c r="K2507" s="155"/>
      <c r="L2507" s="155"/>
      <c r="M2507" s="155"/>
      <c r="N2507" s="155"/>
      <c r="O2507" s="155"/>
      <c r="P2507" s="155"/>
      <c r="Q2507" s="155"/>
      <c r="R2507" s="155"/>
      <c r="S2507" s="155"/>
      <c r="T2507" s="155"/>
      <c r="U2507" s="155"/>
      <c r="V2507" s="155"/>
      <c r="W2507" s="155"/>
      <c r="GL2507" s="155"/>
      <c r="GM2507" s="155"/>
      <c r="GN2507" s="155"/>
      <c r="GO2507" s="155"/>
      <c r="GP2507" s="155"/>
      <c r="GQ2507" s="155"/>
      <c r="GR2507" s="155"/>
      <c r="GS2507" s="155"/>
      <c r="GT2507" s="155"/>
      <c r="GU2507" s="155"/>
      <c r="GV2507" s="155"/>
      <c r="GW2507" s="155"/>
      <c r="GX2507" s="155"/>
      <c r="GY2507" s="155"/>
      <c r="GZ2507" s="155"/>
      <c r="HA2507" s="155"/>
      <c r="HB2507" s="155"/>
      <c r="HC2507" s="155"/>
      <c r="HD2507" s="155"/>
      <c r="HE2507" s="155"/>
    </row>
    <row r="2508" spans="2:213" s="156" customFormat="1" hidden="1">
      <c r="B2508" s="155"/>
      <c r="C2508" s="155"/>
      <c r="D2508" s="155"/>
      <c r="E2508" s="155"/>
      <c r="F2508" s="155"/>
      <c r="G2508" s="155"/>
      <c r="H2508" s="155"/>
      <c r="I2508" s="155"/>
      <c r="J2508" s="155"/>
      <c r="K2508" s="155"/>
      <c r="L2508" s="155"/>
      <c r="M2508" s="155"/>
      <c r="N2508" s="155"/>
      <c r="O2508" s="155"/>
      <c r="P2508" s="155"/>
      <c r="Q2508" s="155"/>
      <c r="R2508" s="155"/>
      <c r="S2508" s="155"/>
      <c r="T2508" s="155"/>
      <c r="U2508" s="155"/>
      <c r="V2508" s="155"/>
      <c r="W2508" s="155"/>
      <c r="GL2508" s="155"/>
      <c r="GM2508" s="155"/>
      <c r="GN2508" s="155"/>
      <c r="GO2508" s="155"/>
      <c r="GP2508" s="155"/>
      <c r="GQ2508" s="155"/>
      <c r="GR2508" s="155"/>
      <c r="GS2508" s="155"/>
      <c r="GT2508" s="155"/>
      <c r="GU2508" s="155"/>
      <c r="GV2508" s="155"/>
      <c r="GW2508" s="155"/>
      <c r="GX2508" s="155"/>
      <c r="GY2508" s="155"/>
      <c r="GZ2508" s="155"/>
      <c r="HA2508" s="155"/>
      <c r="HB2508" s="155"/>
      <c r="HC2508" s="155"/>
      <c r="HD2508" s="155"/>
      <c r="HE2508" s="155"/>
    </row>
    <row r="2509" spans="2:213" s="156" customFormat="1" hidden="1">
      <c r="B2509" s="155"/>
      <c r="C2509" s="155"/>
      <c r="D2509" s="155"/>
      <c r="E2509" s="155"/>
      <c r="F2509" s="155"/>
      <c r="G2509" s="155"/>
      <c r="H2509" s="155"/>
      <c r="I2509" s="155"/>
      <c r="J2509" s="155"/>
      <c r="K2509" s="155"/>
      <c r="L2509" s="155"/>
      <c r="M2509" s="155"/>
      <c r="N2509" s="155"/>
      <c r="O2509" s="155"/>
      <c r="P2509" s="155"/>
      <c r="Q2509" s="155"/>
      <c r="R2509" s="155"/>
      <c r="S2509" s="155"/>
      <c r="T2509" s="155"/>
      <c r="U2509" s="155"/>
      <c r="V2509" s="155"/>
      <c r="W2509" s="155"/>
      <c r="GL2509" s="155"/>
      <c r="GM2509" s="155"/>
      <c r="GN2509" s="155"/>
      <c r="GO2509" s="155"/>
      <c r="GP2509" s="155"/>
      <c r="GQ2509" s="155"/>
      <c r="GR2509" s="155"/>
      <c r="GS2509" s="155"/>
      <c r="GT2509" s="155"/>
      <c r="GU2509" s="155"/>
      <c r="GV2509" s="155"/>
      <c r="GW2509" s="155"/>
      <c r="GX2509" s="155"/>
      <c r="GY2509" s="155"/>
      <c r="GZ2509" s="155"/>
      <c r="HA2509" s="155"/>
      <c r="HB2509" s="155"/>
      <c r="HC2509" s="155"/>
      <c r="HD2509" s="155"/>
      <c r="HE2509" s="155"/>
    </row>
    <row r="2510" spans="2:213" s="156" customFormat="1" hidden="1">
      <c r="B2510" s="155"/>
      <c r="C2510" s="155"/>
      <c r="D2510" s="155"/>
      <c r="E2510" s="155"/>
      <c r="F2510" s="155"/>
      <c r="G2510" s="155"/>
      <c r="H2510" s="155"/>
      <c r="I2510" s="155"/>
      <c r="J2510" s="155"/>
      <c r="K2510" s="155"/>
      <c r="L2510" s="155"/>
      <c r="M2510" s="155"/>
      <c r="N2510" s="155"/>
      <c r="O2510" s="155"/>
      <c r="P2510" s="155"/>
      <c r="Q2510" s="155"/>
      <c r="R2510" s="155"/>
      <c r="S2510" s="155"/>
      <c r="T2510" s="155"/>
      <c r="U2510" s="155"/>
      <c r="V2510" s="155"/>
      <c r="W2510" s="155"/>
      <c r="GL2510" s="155"/>
      <c r="GM2510" s="155"/>
      <c r="GN2510" s="155"/>
      <c r="GO2510" s="155"/>
      <c r="GP2510" s="155"/>
      <c r="GQ2510" s="155"/>
      <c r="GR2510" s="155"/>
      <c r="GS2510" s="155"/>
      <c r="GT2510" s="155"/>
      <c r="GU2510" s="155"/>
      <c r="GV2510" s="155"/>
      <c r="GW2510" s="155"/>
      <c r="GX2510" s="155"/>
      <c r="GY2510" s="155"/>
      <c r="GZ2510" s="155"/>
      <c r="HA2510" s="155"/>
      <c r="HB2510" s="155"/>
      <c r="HC2510" s="155"/>
      <c r="HD2510" s="155"/>
      <c r="HE2510" s="155"/>
    </row>
    <row r="2511" spans="2:213" s="156" customFormat="1" hidden="1">
      <c r="B2511" s="155"/>
      <c r="C2511" s="155"/>
      <c r="D2511" s="155"/>
      <c r="E2511" s="155"/>
      <c r="F2511" s="155"/>
      <c r="G2511" s="155"/>
      <c r="H2511" s="155"/>
      <c r="I2511" s="155"/>
      <c r="J2511" s="155"/>
      <c r="K2511" s="155"/>
      <c r="L2511" s="155"/>
      <c r="M2511" s="155"/>
      <c r="N2511" s="155"/>
      <c r="O2511" s="155"/>
      <c r="P2511" s="155"/>
      <c r="Q2511" s="155"/>
      <c r="R2511" s="155"/>
      <c r="S2511" s="155"/>
      <c r="T2511" s="155"/>
      <c r="U2511" s="155"/>
      <c r="V2511" s="155"/>
      <c r="W2511" s="155"/>
      <c r="GL2511" s="155"/>
      <c r="GM2511" s="155"/>
      <c r="GN2511" s="155"/>
      <c r="GO2511" s="155"/>
      <c r="GP2511" s="155"/>
      <c r="GQ2511" s="155"/>
      <c r="GR2511" s="155"/>
      <c r="GS2511" s="155"/>
      <c r="GT2511" s="155"/>
      <c r="GU2511" s="155"/>
      <c r="GV2511" s="155"/>
      <c r="GW2511" s="155"/>
      <c r="GX2511" s="155"/>
      <c r="GY2511" s="155"/>
      <c r="GZ2511" s="155"/>
      <c r="HA2511" s="155"/>
      <c r="HB2511" s="155"/>
      <c r="HC2511" s="155"/>
      <c r="HD2511" s="155"/>
      <c r="HE2511" s="155"/>
    </row>
    <row r="2512" spans="2:213" s="156" customFormat="1" hidden="1">
      <c r="B2512" s="155"/>
      <c r="C2512" s="155"/>
      <c r="D2512" s="155"/>
      <c r="E2512" s="155"/>
      <c r="F2512" s="155"/>
      <c r="G2512" s="155"/>
      <c r="H2512" s="155"/>
      <c r="I2512" s="155"/>
      <c r="J2512" s="155"/>
      <c r="K2512" s="155"/>
      <c r="L2512" s="155"/>
      <c r="M2512" s="155"/>
      <c r="N2512" s="155"/>
      <c r="O2512" s="155"/>
      <c r="P2512" s="155"/>
      <c r="Q2512" s="155"/>
      <c r="R2512" s="155"/>
      <c r="S2512" s="155"/>
      <c r="T2512" s="155"/>
      <c r="U2512" s="155"/>
      <c r="V2512" s="155"/>
      <c r="W2512" s="155"/>
      <c r="GL2512" s="155"/>
      <c r="GM2512" s="155"/>
      <c r="GN2512" s="155"/>
      <c r="GO2512" s="155"/>
      <c r="GP2512" s="155"/>
      <c r="GQ2512" s="155"/>
      <c r="GR2512" s="155"/>
      <c r="GS2512" s="155"/>
      <c r="GT2512" s="155"/>
      <c r="GU2512" s="155"/>
      <c r="GV2512" s="155"/>
      <c r="GW2512" s="155"/>
      <c r="GX2512" s="155"/>
      <c r="GY2512" s="155"/>
      <c r="GZ2512" s="155"/>
      <c r="HA2512" s="155"/>
      <c r="HB2512" s="155"/>
      <c r="HC2512" s="155"/>
      <c r="HD2512" s="155"/>
      <c r="HE2512" s="155"/>
    </row>
    <row r="2513" spans="2:213" s="156" customFormat="1" hidden="1">
      <c r="B2513" s="155"/>
      <c r="C2513" s="155"/>
      <c r="D2513" s="155"/>
      <c r="E2513" s="155"/>
      <c r="F2513" s="155"/>
      <c r="G2513" s="155"/>
      <c r="H2513" s="155"/>
      <c r="I2513" s="155"/>
      <c r="J2513" s="155"/>
      <c r="K2513" s="155"/>
      <c r="L2513" s="155"/>
      <c r="M2513" s="155"/>
      <c r="N2513" s="155"/>
      <c r="O2513" s="155"/>
      <c r="P2513" s="155"/>
      <c r="Q2513" s="155"/>
      <c r="R2513" s="155"/>
      <c r="S2513" s="155"/>
      <c r="T2513" s="155"/>
      <c r="U2513" s="155"/>
      <c r="V2513" s="155"/>
      <c r="W2513" s="155"/>
      <c r="GL2513" s="155"/>
      <c r="GM2513" s="155"/>
      <c r="GN2513" s="155"/>
      <c r="GO2513" s="155"/>
      <c r="GP2513" s="155"/>
      <c r="GQ2513" s="155"/>
      <c r="GR2513" s="155"/>
      <c r="GS2513" s="155"/>
      <c r="GT2513" s="155"/>
      <c r="GU2513" s="155"/>
      <c r="GV2513" s="155"/>
      <c r="GW2513" s="155"/>
      <c r="GX2513" s="155"/>
      <c r="GY2513" s="155"/>
      <c r="GZ2513" s="155"/>
      <c r="HA2513" s="155"/>
      <c r="HB2513" s="155"/>
      <c r="HC2513" s="155"/>
      <c r="HD2513" s="155"/>
      <c r="HE2513" s="155"/>
    </row>
    <row r="2514" spans="2:213" s="156" customFormat="1" hidden="1">
      <c r="B2514" s="155"/>
      <c r="C2514" s="155"/>
      <c r="D2514" s="155"/>
      <c r="E2514" s="155"/>
      <c r="F2514" s="155"/>
      <c r="G2514" s="155"/>
      <c r="H2514" s="155"/>
      <c r="I2514" s="155"/>
      <c r="J2514" s="155"/>
      <c r="K2514" s="155"/>
      <c r="L2514" s="155"/>
      <c r="M2514" s="155"/>
      <c r="N2514" s="155"/>
      <c r="O2514" s="155"/>
      <c r="P2514" s="155"/>
      <c r="Q2514" s="155"/>
      <c r="R2514" s="155"/>
      <c r="S2514" s="155"/>
      <c r="T2514" s="155"/>
      <c r="U2514" s="155"/>
      <c r="V2514" s="155"/>
      <c r="W2514" s="155"/>
      <c r="GL2514" s="155"/>
      <c r="GM2514" s="155"/>
      <c r="GN2514" s="155"/>
      <c r="GO2514" s="155"/>
      <c r="GP2514" s="155"/>
      <c r="GQ2514" s="155"/>
      <c r="GR2514" s="155"/>
      <c r="GS2514" s="155"/>
      <c r="GT2514" s="155"/>
      <c r="GU2514" s="155"/>
      <c r="GV2514" s="155"/>
      <c r="GW2514" s="155"/>
      <c r="GX2514" s="155"/>
      <c r="GY2514" s="155"/>
      <c r="GZ2514" s="155"/>
      <c r="HA2514" s="155"/>
      <c r="HB2514" s="155"/>
      <c r="HC2514" s="155"/>
      <c r="HD2514" s="155"/>
      <c r="HE2514" s="155"/>
    </row>
    <row r="2515" spans="2:213" s="156" customFormat="1" hidden="1">
      <c r="B2515" s="155"/>
      <c r="C2515" s="155"/>
      <c r="D2515" s="155"/>
      <c r="E2515" s="155"/>
      <c r="F2515" s="155"/>
      <c r="G2515" s="155"/>
      <c r="H2515" s="155"/>
      <c r="I2515" s="155"/>
      <c r="J2515" s="155"/>
      <c r="K2515" s="155"/>
      <c r="L2515" s="155"/>
      <c r="M2515" s="155"/>
      <c r="N2515" s="155"/>
      <c r="O2515" s="155"/>
      <c r="P2515" s="155"/>
      <c r="Q2515" s="155"/>
      <c r="R2515" s="155"/>
      <c r="S2515" s="155"/>
      <c r="T2515" s="155"/>
      <c r="U2515" s="155"/>
      <c r="V2515" s="155"/>
      <c r="W2515" s="155"/>
      <c r="GL2515" s="155"/>
      <c r="GM2515" s="155"/>
      <c r="GN2515" s="155"/>
      <c r="GO2515" s="155"/>
      <c r="GP2515" s="155"/>
      <c r="GQ2515" s="155"/>
      <c r="GR2515" s="155"/>
      <c r="GS2515" s="155"/>
      <c r="GT2515" s="155"/>
      <c r="GU2515" s="155"/>
      <c r="GV2515" s="155"/>
      <c r="GW2515" s="155"/>
      <c r="GX2515" s="155"/>
      <c r="GY2515" s="155"/>
      <c r="GZ2515" s="155"/>
      <c r="HA2515" s="155"/>
      <c r="HB2515" s="155"/>
      <c r="HC2515" s="155"/>
      <c r="HD2515" s="155"/>
      <c r="HE2515" s="155"/>
    </row>
    <row r="2516" spans="2:213" s="156" customFormat="1" hidden="1">
      <c r="B2516" s="155"/>
      <c r="C2516" s="155"/>
      <c r="D2516" s="155"/>
      <c r="E2516" s="155"/>
      <c r="F2516" s="155"/>
      <c r="G2516" s="155"/>
      <c r="H2516" s="155"/>
      <c r="I2516" s="155"/>
      <c r="J2516" s="155"/>
      <c r="K2516" s="155"/>
      <c r="L2516" s="155"/>
      <c r="M2516" s="155"/>
      <c r="N2516" s="155"/>
      <c r="O2516" s="155"/>
      <c r="P2516" s="155"/>
      <c r="Q2516" s="155"/>
      <c r="R2516" s="155"/>
      <c r="S2516" s="155"/>
      <c r="T2516" s="155"/>
      <c r="U2516" s="155"/>
      <c r="V2516" s="155"/>
      <c r="W2516" s="155"/>
      <c r="GL2516" s="155"/>
      <c r="GM2516" s="155"/>
      <c r="GN2516" s="155"/>
      <c r="GO2516" s="155"/>
      <c r="GP2516" s="155"/>
      <c r="GQ2516" s="155"/>
      <c r="GR2516" s="155"/>
      <c r="GS2516" s="155"/>
      <c r="GT2516" s="155"/>
      <c r="GU2516" s="155"/>
      <c r="GV2516" s="155"/>
      <c r="GW2516" s="155"/>
      <c r="GX2516" s="155"/>
      <c r="GY2516" s="155"/>
      <c r="GZ2516" s="155"/>
      <c r="HA2516" s="155"/>
      <c r="HB2516" s="155"/>
      <c r="HC2516" s="155"/>
      <c r="HD2516" s="155"/>
      <c r="HE2516" s="155"/>
    </row>
    <row r="2517" spans="2:213" s="156" customFormat="1" hidden="1">
      <c r="B2517" s="155"/>
      <c r="C2517" s="155"/>
      <c r="D2517" s="155"/>
      <c r="E2517" s="155"/>
      <c r="F2517" s="155"/>
      <c r="G2517" s="155"/>
      <c r="H2517" s="155"/>
      <c r="I2517" s="155"/>
      <c r="J2517" s="155"/>
      <c r="K2517" s="155"/>
      <c r="L2517" s="155"/>
      <c r="M2517" s="155"/>
      <c r="N2517" s="155"/>
      <c r="O2517" s="155"/>
      <c r="P2517" s="155"/>
      <c r="Q2517" s="155"/>
      <c r="R2517" s="155"/>
      <c r="S2517" s="155"/>
      <c r="T2517" s="155"/>
      <c r="U2517" s="155"/>
      <c r="V2517" s="155"/>
      <c r="W2517" s="155"/>
      <c r="GL2517" s="155"/>
      <c r="GM2517" s="155"/>
      <c r="GN2517" s="155"/>
      <c r="GO2517" s="155"/>
      <c r="GP2517" s="155"/>
      <c r="GQ2517" s="155"/>
      <c r="GR2517" s="155"/>
      <c r="GS2517" s="155"/>
      <c r="GT2517" s="155"/>
      <c r="GU2517" s="155"/>
      <c r="GV2517" s="155"/>
      <c r="GW2517" s="155"/>
      <c r="GX2517" s="155"/>
      <c r="GY2517" s="155"/>
      <c r="GZ2517" s="155"/>
      <c r="HA2517" s="155"/>
      <c r="HB2517" s="155"/>
      <c r="HC2517" s="155"/>
      <c r="HD2517" s="155"/>
      <c r="HE2517" s="155"/>
    </row>
    <row r="2518" spans="2:213" s="156" customFormat="1" hidden="1">
      <c r="B2518" s="155"/>
      <c r="C2518" s="155"/>
      <c r="D2518" s="155"/>
      <c r="E2518" s="155"/>
      <c r="F2518" s="155"/>
      <c r="G2518" s="155"/>
      <c r="H2518" s="155"/>
      <c r="I2518" s="155"/>
      <c r="J2518" s="155"/>
      <c r="K2518" s="155"/>
      <c r="L2518" s="155"/>
      <c r="M2518" s="155"/>
      <c r="N2518" s="155"/>
      <c r="O2518" s="155"/>
      <c r="P2518" s="155"/>
      <c r="Q2518" s="155"/>
      <c r="R2518" s="155"/>
      <c r="S2518" s="155"/>
      <c r="T2518" s="155"/>
      <c r="U2518" s="155"/>
      <c r="V2518" s="155"/>
      <c r="W2518" s="155"/>
      <c r="GL2518" s="155"/>
      <c r="GM2518" s="155"/>
      <c r="GN2518" s="155"/>
      <c r="GO2518" s="155"/>
      <c r="GP2518" s="155"/>
      <c r="GQ2518" s="155"/>
      <c r="GR2518" s="155"/>
      <c r="GS2518" s="155"/>
      <c r="GT2518" s="155"/>
      <c r="GU2518" s="155"/>
      <c r="GV2518" s="155"/>
      <c r="GW2518" s="155"/>
      <c r="GX2518" s="155"/>
      <c r="GY2518" s="155"/>
      <c r="GZ2518" s="155"/>
      <c r="HA2518" s="155"/>
      <c r="HB2518" s="155"/>
      <c r="HC2518" s="155"/>
      <c r="HD2518" s="155"/>
      <c r="HE2518" s="155"/>
    </row>
    <row r="2519" spans="2:213" s="156" customFormat="1" hidden="1">
      <c r="B2519" s="155"/>
      <c r="C2519" s="155"/>
      <c r="D2519" s="155"/>
      <c r="E2519" s="155"/>
      <c r="F2519" s="155"/>
      <c r="G2519" s="155"/>
      <c r="H2519" s="155"/>
      <c r="I2519" s="155"/>
      <c r="J2519" s="155"/>
      <c r="K2519" s="155"/>
      <c r="L2519" s="155"/>
      <c r="M2519" s="155"/>
      <c r="N2519" s="155"/>
      <c r="O2519" s="155"/>
      <c r="P2519" s="155"/>
      <c r="Q2519" s="155"/>
      <c r="R2519" s="155"/>
      <c r="S2519" s="155"/>
      <c r="T2519" s="155"/>
      <c r="U2519" s="155"/>
      <c r="V2519" s="155"/>
      <c r="W2519" s="155"/>
      <c r="GL2519" s="155"/>
      <c r="GM2519" s="155"/>
      <c r="GN2519" s="155"/>
      <c r="GO2519" s="155"/>
      <c r="GP2519" s="155"/>
      <c r="GQ2519" s="155"/>
      <c r="GR2519" s="155"/>
      <c r="GS2519" s="155"/>
      <c r="GT2519" s="155"/>
      <c r="GU2519" s="155"/>
      <c r="GV2519" s="155"/>
      <c r="GW2519" s="155"/>
      <c r="GX2519" s="155"/>
      <c r="GY2519" s="155"/>
      <c r="GZ2519" s="155"/>
      <c r="HA2519" s="155"/>
      <c r="HB2519" s="155"/>
      <c r="HC2519" s="155"/>
      <c r="HD2519" s="155"/>
      <c r="HE2519" s="155"/>
    </row>
    <row r="2520" spans="2:213" s="156" customFormat="1" hidden="1">
      <c r="B2520" s="155"/>
      <c r="C2520" s="155"/>
      <c r="D2520" s="155"/>
      <c r="E2520" s="155"/>
      <c r="F2520" s="155"/>
      <c r="G2520" s="155"/>
      <c r="H2520" s="155"/>
      <c r="I2520" s="155"/>
      <c r="J2520" s="155"/>
      <c r="K2520" s="155"/>
      <c r="L2520" s="155"/>
      <c r="M2520" s="155"/>
      <c r="N2520" s="155"/>
      <c r="O2520" s="155"/>
      <c r="P2520" s="155"/>
      <c r="Q2520" s="155"/>
      <c r="R2520" s="155"/>
      <c r="S2520" s="155"/>
      <c r="T2520" s="155"/>
      <c r="U2520" s="155"/>
      <c r="V2520" s="155"/>
      <c r="W2520" s="155"/>
      <c r="GL2520" s="155"/>
      <c r="GM2520" s="155"/>
      <c r="GN2520" s="155"/>
      <c r="GO2520" s="155"/>
      <c r="GP2520" s="155"/>
      <c r="GQ2520" s="155"/>
      <c r="GR2520" s="155"/>
      <c r="GS2520" s="155"/>
      <c r="GT2520" s="155"/>
      <c r="GU2520" s="155"/>
      <c r="GV2520" s="155"/>
      <c r="GW2520" s="155"/>
      <c r="GX2520" s="155"/>
      <c r="GY2520" s="155"/>
      <c r="GZ2520" s="155"/>
      <c r="HA2520" s="155"/>
      <c r="HB2520" s="155"/>
      <c r="HC2520" s="155"/>
      <c r="HD2520" s="155"/>
      <c r="HE2520" s="155"/>
    </row>
    <row r="2521" spans="2:213" s="156" customFormat="1" hidden="1">
      <c r="B2521" s="155"/>
      <c r="C2521" s="155"/>
      <c r="D2521" s="155"/>
      <c r="E2521" s="155"/>
      <c r="F2521" s="155"/>
      <c r="G2521" s="155"/>
      <c r="H2521" s="155"/>
      <c r="I2521" s="155"/>
      <c r="J2521" s="155"/>
      <c r="K2521" s="155"/>
      <c r="L2521" s="155"/>
      <c r="M2521" s="155"/>
      <c r="N2521" s="155"/>
      <c r="O2521" s="155"/>
      <c r="P2521" s="155"/>
      <c r="Q2521" s="155"/>
      <c r="R2521" s="155"/>
      <c r="S2521" s="155"/>
      <c r="T2521" s="155"/>
      <c r="U2521" s="155"/>
      <c r="V2521" s="155"/>
      <c r="W2521" s="155"/>
      <c r="GL2521" s="155"/>
      <c r="GM2521" s="155"/>
      <c r="GN2521" s="155"/>
      <c r="GO2521" s="155"/>
      <c r="GP2521" s="155"/>
      <c r="GQ2521" s="155"/>
      <c r="GR2521" s="155"/>
      <c r="GS2521" s="155"/>
      <c r="GT2521" s="155"/>
      <c r="GU2521" s="155"/>
      <c r="GV2521" s="155"/>
      <c r="GW2521" s="155"/>
      <c r="GX2521" s="155"/>
      <c r="GY2521" s="155"/>
      <c r="GZ2521" s="155"/>
      <c r="HA2521" s="155"/>
      <c r="HB2521" s="155"/>
      <c r="HC2521" s="155"/>
      <c r="HD2521" s="155"/>
      <c r="HE2521" s="155"/>
    </row>
    <row r="2522" spans="2:213" s="156" customFormat="1" hidden="1">
      <c r="B2522" s="155"/>
      <c r="C2522" s="155"/>
      <c r="D2522" s="155"/>
      <c r="E2522" s="155"/>
      <c r="F2522" s="155"/>
      <c r="G2522" s="155"/>
      <c r="H2522" s="155"/>
      <c r="I2522" s="155"/>
      <c r="J2522" s="155"/>
      <c r="K2522" s="155"/>
      <c r="L2522" s="155"/>
      <c r="M2522" s="155"/>
      <c r="N2522" s="155"/>
      <c r="O2522" s="155"/>
      <c r="P2522" s="155"/>
      <c r="Q2522" s="155"/>
      <c r="R2522" s="155"/>
      <c r="S2522" s="155"/>
      <c r="T2522" s="155"/>
      <c r="U2522" s="155"/>
      <c r="V2522" s="155"/>
      <c r="W2522" s="155"/>
      <c r="GL2522" s="155"/>
      <c r="GM2522" s="155"/>
      <c r="GN2522" s="155"/>
      <c r="GO2522" s="155"/>
      <c r="GP2522" s="155"/>
      <c r="GQ2522" s="155"/>
      <c r="GR2522" s="155"/>
      <c r="GS2522" s="155"/>
      <c r="GT2522" s="155"/>
      <c r="GU2522" s="155"/>
      <c r="GV2522" s="155"/>
      <c r="GW2522" s="155"/>
      <c r="GX2522" s="155"/>
      <c r="GY2522" s="155"/>
      <c r="GZ2522" s="155"/>
      <c r="HA2522" s="155"/>
      <c r="HB2522" s="155"/>
      <c r="HC2522" s="155"/>
      <c r="HD2522" s="155"/>
      <c r="HE2522" s="155"/>
    </row>
    <row r="2523" spans="2:213" s="156" customFormat="1" hidden="1">
      <c r="B2523" s="155"/>
      <c r="C2523" s="155"/>
      <c r="D2523" s="155"/>
      <c r="E2523" s="155"/>
      <c r="F2523" s="155"/>
      <c r="G2523" s="155"/>
      <c r="H2523" s="155"/>
      <c r="I2523" s="155"/>
      <c r="J2523" s="155"/>
      <c r="K2523" s="155"/>
      <c r="L2523" s="155"/>
      <c r="M2523" s="155"/>
      <c r="N2523" s="155"/>
      <c r="O2523" s="155"/>
      <c r="P2523" s="155"/>
      <c r="Q2523" s="155"/>
      <c r="R2523" s="155"/>
      <c r="S2523" s="155"/>
      <c r="T2523" s="155"/>
      <c r="U2523" s="155"/>
      <c r="V2523" s="155"/>
      <c r="W2523" s="155"/>
      <c r="GL2523" s="155"/>
      <c r="GM2523" s="155"/>
      <c r="GN2523" s="155"/>
      <c r="GO2523" s="155"/>
      <c r="GP2523" s="155"/>
      <c r="GQ2523" s="155"/>
      <c r="GR2523" s="155"/>
      <c r="GS2523" s="155"/>
      <c r="GT2523" s="155"/>
      <c r="GU2523" s="155"/>
      <c r="GV2523" s="155"/>
      <c r="GW2523" s="155"/>
      <c r="GX2523" s="155"/>
      <c r="GY2523" s="155"/>
      <c r="GZ2523" s="155"/>
      <c r="HA2523" s="155"/>
      <c r="HB2523" s="155"/>
      <c r="HC2523" s="155"/>
      <c r="HD2523" s="155"/>
      <c r="HE2523" s="155"/>
    </row>
    <row r="2524" spans="2:213" s="156" customFormat="1" hidden="1">
      <c r="B2524" s="155"/>
      <c r="C2524" s="155"/>
      <c r="D2524" s="155"/>
      <c r="E2524" s="155"/>
      <c r="F2524" s="155"/>
      <c r="G2524" s="155"/>
      <c r="H2524" s="155"/>
      <c r="I2524" s="155"/>
      <c r="J2524" s="155"/>
      <c r="K2524" s="155"/>
      <c r="L2524" s="155"/>
      <c r="M2524" s="155"/>
      <c r="N2524" s="155"/>
      <c r="O2524" s="155"/>
      <c r="P2524" s="155"/>
      <c r="Q2524" s="155"/>
      <c r="R2524" s="155"/>
      <c r="S2524" s="155"/>
      <c r="T2524" s="155"/>
      <c r="U2524" s="155"/>
      <c r="V2524" s="155"/>
      <c r="W2524" s="155"/>
      <c r="GL2524" s="155"/>
      <c r="GM2524" s="155"/>
      <c r="GN2524" s="155"/>
      <c r="GO2524" s="155"/>
      <c r="GP2524" s="155"/>
      <c r="GQ2524" s="155"/>
      <c r="GR2524" s="155"/>
      <c r="GS2524" s="155"/>
      <c r="GT2524" s="155"/>
      <c r="GU2524" s="155"/>
      <c r="GV2524" s="155"/>
      <c r="GW2524" s="155"/>
      <c r="GX2524" s="155"/>
      <c r="GY2524" s="155"/>
      <c r="GZ2524" s="155"/>
      <c r="HA2524" s="155"/>
      <c r="HB2524" s="155"/>
      <c r="HC2524" s="155"/>
      <c r="HD2524" s="155"/>
      <c r="HE2524" s="155"/>
    </row>
    <row r="2525" spans="2:213" s="156" customFormat="1" hidden="1">
      <c r="B2525" s="155"/>
      <c r="C2525" s="155"/>
      <c r="D2525" s="155"/>
      <c r="E2525" s="155"/>
      <c r="F2525" s="155"/>
      <c r="G2525" s="155"/>
      <c r="H2525" s="155"/>
      <c r="I2525" s="155"/>
      <c r="J2525" s="155"/>
      <c r="K2525" s="155"/>
      <c r="L2525" s="155"/>
      <c r="M2525" s="155"/>
      <c r="N2525" s="155"/>
      <c r="O2525" s="155"/>
      <c r="P2525" s="155"/>
      <c r="Q2525" s="155"/>
      <c r="R2525" s="155"/>
      <c r="S2525" s="155"/>
      <c r="T2525" s="155"/>
      <c r="U2525" s="155"/>
      <c r="V2525" s="155"/>
      <c r="W2525" s="155"/>
      <c r="GL2525" s="155"/>
      <c r="GM2525" s="155"/>
      <c r="GN2525" s="155"/>
      <c r="GO2525" s="155"/>
      <c r="GP2525" s="155"/>
      <c r="GQ2525" s="155"/>
      <c r="GR2525" s="155"/>
      <c r="GS2525" s="155"/>
      <c r="GT2525" s="155"/>
      <c r="GU2525" s="155"/>
      <c r="GV2525" s="155"/>
      <c r="GW2525" s="155"/>
      <c r="GX2525" s="155"/>
      <c r="GY2525" s="155"/>
      <c r="GZ2525" s="155"/>
      <c r="HA2525" s="155"/>
      <c r="HB2525" s="155"/>
      <c r="HC2525" s="155"/>
      <c r="HD2525" s="155"/>
      <c r="HE2525" s="155"/>
    </row>
    <row r="2526" spans="2:213" s="156" customFormat="1" hidden="1">
      <c r="B2526" s="155"/>
      <c r="C2526" s="155"/>
      <c r="D2526" s="155"/>
      <c r="E2526" s="155"/>
      <c r="F2526" s="155"/>
      <c r="G2526" s="155"/>
      <c r="H2526" s="155"/>
      <c r="I2526" s="155"/>
      <c r="J2526" s="155"/>
      <c r="K2526" s="155"/>
      <c r="L2526" s="155"/>
      <c r="M2526" s="155"/>
      <c r="N2526" s="155"/>
      <c r="O2526" s="155"/>
      <c r="P2526" s="155"/>
      <c r="Q2526" s="155"/>
      <c r="R2526" s="155"/>
      <c r="S2526" s="155"/>
      <c r="T2526" s="155"/>
      <c r="U2526" s="155"/>
      <c r="V2526" s="155"/>
      <c r="W2526" s="155"/>
      <c r="GL2526" s="155"/>
      <c r="GM2526" s="155"/>
      <c r="GN2526" s="155"/>
      <c r="GO2526" s="155"/>
      <c r="GP2526" s="155"/>
      <c r="GQ2526" s="155"/>
      <c r="GR2526" s="155"/>
      <c r="GS2526" s="155"/>
      <c r="GT2526" s="155"/>
      <c r="GU2526" s="155"/>
      <c r="GV2526" s="155"/>
      <c r="GW2526" s="155"/>
      <c r="GX2526" s="155"/>
      <c r="GY2526" s="155"/>
      <c r="GZ2526" s="155"/>
      <c r="HA2526" s="155"/>
      <c r="HB2526" s="155"/>
      <c r="HC2526" s="155"/>
      <c r="HD2526" s="155"/>
      <c r="HE2526" s="155"/>
    </row>
    <row r="2527" spans="2:213" s="156" customFormat="1" hidden="1">
      <c r="B2527" s="155"/>
      <c r="C2527" s="155"/>
      <c r="D2527" s="155"/>
      <c r="E2527" s="155"/>
      <c r="F2527" s="155"/>
      <c r="G2527" s="155"/>
      <c r="H2527" s="155"/>
      <c r="I2527" s="155"/>
      <c r="J2527" s="155"/>
      <c r="K2527" s="155"/>
      <c r="L2527" s="155"/>
      <c r="M2527" s="155"/>
      <c r="N2527" s="155"/>
      <c r="O2527" s="155"/>
      <c r="P2527" s="155"/>
      <c r="Q2527" s="155"/>
      <c r="R2527" s="155"/>
      <c r="S2527" s="155"/>
      <c r="T2527" s="155"/>
      <c r="U2527" s="155"/>
      <c r="V2527" s="155"/>
      <c r="W2527" s="155"/>
      <c r="GL2527" s="155"/>
      <c r="GM2527" s="155"/>
      <c r="GN2527" s="155"/>
      <c r="GO2527" s="155"/>
      <c r="GP2527" s="155"/>
      <c r="GQ2527" s="155"/>
      <c r="GR2527" s="155"/>
      <c r="GS2527" s="155"/>
      <c r="GT2527" s="155"/>
      <c r="GU2527" s="155"/>
      <c r="GV2527" s="155"/>
      <c r="GW2527" s="155"/>
      <c r="GX2527" s="155"/>
      <c r="GY2527" s="155"/>
      <c r="GZ2527" s="155"/>
      <c r="HA2527" s="155"/>
      <c r="HB2527" s="155"/>
      <c r="HC2527" s="155"/>
      <c r="HD2527" s="155"/>
      <c r="HE2527" s="155"/>
    </row>
    <row r="2528" spans="2:213" s="156" customFormat="1" hidden="1">
      <c r="B2528" s="155"/>
      <c r="C2528" s="155"/>
      <c r="D2528" s="155"/>
      <c r="E2528" s="155"/>
      <c r="F2528" s="155"/>
      <c r="G2528" s="155"/>
      <c r="H2528" s="155"/>
      <c r="I2528" s="155"/>
      <c r="J2528" s="155"/>
      <c r="K2528" s="155"/>
      <c r="L2528" s="155"/>
      <c r="M2528" s="155"/>
      <c r="N2528" s="155"/>
      <c r="O2528" s="155"/>
      <c r="P2528" s="155"/>
      <c r="Q2528" s="155"/>
      <c r="R2528" s="155"/>
      <c r="S2528" s="155"/>
      <c r="T2528" s="155"/>
      <c r="U2528" s="155"/>
      <c r="V2528" s="155"/>
      <c r="W2528" s="155"/>
      <c r="GL2528" s="155"/>
      <c r="GM2528" s="155"/>
      <c r="GN2528" s="155"/>
      <c r="GO2528" s="155"/>
      <c r="GP2528" s="155"/>
      <c r="GQ2528" s="155"/>
      <c r="GR2528" s="155"/>
      <c r="GS2528" s="155"/>
      <c r="GT2528" s="155"/>
      <c r="GU2528" s="155"/>
      <c r="GV2528" s="155"/>
      <c r="GW2528" s="155"/>
      <c r="GX2528" s="155"/>
      <c r="GY2528" s="155"/>
      <c r="GZ2528" s="155"/>
      <c r="HA2528" s="155"/>
      <c r="HB2528" s="155"/>
      <c r="HC2528" s="155"/>
      <c r="HD2528" s="155"/>
      <c r="HE2528" s="155"/>
    </row>
    <row r="2529" spans="2:213" s="156" customFormat="1" hidden="1">
      <c r="B2529" s="155"/>
      <c r="C2529" s="155"/>
      <c r="D2529" s="155"/>
      <c r="E2529" s="155"/>
      <c r="F2529" s="155"/>
      <c r="G2529" s="155"/>
      <c r="H2529" s="155"/>
      <c r="I2529" s="155"/>
      <c r="J2529" s="155"/>
      <c r="K2529" s="155"/>
      <c r="L2529" s="155"/>
      <c r="M2529" s="155"/>
      <c r="N2529" s="155"/>
      <c r="O2529" s="155"/>
      <c r="P2529" s="155"/>
      <c r="Q2529" s="155"/>
      <c r="R2529" s="155"/>
      <c r="S2529" s="155"/>
      <c r="T2529" s="155"/>
      <c r="U2529" s="155"/>
      <c r="V2529" s="155"/>
      <c r="W2529" s="155"/>
      <c r="GL2529" s="155"/>
      <c r="GM2529" s="155"/>
      <c r="GN2529" s="155"/>
      <c r="GO2529" s="155"/>
      <c r="GP2529" s="155"/>
      <c r="GQ2529" s="155"/>
      <c r="GR2529" s="155"/>
      <c r="GS2529" s="155"/>
      <c r="GT2529" s="155"/>
      <c r="GU2529" s="155"/>
      <c r="GV2529" s="155"/>
      <c r="GW2529" s="155"/>
      <c r="GX2529" s="155"/>
      <c r="GY2529" s="155"/>
      <c r="GZ2529" s="155"/>
      <c r="HA2529" s="155"/>
      <c r="HB2529" s="155"/>
      <c r="HC2529" s="155"/>
      <c r="HD2529" s="155"/>
      <c r="HE2529" s="155"/>
    </row>
    <row r="2530" spans="2:213" s="156" customFormat="1" hidden="1">
      <c r="B2530" s="155"/>
      <c r="C2530" s="155"/>
      <c r="D2530" s="155"/>
      <c r="E2530" s="155"/>
      <c r="F2530" s="155"/>
      <c r="G2530" s="155"/>
      <c r="H2530" s="155"/>
      <c r="I2530" s="155"/>
      <c r="J2530" s="155"/>
      <c r="K2530" s="155"/>
      <c r="L2530" s="155"/>
      <c r="M2530" s="155"/>
      <c r="N2530" s="155"/>
      <c r="O2530" s="155"/>
      <c r="P2530" s="155"/>
      <c r="Q2530" s="155"/>
      <c r="R2530" s="155"/>
      <c r="S2530" s="155"/>
      <c r="T2530" s="155"/>
      <c r="U2530" s="155"/>
      <c r="V2530" s="155"/>
      <c r="W2530" s="155"/>
      <c r="GL2530" s="155"/>
      <c r="GM2530" s="155"/>
      <c r="GN2530" s="155"/>
      <c r="GO2530" s="155"/>
      <c r="GP2530" s="155"/>
      <c r="GQ2530" s="155"/>
      <c r="GR2530" s="155"/>
      <c r="GS2530" s="155"/>
      <c r="GT2530" s="155"/>
      <c r="GU2530" s="155"/>
      <c r="GV2530" s="155"/>
      <c r="GW2530" s="155"/>
      <c r="GX2530" s="155"/>
      <c r="GY2530" s="155"/>
      <c r="GZ2530" s="155"/>
      <c r="HA2530" s="155"/>
      <c r="HB2530" s="155"/>
      <c r="HC2530" s="155"/>
      <c r="HD2530" s="155"/>
      <c r="HE2530" s="155"/>
    </row>
    <row r="2531" spans="2:213" s="156" customFormat="1" hidden="1">
      <c r="B2531" s="155"/>
      <c r="C2531" s="155"/>
      <c r="D2531" s="155"/>
      <c r="E2531" s="155"/>
      <c r="F2531" s="155"/>
      <c r="G2531" s="155"/>
      <c r="H2531" s="155"/>
      <c r="I2531" s="155"/>
      <c r="J2531" s="155"/>
      <c r="K2531" s="155"/>
      <c r="L2531" s="155"/>
      <c r="M2531" s="155"/>
      <c r="N2531" s="155"/>
      <c r="O2531" s="155"/>
      <c r="P2531" s="155"/>
      <c r="Q2531" s="155"/>
      <c r="R2531" s="155"/>
      <c r="S2531" s="155"/>
      <c r="T2531" s="155"/>
      <c r="U2531" s="155"/>
      <c r="V2531" s="155"/>
      <c r="W2531" s="155"/>
      <c r="GL2531" s="155"/>
      <c r="GM2531" s="155"/>
      <c r="GN2531" s="155"/>
      <c r="GO2531" s="155"/>
      <c r="GP2531" s="155"/>
      <c r="GQ2531" s="155"/>
      <c r="GR2531" s="155"/>
      <c r="GS2531" s="155"/>
      <c r="GT2531" s="155"/>
      <c r="GU2531" s="155"/>
      <c r="GV2531" s="155"/>
      <c r="GW2531" s="155"/>
      <c r="GX2531" s="155"/>
      <c r="GY2531" s="155"/>
      <c r="GZ2531" s="155"/>
      <c r="HA2531" s="155"/>
      <c r="HB2531" s="155"/>
      <c r="HC2531" s="155"/>
      <c r="HD2531" s="155"/>
      <c r="HE2531" s="155"/>
    </row>
    <row r="2532" spans="2:213" s="156" customFormat="1" hidden="1">
      <c r="B2532" s="155"/>
      <c r="C2532" s="155"/>
      <c r="D2532" s="155"/>
      <c r="E2532" s="155"/>
      <c r="F2532" s="155"/>
      <c r="G2532" s="155"/>
      <c r="H2532" s="155"/>
      <c r="I2532" s="155"/>
      <c r="J2532" s="155"/>
      <c r="K2532" s="155"/>
      <c r="L2532" s="155"/>
      <c r="M2532" s="155"/>
      <c r="N2532" s="155"/>
      <c r="O2532" s="155"/>
      <c r="P2532" s="155"/>
      <c r="Q2532" s="155"/>
      <c r="R2532" s="155"/>
      <c r="S2532" s="155"/>
      <c r="T2532" s="155"/>
      <c r="U2532" s="155"/>
      <c r="V2532" s="155"/>
      <c r="W2532" s="155"/>
      <c r="GL2532" s="155"/>
      <c r="GM2532" s="155"/>
      <c r="GN2532" s="155"/>
      <c r="GO2532" s="155"/>
      <c r="GP2532" s="155"/>
      <c r="GQ2532" s="155"/>
      <c r="GR2532" s="155"/>
      <c r="GS2532" s="155"/>
      <c r="GT2532" s="155"/>
      <c r="GU2532" s="155"/>
      <c r="GV2532" s="155"/>
      <c r="GW2532" s="155"/>
      <c r="GX2532" s="155"/>
      <c r="GY2532" s="155"/>
      <c r="GZ2532" s="155"/>
      <c r="HA2532" s="155"/>
      <c r="HB2532" s="155"/>
      <c r="HC2532" s="155"/>
      <c r="HD2532" s="155"/>
      <c r="HE2532" s="155"/>
    </row>
    <row r="2533" spans="2:213" s="156" customFormat="1" hidden="1">
      <c r="B2533" s="155"/>
      <c r="C2533" s="155"/>
      <c r="D2533" s="155"/>
      <c r="E2533" s="155"/>
      <c r="F2533" s="155"/>
      <c r="G2533" s="155"/>
      <c r="H2533" s="155"/>
      <c r="I2533" s="155"/>
      <c r="J2533" s="155"/>
      <c r="K2533" s="155"/>
      <c r="L2533" s="155"/>
      <c r="M2533" s="155"/>
      <c r="N2533" s="155"/>
      <c r="O2533" s="155"/>
      <c r="P2533" s="155"/>
      <c r="Q2533" s="155"/>
      <c r="R2533" s="155"/>
      <c r="S2533" s="155"/>
      <c r="T2533" s="155"/>
      <c r="U2533" s="155"/>
      <c r="V2533" s="155"/>
      <c r="W2533" s="155"/>
      <c r="GL2533" s="155"/>
      <c r="GM2533" s="155"/>
      <c r="GN2533" s="155"/>
      <c r="GO2533" s="155"/>
      <c r="GP2533" s="155"/>
      <c r="GQ2533" s="155"/>
      <c r="GR2533" s="155"/>
      <c r="GS2533" s="155"/>
      <c r="GT2533" s="155"/>
      <c r="GU2533" s="155"/>
      <c r="GV2533" s="155"/>
      <c r="GW2533" s="155"/>
      <c r="GX2533" s="155"/>
      <c r="GY2533" s="155"/>
      <c r="GZ2533" s="155"/>
      <c r="HA2533" s="155"/>
      <c r="HB2533" s="155"/>
      <c r="HC2533" s="155"/>
      <c r="HD2533" s="155"/>
      <c r="HE2533" s="155"/>
    </row>
    <row r="2534" spans="2:213" s="156" customFormat="1" hidden="1">
      <c r="B2534" s="155"/>
      <c r="C2534" s="155"/>
      <c r="D2534" s="155"/>
      <c r="E2534" s="155"/>
      <c r="F2534" s="155"/>
      <c r="G2534" s="155"/>
      <c r="H2534" s="155"/>
      <c r="I2534" s="155"/>
      <c r="J2534" s="155"/>
      <c r="K2534" s="155"/>
      <c r="L2534" s="155"/>
      <c r="M2534" s="155"/>
      <c r="N2534" s="155"/>
      <c r="O2534" s="155"/>
      <c r="P2534" s="155"/>
      <c r="Q2534" s="155"/>
      <c r="R2534" s="155"/>
      <c r="S2534" s="155"/>
      <c r="T2534" s="155"/>
      <c r="U2534" s="155"/>
      <c r="V2534" s="155"/>
      <c r="W2534" s="155"/>
      <c r="GL2534" s="155"/>
      <c r="GM2534" s="155"/>
      <c r="GN2534" s="155"/>
      <c r="GO2534" s="155"/>
      <c r="GP2534" s="155"/>
      <c r="GQ2534" s="155"/>
      <c r="GR2534" s="155"/>
      <c r="GS2534" s="155"/>
      <c r="GT2534" s="155"/>
      <c r="GU2534" s="155"/>
      <c r="GV2534" s="155"/>
      <c r="GW2534" s="155"/>
      <c r="GX2534" s="155"/>
      <c r="GY2534" s="155"/>
      <c r="GZ2534" s="155"/>
      <c r="HA2534" s="155"/>
      <c r="HB2534" s="155"/>
      <c r="HC2534" s="155"/>
      <c r="HD2534" s="155"/>
      <c r="HE2534" s="155"/>
    </row>
    <row r="2535" spans="2:213" s="156" customFormat="1" hidden="1">
      <c r="B2535" s="155"/>
      <c r="C2535" s="155"/>
      <c r="D2535" s="155"/>
      <c r="E2535" s="155"/>
      <c r="F2535" s="155"/>
      <c r="G2535" s="155"/>
      <c r="H2535" s="155"/>
      <c r="I2535" s="155"/>
      <c r="J2535" s="155"/>
      <c r="K2535" s="155"/>
      <c r="L2535" s="155"/>
      <c r="M2535" s="155"/>
      <c r="N2535" s="155"/>
      <c r="O2535" s="155"/>
      <c r="P2535" s="155"/>
      <c r="Q2535" s="155"/>
      <c r="R2535" s="155"/>
      <c r="S2535" s="155"/>
      <c r="T2535" s="155"/>
      <c r="U2535" s="155"/>
      <c r="V2535" s="155"/>
      <c r="W2535" s="155"/>
      <c r="GL2535" s="155"/>
      <c r="GM2535" s="155"/>
      <c r="GN2535" s="155"/>
      <c r="GO2535" s="155"/>
      <c r="GP2535" s="155"/>
      <c r="GQ2535" s="155"/>
      <c r="GR2535" s="155"/>
      <c r="GS2535" s="155"/>
      <c r="GT2535" s="155"/>
      <c r="GU2535" s="155"/>
      <c r="GV2535" s="155"/>
      <c r="GW2535" s="155"/>
      <c r="GX2535" s="155"/>
      <c r="GY2535" s="155"/>
      <c r="GZ2535" s="155"/>
      <c r="HA2535" s="155"/>
      <c r="HB2535" s="155"/>
      <c r="HC2535" s="155"/>
      <c r="HD2535" s="155"/>
      <c r="HE2535" s="155"/>
    </row>
    <row r="2536" spans="2:213" s="156" customFormat="1" hidden="1">
      <c r="B2536" s="155"/>
      <c r="C2536" s="155"/>
      <c r="D2536" s="155"/>
      <c r="E2536" s="155"/>
      <c r="F2536" s="155"/>
      <c r="G2536" s="155"/>
      <c r="H2536" s="155"/>
      <c r="I2536" s="155"/>
      <c r="J2536" s="155"/>
      <c r="K2536" s="155"/>
      <c r="L2536" s="155"/>
      <c r="M2536" s="155"/>
      <c r="N2536" s="155"/>
      <c r="O2536" s="155"/>
      <c r="P2536" s="155"/>
      <c r="Q2536" s="155"/>
      <c r="R2536" s="155"/>
      <c r="S2536" s="155"/>
      <c r="T2536" s="155"/>
      <c r="U2536" s="155"/>
      <c r="V2536" s="155"/>
      <c r="W2536" s="155"/>
      <c r="GL2536" s="155"/>
      <c r="GM2536" s="155"/>
      <c r="GN2536" s="155"/>
      <c r="GO2536" s="155"/>
      <c r="GP2536" s="155"/>
      <c r="GQ2536" s="155"/>
      <c r="GR2536" s="155"/>
      <c r="GS2536" s="155"/>
      <c r="GT2536" s="155"/>
      <c r="GU2536" s="155"/>
      <c r="GV2536" s="155"/>
      <c r="GW2536" s="155"/>
      <c r="GX2536" s="155"/>
      <c r="GY2536" s="155"/>
      <c r="GZ2536" s="155"/>
      <c r="HA2536" s="155"/>
      <c r="HB2536" s="155"/>
      <c r="HC2536" s="155"/>
      <c r="HD2536" s="155"/>
      <c r="HE2536" s="155"/>
    </row>
    <row r="2537" spans="2:213" s="156" customFormat="1" hidden="1">
      <c r="B2537" s="155"/>
      <c r="C2537" s="155"/>
      <c r="D2537" s="155"/>
      <c r="E2537" s="155"/>
      <c r="F2537" s="155"/>
      <c r="G2537" s="155"/>
      <c r="H2537" s="155"/>
      <c r="I2537" s="155"/>
      <c r="J2537" s="155"/>
      <c r="K2537" s="155"/>
      <c r="L2537" s="155"/>
      <c r="M2537" s="155"/>
      <c r="N2537" s="155"/>
      <c r="O2537" s="155"/>
      <c r="P2537" s="155"/>
      <c r="Q2537" s="155"/>
      <c r="R2537" s="155"/>
      <c r="S2537" s="155"/>
      <c r="T2537" s="155"/>
      <c r="U2537" s="155"/>
      <c r="V2537" s="155"/>
      <c r="W2537" s="155"/>
      <c r="GL2537" s="155"/>
      <c r="GM2537" s="155"/>
      <c r="GN2537" s="155"/>
      <c r="GO2537" s="155"/>
      <c r="GP2537" s="155"/>
      <c r="GQ2537" s="155"/>
      <c r="GR2537" s="155"/>
      <c r="GS2537" s="155"/>
      <c r="GT2537" s="155"/>
      <c r="GU2537" s="155"/>
      <c r="GV2537" s="155"/>
      <c r="GW2537" s="155"/>
      <c r="GX2537" s="155"/>
      <c r="GY2537" s="155"/>
      <c r="GZ2537" s="155"/>
      <c r="HA2537" s="155"/>
      <c r="HB2537" s="155"/>
      <c r="HC2537" s="155"/>
      <c r="HD2537" s="155"/>
      <c r="HE2537" s="155"/>
    </row>
    <row r="2538" spans="2:213" s="156" customFormat="1" hidden="1">
      <c r="B2538" s="155"/>
      <c r="C2538" s="155"/>
      <c r="D2538" s="155"/>
      <c r="E2538" s="155"/>
      <c r="F2538" s="155"/>
      <c r="G2538" s="155"/>
      <c r="H2538" s="155"/>
      <c r="I2538" s="155"/>
      <c r="J2538" s="155"/>
      <c r="K2538" s="155"/>
      <c r="L2538" s="155"/>
      <c r="M2538" s="155"/>
      <c r="N2538" s="155"/>
      <c r="O2538" s="155"/>
      <c r="P2538" s="155"/>
      <c r="Q2538" s="155"/>
      <c r="R2538" s="155"/>
      <c r="S2538" s="155"/>
      <c r="T2538" s="155"/>
      <c r="U2538" s="155"/>
      <c r="V2538" s="155"/>
      <c r="W2538" s="155"/>
      <c r="GL2538" s="155"/>
      <c r="GM2538" s="155"/>
      <c r="GN2538" s="155"/>
      <c r="GO2538" s="155"/>
      <c r="GP2538" s="155"/>
      <c r="GQ2538" s="155"/>
      <c r="GR2538" s="155"/>
      <c r="GS2538" s="155"/>
      <c r="GT2538" s="155"/>
      <c r="GU2538" s="155"/>
      <c r="GV2538" s="155"/>
      <c r="GW2538" s="155"/>
      <c r="GX2538" s="155"/>
      <c r="GY2538" s="155"/>
      <c r="GZ2538" s="155"/>
      <c r="HA2538" s="155"/>
      <c r="HB2538" s="155"/>
      <c r="HC2538" s="155"/>
      <c r="HD2538" s="155"/>
      <c r="HE2538" s="155"/>
    </row>
    <row r="2539" spans="2:213" s="156" customFormat="1" hidden="1">
      <c r="B2539" s="155"/>
      <c r="C2539" s="155"/>
      <c r="D2539" s="155"/>
      <c r="E2539" s="155"/>
      <c r="F2539" s="155"/>
      <c r="G2539" s="155"/>
      <c r="H2539" s="155"/>
      <c r="I2539" s="155"/>
      <c r="J2539" s="155"/>
      <c r="K2539" s="155"/>
      <c r="L2539" s="155"/>
      <c r="M2539" s="155"/>
      <c r="N2539" s="155"/>
      <c r="O2539" s="155"/>
      <c r="P2539" s="155"/>
      <c r="Q2539" s="155"/>
      <c r="R2539" s="155"/>
      <c r="S2539" s="155"/>
      <c r="T2539" s="155"/>
      <c r="U2539" s="155"/>
      <c r="V2539" s="155"/>
      <c r="W2539" s="155"/>
      <c r="GL2539" s="155"/>
      <c r="GM2539" s="155"/>
      <c r="GN2539" s="155"/>
      <c r="GO2539" s="155"/>
      <c r="GP2539" s="155"/>
      <c r="GQ2539" s="155"/>
      <c r="GR2539" s="155"/>
      <c r="GS2539" s="155"/>
      <c r="GT2539" s="155"/>
      <c r="GU2539" s="155"/>
      <c r="GV2539" s="155"/>
      <c r="GW2539" s="155"/>
      <c r="GX2539" s="155"/>
      <c r="GY2539" s="155"/>
      <c r="GZ2539" s="155"/>
      <c r="HA2539" s="155"/>
      <c r="HB2539" s="155"/>
      <c r="HC2539" s="155"/>
      <c r="HD2539" s="155"/>
      <c r="HE2539" s="155"/>
    </row>
    <row r="2540" spans="2:213" s="156" customFormat="1" hidden="1">
      <c r="B2540" s="155"/>
      <c r="C2540" s="155"/>
      <c r="D2540" s="155"/>
      <c r="E2540" s="155"/>
      <c r="F2540" s="155"/>
      <c r="G2540" s="155"/>
      <c r="H2540" s="155"/>
      <c r="I2540" s="155"/>
      <c r="J2540" s="155"/>
      <c r="K2540" s="155"/>
      <c r="L2540" s="155"/>
      <c r="M2540" s="155"/>
      <c r="N2540" s="155"/>
      <c r="O2540" s="155"/>
      <c r="P2540" s="155"/>
      <c r="Q2540" s="155"/>
      <c r="R2540" s="155"/>
      <c r="S2540" s="155"/>
      <c r="T2540" s="155"/>
      <c r="U2540" s="155"/>
      <c r="V2540" s="155"/>
      <c r="W2540" s="155"/>
      <c r="GL2540" s="155"/>
      <c r="GM2540" s="155"/>
      <c r="GN2540" s="155"/>
      <c r="GO2540" s="155"/>
      <c r="GP2540" s="155"/>
      <c r="GQ2540" s="155"/>
      <c r="GR2540" s="155"/>
      <c r="GS2540" s="155"/>
      <c r="GT2540" s="155"/>
      <c r="GU2540" s="155"/>
      <c r="GV2540" s="155"/>
      <c r="GW2540" s="155"/>
      <c r="GX2540" s="155"/>
      <c r="GY2540" s="155"/>
      <c r="GZ2540" s="155"/>
      <c r="HA2540" s="155"/>
      <c r="HB2540" s="155"/>
      <c r="HC2540" s="155"/>
      <c r="HD2540" s="155"/>
      <c r="HE2540" s="155"/>
    </row>
    <row r="2541" spans="2:213" s="156" customFormat="1" hidden="1">
      <c r="B2541" s="155"/>
      <c r="C2541" s="155"/>
      <c r="D2541" s="155"/>
      <c r="E2541" s="155"/>
      <c r="F2541" s="155"/>
      <c r="G2541" s="155"/>
      <c r="H2541" s="155"/>
      <c r="I2541" s="155"/>
      <c r="J2541" s="155"/>
      <c r="K2541" s="155"/>
      <c r="L2541" s="155"/>
      <c r="M2541" s="155"/>
      <c r="N2541" s="155"/>
      <c r="O2541" s="155"/>
      <c r="P2541" s="155"/>
      <c r="Q2541" s="155"/>
      <c r="R2541" s="155"/>
      <c r="S2541" s="155"/>
      <c r="T2541" s="155"/>
      <c r="U2541" s="155"/>
      <c r="V2541" s="155"/>
      <c r="W2541" s="155"/>
      <c r="GL2541" s="155"/>
      <c r="GM2541" s="155"/>
      <c r="GN2541" s="155"/>
      <c r="GO2541" s="155"/>
      <c r="GP2541" s="155"/>
      <c r="GQ2541" s="155"/>
      <c r="GR2541" s="155"/>
      <c r="GS2541" s="155"/>
      <c r="GT2541" s="155"/>
      <c r="GU2541" s="155"/>
      <c r="GV2541" s="155"/>
      <c r="GW2541" s="155"/>
      <c r="GX2541" s="155"/>
      <c r="GY2541" s="155"/>
      <c r="GZ2541" s="155"/>
      <c r="HA2541" s="155"/>
      <c r="HB2541" s="155"/>
      <c r="HC2541" s="155"/>
      <c r="HD2541" s="155"/>
      <c r="HE2541" s="155"/>
    </row>
    <row r="2542" spans="2:213" s="156" customFormat="1" hidden="1">
      <c r="B2542" s="155"/>
      <c r="C2542" s="155"/>
      <c r="D2542" s="155"/>
      <c r="E2542" s="155"/>
      <c r="F2542" s="155"/>
      <c r="G2542" s="155"/>
      <c r="H2542" s="155"/>
      <c r="I2542" s="155"/>
      <c r="J2542" s="155"/>
      <c r="K2542" s="155"/>
      <c r="L2542" s="155"/>
      <c r="M2542" s="155"/>
      <c r="N2542" s="155"/>
      <c r="O2542" s="155"/>
      <c r="P2542" s="155"/>
      <c r="Q2542" s="155"/>
      <c r="R2542" s="155"/>
      <c r="S2542" s="155"/>
      <c r="T2542" s="155"/>
      <c r="U2542" s="155"/>
      <c r="V2542" s="155"/>
      <c r="W2542" s="155"/>
      <c r="GL2542" s="155"/>
      <c r="GM2542" s="155"/>
      <c r="GN2542" s="155"/>
      <c r="GO2542" s="155"/>
      <c r="GP2542" s="155"/>
      <c r="GQ2542" s="155"/>
      <c r="GR2542" s="155"/>
      <c r="GS2542" s="155"/>
      <c r="GT2542" s="155"/>
      <c r="GU2542" s="155"/>
      <c r="GV2542" s="155"/>
      <c r="GW2542" s="155"/>
      <c r="GX2542" s="155"/>
      <c r="GY2542" s="155"/>
      <c r="GZ2542" s="155"/>
      <c r="HA2542" s="155"/>
      <c r="HB2542" s="155"/>
      <c r="HC2542" s="155"/>
      <c r="HD2542" s="155"/>
      <c r="HE2542" s="155"/>
    </row>
    <row r="2543" spans="2:213" s="156" customFormat="1" hidden="1">
      <c r="B2543" s="155"/>
      <c r="C2543" s="155"/>
      <c r="D2543" s="155"/>
      <c r="E2543" s="155"/>
      <c r="F2543" s="155"/>
      <c r="G2543" s="155"/>
      <c r="H2543" s="155"/>
      <c r="I2543" s="155"/>
      <c r="J2543" s="155"/>
      <c r="K2543" s="155"/>
      <c r="L2543" s="155"/>
      <c r="M2543" s="155"/>
      <c r="N2543" s="155"/>
      <c r="O2543" s="155"/>
      <c r="P2543" s="155"/>
      <c r="Q2543" s="155"/>
      <c r="R2543" s="155"/>
      <c r="S2543" s="155"/>
      <c r="T2543" s="155"/>
      <c r="U2543" s="155"/>
      <c r="V2543" s="155"/>
      <c r="W2543" s="155"/>
      <c r="GL2543" s="155"/>
      <c r="GM2543" s="155"/>
      <c r="GN2543" s="155"/>
      <c r="GO2543" s="155"/>
      <c r="GP2543" s="155"/>
      <c r="GQ2543" s="155"/>
      <c r="GR2543" s="155"/>
      <c r="GS2543" s="155"/>
      <c r="GT2543" s="155"/>
      <c r="GU2543" s="155"/>
      <c r="GV2543" s="155"/>
      <c r="GW2543" s="155"/>
      <c r="GX2543" s="155"/>
      <c r="GY2543" s="155"/>
      <c r="GZ2543" s="155"/>
      <c r="HA2543" s="155"/>
      <c r="HB2543" s="155"/>
      <c r="HC2543" s="155"/>
      <c r="HD2543" s="155"/>
      <c r="HE2543" s="155"/>
    </row>
    <row r="2544" spans="2:213" s="156" customFormat="1" hidden="1">
      <c r="B2544" s="155"/>
      <c r="C2544" s="155"/>
      <c r="D2544" s="155"/>
      <c r="E2544" s="155"/>
      <c r="F2544" s="155"/>
      <c r="G2544" s="155"/>
      <c r="H2544" s="155"/>
      <c r="I2544" s="155"/>
      <c r="J2544" s="155"/>
      <c r="K2544" s="155"/>
      <c r="L2544" s="155"/>
      <c r="M2544" s="155"/>
      <c r="N2544" s="155"/>
      <c r="O2544" s="155"/>
      <c r="P2544" s="155"/>
      <c r="Q2544" s="155"/>
      <c r="R2544" s="155"/>
      <c r="S2544" s="155"/>
      <c r="T2544" s="155"/>
      <c r="U2544" s="155"/>
      <c r="V2544" s="155"/>
      <c r="W2544" s="155"/>
      <c r="GL2544" s="155"/>
      <c r="GM2544" s="155"/>
      <c r="GN2544" s="155"/>
      <c r="GO2544" s="155"/>
      <c r="GP2544" s="155"/>
      <c r="GQ2544" s="155"/>
      <c r="GR2544" s="155"/>
      <c r="GS2544" s="155"/>
      <c r="GT2544" s="155"/>
      <c r="GU2544" s="155"/>
      <c r="GV2544" s="155"/>
      <c r="GW2544" s="155"/>
      <c r="GX2544" s="155"/>
      <c r="GY2544" s="155"/>
      <c r="GZ2544" s="155"/>
      <c r="HA2544" s="155"/>
      <c r="HB2544" s="155"/>
      <c r="HC2544" s="155"/>
      <c r="HD2544" s="155"/>
      <c r="HE2544" s="155"/>
    </row>
    <row r="2545" spans="2:213" s="156" customFormat="1" hidden="1">
      <c r="B2545" s="155"/>
      <c r="C2545" s="155"/>
      <c r="D2545" s="155"/>
      <c r="E2545" s="155"/>
      <c r="F2545" s="155"/>
      <c r="G2545" s="155"/>
      <c r="H2545" s="155"/>
      <c r="I2545" s="155"/>
      <c r="J2545" s="155"/>
      <c r="K2545" s="155"/>
      <c r="L2545" s="155"/>
      <c r="M2545" s="155"/>
      <c r="N2545" s="155"/>
      <c r="O2545" s="155"/>
      <c r="P2545" s="155"/>
      <c r="Q2545" s="155"/>
      <c r="R2545" s="155"/>
      <c r="S2545" s="155"/>
      <c r="T2545" s="155"/>
      <c r="U2545" s="155"/>
      <c r="V2545" s="155"/>
      <c r="W2545" s="155"/>
      <c r="GL2545" s="155"/>
      <c r="GM2545" s="155"/>
      <c r="GN2545" s="155"/>
      <c r="GO2545" s="155"/>
      <c r="GP2545" s="155"/>
      <c r="GQ2545" s="155"/>
      <c r="GR2545" s="155"/>
      <c r="GS2545" s="155"/>
      <c r="GT2545" s="155"/>
      <c r="GU2545" s="155"/>
      <c r="GV2545" s="155"/>
      <c r="GW2545" s="155"/>
      <c r="GX2545" s="155"/>
      <c r="GY2545" s="155"/>
      <c r="GZ2545" s="155"/>
      <c r="HA2545" s="155"/>
      <c r="HB2545" s="155"/>
      <c r="HC2545" s="155"/>
      <c r="HD2545" s="155"/>
      <c r="HE2545" s="155"/>
    </row>
    <row r="2546" spans="2:213" s="156" customFormat="1" hidden="1">
      <c r="B2546" s="155"/>
      <c r="C2546" s="155"/>
      <c r="D2546" s="155"/>
      <c r="E2546" s="155"/>
      <c r="F2546" s="155"/>
      <c r="G2546" s="155"/>
      <c r="H2546" s="155"/>
      <c r="I2546" s="155"/>
      <c r="J2546" s="155"/>
      <c r="K2546" s="155"/>
      <c r="L2546" s="155"/>
      <c r="M2546" s="155"/>
      <c r="N2546" s="155"/>
      <c r="O2546" s="155"/>
      <c r="P2546" s="155"/>
      <c r="Q2546" s="155"/>
      <c r="R2546" s="155"/>
      <c r="S2546" s="155"/>
      <c r="T2546" s="155"/>
      <c r="U2546" s="155"/>
      <c r="V2546" s="155"/>
      <c r="W2546" s="155"/>
      <c r="GL2546" s="155"/>
      <c r="GM2546" s="155"/>
      <c r="GN2546" s="155"/>
      <c r="GO2546" s="155"/>
      <c r="GP2546" s="155"/>
      <c r="GQ2546" s="155"/>
      <c r="GR2546" s="155"/>
      <c r="GS2546" s="155"/>
      <c r="GT2546" s="155"/>
      <c r="GU2546" s="155"/>
      <c r="GV2546" s="155"/>
      <c r="GW2546" s="155"/>
      <c r="GX2546" s="155"/>
      <c r="GY2546" s="155"/>
      <c r="GZ2546" s="155"/>
      <c r="HA2546" s="155"/>
      <c r="HB2546" s="155"/>
      <c r="HC2546" s="155"/>
      <c r="HD2546" s="155"/>
      <c r="HE2546" s="155"/>
    </row>
    <row r="2547" spans="2:213" s="156" customFormat="1" hidden="1">
      <c r="B2547" s="155"/>
      <c r="C2547" s="155"/>
      <c r="D2547" s="155"/>
      <c r="E2547" s="155"/>
      <c r="F2547" s="155"/>
      <c r="G2547" s="155"/>
      <c r="H2547" s="155"/>
      <c r="I2547" s="155"/>
      <c r="J2547" s="155"/>
      <c r="K2547" s="155"/>
      <c r="L2547" s="155"/>
      <c r="M2547" s="155"/>
      <c r="N2547" s="155"/>
      <c r="O2547" s="155"/>
      <c r="P2547" s="155"/>
      <c r="Q2547" s="155"/>
      <c r="R2547" s="155"/>
      <c r="S2547" s="155"/>
      <c r="T2547" s="155"/>
      <c r="U2547" s="155"/>
      <c r="V2547" s="155"/>
      <c r="W2547" s="155"/>
      <c r="GL2547" s="155"/>
      <c r="GM2547" s="155"/>
      <c r="GN2547" s="155"/>
      <c r="GO2547" s="155"/>
      <c r="GP2547" s="155"/>
      <c r="GQ2547" s="155"/>
      <c r="GR2547" s="155"/>
      <c r="GS2547" s="155"/>
      <c r="GT2547" s="155"/>
      <c r="GU2547" s="155"/>
      <c r="GV2547" s="155"/>
      <c r="GW2547" s="155"/>
      <c r="GX2547" s="155"/>
      <c r="GY2547" s="155"/>
      <c r="GZ2547" s="155"/>
      <c r="HA2547" s="155"/>
      <c r="HB2547" s="155"/>
      <c r="HC2547" s="155"/>
      <c r="HD2547" s="155"/>
      <c r="HE2547" s="155"/>
    </row>
    <row r="2548" spans="2:213" s="156" customFormat="1" hidden="1">
      <c r="B2548" s="155"/>
      <c r="C2548" s="155"/>
      <c r="D2548" s="155"/>
      <c r="E2548" s="155"/>
      <c r="F2548" s="155"/>
      <c r="G2548" s="155"/>
      <c r="H2548" s="155"/>
      <c r="I2548" s="155"/>
      <c r="J2548" s="155"/>
      <c r="K2548" s="155"/>
      <c r="L2548" s="155"/>
      <c r="M2548" s="155"/>
      <c r="N2548" s="155"/>
      <c r="O2548" s="155"/>
      <c r="P2548" s="155"/>
      <c r="Q2548" s="155"/>
      <c r="R2548" s="155"/>
      <c r="S2548" s="155"/>
      <c r="T2548" s="155"/>
      <c r="U2548" s="155"/>
      <c r="V2548" s="155"/>
      <c r="W2548" s="155"/>
      <c r="GL2548" s="155"/>
      <c r="GM2548" s="155"/>
      <c r="GN2548" s="155"/>
      <c r="GO2548" s="155"/>
      <c r="GP2548" s="155"/>
      <c r="GQ2548" s="155"/>
      <c r="GR2548" s="155"/>
      <c r="GS2548" s="155"/>
      <c r="GT2548" s="155"/>
      <c r="GU2548" s="155"/>
      <c r="GV2548" s="155"/>
      <c r="GW2548" s="155"/>
      <c r="GX2548" s="155"/>
      <c r="GY2548" s="155"/>
      <c r="GZ2548" s="155"/>
      <c r="HA2548" s="155"/>
      <c r="HB2548" s="155"/>
      <c r="HC2548" s="155"/>
      <c r="HD2548" s="155"/>
      <c r="HE2548" s="155"/>
    </row>
    <row r="2549" spans="2:213" s="156" customFormat="1" hidden="1">
      <c r="B2549" s="155"/>
      <c r="C2549" s="155"/>
      <c r="D2549" s="155"/>
      <c r="E2549" s="155"/>
      <c r="F2549" s="155"/>
      <c r="G2549" s="155"/>
      <c r="H2549" s="155"/>
      <c r="I2549" s="155"/>
      <c r="J2549" s="155"/>
      <c r="K2549" s="155"/>
      <c r="L2549" s="155"/>
      <c r="M2549" s="155"/>
      <c r="N2549" s="155"/>
      <c r="O2549" s="155"/>
      <c r="P2549" s="155"/>
      <c r="Q2549" s="155"/>
      <c r="R2549" s="155"/>
      <c r="S2549" s="155"/>
      <c r="T2549" s="155"/>
      <c r="U2549" s="155"/>
      <c r="V2549" s="155"/>
      <c r="W2549" s="155"/>
      <c r="GL2549" s="155"/>
      <c r="GM2549" s="155"/>
      <c r="GN2549" s="155"/>
      <c r="GO2549" s="155"/>
      <c r="GP2549" s="155"/>
      <c r="GQ2549" s="155"/>
      <c r="GR2549" s="155"/>
      <c r="GS2549" s="155"/>
      <c r="GT2549" s="155"/>
      <c r="GU2549" s="155"/>
      <c r="GV2549" s="155"/>
      <c r="GW2549" s="155"/>
      <c r="GX2549" s="155"/>
      <c r="GY2549" s="155"/>
      <c r="GZ2549" s="155"/>
      <c r="HA2549" s="155"/>
      <c r="HB2549" s="155"/>
      <c r="HC2549" s="155"/>
      <c r="HD2549" s="155"/>
      <c r="HE2549" s="155"/>
    </row>
    <row r="2550" spans="2:213" s="156" customFormat="1" hidden="1">
      <c r="B2550" s="155"/>
      <c r="C2550" s="155"/>
      <c r="D2550" s="155"/>
      <c r="E2550" s="155"/>
      <c r="F2550" s="155"/>
      <c r="G2550" s="155"/>
      <c r="H2550" s="155"/>
      <c r="I2550" s="155"/>
      <c r="J2550" s="155"/>
      <c r="K2550" s="155"/>
      <c r="L2550" s="155"/>
      <c r="M2550" s="155"/>
      <c r="N2550" s="155"/>
      <c r="O2550" s="155"/>
      <c r="P2550" s="155"/>
      <c r="Q2550" s="155"/>
      <c r="R2550" s="155"/>
      <c r="S2550" s="155"/>
      <c r="T2550" s="155"/>
      <c r="U2550" s="155"/>
      <c r="V2550" s="155"/>
      <c r="W2550" s="155"/>
      <c r="GL2550" s="155"/>
      <c r="GM2550" s="155"/>
      <c r="GN2550" s="155"/>
      <c r="GO2550" s="155"/>
      <c r="GP2550" s="155"/>
      <c r="GQ2550" s="155"/>
      <c r="GR2550" s="155"/>
      <c r="GS2550" s="155"/>
      <c r="GT2550" s="155"/>
      <c r="GU2550" s="155"/>
      <c r="GV2550" s="155"/>
      <c r="GW2550" s="155"/>
      <c r="GX2550" s="155"/>
      <c r="GY2550" s="155"/>
      <c r="GZ2550" s="155"/>
      <c r="HA2550" s="155"/>
      <c r="HB2550" s="155"/>
      <c r="HC2550" s="155"/>
      <c r="HD2550" s="155"/>
      <c r="HE2550" s="155"/>
    </row>
    <row r="2551" spans="2:213" s="156" customFormat="1" hidden="1">
      <c r="B2551" s="155"/>
      <c r="C2551" s="155"/>
      <c r="D2551" s="155"/>
      <c r="E2551" s="155"/>
      <c r="F2551" s="155"/>
      <c r="G2551" s="155"/>
      <c r="H2551" s="155"/>
      <c r="I2551" s="155"/>
      <c r="J2551" s="155"/>
      <c r="K2551" s="155"/>
      <c r="L2551" s="155"/>
      <c r="M2551" s="155"/>
      <c r="N2551" s="155"/>
      <c r="O2551" s="155"/>
      <c r="P2551" s="155"/>
      <c r="Q2551" s="155"/>
      <c r="R2551" s="155"/>
      <c r="S2551" s="155"/>
      <c r="T2551" s="155"/>
      <c r="U2551" s="155"/>
      <c r="V2551" s="155"/>
      <c r="W2551" s="155"/>
      <c r="GL2551" s="155"/>
      <c r="GM2551" s="155"/>
      <c r="GN2551" s="155"/>
      <c r="GO2551" s="155"/>
      <c r="GP2551" s="155"/>
      <c r="GQ2551" s="155"/>
      <c r="GR2551" s="155"/>
      <c r="GS2551" s="155"/>
      <c r="GT2551" s="155"/>
      <c r="GU2551" s="155"/>
      <c r="GV2551" s="155"/>
      <c r="GW2551" s="155"/>
      <c r="GX2551" s="155"/>
      <c r="GY2551" s="155"/>
      <c r="GZ2551" s="155"/>
      <c r="HA2551" s="155"/>
      <c r="HB2551" s="155"/>
      <c r="HC2551" s="155"/>
      <c r="HD2551" s="155"/>
      <c r="HE2551" s="155"/>
    </row>
    <row r="2552" spans="2:213" s="156" customFormat="1" hidden="1">
      <c r="B2552" s="155"/>
      <c r="C2552" s="155"/>
      <c r="D2552" s="155"/>
      <c r="E2552" s="155"/>
      <c r="F2552" s="155"/>
      <c r="G2552" s="155"/>
      <c r="H2552" s="155"/>
      <c r="I2552" s="155"/>
      <c r="J2552" s="155"/>
      <c r="K2552" s="155"/>
      <c r="L2552" s="155"/>
      <c r="M2552" s="155"/>
      <c r="N2552" s="155"/>
      <c r="O2552" s="155"/>
      <c r="P2552" s="155"/>
      <c r="Q2552" s="155"/>
      <c r="R2552" s="155"/>
      <c r="S2552" s="155"/>
      <c r="T2552" s="155"/>
      <c r="U2552" s="155"/>
      <c r="V2552" s="155"/>
      <c r="W2552" s="155"/>
      <c r="GL2552" s="155"/>
      <c r="GM2552" s="155"/>
      <c r="GN2552" s="155"/>
      <c r="GO2552" s="155"/>
      <c r="GP2552" s="155"/>
      <c r="GQ2552" s="155"/>
      <c r="GR2552" s="155"/>
      <c r="GS2552" s="155"/>
      <c r="GT2552" s="155"/>
      <c r="GU2552" s="155"/>
      <c r="GV2552" s="155"/>
      <c r="GW2552" s="155"/>
      <c r="GX2552" s="155"/>
      <c r="GY2552" s="155"/>
      <c r="GZ2552" s="155"/>
      <c r="HA2552" s="155"/>
      <c r="HB2552" s="155"/>
      <c r="HC2552" s="155"/>
      <c r="HD2552" s="155"/>
      <c r="HE2552" s="155"/>
    </row>
    <row r="2553" spans="2:213" s="156" customFormat="1" hidden="1">
      <c r="B2553" s="155"/>
      <c r="C2553" s="155"/>
      <c r="D2553" s="155"/>
      <c r="E2553" s="155"/>
      <c r="F2553" s="155"/>
      <c r="G2553" s="155"/>
      <c r="H2553" s="155"/>
      <c r="I2553" s="155"/>
      <c r="J2553" s="155"/>
      <c r="K2553" s="155"/>
      <c r="L2553" s="155"/>
      <c r="M2553" s="155"/>
      <c r="N2553" s="155"/>
      <c r="O2553" s="155"/>
      <c r="P2553" s="155"/>
      <c r="Q2553" s="155"/>
      <c r="R2553" s="155"/>
      <c r="S2553" s="155"/>
      <c r="T2553" s="155"/>
      <c r="U2553" s="155"/>
      <c r="V2553" s="155"/>
      <c r="W2553" s="155"/>
      <c r="GL2553" s="155"/>
      <c r="GM2553" s="155"/>
      <c r="GN2553" s="155"/>
      <c r="GO2553" s="155"/>
      <c r="GP2553" s="155"/>
      <c r="GQ2553" s="155"/>
      <c r="GR2553" s="155"/>
      <c r="GS2553" s="155"/>
      <c r="GT2553" s="155"/>
      <c r="GU2553" s="155"/>
      <c r="GV2553" s="155"/>
      <c r="GW2553" s="155"/>
      <c r="GX2553" s="155"/>
      <c r="GY2553" s="155"/>
      <c r="GZ2553" s="155"/>
      <c r="HA2553" s="155"/>
      <c r="HB2553" s="155"/>
      <c r="HC2553" s="155"/>
      <c r="HD2553" s="155"/>
      <c r="HE2553" s="155"/>
    </row>
    <row r="2554" spans="2:213" s="156" customFormat="1" hidden="1">
      <c r="B2554" s="155"/>
      <c r="C2554" s="155"/>
      <c r="D2554" s="155"/>
      <c r="E2554" s="155"/>
      <c r="F2554" s="155"/>
      <c r="G2554" s="155"/>
      <c r="H2554" s="155"/>
      <c r="I2554" s="155"/>
      <c r="J2554" s="155"/>
      <c r="K2554" s="155"/>
      <c r="L2554" s="155"/>
      <c r="M2554" s="155"/>
      <c r="N2554" s="155"/>
      <c r="O2554" s="155"/>
      <c r="P2554" s="155"/>
      <c r="Q2554" s="155"/>
      <c r="R2554" s="155"/>
      <c r="S2554" s="155"/>
      <c r="T2554" s="155"/>
      <c r="U2554" s="155"/>
      <c r="V2554" s="155"/>
      <c r="W2554" s="155"/>
      <c r="GL2554" s="155"/>
      <c r="GM2554" s="155"/>
      <c r="GN2554" s="155"/>
      <c r="GO2554" s="155"/>
      <c r="GP2554" s="155"/>
      <c r="GQ2554" s="155"/>
      <c r="GR2554" s="155"/>
      <c r="GS2554" s="155"/>
      <c r="GT2554" s="155"/>
      <c r="GU2554" s="155"/>
      <c r="GV2554" s="155"/>
      <c r="GW2554" s="155"/>
      <c r="GX2554" s="155"/>
      <c r="GY2554" s="155"/>
      <c r="GZ2554" s="155"/>
      <c r="HA2554" s="155"/>
      <c r="HB2554" s="155"/>
      <c r="HC2554" s="155"/>
      <c r="HD2554" s="155"/>
      <c r="HE2554" s="155"/>
    </row>
    <row r="2555" spans="2:213" s="156" customFormat="1" hidden="1">
      <c r="B2555" s="155"/>
      <c r="C2555" s="155"/>
      <c r="D2555" s="155"/>
      <c r="E2555" s="155"/>
      <c r="F2555" s="155"/>
      <c r="G2555" s="155"/>
      <c r="H2555" s="155"/>
      <c r="I2555" s="155"/>
      <c r="J2555" s="155"/>
      <c r="K2555" s="155"/>
      <c r="L2555" s="155"/>
      <c r="M2555" s="155"/>
      <c r="N2555" s="155"/>
      <c r="O2555" s="155"/>
      <c r="P2555" s="155"/>
      <c r="Q2555" s="155"/>
      <c r="R2555" s="155"/>
      <c r="S2555" s="155"/>
      <c r="T2555" s="155"/>
      <c r="U2555" s="155"/>
      <c r="V2555" s="155"/>
      <c r="W2555" s="155"/>
      <c r="GL2555" s="155"/>
      <c r="GM2555" s="155"/>
      <c r="GN2555" s="155"/>
      <c r="GO2555" s="155"/>
      <c r="GP2555" s="155"/>
      <c r="GQ2555" s="155"/>
      <c r="GR2555" s="155"/>
      <c r="GS2555" s="155"/>
      <c r="GT2555" s="155"/>
      <c r="GU2555" s="155"/>
      <c r="GV2555" s="155"/>
      <c r="GW2555" s="155"/>
      <c r="GX2555" s="155"/>
      <c r="GY2555" s="155"/>
      <c r="GZ2555" s="155"/>
      <c r="HA2555" s="155"/>
      <c r="HB2555" s="155"/>
      <c r="HC2555" s="155"/>
      <c r="HD2555" s="155"/>
      <c r="HE2555" s="155"/>
    </row>
    <row r="2556" spans="2:213" s="156" customFormat="1" hidden="1">
      <c r="B2556" s="155"/>
      <c r="C2556" s="155"/>
      <c r="D2556" s="155"/>
      <c r="E2556" s="155"/>
      <c r="F2556" s="155"/>
      <c r="G2556" s="155"/>
      <c r="H2556" s="155"/>
      <c r="I2556" s="155"/>
      <c r="J2556" s="155"/>
      <c r="K2556" s="155"/>
      <c r="L2556" s="155"/>
      <c r="M2556" s="155"/>
      <c r="N2556" s="155"/>
      <c r="O2556" s="155"/>
      <c r="P2556" s="155"/>
      <c r="Q2556" s="155"/>
      <c r="R2556" s="155"/>
      <c r="S2556" s="155"/>
      <c r="T2556" s="155"/>
      <c r="U2556" s="155"/>
      <c r="V2556" s="155"/>
      <c r="W2556" s="155"/>
      <c r="GL2556" s="155"/>
      <c r="GM2556" s="155"/>
      <c r="GN2556" s="155"/>
      <c r="GO2556" s="155"/>
      <c r="GP2556" s="155"/>
      <c r="GQ2556" s="155"/>
      <c r="GR2556" s="155"/>
      <c r="GS2556" s="155"/>
      <c r="GT2556" s="155"/>
      <c r="GU2556" s="155"/>
      <c r="GV2556" s="155"/>
      <c r="GW2556" s="155"/>
      <c r="GX2556" s="155"/>
      <c r="GY2556" s="155"/>
      <c r="GZ2556" s="155"/>
      <c r="HA2556" s="155"/>
      <c r="HB2556" s="155"/>
      <c r="HC2556" s="155"/>
      <c r="HD2556" s="155"/>
      <c r="HE2556" s="155"/>
    </row>
    <row r="2557" spans="2:213" s="156" customFormat="1" hidden="1">
      <c r="B2557" s="155"/>
      <c r="C2557" s="155"/>
      <c r="D2557" s="155"/>
      <c r="E2557" s="155"/>
      <c r="F2557" s="155"/>
      <c r="G2557" s="155"/>
      <c r="H2557" s="155"/>
      <c r="I2557" s="155"/>
      <c r="J2557" s="155"/>
      <c r="K2557" s="155"/>
      <c r="L2557" s="155"/>
      <c r="M2557" s="155"/>
      <c r="N2557" s="155"/>
      <c r="O2557" s="155"/>
      <c r="P2557" s="155"/>
      <c r="Q2557" s="155"/>
      <c r="R2557" s="155"/>
      <c r="S2557" s="155"/>
      <c r="T2557" s="155"/>
      <c r="U2557" s="155"/>
      <c r="V2557" s="155"/>
      <c r="W2557" s="155"/>
      <c r="GL2557" s="155"/>
      <c r="GM2557" s="155"/>
      <c r="GN2557" s="155"/>
      <c r="GO2557" s="155"/>
      <c r="GP2557" s="155"/>
      <c r="GQ2557" s="155"/>
      <c r="GR2557" s="155"/>
      <c r="GS2557" s="155"/>
      <c r="GT2557" s="155"/>
      <c r="GU2557" s="155"/>
      <c r="GV2557" s="155"/>
      <c r="GW2557" s="155"/>
      <c r="GX2557" s="155"/>
      <c r="GY2557" s="155"/>
      <c r="GZ2557" s="155"/>
      <c r="HA2557" s="155"/>
      <c r="HB2557" s="155"/>
      <c r="HC2557" s="155"/>
      <c r="HD2557" s="155"/>
      <c r="HE2557" s="155"/>
    </row>
    <row r="2558" spans="2:213" s="156" customFormat="1" hidden="1">
      <c r="B2558" s="155"/>
      <c r="C2558" s="155"/>
      <c r="D2558" s="155"/>
      <c r="E2558" s="155"/>
      <c r="F2558" s="155"/>
      <c r="G2558" s="155"/>
      <c r="H2558" s="155"/>
      <c r="I2558" s="155"/>
      <c r="J2558" s="155"/>
      <c r="K2558" s="155"/>
      <c r="L2558" s="155"/>
      <c r="M2558" s="155"/>
      <c r="N2558" s="155"/>
      <c r="O2558" s="155"/>
      <c r="P2558" s="155"/>
      <c r="Q2558" s="155"/>
      <c r="R2558" s="155"/>
      <c r="S2558" s="155"/>
      <c r="T2558" s="155"/>
      <c r="U2558" s="155"/>
      <c r="V2558" s="155"/>
      <c r="W2558" s="155"/>
      <c r="GL2558" s="155"/>
      <c r="GM2558" s="155"/>
      <c r="GN2558" s="155"/>
      <c r="GO2558" s="155"/>
      <c r="GP2558" s="155"/>
      <c r="GQ2558" s="155"/>
      <c r="GR2558" s="155"/>
      <c r="GS2558" s="155"/>
      <c r="GT2558" s="155"/>
      <c r="GU2558" s="155"/>
      <c r="GV2558" s="155"/>
      <c r="GW2558" s="155"/>
      <c r="GX2558" s="155"/>
      <c r="GY2558" s="155"/>
      <c r="GZ2558" s="155"/>
      <c r="HA2558" s="155"/>
      <c r="HB2558" s="155"/>
      <c r="HC2558" s="155"/>
      <c r="HD2558" s="155"/>
      <c r="HE2558" s="155"/>
    </row>
    <row r="2559" spans="2:213" s="156" customFormat="1" hidden="1">
      <c r="B2559" s="155"/>
      <c r="C2559" s="155"/>
      <c r="D2559" s="155"/>
      <c r="E2559" s="155"/>
      <c r="F2559" s="155"/>
      <c r="G2559" s="155"/>
      <c r="H2559" s="155"/>
      <c r="I2559" s="155"/>
      <c r="J2559" s="155"/>
      <c r="K2559" s="155"/>
      <c r="L2559" s="155"/>
      <c r="M2559" s="155"/>
      <c r="N2559" s="155"/>
      <c r="O2559" s="155"/>
      <c r="P2559" s="155"/>
      <c r="Q2559" s="155"/>
      <c r="R2559" s="155"/>
      <c r="S2559" s="155"/>
      <c r="T2559" s="155"/>
      <c r="U2559" s="155"/>
      <c r="V2559" s="155"/>
      <c r="W2559" s="155"/>
      <c r="GL2559" s="155"/>
      <c r="GM2559" s="155"/>
      <c r="GN2559" s="155"/>
      <c r="GO2559" s="155"/>
      <c r="GP2559" s="155"/>
      <c r="GQ2559" s="155"/>
      <c r="GR2559" s="155"/>
      <c r="GS2559" s="155"/>
      <c r="GT2559" s="155"/>
      <c r="GU2559" s="155"/>
      <c r="GV2559" s="155"/>
      <c r="GW2559" s="155"/>
      <c r="GX2559" s="155"/>
      <c r="GY2559" s="155"/>
      <c r="GZ2559" s="155"/>
      <c r="HA2559" s="155"/>
      <c r="HB2559" s="155"/>
      <c r="HC2559" s="155"/>
      <c r="HD2559" s="155"/>
      <c r="HE2559" s="155"/>
    </row>
    <row r="2560" spans="2:213" s="156" customFormat="1" hidden="1">
      <c r="B2560" s="155"/>
      <c r="C2560" s="155"/>
      <c r="D2560" s="155"/>
      <c r="E2560" s="155"/>
      <c r="F2560" s="155"/>
      <c r="G2560" s="155"/>
      <c r="H2560" s="155"/>
      <c r="I2560" s="155"/>
      <c r="J2560" s="155"/>
      <c r="K2560" s="155"/>
      <c r="L2560" s="155"/>
      <c r="M2560" s="155"/>
      <c r="N2560" s="155"/>
      <c r="O2560" s="155"/>
      <c r="P2560" s="155"/>
      <c r="Q2560" s="155"/>
      <c r="R2560" s="155"/>
      <c r="S2560" s="155"/>
      <c r="T2560" s="155"/>
      <c r="U2560" s="155"/>
      <c r="V2560" s="155"/>
      <c r="W2560" s="155"/>
      <c r="GL2560" s="155"/>
      <c r="GM2560" s="155"/>
      <c r="GN2560" s="155"/>
      <c r="GO2560" s="155"/>
      <c r="GP2560" s="155"/>
      <c r="GQ2560" s="155"/>
      <c r="GR2560" s="155"/>
      <c r="GS2560" s="155"/>
      <c r="GT2560" s="155"/>
      <c r="GU2560" s="155"/>
      <c r="GV2560" s="155"/>
      <c r="GW2560" s="155"/>
      <c r="GX2560" s="155"/>
      <c r="GY2560" s="155"/>
      <c r="GZ2560" s="155"/>
      <c r="HA2560" s="155"/>
      <c r="HB2560" s="155"/>
      <c r="HC2560" s="155"/>
      <c r="HD2560" s="155"/>
      <c r="HE2560" s="155"/>
    </row>
    <row r="2561" spans="2:213" s="156" customFormat="1" hidden="1">
      <c r="B2561" s="155"/>
      <c r="C2561" s="155"/>
      <c r="D2561" s="155"/>
      <c r="E2561" s="155"/>
      <c r="F2561" s="155"/>
      <c r="G2561" s="155"/>
      <c r="H2561" s="155"/>
      <c r="I2561" s="155"/>
      <c r="J2561" s="155"/>
      <c r="K2561" s="155"/>
      <c r="L2561" s="155"/>
      <c r="M2561" s="155"/>
      <c r="N2561" s="155"/>
      <c r="O2561" s="155"/>
      <c r="P2561" s="155"/>
      <c r="Q2561" s="155"/>
      <c r="R2561" s="155"/>
      <c r="S2561" s="155"/>
      <c r="T2561" s="155"/>
      <c r="U2561" s="155"/>
      <c r="V2561" s="155"/>
      <c r="W2561" s="155"/>
      <c r="GL2561" s="155"/>
      <c r="GM2561" s="155"/>
      <c r="GN2561" s="155"/>
      <c r="GO2561" s="155"/>
      <c r="GP2561" s="155"/>
      <c r="GQ2561" s="155"/>
      <c r="GR2561" s="155"/>
      <c r="GS2561" s="155"/>
      <c r="GT2561" s="155"/>
      <c r="GU2561" s="155"/>
      <c r="GV2561" s="155"/>
      <c r="GW2561" s="155"/>
      <c r="GX2561" s="155"/>
      <c r="GY2561" s="155"/>
      <c r="GZ2561" s="155"/>
      <c r="HA2561" s="155"/>
      <c r="HB2561" s="155"/>
      <c r="HC2561" s="155"/>
      <c r="HD2561" s="155"/>
      <c r="HE2561" s="155"/>
    </row>
    <row r="2562" spans="2:213" s="156" customFormat="1" hidden="1">
      <c r="B2562" s="155"/>
      <c r="C2562" s="155"/>
      <c r="D2562" s="155"/>
      <c r="E2562" s="155"/>
      <c r="F2562" s="155"/>
      <c r="G2562" s="155"/>
      <c r="H2562" s="155"/>
      <c r="I2562" s="155"/>
      <c r="J2562" s="155"/>
      <c r="K2562" s="155"/>
      <c r="L2562" s="155"/>
      <c r="M2562" s="155"/>
      <c r="N2562" s="155"/>
      <c r="O2562" s="155"/>
      <c r="P2562" s="155"/>
      <c r="Q2562" s="155"/>
      <c r="R2562" s="155"/>
      <c r="S2562" s="155"/>
      <c r="T2562" s="155"/>
      <c r="U2562" s="155"/>
      <c r="V2562" s="155"/>
      <c r="W2562" s="155"/>
      <c r="GL2562" s="155"/>
      <c r="GM2562" s="155"/>
      <c r="GN2562" s="155"/>
      <c r="GO2562" s="155"/>
      <c r="GP2562" s="155"/>
      <c r="GQ2562" s="155"/>
      <c r="GR2562" s="155"/>
      <c r="GS2562" s="155"/>
      <c r="GT2562" s="155"/>
      <c r="GU2562" s="155"/>
      <c r="GV2562" s="155"/>
      <c r="GW2562" s="155"/>
      <c r="GX2562" s="155"/>
      <c r="GY2562" s="155"/>
      <c r="GZ2562" s="155"/>
      <c r="HA2562" s="155"/>
      <c r="HB2562" s="155"/>
      <c r="HC2562" s="155"/>
      <c r="HD2562" s="155"/>
      <c r="HE2562" s="155"/>
    </row>
    <row r="2563" spans="2:213" s="156" customFormat="1" hidden="1">
      <c r="B2563" s="155"/>
      <c r="C2563" s="155"/>
      <c r="D2563" s="155"/>
      <c r="E2563" s="155"/>
      <c r="F2563" s="155"/>
      <c r="G2563" s="155"/>
      <c r="H2563" s="155"/>
      <c r="I2563" s="155"/>
      <c r="J2563" s="155"/>
      <c r="K2563" s="155"/>
      <c r="L2563" s="155"/>
      <c r="M2563" s="155"/>
      <c r="N2563" s="155"/>
      <c r="O2563" s="155"/>
      <c r="P2563" s="155"/>
      <c r="Q2563" s="155"/>
      <c r="R2563" s="155"/>
      <c r="S2563" s="155"/>
      <c r="T2563" s="155"/>
      <c r="U2563" s="155"/>
      <c r="V2563" s="155"/>
      <c r="W2563" s="155"/>
      <c r="GL2563" s="155"/>
      <c r="GM2563" s="155"/>
      <c r="GN2563" s="155"/>
      <c r="GO2563" s="155"/>
      <c r="GP2563" s="155"/>
      <c r="GQ2563" s="155"/>
      <c r="GR2563" s="155"/>
      <c r="GS2563" s="155"/>
      <c r="GT2563" s="155"/>
      <c r="GU2563" s="155"/>
      <c r="GV2563" s="155"/>
      <c r="GW2563" s="155"/>
      <c r="GX2563" s="155"/>
      <c r="GY2563" s="155"/>
      <c r="GZ2563" s="155"/>
      <c r="HA2563" s="155"/>
      <c r="HB2563" s="155"/>
      <c r="HC2563" s="155"/>
      <c r="HD2563" s="155"/>
      <c r="HE2563" s="155"/>
    </row>
    <row r="2564" spans="2:213" s="156" customFormat="1" hidden="1">
      <c r="B2564" s="155"/>
      <c r="C2564" s="155"/>
      <c r="D2564" s="155"/>
      <c r="E2564" s="155"/>
      <c r="F2564" s="155"/>
      <c r="G2564" s="155"/>
      <c r="H2564" s="155"/>
      <c r="I2564" s="155"/>
      <c r="J2564" s="155"/>
      <c r="K2564" s="155"/>
      <c r="L2564" s="155"/>
      <c r="M2564" s="155"/>
      <c r="N2564" s="155"/>
      <c r="O2564" s="155"/>
      <c r="P2564" s="155"/>
      <c r="Q2564" s="155"/>
      <c r="R2564" s="155"/>
      <c r="S2564" s="155"/>
      <c r="T2564" s="155"/>
      <c r="U2564" s="155"/>
      <c r="V2564" s="155"/>
      <c r="W2564" s="155"/>
      <c r="GL2564" s="155"/>
      <c r="GM2564" s="155"/>
      <c r="GN2564" s="155"/>
      <c r="GO2564" s="155"/>
      <c r="GP2564" s="155"/>
      <c r="GQ2564" s="155"/>
      <c r="GR2564" s="155"/>
      <c r="GS2564" s="155"/>
      <c r="GT2564" s="155"/>
      <c r="GU2564" s="155"/>
      <c r="GV2564" s="155"/>
      <c r="GW2564" s="155"/>
      <c r="GX2564" s="155"/>
      <c r="GY2564" s="155"/>
      <c r="GZ2564" s="155"/>
      <c r="HA2564" s="155"/>
      <c r="HB2564" s="155"/>
      <c r="HC2564" s="155"/>
      <c r="HD2564" s="155"/>
      <c r="HE2564" s="155"/>
    </row>
    <row r="2565" spans="2:213" s="156" customFormat="1" hidden="1">
      <c r="B2565" s="155"/>
      <c r="C2565" s="155"/>
      <c r="D2565" s="155"/>
      <c r="E2565" s="155"/>
      <c r="F2565" s="155"/>
      <c r="G2565" s="155"/>
      <c r="H2565" s="155"/>
      <c r="I2565" s="155"/>
      <c r="J2565" s="155"/>
      <c r="K2565" s="155"/>
      <c r="L2565" s="155"/>
      <c r="M2565" s="155"/>
      <c r="N2565" s="155"/>
      <c r="O2565" s="155"/>
      <c r="P2565" s="155"/>
      <c r="Q2565" s="155"/>
      <c r="R2565" s="155"/>
      <c r="S2565" s="155"/>
      <c r="T2565" s="155"/>
      <c r="U2565" s="155"/>
      <c r="V2565" s="155"/>
      <c r="W2565" s="155"/>
      <c r="GL2565" s="155"/>
      <c r="GM2565" s="155"/>
      <c r="GN2565" s="155"/>
      <c r="GO2565" s="155"/>
      <c r="GP2565" s="155"/>
      <c r="GQ2565" s="155"/>
      <c r="GR2565" s="155"/>
      <c r="GS2565" s="155"/>
      <c r="GT2565" s="155"/>
      <c r="GU2565" s="155"/>
      <c r="GV2565" s="155"/>
      <c r="GW2565" s="155"/>
      <c r="GX2565" s="155"/>
      <c r="GY2565" s="155"/>
      <c r="GZ2565" s="155"/>
      <c r="HA2565" s="155"/>
      <c r="HB2565" s="155"/>
      <c r="HC2565" s="155"/>
      <c r="HD2565" s="155"/>
      <c r="HE2565" s="155"/>
    </row>
    <row r="2566" spans="2:213" s="156" customFormat="1" hidden="1">
      <c r="B2566" s="155"/>
      <c r="C2566" s="155"/>
      <c r="D2566" s="155"/>
      <c r="E2566" s="155"/>
      <c r="F2566" s="155"/>
      <c r="G2566" s="155"/>
      <c r="H2566" s="155"/>
      <c r="I2566" s="155"/>
      <c r="J2566" s="155"/>
      <c r="K2566" s="155"/>
      <c r="L2566" s="155"/>
      <c r="M2566" s="155"/>
      <c r="N2566" s="155"/>
      <c r="O2566" s="155"/>
      <c r="P2566" s="155"/>
      <c r="Q2566" s="155"/>
      <c r="R2566" s="155"/>
      <c r="S2566" s="155"/>
      <c r="T2566" s="155"/>
      <c r="U2566" s="155"/>
      <c r="V2566" s="155"/>
      <c r="W2566" s="155"/>
      <c r="GL2566" s="155"/>
      <c r="GM2566" s="155"/>
      <c r="GN2566" s="155"/>
      <c r="GO2566" s="155"/>
      <c r="GP2566" s="155"/>
      <c r="GQ2566" s="155"/>
      <c r="GR2566" s="155"/>
      <c r="GS2566" s="155"/>
      <c r="GT2566" s="155"/>
      <c r="GU2566" s="155"/>
      <c r="GV2566" s="155"/>
      <c r="GW2566" s="155"/>
      <c r="GX2566" s="155"/>
      <c r="GY2566" s="155"/>
      <c r="GZ2566" s="155"/>
      <c r="HA2566" s="155"/>
      <c r="HB2566" s="155"/>
      <c r="HC2566" s="155"/>
      <c r="HD2566" s="155"/>
      <c r="HE2566" s="155"/>
    </row>
    <row r="2567" spans="2:213" s="156" customFormat="1" hidden="1">
      <c r="B2567" s="155"/>
      <c r="C2567" s="155"/>
      <c r="D2567" s="155"/>
      <c r="E2567" s="155"/>
      <c r="F2567" s="155"/>
      <c r="G2567" s="155"/>
      <c r="H2567" s="155"/>
      <c r="I2567" s="155"/>
      <c r="J2567" s="155"/>
      <c r="K2567" s="155"/>
      <c r="L2567" s="155"/>
      <c r="M2567" s="155"/>
      <c r="N2567" s="155"/>
      <c r="O2567" s="155"/>
      <c r="P2567" s="155"/>
      <c r="Q2567" s="155"/>
      <c r="R2567" s="155"/>
      <c r="S2567" s="155"/>
      <c r="T2567" s="155"/>
      <c r="U2567" s="155"/>
      <c r="V2567" s="155"/>
      <c r="W2567" s="155"/>
      <c r="GL2567" s="155"/>
      <c r="GM2567" s="155"/>
      <c r="GN2567" s="155"/>
      <c r="GO2567" s="155"/>
      <c r="GP2567" s="155"/>
      <c r="GQ2567" s="155"/>
      <c r="GR2567" s="155"/>
      <c r="GS2567" s="155"/>
      <c r="GT2567" s="155"/>
      <c r="GU2567" s="155"/>
      <c r="GV2567" s="155"/>
      <c r="GW2567" s="155"/>
      <c r="GX2567" s="155"/>
      <c r="GY2567" s="155"/>
      <c r="GZ2567" s="155"/>
      <c r="HA2567" s="155"/>
      <c r="HB2567" s="155"/>
      <c r="HC2567" s="155"/>
      <c r="HD2567" s="155"/>
      <c r="HE2567" s="155"/>
    </row>
    <row r="2568" spans="2:213" s="156" customFormat="1" hidden="1">
      <c r="B2568" s="155"/>
      <c r="C2568" s="155"/>
      <c r="D2568" s="155"/>
      <c r="E2568" s="155"/>
      <c r="F2568" s="155"/>
      <c r="G2568" s="155"/>
      <c r="H2568" s="155"/>
      <c r="I2568" s="155"/>
      <c r="J2568" s="155"/>
      <c r="K2568" s="155"/>
      <c r="L2568" s="155"/>
      <c r="M2568" s="155"/>
      <c r="N2568" s="155"/>
      <c r="O2568" s="155"/>
      <c r="P2568" s="155"/>
      <c r="Q2568" s="155"/>
      <c r="R2568" s="155"/>
      <c r="S2568" s="155"/>
      <c r="T2568" s="155"/>
      <c r="U2568" s="155"/>
      <c r="V2568" s="155"/>
      <c r="W2568" s="155"/>
      <c r="GL2568" s="155"/>
      <c r="GM2568" s="155"/>
      <c r="GN2568" s="155"/>
      <c r="GO2568" s="155"/>
      <c r="GP2568" s="155"/>
      <c r="GQ2568" s="155"/>
      <c r="GR2568" s="155"/>
      <c r="GS2568" s="155"/>
      <c r="GT2568" s="155"/>
      <c r="GU2568" s="155"/>
      <c r="GV2568" s="155"/>
      <c r="GW2568" s="155"/>
      <c r="GX2568" s="155"/>
      <c r="GY2568" s="155"/>
      <c r="GZ2568" s="155"/>
      <c r="HA2568" s="155"/>
      <c r="HB2568" s="155"/>
      <c r="HC2568" s="155"/>
      <c r="HD2568" s="155"/>
      <c r="HE2568" s="155"/>
    </row>
    <row r="2569" spans="2:213" s="156" customFormat="1" hidden="1">
      <c r="B2569" s="155"/>
      <c r="C2569" s="155"/>
      <c r="D2569" s="155"/>
      <c r="E2569" s="155"/>
      <c r="F2569" s="155"/>
      <c r="G2569" s="155"/>
      <c r="H2569" s="155"/>
      <c r="I2569" s="155"/>
      <c r="J2569" s="155"/>
      <c r="K2569" s="155"/>
      <c r="L2569" s="155"/>
      <c r="M2569" s="155"/>
      <c r="N2569" s="155"/>
      <c r="O2569" s="155"/>
      <c r="P2569" s="155"/>
      <c r="Q2569" s="155"/>
      <c r="R2569" s="155"/>
      <c r="S2569" s="155"/>
      <c r="T2569" s="155"/>
      <c r="U2569" s="155"/>
      <c r="V2569" s="155"/>
      <c r="W2569" s="155"/>
      <c r="GL2569" s="155"/>
      <c r="GM2569" s="155"/>
      <c r="GN2569" s="155"/>
      <c r="GO2569" s="155"/>
      <c r="GP2569" s="155"/>
      <c r="GQ2569" s="155"/>
      <c r="GR2569" s="155"/>
      <c r="GS2569" s="155"/>
      <c r="GT2569" s="155"/>
      <c r="GU2569" s="155"/>
      <c r="GV2569" s="155"/>
      <c r="GW2569" s="155"/>
      <c r="GX2569" s="155"/>
      <c r="GY2569" s="155"/>
      <c r="GZ2569" s="155"/>
      <c r="HA2569" s="155"/>
      <c r="HB2569" s="155"/>
      <c r="HC2569" s="155"/>
      <c r="HD2569" s="155"/>
      <c r="HE2569" s="155"/>
    </row>
    <row r="2570" spans="2:213" s="156" customFormat="1" hidden="1">
      <c r="B2570" s="155"/>
      <c r="C2570" s="155"/>
      <c r="D2570" s="155"/>
      <c r="E2570" s="155"/>
      <c r="F2570" s="155"/>
      <c r="G2570" s="155"/>
      <c r="H2570" s="155"/>
      <c r="I2570" s="155"/>
      <c r="J2570" s="155"/>
      <c r="K2570" s="155"/>
      <c r="L2570" s="155"/>
      <c r="M2570" s="155"/>
      <c r="N2570" s="155"/>
      <c r="O2570" s="155"/>
      <c r="P2570" s="155"/>
      <c r="Q2570" s="155"/>
      <c r="R2570" s="155"/>
      <c r="S2570" s="155"/>
      <c r="T2570" s="155"/>
      <c r="U2570" s="155"/>
      <c r="V2570" s="155"/>
      <c r="W2570" s="155"/>
      <c r="GL2570" s="155"/>
      <c r="GM2570" s="155"/>
      <c r="GN2570" s="155"/>
      <c r="GO2570" s="155"/>
      <c r="GP2570" s="155"/>
      <c r="GQ2570" s="155"/>
      <c r="GR2570" s="155"/>
      <c r="GS2570" s="155"/>
      <c r="GT2570" s="155"/>
      <c r="GU2570" s="155"/>
      <c r="GV2570" s="155"/>
      <c r="GW2570" s="155"/>
      <c r="GX2570" s="155"/>
      <c r="GY2570" s="155"/>
      <c r="GZ2570" s="155"/>
      <c r="HA2570" s="155"/>
      <c r="HB2570" s="155"/>
      <c r="HC2570" s="155"/>
      <c r="HD2570" s="155"/>
      <c r="HE2570" s="155"/>
    </row>
    <row r="2571" spans="2:213" s="156" customFormat="1" hidden="1">
      <c r="B2571" s="155"/>
      <c r="C2571" s="155"/>
      <c r="D2571" s="155"/>
      <c r="E2571" s="155"/>
      <c r="F2571" s="155"/>
      <c r="G2571" s="155"/>
      <c r="H2571" s="155"/>
      <c r="I2571" s="155"/>
      <c r="J2571" s="155"/>
      <c r="K2571" s="155"/>
      <c r="L2571" s="155"/>
      <c r="M2571" s="155"/>
      <c r="N2571" s="155"/>
      <c r="O2571" s="155"/>
      <c r="P2571" s="155"/>
      <c r="Q2571" s="155"/>
      <c r="R2571" s="155"/>
      <c r="S2571" s="155"/>
      <c r="T2571" s="155"/>
      <c r="U2571" s="155"/>
      <c r="V2571" s="155"/>
      <c r="W2571" s="155"/>
      <c r="GL2571" s="155"/>
      <c r="GM2571" s="155"/>
      <c r="GN2571" s="155"/>
      <c r="GO2571" s="155"/>
      <c r="GP2571" s="155"/>
      <c r="GQ2571" s="155"/>
      <c r="GR2571" s="155"/>
      <c r="GS2571" s="155"/>
      <c r="GT2571" s="155"/>
      <c r="GU2571" s="155"/>
      <c r="GV2571" s="155"/>
      <c r="GW2571" s="155"/>
      <c r="GX2571" s="155"/>
      <c r="GY2571" s="155"/>
      <c r="GZ2571" s="155"/>
      <c r="HA2571" s="155"/>
      <c r="HB2571" s="155"/>
      <c r="HC2571" s="155"/>
      <c r="HD2571" s="155"/>
      <c r="HE2571" s="155"/>
    </row>
    <row r="2572" spans="2:213" s="156" customFormat="1" hidden="1">
      <c r="B2572" s="155"/>
      <c r="C2572" s="155"/>
      <c r="D2572" s="155"/>
      <c r="E2572" s="155"/>
      <c r="F2572" s="155"/>
      <c r="G2572" s="155"/>
      <c r="H2572" s="155"/>
      <c r="I2572" s="155"/>
      <c r="J2572" s="155"/>
      <c r="K2572" s="155"/>
      <c r="L2572" s="155"/>
      <c r="M2572" s="155"/>
      <c r="N2572" s="155"/>
      <c r="O2572" s="155"/>
      <c r="P2572" s="155"/>
      <c r="Q2572" s="155"/>
      <c r="R2572" s="155"/>
      <c r="S2572" s="155"/>
      <c r="T2572" s="155"/>
      <c r="U2572" s="155"/>
      <c r="V2572" s="155"/>
      <c r="W2572" s="155"/>
      <c r="GL2572" s="155"/>
      <c r="GM2572" s="155"/>
      <c r="GN2572" s="155"/>
      <c r="GO2572" s="155"/>
      <c r="GP2572" s="155"/>
      <c r="GQ2572" s="155"/>
      <c r="GR2572" s="155"/>
      <c r="GS2572" s="155"/>
      <c r="GT2572" s="155"/>
      <c r="GU2572" s="155"/>
      <c r="GV2572" s="155"/>
      <c r="GW2572" s="155"/>
      <c r="GX2572" s="155"/>
      <c r="GY2572" s="155"/>
      <c r="GZ2572" s="155"/>
      <c r="HA2572" s="155"/>
      <c r="HB2572" s="155"/>
      <c r="HC2572" s="155"/>
      <c r="HD2572" s="155"/>
      <c r="HE2572" s="155"/>
    </row>
    <row r="2573" spans="2:213" s="156" customFormat="1" hidden="1">
      <c r="B2573" s="155"/>
      <c r="C2573" s="155"/>
      <c r="D2573" s="155"/>
      <c r="E2573" s="155"/>
      <c r="F2573" s="155"/>
      <c r="G2573" s="155"/>
      <c r="H2573" s="155"/>
      <c r="I2573" s="155"/>
      <c r="J2573" s="155"/>
      <c r="K2573" s="155"/>
      <c r="L2573" s="155"/>
      <c r="M2573" s="155"/>
      <c r="N2573" s="155"/>
      <c r="O2573" s="155"/>
      <c r="P2573" s="155"/>
      <c r="Q2573" s="155"/>
      <c r="R2573" s="155"/>
      <c r="S2573" s="155"/>
      <c r="T2573" s="155"/>
      <c r="U2573" s="155"/>
      <c r="V2573" s="155"/>
      <c r="W2573" s="155"/>
      <c r="GL2573" s="155"/>
      <c r="GM2573" s="155"/>
      <c r="GN2573" s="155"/>
      <c r="GO2573" s="155"/>
      <c r="GP2573" s="155"/>
      <c r="GQ2573" s="155"/>
      <c r="GR2573" s="155"/>
      <c r="GS2573" s="155"/>
      <c r="GT2573" s="155"/>
      <c r="GU2573" s="155"/>
      <c r="GV2573" s="155"/>
      <c r="GW2573" s="155"/>
      <c r="GX2573" s="155"/>
      <c r="GY2573" s="155"/>
      <c r="GZ2573" s="155"/>
      <c r="HA2573" s="155"/>
      <c r="HB2573" s="155"/>
      <c r="HC2573" s="155"/>
      <c r="HD2573" s="155"/>
      <c r="HE2573" s="155"/>
    </row>
    <row r="2574" spans="2:213" s="156" customFormat="1" hidden="1">
      <c r="B2574" s="155"/>
      <c r="C2574" s="155"/>
      <c r="D2574" s="155"/>
      <c r="E2574" s="155"/>
      <c r="F2574" s="155"/>
      <c r="G2574" s="155"/>
      <c r="H2574" s="155"/>
      <c r="I2574" s="155"/>
      <c r="J2574" s="155"/>
      <c r="K2574" s="155"/>
      <c r="L2574" s="155"/>
      <c r="M2574" s="155"/>
      <c r="N2574" s="155"/>
      <c r="O2574" s="155"/>
      <c r="P2574" s="155"/>
      <c r="Q2574" s="155"/>
      <c r="R2574" s="155"/>
      <c r="S2574" s="155"/>
      <c r="T2574" s="155"/>
      <c r="U2574" s="155"/>
      <c r="V2574" s="155"/>
      <c r="W2574" s="155"/>
      <c r="GL2574" s="155"/>
      <c r="GM2574" s="155"/>
      <c r="GN2574" s="155"/>
      <c r="GO2574" s="155"/>
      <c r="GP2574" s="155"/>
      <c r="GQ2574" s="155"/>
      <c r="GR2574" s="155"/>
      <c r="GS2574" s="155"/>
      <c r="GT2574" s="155"/>
      <c r="GU2574" s="155"/>
      <c r="GV2574" s="155"/>
      <c r="GW2574" s="155"/>
      <c r="GX2574" s="155"/>
      <c r="GY2574" s="155"/>
      <c r="GZ2574" s="155"/>
      <c r="HA2574" s="155"/>
      <c r="HB2574" s="155"/>
      <c r="HC2574" s="155"/>
      <c r="HD2574" s="155"/>
      <c r="HE2574" s="155"/>
    </row>
    <row r="2575" spans="2:213" s="156" customFormat="1" hidden="1">
      <c r="B2575" s="155"/>
      <c r="C2575" s="155"/>
      <c r="D2575" s="155"/>
      <c r="E2575" s="155"/>
      <c r="F2575" s="155"/>
      <c r="G2575" s="155"/>
      <c r="H2575" s="155"/>
      <c r="I2575" s="155"/>
      <c r="J2575" s="155"/>
      <c r="K2575" s="155"/>
      <c r="L2575" s="155"/>
      <c r="M2575" s="155"/>
      <c r="N2575" s="155"/>
      <c r="O2575" s="155"/>
      <c r="P2575" s="155"/>
      <c r="Q2575" s="155"/>
      <c r="R2575" s="155"/>
      <c r="S2575" s="155"/>
      <c r="T2575" s="155"/>
      <c r="U2575" s="155"/>
      <c r="V2575" s="155"/>
      <c r="W2575" s="155"/>
      <c r="GL2575" s="155"/>
      <c r="GM2575" s="155"/>
      <c r="GN2575" s="155"/>
      <c r="GO2575" s="155"/>
      <c r="GP2575" s="155"/>
      <c r="GQ2575" s="155"/>
      <c r="GR2575" s="155"/>
      <c r="GS2575" s="155"/>
      <c r="GT2575" s="155"/>
      <c r="GU2575" s="155"/>
      <c r="GV2575" s="155"/>
      <c r="GW2575" s="155"/>
      <c r="GX2575" s="155"/>
      <c r="GY2575" s="155"/>
      <c r="GZ2575" s="155"/>
      <c r="HA2575" s="155"/>
      <c r="HB2575" s="155"/>
      <c r="HC2575" s="155"/>
      <c r="HD2575" s="155"/>
      <c r="HE2575" s="155"/>
    </row>
    <row r="2576" spans="2:213" s="156" customFormat="1" hidden="1">
      <c r="B2576" s="155"/>
      <c r="C2576" s="155"/>
      <c r="D2576" s="155"/>
      <c r="E2576" s="155"/>
      <c r="F2576" s="155"/>
      <c r="G2576" s="155"/>
      <c r="H2576" s="155"/>
      <c r="I2576" s="155"/>
      <c r="J2576" s="155"/>
      <c r="K2576" s="155"/>
      <c r="L2576" s="155"/>
      <c r="M2576" s="155"/>
      <c r="N2576" s="155"/>
      <c r="O2576" s="155"/>
      <c r="P2576" s="155"/>
      <c r="Q2576" s="155"/>
      <c r="R2576" s="155"/>
      <c r="S2576" s="155"/>
      <c r="T2576" s="155"/>
      <c r="U2576" s="155"/>
      <c r="V2576" s="155"/>
      <c r="W2576" s="155"/>
      <c r="GL2576" s="155"/>
      <c r="GM2576" s="155"/>
      <c r="GN2576" s="155"/>
      <c r="GO2576" s="155"/>
      <c r="GP2576" s="155"/>
      <c r="GQ2576" s="155"/>
      <c r="GR2576" s="155"/>
      <c r="GS2576" s="155"/>
      <c r="GT2576" s="155"/>
      <c r="GU2576" s="155"/>
      <c r="GV2576" s="155"/>
      <c r="GW2576" s="155"/>
      <c r="GX2576" s="155"/>
      <c r="GY2576" s="155"/>
      <c r="GZ2576" s="155"/>
      <c r="HA2576" s="155"/>
      <c r="HB2576" s="155"/>
      <c r="HC2576" s="155"/>
      <c r="HD2576" s="155"/>
      <c r="HE2576" s="155"/>
    </row>
    <row r="2577" spans="2:213" s="156" customFormat="1" hidden="1">
      <c r="B2577" s="155"/>
      <c r="C2577" s="155"/>
      <c r="D2577" s="155"/>
      <c r="E2577" s="155"/>
      <c r="F2577" s="155"/>
      <c r="G2577" s="155"/>
      <c r="H2577" s="155"/>
      <c r="I2577" s="155"/>
      <c r="J2577" s="155"/>
      <c r="K2577" s="155"/>
      <c r="L2577" s="155"/>
      <c r="M2577" s="155"/>
      <c r="N2577" s="155"/>
      <c r="O2577" s="155"/>
      <c r="P2577" s="155"/>
      <c r="Q2577" s="155"/>
      <c r="R2577" s="155"/>
      <c r="S2577" s="155"/>
      <c r="T2577" s="155"/>
      <c r="U2577" s="155"/>
      <c r="V2577" s="155"/>
      <c r="W2577" s="155"/>
      <c r="GL2577" s="155"/>
      <c r="GM2577" s="155"/>
      <c r="GN2577" s="155"/>
      <c r="GO2577" s="155"/>
      <c r="GP2577" s="155"/>
      <c r="GQ2577" s="155"/>
      <c r="GR2577" s="155"/>
      <c r="GS2577" s="155"/>
      <c r="GT2577" s="155"/>
      <c r="GU2577" s="155"/>
      <c r="GV2577" s="155"/>
      <c r="GW2577" s="155"/>
      <c r="GX2577" s="155"/>
      <c r="GY2577" s="155"/>
      <c r="GZ2577" s="155"/>
      <c r="HA2577" s="155"/>
      <c r="HB2577" s="155"/>
      <c r="HC2577" s="155"/>
      <c r="HD2577" s="155"/>
      <c r="HE2577" s="155"/>
    </row>
    <row r="2578" spans="2:213" s="156" customFormat="1" hidden="1">
      <c r="B2578" s="155"/>
      <c r="C2578" s="155"/>
      <c r="D2578" s="155"/>
      <c r="E2578" s="155"/>
      <c r="F2578" s="155"/>
      <c r="G2578" s="155"/>
      <c r="H2578" s="155"/>
      <c r="I2578" s="155"/>
      <c r="J2578" s="155"/>
      <c r="K2578" s="155"/>
      <c r="L2578" s="155"/>
      <c r="M2578" s="155"/>
      <c r="N2578" s="155"/>
      <c r="O2578" s="155"/>
      <c r="P2578" s="155"/>
      <c r="Q2578" s="155"/>
      <c r="R2578" s="155"/>
      <c r="S2578" s="155"/>
      <c r="T2578" s="155"/>
      <c r="U2578" s="155"/>
      <c r="V2578" s="155"/>
      <c r="W2578" s="155"/>
      <c r="GL2578" s="155"/>
      <c r="GM2578" s="155"/>
      <c r="GN2578" s="155"/>
      <c r="GO2578" s="155"/>
      <c r="GP2578" s="155"/>
      <c r="GQ2578" s="155"/>
      <c r="GR2578" s="155"/>
      <c r="GS2578" s="155"/>
      <c r="GT2578" s="155"/>
      <c r="GU2578" s="155"/>
      <c r="GV2578" s="155"/>
      <c r="GW2578" s="155"/>
      <c r="GX2578" s="155"/>
      <c r="GY2578" s="155"/>
      <c r="GZ2578" s="155"/>
      <c r="HA2578" s="155"/>
      <c r="HB2578" s="155"/>
      <c r="HC2578" s="155"/>
      <c r="HD2578" s="155"/>
      <c r="HE2578" s="155"/>
    </row>
    <row r="2579" spans="2:213" s="156" customFormat="1" hidden="1">
      <c r="B2579" s="155"/>
      <c r="C2579" s="155"/>
      <c r="D2579" s="155"/>
      <c r="E2579" s="155"/>
      <c r="F2579" s="155"/>
      <c r="G2579" s="155"/>
      <c r="H2579" s="155"/>
      <c r="I2579" s="155"/>
      <c r="J2579" s="155"/>
      <c r="K2579" s="155"/>
      <c r="L2579" s="155"/>
      <c r="M2579" s="155"/>
      <c r="N2579" s="155"/>
      <c r="O2579" s="155"/>
      <c r="P2579" s="155"/>
      <c r="Q2579" s="155"/>
      <c r="R2579" s="155"/>
      <c r="S2579" s="155"/>
      <c r="T2579" s="155"/>
      <c r="U2579" s="155"/>
      <c r="V2579" s="155"/>
      <c r="W2579" s="155"/>
      <c r="GL2579" s="155"/>
      <c r="GM2579" s="155"/>
      <c r="GN2579" s="155"/>
      <c r="GO2579" s="155"/>
      <c r="GP2579" s="155"/>
      <c r="GQ2579" s="155"/>
      <c r="GR2579" s="155"/>
      <c r="GS2579" s="155"/>
      <c r="GT2579" s="155"/>
      <c r="GU2579" s="155"/>
      <c r="GV2579" s="155"/>
      <c r="GW2579" s="155"/>
      <c r="GX2579" s="155"/>
      <c r="GY2579" s="155"/>
      <c r="GZ2579" s="155"/>
      <c r="HA2579" s="155"/>
      <c r="HB2579" s="155"/>
      <c r="HC2579" s="155"/>
      <c r="HD2579" s="155"/>
      <c r="HE2579" s="155"/>
    </row>
    <row r="2580" spans="2:213" s="156" customFormat="1" hidden="1">
      <c r="B2580" s="155"/>
      <c r="C2580" s="155"/>
      <c r="D2580" s="155"/>
      <c r="E2580" s="155"/>
      <c r="F2580" s="155"/>
      <c r="G2580" s="155"/>
      <c r="H2580" s="155"/>
      <c r="I2580" s="155"/>
      <c r="J2580" s="155"/>
      <c r="K2580" s="155"/>
      <c r="L2580" s="155"/>
      <c r="M2580" s="155"/>
      <c r="N2580" s="155"/>
      <c r="O2580" s="155"/>
      <c r="P2580" s="155"/>
      <c r="Q2580" s="155"/>
      <c r="R2580" s="155"/>
      <c r="S2580" s="155"/>
      <c r="T2580" s="155"/>
      <c r="U2580" s="155"/>
      <c r="V2580" s="155"/>
      <c r="W2580" s="155"/>
      <c r="GL2580" s="155"/>
      <c r="GM2580" s="155"/>
      <c r="GN2580" s="155"/>
      <c r="GO2580" s="155"/>
      <c r="GP2580" s="155"/>
      <c r="GQ2580" s="155"/>
      <c r="GR2580" s="155"/>
      <c r="GS2580" s="155"/>
      <c r="GT2580" s="155"/>
      <c r="GU2580" s="155"/>
      <c r="GV2580" s="155"/>
      <c r="GW2580" s="155"/>
      <c r="GX2580" s="155"/>
      <c r="GY2580" s="155"/>
      <c r="GZ2580" s="155"/>
      <c r="HA2580" s="155"/>
      <c r="HB2580" s="155"/>
      <c r="HC2580" s="155"/>
      <c r="HD2580" s="155"/>
      <c r="HE2580" s="155"/>
    </row>
    <row r="2581" spans="2:213" s="156" customFormat="1" hidden="1">
      <c r="B2581" s="155"/>
      <c r="C2581" s="155"/>
      <c r="D2581" s="155"/>
      <c r="E2581" s="155"/>
      <c r="F2581" s="155"/>
      <c r="G2581" s="155"/>
      <c r="H2581" s="155"/>
      <c r="I2581" s="155"/>
      <c r="J2581" s="155"/>
      <c r="K2581" s="155"/>
      <c r="L2581" s="155"/>
      <c r="M2581" s="155"/>
      <c r="N2581" s="155"/>
      <c r="O2581" s="155"/>
      <c r="P2581" s="155"/>
      <c r="Q2581" s="155"/>
      <c r="R2581" s="155"/>
      <c r="S2581" s="155"/>
      <c r="T2581" s="155"/>
      <c r="U2581" s="155"/>
      <c r="V2581" s="155"/>
      <c r="W2581" s="155"/>
      <c r="GL2581" s="155"/>
      <c r="GM2581" s="155"/>
      <c r="GN2581" s="155"/>
      <c r="GO2581" s="155"/>
      <c r="GP2581" s="155"/>
      <c r="GQ2581" s="155"/>
      <c r="GR2581" s="155"/>
      <c r="GS2581" s="155"/>
      <c r="GT2581" s="155"/>
      <c r="GU2581" s="155"/>
      <c r="GV2581" s="155"/>
      <c r="GW2581" s="155"/>
      <c r="GX2581" s="155"/>
      <c r="GY2581" s="155"/>
      <c r="GZ2581" s="155"/>
      <c r="HA2581" s="155"/>
      <c r="HB2581" s="155"/>
      <c r="HC2581" s="155"/>
      <c r="HD2581" s="155"/>
      <c r="HE2581" s="155"/>
    </row>
    <row r="2582" spans="2:213" s="156" customFormat="1" hidden="1">
      <c r="B2582" s="155"/>
      <c r="C2582" s="155"/>
      <c r="D2582" s="155"/>
      <c r="E2582" s="155"/>
      <c r="F2582" s="155"/>
      <c r="G2582" s="155"/>
      <c r="H2582" s="155"/>
      <c r="I2582" s="155"/>
      <c r="J2582" s="155"/>
      <c r="K2582" s="155"/>
      <c r="L2582" s="155"/>
      <c r="M2582" s="155"/>
      <c r="N2582" s="155"/>
      <c r="O2582" s="155"/>
      <c r="P2582" s="155"/>
      <c r="Q2582" s="155"/>
      <c r="R2582" s="155"/>
      <c r="S2582" s="155"/>
      <c r="T2582" s="155"/>
      <c r="U2582" s="155"/>
      <c r="V2582" s="155"/>
      <c r="W2582" s="155"/>
      <c r="GL2582" s="155"/>
      <c r="GM2582" s="155"/>
      <c r="GN2582" s="155"/>
      <c r="GO2582" s="155"/>
      <c r="GP2582" s="155"/>
      <c r="GQ2582" s="155"/>
      <c r="GR2582" s="155"/>
      <c r="GS2582" s="155"/>
      <c r="GT2582" s="155"/>
      <c r="GU2582" s="155"/>
      <c r="GV2582" s="155"/>
      <c r="GW2582" s="155"/>
      <c r="GX2582" s="155"/>
      <c r="GY2582" s="155"/>
      <c r="GZ2582" s="155"/>
      <c r="HA2582" s="155"/>
      <c r="HB2582" s="155"/>
      <c r="HC2582" s="155"/>
      <c r="HD2582" s="155"/>
      <c r="HE2582" s="155"/>
    </row>
    <row r="2583" spans="2:213" s="156" customFormat="1" hidden="1">
      <c r="B2583" s="155"/>
      <c r="C2583" s="155"/>
      <c r="D2583" s="155"/>
      <c r="E2583" s="155"/>
      <c r="F2583" s="155"/>
      <c r="G2583" s="155"/>
      <c r="H2583" s="155"/>
      <c r="I2583" s="155"/>
      <c r="J2583" s="155"/>
      <c r="K2583" s="155"/>
      <c r="L2583" s="155"/>
      <c r="M2583" s="155"/>
      <c r="N2583" s="155"/>
      <c r="O2583" s="155"/>
      <c r="P2583" s="155"/>
      <c r="Q2583" s="155"/>
      <c r="R2583" s="155"/>
      <c r="S2583" s="155"/>
      <c r="T2583" s="155"/>
      <c r="U2583" s="155"/>
      <c r="V2583" s="155"/>
      <c r="W2583" s="155"/>
      <c r="GL2583" s="155"/>
      <c r="GM2583" s="155"/>
      <c r="GN2583" s="155"/>
      <c r="GO2583" s="155"/>
      <c r="GP2583" s="155"/>
      <c r="GQ2583" s="155"/>
      <c r="GR2583" s="155"/>
      <c r="GS2583" s="155"/>
      <c r="GT2583" s="155"/>
      <c r="GU2583" s="155"/>
      <c r="GV2583" s="155"/>
      <c r="GW2583" s="155"/>
      <c r="GX2583" s="155"/>
      <c r="GY2583" s="155"/>
      <c r="GZ2583" s="155"/>
      <c r="HA2583" s="155"/>
      <c r="HB2583" s="155"/>
      <c r="HC2583" s="155"/>
      <c r="HD2583" s="155"/>
      <c r="HE2583" s="155"/>
    </row>
    <row r="2584" spans="2:213" s="156" customFormat="1" hidden="1">
      <c r="B2584" s="155"/>
      <c r="C2584" s="155"/>
      <c r="D2584" s="155"/>
      <c r="E2584" s="155"/>
      <c r="F2584" s="155"/>
      <c r="G2584" s="155"/>
      <c r="H2584" s="155"/>
      <c r="I2584" s="155"/>
      <c r="J2584" s="155"/>
      <c r="K2584" s="155"/>
      <c r="L2584" s="155"/>
      <c r="M2584" s="155"/>
      <c r="N2584" s="155"/>
      <c r="O2584" s="155"/>
      <c r="P2584" s="155"/>
      <c r="Q2584" s="155"/>
      <c r="R2584" s="155"/>
      <c r="S2584" s="155"/>
      <c r="T2584" s="155"/>
      <c r="U2584" s="155"/>
      <c r="V2584" s="155"/>
      <c r="W2584" s="155"/>
      <c r="GL2584" s="155"/>
      <c r="GM2584" s="155"/>
      <c r="GN2584" s="155"/>
      <c r="GO2584" s="155"/>
      <c r="GP2584" s="155"/>
      <c r="GQ2584" s="155"/>
      <c r="GR2584" s="155"/>
      <c r="GS2584" s="155"/>
      <c r="GT2584" s="155"/>
      <c r="GU2584" s="155"/>
      <c r="GV2584" s="155"/>
      <c r="GW2584" s="155"/>
      <c r="GX2584" s="155"/>
      <c r="GY2584" s="155"/>
      <c r="GZ2584" s="155"/>
      <c r="HA2584" s="155"/>
      <c r="HB2584" s="155"/>
      <c r="HC2584" s="155"/>
      <c r="HD2584" s="155"/>
      <c r="HE2584" s="155"/>
    </row>
    <row r="2585" spans="2:213" s="156" customFormat="1" hidden="1">
      <c r="B2585" s="155"/>
      <c r="C2585" s="155"/>
      <c r="D2585" s="155"/>
      <c r="E2585" s="155"/>
      <c r="F2585" s="155"/>
      <c r="G2585" s="155"/>
      <c r="H2585" s="155"/>
      <c r="I2585" s="155"/>
      <c r="J2585" s="155"/>
      <c r="K2585" s="155"/>
      <c r="L2585" s="155"/>
      <c r="M2585" s="155"/>
      <c r="N2585" s="155"/>
      <c r="O2585" s="155"/>
      <c r="P2585" s="155"/>
      <c r="Q2585" s="155"/>
      <c r="R2585" s="155"/>
      <c r="S2585" s="155"/>
      <c r="T2585" s="155"/>
      <c r="U2585" s="155"/>
      <c r="V2585" s="155"/>
      <c r="W2585" s="155"/>
      <c r="GL2585" s="155"/>
      <c r="GM2585" s="155"/>
      <c r="GN2585" s="155"/>
      <c r="GO2585" s="155"/>
      <c r="GP2585" s="155"/>
      <c r="GQ2585" s="155"/>
      <c r="GR2585" s="155"/>
      <c r="GS2585" s="155"/>
      <c r="GT2585" s="155"/>
      <c r="GU2585" s="155"/>
      <c r="GV2585" s="155"/>
      <c r="GW2585" s="155"/>
      <c r="GX2585" s="155"/>
      <c r="GY2585" s="155"/>
      <c r="GZ2585" s="155"/>
      <c r="HA2585" s="155"/>
      <c r="HB2585" s="155"/>
      <c r="HC2585" s="155"/>
      <c r="HD2585" s="155"/>
      <c r="HE2585" s="155"/>
    </row>
    <row r="2586" spans="2:213" s="156" customFormat="1" hidden="1">
      <c r="B2586" s="155"/>
      <c r="C2586" s="155"/>
      <c r="D2586" s="155"/>
      <c r="E2586" s="155"/>
      <c r="F2586" s="155"/>
      <c r="G2586" s="155"/>
      <c r="H2586" s="155"/>
      <c r="I2586" s="155"/>
      <c r="J2586" s="155"/>
      <c r="K2586" s="155"/>
      <c r="L2586" s="155"/>
      <c r="M2586" s="155"/>
      <c r="N2586" s="155"/>
      <c r="O2586" s="155"/>
      <c r="P2586" s="155"/>
      <c r="Q2586" s="155"/>
      <c r="R2586" s="155"/>
      <c r="S2586" s="155"/>
      <c r="T2586" s="155"/>
      <c r="U2586" s="155"/>
      <c r="V2586" s="155"/>
      <c r="W2586" s="155"/>
      <c r="GL2586" s="155"/>
      <c r="GM2586" s="155"/>
      <c r="GN2586" s="155"/>
      <c r="GO2586" s="155"/>
      <c r="GP2586" s="155"/>
      <c r="GQ2586" s="155"/>
      <c r="GR2586" s="155"/>
      <c r="GS2586" s="155"/>
      <c r="GT2586" s="155"/>
      <c r="GU2586" s="155"/>
      <c r="GV2586" s="155"/>
      <c r="GW2586" s="155"/>
      <c r="GX2586" s="155"/>
      <c r="GY2586" s="155"/>
      <c r="GZ2586" s="155"/>
      <c r="HA2586" s="155"/>
      <c r="HB2586" s="155"/>
      <c r="HC2586" s="155"/>
      <c r="HD2586" s="155"/>
      <c r="HE2586" s="155"/>
    </row>
    <row r="2587" spans="2:213" s="156" customFormat="1" hidden="1">
      <c r="B2587" s="155"/>
      <c r="C2587" s="155"/>
      <c r="D2587" s="155"/>
      <c r="E2587" s="155"/>
      <c r="F2587" s="155"/>
      <c r="G2587" s="155"/>
      <c r="H2587" s="155"/>
      <c r="I2587" s="155"/>
      <c r="J2587" s="155"/>
      <c r="K2587" s="155"/>
      <c r="L2587" s="155"/>
      <c r="M2587" s="155"/>
      <c r="N2587" s="155"/>
      <c r="O2587" s="155"/>
      <c r="P2587" s="155"/>
      <c r="Q2587" s="155"/>
      <c r="R2587" s="155"/>
      <c r="S2587" s="155"/>
      <c r="T2587" s="155"/>
      <c r="U2587" s="155"/>
      <c r="V2587" s="155"/>
      <c r="W2587" s="155"/>
      <c r="GL2587" s="155"/>
      <c r="GM2587" s="155"/>
      <c r="GN2587" s="155"/>
      <c r="GO2587" s="155"/>
      <c r="GP2587" s="155"/>
      <c r="GQ2587" s="155"/>
      <c r="GR2587" s="155"/>
      <c r="GS2587" s="155"/>
      <c r="GT2587" s="155"/>
      <c r="GU2587" s="155"/>
      <c r="GV2587" s="155"/>
      <c r="GW2587" s="155"/>
      <c r="GX2587" s="155"/>
      <c r="GY2587" s="155"/>
      <c r="GZ2587" s="155"/>
      <c r="HA2587" s="155"/>
      <c r="HB2587" s="155"/>
      <c r="HC2587" s="155"/>
      <c r="HD2587" s="155"/>
      <c r="HE2587" s="155"/>
    </row>
    <row r="2588" spans="2:213" s="156" customFormat="1" hidden="1">
      <c r="B2588" s="155"/>
      <c r="C2588" s="155"/>
      <c r="D2588" s="155"/>
      <c r="E2588" s="155"/>
      <c r="F2588" s="155"/>
      <c r="G2588" s="155"/>
      <c r="H2588" s="155"/>
      <c r="I2588" s="155"/>
      <c r="J2588" s="155"/>
      <c r="K2588" s="155"/>
      <c r="L2588" s="155"/>
      <c r="M2588" s="155"/>
      <c r="N2588" s="155"/>
      <c r="O2588" s="155"/>
      <c r="P2588" s="155"/>
      <c r="Q2588" s="155"/>
      <c r="R2588" s="155"/>
      <c r="S2588" s="155"/>
      <c r="T2588" s="155"/>
      <c r="U2588" s="155"/>
      <c r="V2588" s="155"/>
      <c r="W2588" s="155"/>
      <c r="GL2588" s="155"/>
      <c r="GM2588" s="155"/>
      <c r="GN2588" s="155"/>
      <c r="GO2588" s="155"/>
      <c r="GP2588" s="155"/>
      <c r="GQ2588" s="155"/>
      <c r="GR2588" s="155"/>
      <c r="GS2588" s="155"/>
      <c r="GT2588" s="155"/>
      <c r="GU2588" s="155"/>
      <c r="GV2588" s="155"/>
      <c r="GW2588" s="155"/>
      <c r="GX2588" s="155"/>
      <c r="GY2588" s="155"/>
      <c r="GZ2588" s="155"/>
      <c r="HA2588" s="155"/>
      <c r="HB2588" s="155"/>
      <c r="HC2588" s="155"/>
      <c r="HD2588" s="155"/>
      <c r="HE2588" s="155"/>
    </row>
    <row r="2589" spans="2:213" s="156" customFormat="1" hidden="1">
      <c r="B2589" s="155"/>
      <c r="C2589" s="155"/>
      <c r="D2589" s="155"/>
      <c r="E2589" s="155"/>
      <c r="F2589" s="155"/>
      <c r="G2589" s="155"/>
      <c r="H2589" s="155"/>
      <c r="I2589" s="155"/>
      <c r="J2589" s="155"/>
      <c r="K2589" s="155"/>
      <c r="L2589" s="155"/>
      <c r="M2589" s="155"/>
      <c r="N2589" s="155"/>
      <c r="O2589" s="155"/>
      <c r="P2589" s="155"/>
      <c r="Q2589" s="155"/>
      <c r="R2589" s="155"/>
      <c r="S2589" s="155"/>
      <c r="T2589" s="155"/>
      <c r="U2589" s="155"/>
      <c r="V2589" s="155"/>
      <c r="W2589" s="155"/>
      <c r="GL2589" s="155"/>
      <c r="GM2589" s="155"/>
      <c r="GN2589" s="155"/>
      <c r="GO2589" s="155"/>
      <c r="GP2589" s="155"/>
      <c r="GQ2589" s="155"/>
      <c r="GR2589" s="155"/>
      <c r="GS2589" s="155"/>
      <c r="GT2589" s="155"/>
      <c r="GU2589" s="155"/>
      <c r="GV2589" s="155"/>
      <c r="GW2589" s="155"/>
      <c r="GX2589" s="155"/>
      <c r="GY2589" s="155"/>
      <c r="GZ2589" s="155"/>
      <c r="HA2589" s="155"/>
      <c r="HB2589" s="155"/>
      <c r="HC2589" s="155"/>
      <c r="HD2589" s="155"/>
      <c r="HE2589" s="155"/>
    </row>
    <row r="2590" spans="2:213" s="156" customFormat="1" hidden="1">
      <c r="B2590" s="155"/>
      <c r="C2590" s="155"/>
      <c r="D2590" s="155"/>
      <c r="E2590" s="155"/>
      <c r="F2590" s="155"/>
      <c r="G2590" s="155"/>
      <c r="H2590" s="155"/>
      <c r="I2590" s="155"/>
      <c r="J2590" s="155"/>
      <c r="K2590" s="155"/>
      <c r="L2590" s="155"/>
      <c r="M2590" s="155"/>
      <c r="N2590" s="155"/>
      <c r="O2590" s="155"/>
      <c r="P2590" s="155"/>
      <c r="Q2590" s="155"/>
      <c r="R2590" s="155"/>
      <c r="S2590" s="155"/>
      <c r="T2590" s="155"/>
      <c r="U2590" s="155"/>
      <c r="V2590" s="155"/>
      <c r="W2590" s="155"/>
      <c r="GL2590" s="155"/>
      <c r="GM2590" s="155"/>
      <c r="GN2590" s="155"/>
      <c r="GO2590" s="155"/>
      <c r="GP2590" s="155"/>
      <c r="GQ2590" s="155"/>
      <c r="GR2590" s="155"/>
      <c r="GS2590" s="155"/>
      <c r="GT2590" s="155"/>
      <c r="GU2590" s="155"/>
      <c r="GV2590" s="155"/>
      <c r="GW2590" s="155"/>
      <c r="GX2590" s="155"/>
      <c r="GY2590" s="155"/>
      <c r="GZ2590" s="155"/>
      <c r="HA2590" s="155"/>
      <c r="HB2590" s="155"/>
      <c r="HC2590" s="155"/>
      <c r="HD2590" s="155"/>
      <c r="HE2590" s="155"/>
    </row>
    <row r="2591" spans="2:213" s="156" customFormat="1" hidden="1">
      <c r="B2591" s="155"/>
      <c r="C2591" s="155"/>
      <c r="D2591" s="155"/>
      <c r="E2591" s="155"/>
      <c r="F2591" s="155"/>
      <c r="G2591" s="155"/>
      <c r="H2591" s="155"/>
      <c r="I2591" s="155"/>
      <c r="J2591" s="155"/>
      <c r="K2591" s="155"/>
      <c r="L2591" s="155"/>
      <c r="M2591" s="155"/>
      <c r="N2591" s="155"/>
      <c r="O2591" s="155"/>
      <c r="P2591" s="155"/>
      <c r="Q2591" s="155"/>
      <c r="R2591" s="155"/>
      <c r="S2591" s="155"/>
      <c r="T2591" s="155"/>
      <c r="U2591" s="155"/>
      <c r="V2591" s="155"/>
      <c r="W2591" s="155"/>
      <c r="GL2591" s="155"/>
      <c r="GM2591" s="155"/>
      <c r="GN2591" s="155"/>
      <c r="GO2591" s="155"/>
      <c r="GP2591" s="155"/>
      <c r="GQ2591" s="155"/>
      <c r="GR2591" s="155"/>
      <c r="GS2591" s="155"/>
      <c r="GT2591" s="155"/>
      <c r="GU2591" s="155"/>
      <c r="GV2591" s="155"/>
      <c r="GW2591" s="155"/>
      <c r="GX2591" s="155"/>
      <c r="GY2591" s="155"/>
      <c r="GZ2591" s="155"/>
      <c r="HA2591" s="155"/>
      <c r="HB2591" s="155"/>
      <c r="HC2591" s="155"/>
      <c r="HD2591" s="155"/>
      <c r="HE2591" s="155"/>
    </row>
    <row r="2592" spans="2:213" s="156" customFormat="1" hidden="1">
      <c r="B2592" s="155"/>
      <c r="C2592" s="155"/>
      <c r="D2592" s="155"/>
      <c r="E2592" s="155"/>
      <c r="F2592" s="155"/>
      <c r="G2592" s="155"/>
      <c r="H2592" s="155"/>
      <c r="I2592" s="155"/>
      <c r="J2592" s="155"/>
      <c r="K2592" s="155"/>
      <c r="L2592" s="155"/>
      <c r="M2592" s="155"/>
      <c r="N2592" s="155"/>
      <c r="O2592" s="155"/>
      <c r="P2592" s="155"/>
      <c r="Q2592" s="155"/>
      <c r="R2592" s="155"/>
      <c r="S2592" s="155"/>
      <c r="T2592" s="155"/>
      <c r="U2592" s="155"/>
      <c r="V2592" s="155"/>
      <c r="W2592" s="155"/>
      <c r="GL2592" s="155"/>
      <c r="GM2592" s="155"/>
      <c r="GN2592" s="155"/>
      <c r="GO2592" s="155"/>
      <c r="GP2592" s="155"/>
      <c r="GQ2592" s="155"/>
      <c r="GR2592" s="155"/>
      <c r="GS2592" s="155"/>
      <c r="GT2592" s="155"/>
      <c r="GU2592" s="155"/>
      <c r="GV2592" s="155"/>
      <c r="GW2592" s="155"/>
      <c r="GX2592" s="155"/>
      <c r="GY2592" s="155"/>
      <c r="GZ2592" s="155"/>
      <c r="HA2592" s="155"/>
      <c r="HB2592" s="155"/>
      <c r="HC2592" s="155"/>
      <c r="HD2592" s="155"/>
      <c r="HE2592" s="155"/>
    </row>
    <row r="2593" spans="2:213" s="156" customFormat="1" hidden="1">
      <c r="B2593" s="155"/>
      <c r="C2593" s="155"/>
      <c r="D2593" s="155"/>
      <c r="E2593" s="155"/>
      <c r="F2593" s="155"/>
      <c r="G2593" s="155"/>
      <c r="H2593" s="155"/>
      <c r="I2593" s="155"/>
      <c r="J2593" s="155"/>
      <c r="K2593" s="155"/>
      <c r="L2593" s="155"/>
      <c r="M2593" s="155"/>
      <c r="N2593" s="155"/>
      <c r="O2593" s="155"/>
      <c r="P2593" s="155"/>
      <c r="Q2593" s="155"/>
      <c r="R2593" s="155"/>
      <c r="S2593" s="155"/>
      <c r="T2593" s="155"/>
      <c r="U2593" s="155"/>
      <c r="V2593" s="155"/>
      <c r="W2593" s="155"/>
      <c r="GL2593" s="155"/>
      <c r="GM2593" s="155"/>
      <c r="GN2593" s="155"/>
      <c r="GO2593" s="155"/>
      <c r="GP2593" s="155"/>
      <c r="GQ2593" s="155"/>
      <c r="GR2593" s="155"/>
      <c r="GS2593" s="155"/>
      <c r="GT2593" s="155"/>
      <c r="GU2593" s="155"/>
      <c r="GV2593" s="155"/>
      <c r="GW2593" s="155"/>
      <c r="GX2593" s="155"/>
      <c r="GY2593" s="155"/>
      <c r="GZ2593" s="155"/>
      <c r="HA2593" s="155"/>
      <c r="HB2593" s="155"/>
      <c r="HC2593" s="155"/>
      <c r="HD2593" s="155"/>
      <c r="HE2593" s="155"/>
    </row>
    <row r="2594" spans="2:213" s="156" customFormat="1" hidden="1">
      <c r="B2594" s="155"/>
      <c r="C2594" s="155"/>
      <c r="D2594" s="155"/>
      <c r="E2594" s="155"/>
      <c r="F2594" s="155"/>
      <c r="G2594" s="155"/>
      <c r="H2594" s="155"/>
      <c r="I2594" s="155"/>
      <c r="J2594" s="155"/>
      <c r="K2594" s="155"/>
      <c r="L2594" s="155"/>
      <c r="M2594" s="155"/>
      <c r="N2594" s="155"/>
      <c r="O2594" s="155"/>
      <c r="P2594" s="155"/>
      <c r="Q2594" s="155"/>
      <c r="R2594" s="155"/>
      <c r="S2594" s="155"/>
      <c r="T2594" s="155"/>
      <c r="U2594" s="155"/>
      <c r="V2594" s="155"/>
      <c r="W2594" s="155"/>
      <c r="GL2594" s="155"/>
      <c r="GM2594" s="155"/>
      <c r="GN2594" s="155"/>
      <c r="GO2594" s="155"/>
      <c r="GP2594" s="155"/>
      <c r="GQ2594" s="155"/>
      <c r="GR2594" s="155"/>
      <c r="GS2594" s="155"/>
      <c r="GT2594" s="155"/>
      <c r="GU2594" s="155"/>
      <c r="GV2594" s="155"/>
      <c r="GW2594" s="155"/>
      <c r="GX2594" s="155"/>
      <c r="GY2594" s="155"/>
      <c r="GZ2594" s="155"/>
      <c r="HA2594" s="155"/>
      <c r="HB2594" s="155"/>
      <c r="HC2594" s="155"/>
      <c r="HD2594" s="155"/>
      <c r="HE2594" s="155"/>
    </row>
    <row r="2595" spans="2:213" s="156" customFormat="1" hidden="1">
      <c r="B2595" s="155"/>
      <c r="C2595" s="155"/>
      <c r="D2595" s="155"/>
      <c r="E2595" s="155"/>
      <c r="F2595" s="155"/>
      <c r="G2595" s="155"/>
      <c r="H2595" s="155"/>
      <c r="I2595" s="155"/>
      <c r="J2595" s="155"/>
      <c r="K2595" s="155"/>
      <c r="L2595" s="155"/>
      <c r="M2595" s="155"/>
      <c r="N2595" s="155"/>
      <c r="O2595" s="155"/>
      <c r="P2595" s="155"/>
      <c r="Q2595" s="155"/>
      <c r="R2595" s="155"/>
      <c r="S2595" s="155"/>
      <c r="T2595" s="155"/>
      <c r="U2595" s="155"/>
      <c r="V2595" s="155"/>
      <c r="W2595" s="155"/>
      <c r="GL2595" s="155"/>
      <c r="GM2595" s="155"/>
      <c r="GN2595" s="155"/>
      <c r="GO2595" s="155"/>
      <c r="GP2595" s="155"/>
      <c r="GQ2595" s="155"/>
      <c r="GR2595" s="155"/>
      <c r="GS2595" s="155"/>
      <c r="GT2595" s="155"/>
      <c r="GU2595" s="155"/>
      <c r="GV2595" s="155"/>
      <c r="GW2595" s="155"/>
      <c r="GX2595" s="155"/>
      <c r="GY2595" s="155"/>
      <c r="GZ2595" s="155"/>
      <c r="HA2595" s="155"/>
      <c r="HB2595" s="155"/>
      <c r="HC2595" s="155"/>
      <c r="HD2595" s="155"/>
      <c r="HE2595" s="155"/>
    </row>
    <row r="2596" spans="2:213" s="156" customFormat="1" hidden="1">
      <c r="B2596" s="155"/>
      <c r="C2596" s="155"/>
      <c r="D2596" s="155"/>
      <c r="E2596" s="155"/>
      <c r="F2596" s="155"/>
      <c r="G2596" s="155"/>
      <c r="H2596" s="155"/>
      <c r="I2596" s="155"/>
      <c r="J2596" s="155"/>
      <c r="K2596" s="155"/>
      <c r="L2596" s="155"/>
      <c r="M2596" s="155"/>
      <c r="N2596" s="155"/>
      <c r="O2596" s="155"/>
      <c r="P2596" s="155"/>
      <c r="Q2596" s="155"/>
      <c r="R2596" s="155"/>
      <c r="S2596" s="155"/>
      <c r="T2596" s="155"/>
      <c r="U2596" s="155"/>
      <c r="V2596" s="155"/>
      <c r="W2596" s="155"/>
      <c r="GL2596" s="155"/>
      <c r="GM2596" s="155"/>
      <c r="GN2596" s="155"/>
      <c r="GO2596" s="155"/>
      <c r="GP2596" s="155"/>
      <c r="GQ2596" s="155"/>
      <c r="GR2596" s="155"/>
      <c r="GS2596" s="155"/>
      <c r="GT2596" s="155"/>
      <c r="GU2596" s="155"/>
      <c r="GV2596" s="155"/>
      <c r="GW2596" s="155"/>
      <c r="GX2596" s="155"/>
      <c r="GY2596" s="155"/>
      <c r="GZ2596" s="155"/>
      <c r="HA2596" s="155"/>
      <c r="HB2596" s="155"/>
      <c r="HC2596" s="155"/>
      <c r="HD2596" s="155"/>
      <c r="HE2596" s="155"/>
    </row>
    <row r="2597" spans="2:213" s="156" customFormat="1" hidden="1">
      <c r="B2597" s="155"/>
      <c r="C2597" s="155"/>
      <c r="D2597" s="155"/>
      <c r="E2597" s="155"/>
      <c r="F2597" s="155"/>
      <c r="G2597" s="155"/>
      <c r="H2597" s="155"/>
      <c r="I2597" s="155"/>
      <c r="J2597" s="155"/>
      <c r="K2597" s="155"/>
      <c r="L2597" s="155"/>
      <c r="M2597" s="155"/>
      <c r="N2597" s="155"/>
      <c r="O2597" s="155"/>
      <c r="P2597" s="155"/>
      <c r="Q2597" s="155"/>
      <c r="R2597" s="155"/>
      <c r="S2597" s="155"/>
      <c r="T2597" s="155"/>
      <c r="U2597" s="155"/>
      <c r="V2597" s="155"/>
      <c r="W2597" s="155"/>
      <c r="GL2597" s="155"/>
      <c r="GM2597" s="155"/>
      <c r="GN2597" s="155"/>
      <c r="GO2597" s="155"/>
      <c r="GP2597" s="155"/>
      <c r="GQ2597" s="155"/>
      <c r="GR2597" s="155"/>
      <c r="GS2597" s="155"/>
      <c r="GT2597" s="155"/>
      <c r="GU2597" s="155"/>
      <c r="GV2597" s="155"/>
      <c r="GW2597" s="155"/>
      <c r="GX2597" s="155"/>
      <c r="GY2597" s="155"/>
      <c r="GZ2597" s="155"/>
      <c r="HA2597" s="155"/>
      <c r="HB2597" s="155"/>
      <c r="HC2597" s="155"/>
      <c r="HD2597" s="155"/>
      <c r="HE2597" s="155"/>
    </row>
    <row r="2598" spans="2:213" s="156" customFormat="1" hidden="1">
      <c r="B2598" s="155"/>
      <c r="C2598" s="155"/>
      <c r="D2598" s="155"/>
      <c r="E2598" s="155"/>
      <c r="F2598" s="155"/>
      <c r="G2598" s="155"/>
      <c r="H2598" s="155"/>
      <c r="I2598" s="155"/>
      <c r="J2598" s="155"/>
      <c r="K2598" s="155"/>
      <c r="L2598" s="155"/>
      <c r="M2598" s="155"/>
      <c r="N2598" s="155"/>
      <c r="O2598" s="155"/>
      <c r="P2598" s="155"/>
      <c r="Q2598" s="155"/>
      <c r="R2598" s="155"/>
      <c r="S2598" s="155"/>
      <c r="T2598" s="155"/>
      <c r="U2598" s="155"/>
      <c r="V2598" s="155"/>
      <c r="W2598" s="155"/>
      <c r="GL2598" s="155"/>
      <c r="GM2598" s="155"/>
      <c r="GN2598" s="155"/>
      <c r="GO2598" s="155"/>
      <c r="GP2598" s="155"/>
      <c r="GQ2598" s="155"/>
      <c r="GR2598" s="155"/>
      <c r="GS2598" s="155"/>
      <c r="GT2598" s="155"/>
      <c r="GU2598" s="155"/>
      <c r="GV2598" s="155"/>
      <c r="GW2598" s="155"/>
      <c r="GX2598" s="155"/>
      <c r="GY2598" s="155"/>
      <c r="GZ2598" s="155"/>
      <c r="HA2598" s="155"/>
      <c r="HB2598" s="155"/>
      <c r="HC2598" s="155"/>
      <c r="HD2598" s="155"/>
      <c r="HE2598" s="155"/>
    </row>
    <row r="2599" spans="2:213" s="156" customFormat="1" hidden="1">
      <c r="B2599" s="155"/>
      <c r="C2599" s="155"/>
      <c r="D2599" s="155"/>
      <c r="E2599" s="155"/>
      <c r="F2599" s="155"/>
      <c r="G2599" s="155"/>
      <c r="H2599" s="155"/>
      <c r="I2599" s="155"/>
      <c r="J2599" s="155"/>
      <c r="K2599" s="155"/>
      <c r="L2599" s="155"/>
      <c r="M2599" s="155"/>
      <c r="N2599" s="155"/>
      <c r="O2599" s="155"/>
      <c r="P2599" s="155"/>
      <c r="Q2599" s="155"/>
      <c r="R2599" s="155"/>
      <c r="S2599" s="155"/>
      <c r="T2599" s="155"/>
      <c r="U2599" s="155"/>
      <c r="V2599" s="155"/>
      <c r="W2599" s="155"/>
      <c r="GL2599" s="155"/>
      <c r="GM2599" s="155"/>
      <c r="GN2599" s="155"/>
      <c r="GO2599" s="155"/>
      <c r="GP2599" s="155"/>
      <c r="GQ2599" s="155"/>
      <c r="GR2599" s="155"/>
      <c r="GS2599" s="155"/>
      <c r="GT2599" s="155"/>
      <c r="GU2599" s="155"/>
      <c r="GV2599" s="155"/>
      <c r="GW2599" s="155"/>
      <c r="GX2599" s="155"/>
      <c r="GY2599" s="155"/>
      <c r="GZ2599" s="155"/>
      <c r="HA2599" s="155"/>
      <c r="HB2599" s="155"/>
      <c r="HC2599" s="155"/>
      <c r="HD2599" s="155"/>
      <c r="HE2599" s="155"/>
    </row>
    <row r="2600" spans="2:213" s="156" customFormat="1" hidden="1">
      <c r="B2600" s="155"/>
      <c r="C2600" s="155"/>
      <c r="D2600" s="155"/>
      <c r="E2600" s="155"/>
      <c r="F2600" s="155"/>
      <c r="G2600" s="155"/>
      <c r="H2600" s="155"/>
      <c r="I2600" s="155"/>
      <c r="J2600" s="155"/>
      <c r="K2600" s="155"/>
      <c r="L2600" s="155"/>
      <c r="M2600" s="155"/>
      <c r="N2600" s="155"/>
      <c r="O2600" s="155"/>
      <c r="P2600" s="155"/>
      <c r="Q2600" s="155"/>
      <c r="R2600" s="155"/>
      <c r="S2600" s="155"/>
      <c r="T2600" s="155"/>
      <c r="U2600" s="155"/>
      <c r="V2600" s="155"/>
      <c r="W2600" s="155"/>
      <c r="GL2600" s="155"/>
      <c r="GM2600" s="155"/>
      <c r="GN2600" s="155"/>
      <c r="GO2600" s="155"/>
      <c r="GP2600" s="155"/>
      <c r="GQ2600" s="155"/>
      <c r="GR2600" s="155"/>
      <c r="GS2600" s="155"/>
      <c r="GT2600" s="155"/>
      <c r="GU2600" s="155"/>
      <c r="GV2600" s="155"/>
      <c r="GW2600" s="155"/>
      <c r="GX2600" s="155"/>
      <c r="GY2600" s="155"/>
      <c r="GZ2600" s="155"/>
      <c r="HA2600" s="155"/>
      <c r="HB2600" s="155"/>
      <c r="HC2600" s="155"/>
      <c r="HD2600" s="155"/>
      <c r="HE2600" s="155"/>
    </row>
    <row r="2601" spans="2:213" s="156" customFormat="1" hidden="1">
      <c r="B2601" s="155"/>
      <c r="C2601" s="155"/>
      <c r="D2601" s="155"/>
      <c r="E2601" s="155"/>
      <c r="F2601" s="155"/>
      <c r="G2601" s="155"/>
      <c r="H2601" s="155"/>
      <c r="I2601" s="155"/>
      <c r="J2601" s="155"/>
      <c r="K2601" s="155"/>
      <c r="L2601" s="155"/>
      <c r="M2601" s="155"/>
      <c r="N2601" s="155"/>
      <c r="O2601" s="155"/>
      <c r="P2601" s="155"/>
      <c r="Q2601" s="155"/>
      <c r="R2601" s="155"/>
      <c r="S2601" s="155"/>
      <c r="T2601" s="155"/>
      <c r="U2601" s="155"/>
      <c r="V2601" s="155"/>
      <c r="W2601" s="155"/>
      <c r="GL2601" s="155"/>
      <c r="GM2601" s="155"/>
      <c r="GN2601" s="155"/>
      <c r="GO2601" s="155"/>
      <c r="GP2601" s="155"/>
      <c r="GQ2601" s="155"/>
      <c r="GR2601" s="155"/>
      <c r="GS2601" s="155"/>
      <c r="GT2601" s="155"/>
      <c r="GU2601" s="155"/>
      <c r="GV2601" s="155"/>
      <c r="GW2601" s="155"/>
      <c r="GX2601" s="155"/>
      <c r="GY2601" s="155"/>
      <c r="GZ2601" s="155"/>
      <c r="HA2601" s="155"/>
      <c r="HB2601" s="155"/>
      <c r="HC2601" s="155"/>
      <c r="HD2601" s="155"/>
      <c r="HE2601" s="155"/>
    </row>
    <row r="2602" spans="2:213" s="156" customFormat="1" hidden="1">
      <c r="B2602" s="155"/>
      <c r="C2602" s="155"/>
      <c r="D2602" s="155"/>
      <c r="E2602" s="155"/>
      <c r="F2602" s="155"/>
      <c r="G2602" s="155"/>
      <c r="H2602" s="155"/>
      <c r="I2602" s="155"/>
      <c r="J2602" s="155"/>
      <c r="K2602" s="155"/>
      <c r="L2602" s="155"/>
      <c r="M2602" s="155"/>
      <c r="N2602" s="155"/>
      <c r="O2602" s="155"/>
      <c r="P2602" s="155"/>
      <c r="Q2602" s="155"/>
      <c r="R2602" s="155"/>
      <c r="S2602" s="155"/>
      <c r="T2602" s="155"/>
      <c r="U2602" s="155"/>
      <c r="V2602" s="155"/>
      <c r="W2602" s="155"/>
      <c r="GL2602" s="155"/>
      <c r="GM2602" s="155"/>
      <c r="GN2602" s="155"/>
      <c r="GO2602" s="155"/>
      <c r="GP2602" s="155"/>
      <c r="GQ2602" s="155"/>
      <c r="GR2602" s="155"/>
      <c r="GS2602" s="155"/>
      <c r="GT2602" s="155"/>
      <c r="GU2602" s="155"/>
      <c r="GV2602" s="155"/>
      <c r="GW2602" s="155"/>
      <c r="GX2602" s="155"/>
      <c r="GY2602" s="155"/>
      <c r="GZ2602" s="155"/>
      <c r="HA2602" s="155"/>
      <c r="HB2602" s="155"/>
      <c r="HC2602" s="155"/>
      <c r="HD2602" s="155"/>
      <c r="HE2602" s="155"/>
    </row>
    <row r="2603" spans="2:213" s="156" customFormat="1" hidden="1">
      <c r="B2603" s="155"/>
      <c r="C2603" s="155"/>
      <c r="D2603" s="155"/>
      <c r="E2603" s="155"/>
      <c r="F2603" s="155"/>
      <c r="G2603" s="155"/>
      <c r="H2603" s="155"/>
      <c r="I2603" s="155"/>
      <c r="J2603" s="155"/>
      <c r="K2603" s="155"/>
      <c r="L2603" s="155"/>
      <c r="M2603" s="155"/>
      <c r="N2603" s="155"/>
      <c r="O2603" s="155"/>
      <c r="P2603" s="155"/>
      <c r="Q2603" s="155"/>
      <c r="R2603" s="155"/>
      <c r="S2603" s="155"/>
      <c r="T2603" s="155"/>
      <c r="U2603" s="155"/>
      <c r="V2603" s="155"/>
      <c r="W2603" s="155"/>
      <c r="GL2603" s="155"/>
      <c r="GM2603" s="155"/>
      <c r="GN2603" s="155"/>
      <c r="GO2603" s="155"/>
      <c r="GP2603" s="155"/>
      <c r="GQ2603" s="155"/>
      <c r="GR2603" s="155"/>
      <c r="GS2603" s="155"/>
      <c r="GT2603" s="155"/>
      <c r="GU2603" s="155"/>
      <c r="GV2603" s="155"/>
      <c r="GW2603" s="155"/>
      <c r="GX2603" s="155"/>
      <c r="GY2603" s="155"/>
      <c r="GZ2603" s="155"/>
      <c r="HA2603" s="155"/>
      <c r="HB2603" s="155"/>
      <c r="HC2603" s="155"/>
      <c r="HD2603" s="155"/>
      <c r="HE2603" s="155"/>
    </row>
    <row r="2604" spans="2:213" s="156" customFormat="1" hidden="1">
      <c r="B2604" s="155"/>
      <c r="C2604" s="155"/>
      <c r="D2604" s="155"/>
      <c r="E2604" s="155"/>
      <c r="F2604" s="155"/>
      <c r="G2604" s="155"/>
      <c r="H2604" s="155"/>
      <c r="I2604" s="155"/>
      <c r="J2604" s="155"/>
      <c r="K2604" s="155"/>
      <c r="L2604" s="155"/>
      <c r="M2604" s="155"/>
      <c r="N2604" s="155"/>
      <c r="O2604" s="155"/>
      <c r="P2604" s="155"/>
      <c r="Q2604" s="155"/>
      <c r="R2604" s="155"/>
      <c r="S2604" s="155"/>
      <c r="T2604" s="155"/>
      <c r="U2604" s="155"/>
      <c r="V2604" s="155"/>
      <c r="W2604" s="155"/>
      <c r="GL2604" s="155"/>
      <c r="GM2604" s="155"/>
      <c r="GN2604" s="155"/>
      <c r="GO2604" s="155"/>
      <c r="GP2604" s="155"/>
      <c r="GQ2604" s="155"/>
      <c r="GR2604" s="155"/>
      <c r="GS2604" s="155"/>
      <c r="GT2604" s="155"/>
      <c r="GU2604" s="155"/>
      <c r="GV2604" s="155"/>
      <c r="GW2604" s="155"/>
      <c r="GX2604" s="155"/>
      <c r="GY2604" s="155"/>
      <c r="GZ2604" s="155"/>
      <c r="HA2604" s="155"/>
      <c r="HB2604" s="155"/>
      <c r="HC2604" s="155"/>
      <c r="HD2604" s="155"/>
      <c r="HE2604" s="155"/>
    </row>
    <row r="2605" spans="2:213" s="156" customFormat="1" hidden="1">
      <c r="B2605" s="155"/>
      <c r="C2605" s="155"/>
      <c r="D2605" s="155"/>
      <c r="E2605" s="155"/>
      <c r="F2605" s="155"/>
      <c r="G2605" s="155"/>
      <c r="H2605" s="155"/>
      <c r="I2605" s="155"/>
      <c r="J2605" s="155"/>
      <c r="K2605" s="155"/>
      <c r="L2605" s="155"/>
      <c r="M2605" s="155"/>
      <c r="N2605" s="155"/>
      <c r="O2605" s="155"/>
      <c r="P2605" s="155"/>
      <c r="Q2605" s="155"/>
      <c r="R2605" s="155"/>
      <c r="S2605" s="155"/>
      <c r="T2605" s="155"/>
      <c r="U2605" s="155"/>
      <c r="V2605" s="155"/>
      <c r="W2605" s="155"/>
      <c r="GL2605" s="155"/>
      <c r="GM2605" s="155"/>
      <c r="GN2605" s="155"/>
      <c r="GO2605" s="155"/>
      <c r="GP2605" s="155"/>
      <c r="GQ2605" s="155"/>
      <c r="GR2605" s="155"/>
      <c r="GS2605" s="155"/>
      <c r="GT2605" s="155"/>
      <c r="GU2605" s="155"/>
      <c r="GV2605" s="155"/>
      <c r="GW2605" s="155"/>
      <c r="GX2605" s="155"/>
      <c r="GY2605" s="155"/>
      <c r="GZ2605" s="155"/>
      <c r="HA2605" s="155"/>
      <c r="HB2605" s="155"/>
      <c r="HC2605" s="155"/>
      <c r="HD2605" s="155"/>
      <c r="HE2605" s="155"/>
    </row>
    <row r="2606" spans="2:213" s="156" customFormat="1" hidden="1">
      <c r="B2606" s="155"/>
      <c r="C2606" s="155"/>
      <c r="D2606" s="155"/>
      <c r="E2606" s="155"/>
      <c r="F2606" s="155"/>
      <c r="G2606" s="155"/>
      <c r="H2606" s="155"/>
      <c r="I2606" s="155"/>
      <c r="J2606" s="155"/>
      <c r="K2606" s="155"/>
      <c r="L2606" s="155"/>
      <c r="M2606" s="155"/>
      <c r="N2606" s="155"/>
      <c r="O2606" s="155"/>
      <c r="P2606" s="155"/>
      <c r="Q2606" s="155"/>
      <c r="R2606" s="155"/>
      <c r="S2606" s="155"/>
      <c r="T2606" s="155"/>
      <c r="U2606" s="155"/>
      <c r="V2606" s="155"/>
      <c r="W2606" s="155"/>
      <c r="GL2606" s="155"/>
      <c r="GM2606" s="155"/>
      <c r="GN2606" s="155"/>
      <c r="GO2606" s="155"/>
      <c r="GP2606" s="155"/>
      <c r="GQ2606" s="155"/>
      <c r="GR2606" s="155"/>
      <c r="GS2606" s="155"/>
      <c r="GT2606" s="155"/>
      <c r="GU2606" s="155"/>
      <c r="GV2606" s="155"/>
      <c r="GW2606" s="155"/>
      <c r="GX2606" s="155"/>
      <c r="GY2606" s="155"/>
      <c r="GZ2606" s="155"/>
      <c r="HA2606" s="155"/>
      <c r="HB2606" s="155"/>
      <c r="HC2606" s="155"/>
      <c r="HD2606" s="155"/>
      <c r="HE2606" s="155"/>
    </row>
    <row r="2607" spans="2:213" s="156" customFormat="1" hidden="1">
      <c r="B2607" s="155"/>
      <c r="C2607" s="155"/>
      <c r="D2607" s="155"/>
      <c r="E2607" s="155"/>
      <c r="F2607" s="155"/>
      <c r="G2607" s="155"/>
      <c r="H2607" s="155"/>
      <c r="I2607" s="155"/>
      <c r="J2607" s="155"/>
      <c r="K2607" s="155"/>
      <c r="L2607" s="155"/>
      <c r="M2607" s="155"/>
      <c r="N2607" s="155"/>
      <c r="O2607" s="155"/>
      <c r="P2607" s="155"/>
      <c r="Q2607" s="155"/>
      <c r="R2607" s="155"/>
      <c r="S2607" s="155"/>
      <c r="T2607" s="155"/>
      <c r="U2607" s="155"/>
      <c r="V2607" s="155"/>
      <c r="W2607" s="155"/>
      <c r="GL2607" s="155"/>
      <c r="GM2607" s="155"/>
      <c r="GN2607" s="155"/>
      <c r="GO2607" s="155"/>
      <c r="GP2607" s="155"/>
      <c r="GQ2607" s="155"/>
      <c r="GR2607" s="155"/>
      <c r="GS2607" s="155"/>
      <c r="GT2607" s="155"/>
      <c r="GU2607" s="155"/>
      <c r="GV2607" s="155"/>
      <c r="GW2607" s="155"/>
      <c r="GX2607" s="155"/>
      <c r="GY2607" s="155"/>
      <c r="GZ2607" s="155"/>
      <c r="HA2607" s="155"/>
      <c r="HB2607" s="155"/>
      <c r="HC2607" s="155"/>
      <c r="HD2607" s="155"/>
      <c r="HE2607" s="155"/>
    </row>
    <row r="2608" spans="2:213" s="156" customFormat="1" hidden="1">
      <c r="B2608" s="155"/>
      <c r="C2608" s="155"/>
      <c r="D2608" s="155"/>
      <c r="E2608" s="155"/>
      <c r="F2608" s="155"/>
      <c r="G2608" s="155"/>
      <c r="H2608" s="155"/>
      <c r="I2608" s="155"/>
      <c r="J2608" s="155"/>
      <c r="K2608" s="155"/>
      <c r="L2608" s="155"/>
      <c r="M2608" s="155"/>
      <c r="N2608" s="155"/>
      <c r="O2608" s="155"/>
      <c r="P2608" s="155"/>
      <c r="Q2608" s="155"/>
      <c r="R2608" s="155"/>
      <c r="S2608" s="155"/>
      <c r="T2608" s="155"/>
      <c r="U2608" s="155"/>
      <c r="V2608" s="155"/>
      <c r="W2608" s="155"/>
      <c r="GL2608" s="155"/>
      <c r="GM2608" s="155"/>
      <c r="GN2608" s="155"/>
      <c r="GO2608" s="155"/>
      <c r="GP2608" s="155"/>
      <c r="GQ2608" s="155"/>
      <c r="GR2608" s="155"/>
      <c r="GS2608" s="155"/>
      <c r="GT2608" s="155"/>
      <c r="GU2608" s="155"/>
      <c r="GV2608" s="155"/>
      <c r="GW2608" s="155"/>
      <c r="GX2608" s="155"/>
      <c r="GY2608" s="155"/>
      <c r="GZ2608" s="155"/>
      <c r="HA2608" s="155"/>
      <c r="HB2608" s="155"/>
      <c r="HC2608" s="155"/>
      <c r="HD2608" s="155"/>
      <c r="HE2608" s="155"/>
    </row>
    <row r="2609" spans="2:213" s="156" customFormat="1" hidden="1">
      <c r="B2609" s="155"/>
      <c r="C2609" s="155"/>
      <c r="D2609" s="155"/>
      <c r="E2609" s="155"/>
      <c r="F2609" s="155"/>
      <c r="G2609" s="155"/>
      <c r="H2609" s="155"/>
      <c r="I2609" s="155"/>
      <c r="J2609" s="155"/>
      <c r="K2609" s="155"/>
      <c r="L2609" s="155"/>
      <c r="M2609" s="155"/>
      <c r="N2609" s="155"/>
      <c r="O2609" s="155"/>
      <c r="P2609" s="155"/>
      <c r="Q2609" s="155"/>
      <c r="R2609" s="155"/>
      <c r="S2609" s="155"/>
      <c r="T2609" s="155"/>
      <c r="U2609" s="155"/>
      <c r="V2609" s="155"/>
      <c r="W2609" s="155"/>
      <c r="GL2609" s="155"/>
      <c r="GM2609" s="155"/>
      <c r="GN2609" s="155"/>
      <c r="GO2609" s="155"/>
      <c r="GP2609" s="155"/>
      <c r="GQ2609" s="155"/>
      <c r="GR2609" s="155"/>
      <c r="GS2609" s="155"/>
      <c r="GT2609" s="155"/>
      <c r="GU2609" s="155"/>
      <c r="GV2609" s="155"/>
      <c r="GW2609" s="155"/>
      <c r="GX2609" s="155"/>
      <c r="GY2609" s="155"/>
      <c r="GZ2609" s="155"/>
      <c r="HA2609" s="155"/>
      <c r="HB2609" s="155"/>
      <c r="HC2609" s="155"/>
      <c r="HD2609" s="155"/>
      <c r="HE2609" s="155"/>
    </row>
    <row r="2610" spans="2:213" s="156" customFormat="1" hidden="1">
      <c r="B2610" s="155"/>
      <c r="C2610" s="155"/>
      <c r="D2610" s="155"/>
      <c r="E2610" s="155"/>
      <c r="F2610" s="155"/>
      <c r="G2610" s="155"/>
      <c r="H2610" s="155"/>
      <c r="I2610" s="155"/>
      <c r="J2610" s="155"/>
      <c r="K2610" s="155"/>
      <c r="L2610" s="155"/>
      <c r="M2610" s="155"/>
      <c r="N2610" s="155"/>
      <c r="O2610" s="155"/>
      <c r="P2610" s="155"/>
      <c r="Q2610" s="155"/>
      <c r="R2610" s="155"/>
      <c r="S2610" s="155"/>
      <c r="T2610" s="155"/>
      <c r="U2610" s="155"/>
      <c r="V2610" s="155"/>
      <c r="W2610" s="155"/>
      <c r="GL2610" s="155"/>
      <c r="GM2610" s="155"/>
      <c r="GN2610" s="155"/>
      <c r="GO2610" s="155"/>
      <c r="GP2610" s="155"/>
      <c r="GQ2610" s="155"/>
      <c r="GR2610" s="155"/>
      <c r="GS2610" s="155"/>
      <c r="GT2610" s="155"/>
      <c r="GU2610" s="155"/>
      <c r="GV2610" s="155"/>
      <c r="GW2610" s="155"/>
      <c r="GX2610" s="155"/>
      <c r="GY2610" s="155"/>
      <c r="GZ2610" s="155"/>
      <c r="HA2610" s="155"/>
      <c r="HB2610" s="155"/>
      <c r="HC2610" s="155"/>
      <c r="HD2610" s="155"/>
      <c r="HE2610" s="155"/>
    </row>
    <row r="2611" spans="2:213" s="156" customFormat="1" hidden="1">
      <c r="B2611" s="155"/>
      <c r="C2611" s="155"/>
      <c r="D2611" s="155"/>
      <c r="E2611" s="155"/>
      <c r="F2611" s="155"/>
      <c r="G2611" s="155"/>
      <c r="H2611" s="155"/>
      <c r="I2611" s="155"/>
      <c r="J2611" s="155"/>
      <c r="K2611" s="155"/>
      <c r="L2611" s="155"/>
      <c r="M2611" s="155"/>
      <c r="N2611" s="155"/>
      <c r="O2611" s="155"/>
      <c r="P2611" s="155"/>
      <c r="Q2611" s="155"/>
      <c r="R2611" s="155"/>
      <c r="S2611" s="155"/>
      <c r="T2611" s="155"/>
      <c r="U2611" s="155"/>
      <c r="V2611" s="155"/>
      <c r="W2611" s="155"/>
      <c r="GL2611" s="155"/>
      <c r="GM2611" s="155"/>
      <c r="GN2611" s="155"/>
      <c r="GO2611" s="155"/>
      <c r="GP2611" s="155"/>
      <c r="GQ2611" s="155"/>
      <c r="GR2611" s="155"/>
      <c r="GS2611" s="155"/>
      <c r="GT2611" s="155"/>
      <c r="GU2611" s="155"/>
      <c r="GV2611" s="155"/>
      <c r="GW2611" s="155"/>
      <c r="GX2611" s="155"/>
      <c r="GY2611" s="155"/>
      <c r="GZ2611" s="155"/>
      <c r="HA2611" s="155"/>
      <c r="HB2611" s="155"/>
      <c r="HC2611" s="155"/>
      <c r="HD2611" s="155"/>
      <c r="HE2611" s="155"/>
    </row>
    <row r="2612" spans="2:213" s="156" customFormat="1" hidden="1">
      <c r="B2612" s="155"/>
      <c r="C2612" s="155"/>
      <c r="D2612" s="155"/>
      <c r="E2612" s="155"/>
      <c r="F2612" s="155"/>
      <c r="G2612" s="155"/>
      <c r="H2612" s="155"/>
      <c r="I2612" s="155"/>
      <c r="J2612" s="155"/>
      <c r="K2612" s="155"/>
      <c r="L2612" s="155"/>
      <c r="M2612" s="155"/>
      <c r="N2612" s="155"/>
      <c r="O2612" s="155"/>
      <c r="P2612" s="155"/>
      <c r="Q2612" s="155"/>
      <c r="R2612" s="155"/>
      <c r="S2612" s="155"/>
      <c r="T2612" s="155"/>
      <c r="U2612" s="155"/>
      <c r="V2612" s="155"/>
      <c r="W2612" s="155"/>
      <c r="GL2612" s="155"/>
      <c r="GM2612" s="155"/>
      <c r="GN2612" s="155"/>
      <c r="GO2612" s="155"/>
      <c r="GP2612" s="155"/>
      <c r="GQ2612" s="155"/>
      <c r="GR2612" s="155"/>
      <c r="GS2612" s="155"/>
      <c r="GT2612" s="155"/>
      <c r="GU2612" s="155"/>
      <c r="GV2612" s="155"/>
      <c r="GW2612" s="155"/>
      <c r="GX2612" s="155"/>
      <c r="GY2612" s="155"/>
      <c r="GZ2612" s="155"/>
      <c r="HA2612" s="155"/>
      <c r="HB2612" s="155"/>
      <c r="HC2612" s="155"/>
      <c r="HD2612" s="155"/>
      <c r="HE2612" s="155"/>
    </row>
    <row r="2613" spans="2:213" s="156" customFormat="1" hidden="1">
      <c r="B2613" s="155"/>
      <c r="C2613" s="155"/>
      <c r="D2613" s="155"/>
      <c r="E2613" s="155"/>
      <c r="F2613" s="155"/>
      <c r="G2613" s="155"/>
      <c r="H2613" s="155"/>
      <c r="I2613" s="155"/>
      <c r="J2613" s="155"/>
      <c r="K2613" s="155"/>
      <c r="L2613" s="155"/>
      <c r="M2613" s="155"/>
      <c r="N2613" s="155"/>
      <c r="O2613" s="155"/>
      <c r="P2613" s="155"/>
      <c r="Q2613" s="155"/>
      <c r="R2613" s="155"/>
      <c r="S2613" s="155"/>
      <c r="T2613" s="155"/>
      <c r="U2613" s="155"/>
      <c r="V2613" s="155"/>
      <c r="W2613" s="155"/>
      <c r="GL2613" s="155"/>
      <c r="GM2613" s="155"/>
      <c r="GN2613" s="155"/>
      <c r="GO2613" s="155"/>
      <c r="GP2613" s="155"/>
      <c r="GQ2613" s="155"/>
      <c r="GR2613" s="155"/>
      <c r="GS2613" s="155"/>
      <c r="GT2613" s="155"/>
      <c r="GU2613" s="155"/>
      <c r="GV2613" s="155"/>
      <c r="GW2613" s="155"/>
      <c r="GX2613" s="155"/>
      <c r="GY2613" s="155"/>
      <c r="GZ2613" s="155"/>
      <c r="HA2613" s="155"/>
      <c r="HB2613" s="155"/>
      <c r="HC2613" s="155"/>
      <c r="HD2613" s="155"/>
      <c r="HE2613" s="155"/>
    </row>
    <row r="2614" spans="2:213" s="156" customFormat="1" hidden="1">
      <c r="B2614" s="155"/>
      <c r="C2614" s="155"/>
      <c r="D2614" s="155"/>
      <c r="E2614" s="155"/>
      <c r="F2614" s="155"/>
      <c r="G2614" s="155"/>
      <c r="H2614" s="155"/>
      <c r="I2614" s="155"/>
      <c r="J2614" s="155"/>
      <c r="K2614" s="155"/>
      <c r="L2614" s="155"/>
      <c r="M2614" s="155"/>
      <c r="N2614" s="155"/>
      <c r="O2614" s="155"/>
      <c r="P2614" s="155"/>
      <c r="Q2614" s="155"/>
      <c r="R2614" s="155"/>
      <c r="S2614" s="155"/>
      <c r="T2614" s="155"/>
      <c r="U2614" s="155"/>
      <c r="V2614" s="155"/>
      <c r="W2614" s="155"/>
      <c r="GL2614" s="155"/>
      <c r="GM2614" s="155"/>
      <c r="GN2614" s="155"/>
      <c r="GO2614" s="155"/>
      <c r="GP2614" s="155"/>
      <c r="GQ2614" s="155"/>
      <c r="GR2614" s="155"/>
      <c r="GS2614" s="155"/>
      <c r="GT2614" s="155"/>
      <c r="GU2614" s="155"/>
      <c r="GV2614" s="155"/>
      <c r="GW2614" s="155"/>
      <c r="GX2614" s="155"/>
      <c r="GY2614" s="155"/>
      <c r="GZ2614" s="155"/>
      <c r="HA2614" s="155"/>
      <c r="HB2614" s="155"/>
      <c r="HC2614" s="155"/>
      <c r="HD2614" s="155"/>
      <c r="HE2614" s="155"/>
    </row>
    <row r="2615" spans="2:213" s="156" customFormat="1" hidden="1">
      <c r="B2615" s="155"/>
      <c r="C2615" s="155"/>
      <c r="D2615" s="155"/>
      <c r="E2615" s="155"/>
      <c r="F2615" s="155"/>
      <c r="G2615" s="155"/>
      <c r="H2615" s="155"/>
      <c r="I2615" s="155"/>
      <c r="J2615" s="155"/>
      <c r="K2615" s="155"/>
      <c r="L2615" s="155"/>
      <c r="M2615" s="155"/>
      <c r="N2615" s="155"/>
      <c r="O2615" s="155"/>
      <c r="P2615" s="155"/>
      <c r="Q2615" s="155"/>
      <c r="R2615" s="155"/>
      <c r="S2615" s="155"/>
      <c r="T2615" s="155"/>
      <c r="U2615" s="155"/>
      <c r="V2615" s="155"/>
      <c r="W2615" s="155"/>
      <c r="GL2615" s="155"/>
      <c r="GM2615" s="155"/>
      <c r="GN2615" s="155"/>
      <c r="GO2615" s="155"/>
      <c r="GP2615" s="155"/>
      <c r="GQ2615" s="155"/>
      <c r="GR2615" s="155"/>
      <c r="GS2615" s="155"/>
      <c r="GT2615" s="155"/>
      <c r="GU2615" s="155"/>
      <c r="GV2615" s="155"/>
      <c r="GW2615" s="155"/>
      <c r="GX2615" s="155"/>
      <c r="GY2615" s="155"/>
      <c r="GZ2615" s="155"/>
      <c r="HA2615" s="155"/>
      <c r="HB2615" s="155"/>
      <c r="HC2615" s="155"/>
      <c r="HD2615" s="155"/>
      <c r="HE2615" s="155"/>
    </row>
    <row r="2616" spans="2:213" s="156" customFormat="1" hidden="1">
      <c r="B2616" s="155"/>
      <c r="C2616" s="155"/>
      <c r="D2616" s="155"/>
      <c r="E2616" s="155"/>
      <c r="F2616" s="155"/>
      <c r="G2616" s="155"/>
      <c r="H2616" s="155"/>
      <c r="I2616" s="155"/>
      <c r="J2616" s="155"/>
      <c r="K2616" s="155"/>
      <c r="L2616" s="155"/>
      <c r="M2616" s="155"/>
      <c r="N2616" s="155"/>
      <c r="O2616" s="155"/>
      <c r="P2616" s="155"/>
      <c r="Q2616" s="155"/>
      <c r="R2616" s="155"/>
      <c r="S2616" s="155"/>
      <c r="T2616" s="155"/>
      <c r="U2616" s="155"/>
      <c r="V2616" s="155"/>
      <c r="W2616" s="155"/>
      <c r="GL2616" s="155"/>
      <c r="GM2616" s="155"/>
      <c r="GN2616" s="155"/>
      <c r="GO2616" s="155"/>
      <c r="GP2616" s="155"/>
      <c r="GQ2616" s="155"/>
      <c r="GR2616" s="155"/>
      <c r="GS2616" s="155"/>
      <c r="GT2616" s="155"/>
      <c r="GU2616" s="155"/>
      <c r="GV2616" s="155"/>
      <c r="GW2616" s="155"/>
      <c r="GX2616" s="155"/>
      <c r="GY2616" s="155"/>
      <c r="GZ2616" s="155"/>
      <c r="HA2616" s="155"/>
      <c r="HB2616" s="155"/>
      <c r="HC2616" s="155"/>
      <c r="HD2616" s="155"/>
      <c r="HE2616" s="155"/>
    </row>
    <row r="2617" spans="2:213" s="156" customFormat="1" hidden="1">
      <c r="B2617" s="155"/>
      <c r="C2617" s="155"/>
      <c r="D2617" s="155"/>
      <c r="E2617" s="155"/>
      <c r="F2617" s="155"/>
      <c r="G2617" s="155"/>
      <c r="H2617" s="155"/>
      <c r="I2617" s="155"/>
      <c r="J2617" s="155"/>
      <c r="K2617" s="155"/>
      <c r="L2617" s="155"/>
      <c r="M2617" s="155"/>
      <c r="N2617" s="155"/>
      <c r="O2617" s="155"/>
      <c r="P2617" s="155"/>
      <c r="Q2617" s="155"/>
      <c r="R2617" s="155"/>
      <c r="S2617" s="155"/>
      <c r="T2617" s="155"/>
      <c r="U2617" s="155"/>
      <c r="V2617" s="155"/>
      <c r="W2617" s="155"/>
      <c r="GL2617" s="155"/>
      <c r="GM2617" s="155"/>
      <c r="GN2617" s="155"/>
      <c r="GO2617" s="155"/>
      <c r="GP2617" s="155"/>
      <c r="GQ2617" s="155"/>
      <c r="GR2617" s="155"/>
      <c r="GS2617" s="155"/>
      <c r="GT2617" s="155"/>
      <c r="GU2617" s="155"/>
      <c r="GV2617" s="155"/>
      <c r="GW2617" s="155"/>
      <c r="GX2617" s="155"/>
      <c r="GY2617" s="155"/>
      <c r="GZ2617" s="155"/>
      <c r="HA2617" s="155"/>
      <c r="HB2617" s="155"/>
      <c r="HC2617" s="155"/>
      <c r="HD2617" s="155"/>
      <c r="HE2617" s="155"/>
    </row>
    <row r="2618" spans="2:213" s="156" customFormat="1" hidden="1">
      <c r="B2618" s="155"/>
      <c r="C2618" s="155"/>
      <c r="D2618" s="155"/>
      <c r="E2618" s="155"/>
      <c r="F2618" s="155"/>
      <c r="G2618" s="155"/>
      <c r="H2618" s="155"/>
      <c r="I2618" s="155"/>
      <c r="J2618" s="155"/>
      <c r="K2618" s="155"/>
      <c r="L2618" s="155"/>
      <c r="M2618" s="155"/>
      <c r="N2618" s="155"/>
      <c r="O2618" s="155"/>
      <c r="P2618" s="155"/>
      <c r="Q2618" s="155"/>
      <c r="R2618" s="155"/>
      <c r="S2618" s="155"/>
      <c r="T2618" s="155"/>
      <c r="U2618" s="155"/>
      <c r="V2618" s="155"/>
      <c r="W2618" s="155"/>
      <c r="GL2618" s="155"/>
      <c r="GM2618" s="155"/>
      <c r="GN2618" s="155"/>
      <c r="GO2618" s="155"/>
      <c r="GP2618" s="155"/>
      <c r="GQ2618" s="155"/>
      <c r="GR2618" s="155"/>
      <c r="GS2618" s="155"/>
      <c r="GT2618" s="155"/>
      <c r="GU2618" s="155"/>
      <c r="GV2618" s="155"/>
      <c r="GW2618" s="155"/>
      <c r="GX2618" s="155"/>
      <c r="GY2618" s="155"/>
      <c r="GZ2618" s="155"/>
      <c r="HA2618" s="155"/>
      <c r="HB2618" s="155"/>
      <c r="HC2618" s="155"/>
      <c r="HD2618" s="155"/>
      <c r="HE2618" s="155"/>
    </row>
    <row r="2619" spans="2:213" s="156" customFormat="1" hidden="1">
      <c r="B2619" s="155"/>
      <c r="C2619" s="155"/>
      <c r="D2619" s="155"/>
      <c r="E2619" s="155"/>
      <c r="F2619" s="155"/>
      <c r="G2619" s="155"/>
      <c r="H2619" s="155"/>
      <c r="I2619" s="155"/>
      <c r="J2619" s="155"/>
      <c r="K2619" s="155"/>
      <c r="L2619" s="155"/>
      <c r="M2619" s="155"/>
      <c r="N2619" s="155"/>
      <c r="O2619" s="155"/>
      <c r="P2619" s="155"/>
      <c r="Q2619" s="155"/>
      <c r="R2619" s="155"/>
      <c r="S2619" s="155"/>
      <c r="T2619" s="155"/>
      <c r="U2619" s="155"/>
      <c r="V2619" s="155"/>
      <c r="W2619" s="155"/>
      <c r="GL2619" s="155"/>
      <c r="GM2619" s="155"/>
      <c r="GN2619" s="155"/>
      <c r="GO2619" s="155"/>
      <c r="GP2619" s="155"/>
      <c r="GQ2619" s="155"/>
      <c r="GR2619" s="155"/>
      <c r="GS2619" s="155"/>
      <c r="GT2619" s="155"/>
      <c r="GU2619" s="155"/>
      <c r="GV2619" s="155"/>
      <c r="GW2619" s="155"/>
      <c r="GX2619" s="155"/>
      <c r="GY2619" s="155"/>
      <c r="GZ2619" s="155"/>
      <c r="HA2619" s="155"/>
      <c r="HB2619" s="155"/>
      <c r="HC2619" s="155"/>
      <c r="HD2619" s="155"/>
      <c r="HE2619" s="155"/>
    </row>
    <row r="2620" spans="2:213" s="156" customFormat="1" hidden="1">
      <c r="B2620" s="155"/>
      <c r="C2620" s="155"/>
      <c r="D2620" s="155"/>
      <c r="E2620" s="155"/>
      <c r="F2620" s="155"/>
      <c r="G2620" s="155"/>
      <c r="H2620" s="155"/>
      <c r="I2620" s="155"/>
      <c r="J2620" s="155"/>
      <c r="K2620" s="155"/>
      <c r="L2620" s="155"/>
      <c r="M2620" s="155"/>
      <c r="N2620" s="155"/>
      <c r="O2620" s="155"/>
      <c r="P2620" s="155"/>
      <c r="Q2620" s="155"/>
      <c r="R2620" s="155"/>
      <c r="S2620" s="155"/>
      <c r="T2620" s="155"/>
      <c r="U2620" s="155"/>
      <c r="V2620" s="155"/>
      <c r="W2620" s="155"/>
      <c r="GL2620" s="155"/>
      <c r="GM2620" s="155"/>
      <c r="GN2620" s="155"/>
      <c r="GO2620" s="155"/>
      <c r="GP2620" s="155"/>
      <c r="GQ2620" s="155"/>
      <c r="GR2620" s="155"/>
      <c r="GS2620" s="155"/>
      <c r="GT2620" s="155"/>
      <c r="GU2620" s="155"/>
      <c r="GV2620" s="155"/>
      <c r="GW2620" s="155"/>
      <c r="GX2620" s="155"/>
      <c r="GY2620" s="155"/>
      <c r="GZ2620" s="155"/>
      <c r="HA2620" s="155"/>
      <c r="HB2620" s="155"/>
      <c r="HC2620" s="155"/>
      <c r="HD2620" s="155"/>
      <c r="HE2620" s="155"/>
    </row>
    <row r="2621" spans="2:213" s="156" customFormat="1" hidden="1">
      <c r="B2621" s="155"/>
      <c r="C2621" s="155"/>
      <c r="D2621" s="155"/>
      <c r="E2621" s="155"/>
      <c r="F2621" s="155"/>
      <c r="G2621" s="155"/>
      <c r="H2621" s="155"/>
      <c r="I2621" s="155"/>
      <c r="J2621" s="155"/>
      <c r="K2621" s="155"/>
      <c r="L2621" s="155"/>
      <c r="M2621" s="155"/>
      <c r="N2621" s="155"/>
      <c r="O2621" s="155"/>
      <c r="P2621" s="155"/>
      <c r="Q2621" s="155"/>
      <c r="R2621" s="155"/>
      <c r="S2621" s="155"/>
      <c r="T2621" s="155"/>
      <c r="U2621" s="155"/>
      <c r="V2621" s="155"/>
      <c r="W2621" s="155"/>
      <c r="GL2621" s="155"/>
      <c r="GM2621" s="155"/>
      <c r="GN2621" s="155"/>
      <c r="GO2621" s="155"/>
      <c r="GP2621" s="155"/>
      <c r="GQ2621" s="155"/>
      <c r="GR2621" s="155"/>
      <c r="GS2621" s="155"/>
      <c r="GT2621" s="155"/>
      <c r="GU2621" s="155"/>
      <c r="GV2621" s="155"/>
      <c r="GW2621" s="155"/>
      <c r="GX2621" s="155"/>
      <c r="GY2621" s="155"/>
      <c r="GZ2621" s="155"/>
      <c r="HA2621" s="155"/>
      <c r="HB2621" s="155"/>
      <c r="HC2621" s="155"/>
      <c r="HD2621" s="155"/>
      <c r="HE2621" s="155"/>
    </row>
    <row r="2622" spans="2:213" s="156" customFormat="1" hidden="1">
      <c r="B2622" s="155"/>
      <c r="C2622" s="155"/>
      <c r="D2622" s="155"/>
      <c r="E2622" s="155"/>
      <c r="F2622" s="155"/>
      <c r="G2622" s="155"/>
      <c r="H2622" s="155"/>
      <c r="I2622" s="155"/>
      <c r="J2622" s="155"/>
      <c r="K2622" s="155"/>
      <c r="L2622" s="155"/>
      <c r="M2622" s="155"/>
      <c r="N2622" s="155"/>
      <c r="O2622" s="155"/>
      <c r="P2622" s="155"/>
      <c r="Q2622" s="155"/>
      <c r="R2622" s="155"/>
      <c r="S2622" s="155"/>
      <c r="T2622" s="155"/>
      <c r="U2622" s="155"/>
      <c r="V2622" s="155"/>
      <c r="W2622" s="155"/>
      <c r="GL2622" s="155"/>
      <c r="GM2622" s="155"/>
      <c r="GN2622" s="155"/>
      <c r="GO2622" s="155"/>
      <c r="GP2622" s="155"/>
      <c r="GQ2622" s="155"/>
      <c r="GR2622" s="155"/>
      <c r="GS2622" s="155"/>
      <c r="GT2622" s="155"/>
      <c r="GU2622" s="155"/>
      <c r="GV2622" s="155"/>
      <c r="GW2622" s="155"/>
      <c r="GX2622" s="155"/>
      <c r="GY2622" s="155"/>
      <c r="GZ2622" s="155"/>
      <c r="HA2622" s="155"/>
      <c r="HB2622" s="155"/>
      <c r="HC2622" s="155"/>
      <c r="HD2622" s="155"/>
      <c r="HE2622" s="155"/>
    </row>
    <row r="2623" spans="2:213" s="156" customFormat="1" hidden="1">
      <c r="B2623" s="155"/>
      <c r="C2623" s="155"/>
      <c r="D2623" s="155"/>
      <c r="E2623" s="155"/>
      <c r="F2623" s="155"/>
      <c r="G2623" s="155"/>
      <c r="H2623" s="155"/>
      <c r="I2623" s="155"/>
      <c r="J2623" s="155"/>
      <c r="K2623" s="155"/>
      <c r="L2623" s="155"/>
      <c r="M2623" s="155"/>
      <c r="N2623" s="155"/>
      <c r="O2623" s="155"/>
      <c r="P2623" s="155"/>
      <c r="Q2623" s="155"/>
      <c r="R2623" s="155"/>
      <c r="S2623" s="155"/>
      <c r="T2623" s="155"/>
      <c r="U2623" s="155"/>
      <c r="V2623" s="155"/>
      <c r="W2623" s="155"/>
      <c r="GL2623" s="155"/>
      <c r="GM2623" s="155"/>
      <c r="GN2623" s="155"/>
      <c r="GO2623" s="155"/>
      <c r="GP2623" s="155"/>
      <c r="GQ2623" s="155"/>
      <c r="GR2623" s="155"/>
      <c r="GS2623" s="155"/>
      <c r="GT2623" s="155"/>
      <c r="GU2623" s="155"/>
      <c r="GV2623" s="155"/>
      <c r="GW2623" s="155"/>
      <c r="GX2623" s="155"/>
      <c r="GY2623" s="155"/>
      <c r="GZ2623" s="155"/>
      <c r="HA2623" s="155"/>
      <c r="HB2623" s="155"/>
      <c r="HC2623" s="155"/>
      <c r="HD2623" s="155"/>
      <c r="HE2623" s="155"/>
    </row>
    <row r="2624" spans="2:213" s="156" customFormat="1" hidden="1">
      <c r="B2624" s="155"/>
      <c r="C2624" s="155"/>
      <c r="D2624" s="155"/>
      <c r="E2624" s="155"/>
      <c r="F2624" s="155"/>
      <c r="G2624" s="155"/>
      <c r="H2624" s="155"/>
      <c r="I2624" s="155"/>
      <c r="J2624" s="155"/>
      <c r="K2624" s="155"/>
      <c r="L2624" s="155"/>
      <c r="M2624" s="155"/>
      <c r="N2624" s="155"/>
      <c r="O2624" s="155"/>
      <c r="P2624" s="155"/>
      <c r="Q2624" s="155"/>
      <c r="R2624" s="155"/>
      <c r="S2624" s="155"/>
      <c r="T2624" s="155"/>
      <c r="U2624" s="155"/>
      <c r="V2624" s="155"/>
      <c r="W2624" s="155"/>
      <c r="GL2624" s="155"/>
      <c r="GM2624" s="155"/>
      <c r="GN2624" s="155"/>
      <c r="GO2624" s="155"/>
      <c r="GP2624" s="155"/>
      <c r="GQ2624" s="155"/>
      <c r="GR2624" s="155"/>
      <c r="GS2624" s="155"/>
      <c r="GT2624" s="155"/>
      <c r="GU2624" s="155"/>
      <c r="GV2624" s="155"/>
      <c r="GW2624" s="155"/>
      <c r="GX2624" s="155"/>
      <c r="GY2624" s="155"/>
      <c r="GZ2624" s="155"/>
      <c r="HA2624" s="155"/>
      <c r="HB2624" s="155"/>
      <c r="HC2624" s="155"/>
      <c r="HD2624" s="155"/>
      <c r="HE2624" s="155"/>
    </row>
    <row r="2625" spans="2:213" s="156" customFormat="1" hidden="1">
      <c r="B2625" s="155"/>
      <c r="C2625" s="155"/>
      <c r="D2625" s="155"/>
      <c r="E2625" s="155"/>
      <c r="F2625" s="155"/>
      <c r="G2625" s="155"/>
      <c r="H2625" s="155"/>
      <c r="I2625" s="155"/>
      <c r="J2625" s="155"/>
      <c r="K2625" s="155"/>
      <c r="L2625" s="155"/>
      <c r="M2625" s="155"/>
      <c r="N2625" s="155"/>
      <c r="O2625" s="155"/>
      <c r="P2625" s="155"/>
      <c r="Q2625" s="155"/>
      <c r="R2625" s="155"/>
      <c r="S2625" s="155"/>
      <c r="T2625" s="155"/>
      <c r="U2625" s="155"/>
      <c r="V2625" s="155"/>
      <c r="W2625" s="155"/>
      <c r="GL2625" s="155"/>
      <c r="GM2625" s="155"/>
      <c r="GN2625" s="155"/>
      <c r="GO2625" s="155"/>
      <c r="GP2625" s="155"/>
      <c r="GQ2625" s="155"/>
      <c r="GR2625" s="155"/>
      <c r="GS2625" s="155"/>
      <c r="GT2625" s="155"/>
      <c r="GU2625" s="155"/>
      <c r="GV2625" s="155"/>
      <c r="GW2625" s="155"/>
      <c r="GX2625" s="155"/>
      <c r="GY2625" s="155"/>
      <c r="GZ2625" s="155"/>
      <c r="HA2625" s="155"/>
      <c r="HB2625" s="155"/>
      <c r="HC2625" s="155"/>
      <c r="HD2625" s="155"/>
      <c r="HE2625" s="155"/>
    </row>
    <row r="2626" spans="2:213" s="156" customFormat="1" hidden="1">
      <c r="B2626" s="155"/>
      <c r="C2626" s="155"/>
      <c r="D2626" s="155"/>
      <c r="E2626" s="155"/>
      <c r="F2626" s="155"/>
      <c r="G2626" s="155"/>
      <c r="H2626" s="155"/>
      <c r="I2626" s="155"/>
      <c r="J2626" s="155"/>
      <c r="K2626" s="155"/>
      <c r="L2626" s="155"/>
      <c r="M2626" s="155"/>
      <c r="N2626" s="155"/>
      <c r="O2626" s="155"/>
      <c r="P2626" s="155"/>
      <c r="Q2626" s="155"/>
      <c r="R2626" s="155"/>
      <c r="S2626" s="155"/>
      <c r="T2626" s="155"/>
      <c r="U2626" s="155"/>
      <c r="V2626" s="155"/>
      <c r="W2626" s="155"/>
      <c r="GL2626" s="155"/>
      <c r="GM2626" s="155"/>
      <c r="GN2626" s="155"/>
      <c r="GO2626" s="155"/>
      <c r="GP2626" s="155"/>
      <c r="GQ2626" s="155"/>
      <c r="GR2626" s="155"/>
      <c r="GS2626" s="155"/>
      <c r="GT2626" s="155"/>
      <c r="GU2626" s="155"/>
      <c r="GV2626" s="155"/>
      <c r="GW2626" s="155"/>
      <c r="GX2626" s="155"/>
      <c r="GY2626" s="155"/>
      <c r="GZ2626" s="155"/>
      <c r="HA2626" s="155"/>
      <c r="HB2626" s="155"/>
      <c r="HC2626" s="155"/>
      <c r="HD2626" s="155"/>
      <c r="HE2626" s="155"/>
    </row>
    <row r="2627" spans="2:213" s="156" customFormat="1" hidden="1">
      <c r="B2627" s="155"/>
      <c r="C2627" s="155"/>
      <c r="D2627" s="155"/>
      <c r="E2627" s="155"/>
      <c r="F2627" s="155"/>
      <c r="G2627" s="155"/>
      <c r="H2627" s="155"/>
      <c r="I2627" s="155"/>
      <c r="J2627" s="155"/>
      <c r="K2627" s="155"/>
      <c r="L2627" s="155"/>
      <c r="M2627" s="155"/>
      <c r="N2627" s="155"/>
      <c r="O2627" s="155"/>
      <c r="P2627" s="155"/>
      <c r="Q2627" s="155"/>
      <c r="R2627" s="155"/>
      <c r="S2627" s="155"/>
      <c r="T2627" s="155"/>
      <c r="U2627" s="155"/>
      <c r="V2627" s="155"/>
      <c r="W2627" s="155"/>
      <c r="GL2627" s="155"/>
      <c r="GM2627" s="155"/>
      <c r="GN2627" s="155"/>
      <c r="GO2627" s="155"/>
      <c r="GP2627" s="155"/>
      <c r="GQ2627" s="155"/>
      <c r="GR2627" s="155"/>
      <c r="GS2627" s="155"/>
      <c r="GT2627" s="155"/>
      <c r="GU2627" s="155"/>
      <c r="GV2627" s="155"/>
      <c r="GW2627" s="155"/>
      <c r="GX2627" s="155"/>
      <c r="GY2627" s="155"/>
      <c r="GZ2627" s="155"/>
      <c r="HA2627" s="155"/>
      <c r="HB2627" s="155"/>
      <c r="HC2627" s="155"/>
      <c r="HD2627" s="155"/>
      <c r="HE2627" s="155"/>
    </row>
    <row r="2628" spans="2:213" s="156" customFormat="1" hidden="1">
      <c r="B2628" s="155"/>
      <c r="C2628" s="155"/>
      <c r="D2628" s="155"/>
      <c r="E2628" s="155"/>
      <c r="F2628" s="155"/>
      <c r="G2628" s="155"/>
      <c r="H2628" s="155"/>
      <c r="I2628" s="155"/>
      <c r="J2628" s="155"/>
      <c r="K2628" s="155"/>
      <c r="L2628" s="155"/>
      <c r="M2628" s="155"/>
      <c r="N2628" s="155"/>
      <c r="O2628" s="155"/>
      <c r="P2628" s="155"/>
      <c r="Q2628" s="155"/>
      <c r="R2628" s="155"/>
      <c r="S2628" s="155"/>
      <c r="T2628" s="155"/>
      <c r="U2628" s="155"/>
      <c r="V2628" s="155"/>
      <c r="W2628" s="155"/>
      <c r="GL2628" s="155"/>
      <c r="GM2628" s="155"/>
      <c r="GN2628" s="155"/>
      <c r="GO2628" s="155"/>
      <c r="GP2628" s="155"/>
      <c r="GQ2628" s="155"/>
      <c r="GR2628" s="155"/>
      <c r="GS2628" s="155"/>
      <c r="GT2628" s="155"/>
      <c r="GU2628" s="155"/>
      <c r="GV2628" s="155"/>
      <c r="GW2628" s="155"/>
      <c r="GX2628" s="155"/>
      <c r="GY2628" s="155"/>
      <c r="GZ2628" s="155"/>
      <c r="HA2628" s="155"/>
      <c r="HB2628" s="155"/>
      <c r="HC2628" s="155"/>
      <c r="HD2628" s="155"/>
      <c r="HE2628" s="155"/>
    </row>
    <row r="2629" spans="2:213" s="156" customFormat="1" hidden="1">
      <c r="B2629" s="155"/>
      <c r="C2629" s="155"/>
      <c r="D2629" s="155"/>
      <c r="E2629" s="155"/>
      <c r="F2629" s="155"/>
      <c r="G2629" s="155"/>
      <c r="H2629" s="155"/>
      <c r="I2629" s="155"/>
      <c r="J2629" s="155"/>
      <c r="K2629" s="155"/>
      <c r="L2629" s="155"/>
      <c r="M2629" s="155"/>
      <c r="N2629" s="155"/>
      <c r="O2629" s="155"/>
      <c r="P2629" s="155"/>
      <c r="Q2629" s="155"/>
      <c r="R2629" s="155"/>
      <c r="S2629" s="155"/>
      <c r="T2629" s="155"/>
      <c r="U2629" s="155"/>
      <c r="V2629" s="155"/>
      <c r="W2629" s="155"/>
      <c r="GL2629" s="155"/>
      <c r="GM2629" s="155"/>
      <c r="GN2629" s="155"/>
      <c r="GO2629" s="155"/>
      <c r="GP2629" s="155"/>
      <c r="GQ2629" s="155"/>
      <c r="GR2629" s="155"/>
      <c r="GS2629" s="155"/>
      <c r="GT2629" s="155"/>
      <c r="GU2629" s="155"/>
      <c r="GV2629" s="155"/>
      <c r="GW2629" s="155"/>
      <c r="GX2629" s="155"/>
      <c r="GY2629" s="155"/>
      <c r="GZ2629" s="155"/>
      <c r="HA2629" s="155"/>
      <c r="HB2629" s="155"/>
      <c r="HC2629" s="155"/>
      <c r="HD2629" s="155"/>
      <c r="HE2629" s="155"/>
    </row>
    <row r="2630" spans="2:213" s="156" customFormat="1" hidden="1">
      <c r="B2630" s="155"/>
      <c r="C2630" s="155"/>
      <c r="D2630" s="155"/>
      <c r="E2630" s="155"/>
      <c r="F2630" s="155"/>
      <c r="G2630" s="155"/>
      <c r="H2630" s="155"/>
      <c r="I2630" s="155"/>
      <c r="J2630" s="155"/>
      <c r="K2630" s="155"/>
      <c r="L2630" s="155"/>
      <c r="M2630" s="155"/>
      <c r="N2630" s="155"/>
      <c r="O2630" s="155"/>
      <c r="P2630" s="155"/>
      <c r="Q2630" s="155"/>
      <c r="R2630" s="155"/>
      <c r="S2630" s="155"/>
      <c r="T2630" s="155"/>
      <c r="U2630" s="155"/>
      <c r="V2630" s="155"/>
      <c r="W2630" s="155"/>
      <c r="GL2630" s="155"/>
      <c r="GM2630" s="155"/>
      <c r="GN2630" s="155"/>
      <c r="GO2630" s="155"/>
      <c r="GP2630" s="155"/>
      <c r="GQ2630" s="155"/>
      <c r="GR2630" s="155"/>
      <c r="GS2630" s="155"/>
      <c r="GT2630" s="155"/>
      <c r="GU2630" s="155"/>
      <c r="GV2630" s="155"/>
      <c r="GW2630" s="155"/>
      <c r="GX2630" s="155"/>
      <c r="GY2630" s="155"/>
      <c r="GZ2630" s="155"/>
      <c r="HA2630" s="155"/>
      <c r="HB2630" s="155"/>
      <c r="HC2630" s="155"/>
      <c r="HD2630" s="155"/>
      <c r="HE2630" s="155"/>
    </row>
    <row r="2631" spans="2:213" s="156" customFormat="1" hidden="1">
      <c r="B2631" s="155"/>
      <c r="C2631" s="155"/>
      <c r="D2631" s="155"/>
      <c r="E2631" s="155"/>
      <c r="F2631" s="155"/>
      <c r="G2631" s="155"/>
      <c r="H2631" s="155"/>
      <c r="I2631" s="155"/>
      <c r="J2631" s="155"/>
      <c r="K2631" s="155"/>
      <c r="L2631" s="155"/>
      <c r="M2631" s="155"/>
      <c r="N2631" s="155"/>
      <c r="O2631" s="155"/>
      <c r="P2631" s="155"/>
      <c r="Q2631" s="155"/>
      <c r="R2631" s="155"/>
      <c r="S2631" s="155"/>
      <c r="T2631" s="155"/>
      <c r="U2631" s="155"/>
      <c r="V2631" s="155"/>
      <c r="W2631" s="155"/>
      <c r="GL2631" s="155"/>
      <c r="GM2631" s="155"/>
      <c r="GN2631" s="155"/>
      <c r="GO2631" s="155"/>
      <c r="GP2631" s="155"/>
      <c r="GQ2631" s="155"/>
      <c r="GR2631" s="155"/>
      <c r="GS2631" s="155"/>
      <c r="GT2631" s="155"/>
      <c r="GU2631" s="155"/>
      <c r="GV2631" s="155"/>
      <c r="GW2631" s="155"/>
      <c r="GX2631" s="155"/>
      <c r="GY2631" s="155"/>
      <c r="GZ2631" s="155"/>
      <c r="HA2631" s="155"/>
      <c r="HB2631" s="155"/>
      <c r="HC2631" s="155"/>
      <c r="HD2631" s="155"/>
      <c r="HE2631" s="155"/>
    </row>
    <row r="2632" spans="2:213" s="156" customFormat="1" hidden="1">
      <c r="B2632" s="155"/>
      <c r="C2632" s="155"/>
      <c r="D2632" s="155"/>
      <c r="E2632" s="155"/>
      <c r="F2632" s="155"/>
      <c r="G2632" s="155"/>
      <c r="H2632" s="155"/>
      <c r="I2632" s="155"/>
      <c r="J2632" s="155"/>
      <c r="K2632" s="155"/>
      <c r="L2632" s="155"/>
      <c r="M2632" s="155"/>
      <c r="N2632" s="155"/>
      <c r="O2632" s="155"/>
      <c r="P2632" s="155"/>
      <c r="Q2632" s="155"/>
      <c r="R2632" s="155"/>
      <c r="S2632" s="155"/>
      <c r="T2632" s="155"/>
      <c r="U2632" s="155"/>
      <c r="V2632" s="155"/>
      <c r="W2632" s="155"/>
      <c r="GL2632" s="155"/>
      <c r="GM2632" s="155"/>
      <c r="GN2632" s="155"/>
      <c r="GO2632" s="155"/>
      <c r="GP2632" s="155"/>
      <c r="GQ2632" s="155"/>
      <c r="GR2632" s="155"/>
      <c r="GS2632" s="155"/>
      <c r="GT2632" s="155"/>
      <c r="GU2632" s="155"/>
      <c r="GV2632" s="155"/>
      <c r="GW2632" s="155"/>
      <c r="GX2632" s="155"/>
      <c r="GY2632" s="155"/>
      <c r="GZ2632" s="155"/>
      <c r="HA2632" s="155"/>
      <c r="HB2632" s="155"/>
      <c r="HC2632" s="155"/>
      <c r="HD2632" s="155"/>
      <c r="HE2632" s="155"/>
    </row>
    <row r="2633" spans="2:213" s="156" customFormat="1" hidden="1">
      <c r="B2633" s="155"/>
      <c r="C2633" s="155"/>
      <c r="D2633" s="155"/>
      <c r="E2633" s="155"/>
      <c r="F2633" s="155"/>
      <c r="G2633" s="155"/>
      <c r="H2633" s="155"/>
      <c r="I2633" s="155"/>
      <c r="J2633" s="155"/>
      <c r="K2633" s="155"/>
      <c r="L2633" s="155"/>
      <c r="M2633" s="155"/>
      <c r="N2633" s="155"/>
      <c r="O2633" s="155"/>
      <c r="P2633" s="155"/>
      <c r="Q2633" s="155"/>
      <c r="R2633" s="155"/>
      <c r="S2633" s="155"/>
      <c r="T2633" s="155"/>
      <c r="U2633" s="155"/>
      <c r="V2633" s="155"/>
      <c r="W2633" s="155"/>
      <c r="GL2633" s="155"/>
      <c r="GM2633" s="155"/>
      <c r="GN2633" s="155"/>
      <c r="GO2633" s="155"/>
      <c r="GP2633" s="155"/>
      <c r="GQ2633" s="155"/>
      <c r="GR2633" s="155"/>
      <c r="GS2633" s="155"/>
      <c r="GT2633" s="155"/>
      <c r="GU2633" s="155"/>
      <c r="GV2633" s="155"/>
      <c r="GW2633" s="155"/>
      <c r="GX2633" s="155"/>
      <c r="GY2633" s="155"/>
      <c r="GZ2633" s="155"/>
      <c r="HA2633" s="155"/>
      <c r="HB2633" s="155"/>
      <c r="HC2633" s="155"/>
      <c r="HD2633" s="155"/>
      <c r="HE2633" s="155"/>
    </row>
    <row r="2634" spans="2:213" s="156" customFormat="1" hidden="1">
      <c r="B2634" s="155"/>
      <c r="C2634" s="155"/>
      <c r="D2634" s="155"/>
      <c r="E2634" s="155"/>
      <c r="F2634" s="155"/>
      <c r="G2634" s="155"/>
      <c r="H2634" s="155"/>
      <c r="I2634" s="155"/>
      <c r="J2634" s="155"/>
      <c r="K2634" s="155"/>
      <c r="L2634" s="155"/>
      <c r="M2634" s="155"/>
      <c r="N2634" s="155"/>
      <c r="O2634" s="155"/>
      <c r="P2634" s="155"/>
      <c r="Q2634" s="155"/>
      <c r="R2634" s="155"/>
      <c r="S2634" s="155"/>
      <c r="T2634" s="155"/>
      <c r="U2634" s="155"/>
      <c r="V2634" s="155"/>
      <c r="W2634" s="155"/>
      <c r="GL2634" s="155"/>
      <c r="GM2634" s="155"/>
      <c r="GN2634" s="155"/>
      <c r="GO2634" s="155"/>
      <c r="GP2634" s="155"/>
      <c r="GQ2634" s="155"/>
      <c r="GR2634" s="155"/>
      <c r="GS2634" s="155"/>
      <c r="GT2634" s="155"/>
      <c r="GU2634" s="155"/>
      <c r="GV2634" s="155"/>
      <c r="GW2634" s="155"/>
      <c r="GX2634" s="155"/>
      <c r="GY2634" s="155"/>
      <c r="GZ2634" s="155"/>
      <c r="HA2634" s="155"/>
      <c r="HB2634" s="155"/>
      <c r="HC2634" s="155"/>
      <c r="HD2634" s="155"/>
      <c r="HE2634" s="155"/>
    </row>
    <row r="2635" spans="2:213" s="156" customFormat="1" hidden="1">
      <c r="B2635" s="155"/>
      <c r="C2635" s="155"/>
      <c r="D2635" s="155"/>
      <c r="E2635" s="155"/>
      <c r="F2635" s="155"/>
      <c r="G2635" s="155"/>
      <c r="H2635" s="155"/>
      <c r="I2635" s="155"/>
      <c r="J2635" s="155"/>
      <c r="K2635" s="155"/>
      <c r="L2635" s="155"/>
      <c r="M2635" s="155"/>
      <c r="N2635" s="155"/>
      <c r="O2635" s="155"/>
      <c r="P2635" s="155"/>
      <c r="Q2635" s="155"/>
      <c r="R2635" s="155"/>
      <c r="S2635" s="155"/>
      <c r="T2635" s="155"/>
      <c r="U2635" s="155"/>
      <c r="V2635" s="155"/>
      <c r="W2635" s="155"/>
      <c r="GL2635" s="155"/>
      <c r="GM2635" s="155"/>
      <c r="GN2635" s="155"/>
      <c r="GO2635" s="155"/>
      <c r="GP2635" s="155"/>
      <c r="GQ2635" s="155"/>
      <c r="GR2635" s="155"/>
      <c r="GS2635" s="155"/>
      <c r="GT2635" s="155"/>
      <c r="GU2635" s="155"/>
      <c r="GV2635" s="155"/>
      <c r="GW2635" s="155"/>
      <c r="GX2635" s="155"/>
      <c r="GY2635" s="155"/>
      <c r="GZ2635" s="155"/>
      <c r="HA2635" s="155"/>
      <c r="HB2635" s="155"/>
      <c r="HC2635" s="155"/>
      <c r="HD2635" s="155"/>
      <c r="HE2635" s="155"/>
    </row>
    <row r="2636" spans="2:213" s="156" customFormat="1" hidden="1">
      <c r="B2636" s="155"/>
      <c r="C2636" s="155"/>
      <c r="D2636" s="155"/>
      <c r="E2636" s="155"/>
      <c r="F2636" s="155"/>
      <c r="G2636" s="155"/>
      <c r="H2636" s="155"/>
      <c r="I2636" s="155"/>
      <c r="J2636" s="155"/>
      <c r="K2636" s="155"/>
      <c r="L2636" s="155"/>
      <c r="M2636" s="155"/>
      <c r="N2636" s="155"/>
      <c r="O2636" s="155"/>
      <c r="P2636" s="155"/>
      <c r="Q2636" s="155"/>
      <c r="R2636" s="155"/>
      <c r="S2636" s="155"/>
      <c r="T2636" s="155"/>
      <c r="U2636" s="155"/>
      <c r="V2636" s="155"/>
      <c r="W2636" s="155"/>
      <c r="GL2636" s="155"/>
      <c r="GM2636" s="155"/>
      <c r="GN2636" s="155"/>
      <c r="GO2636" s="155"/>
      <c r="GP2636" s="155"/>
      <c r="GQ2636" s="155"/>
      <c r="GR2636" s="155"/>
      <c r="GS2636" s="155"/>
      <c r="GT2636" s="155"/>
      <c r="GU2636" s="155"/>
      <c r="GV2636" s="155"/>
      <c r="GW2636" s="155"/>
      <c r="GX2636" s="155"/>
      <c r="GY2636" s="155"/>
      <c r="GZ2636" s="155"/>
      <c r="HA2636" s="155"/>
      <c r="HB2636" s="155"/>
      <c r="HC2636" s="155"/>
      <c r="HD2636" s="155"/>
      <c r="HE2636" s="155"/>
    </row>
    <row r="2637" spans="2:213" s="156" customFormat="1" hidden="1">
      <c r="B2637" s="155"/>
      <c r="C2637" s="155"/>
      <c r="D2637" s="155"/>
      <c r="E2637" s="155"/>
      <c r="F2637" s="155"/>
      <c r="G2637" s="155"/>
      <c r="H2637" s="155"/>
      <c r="I2637" s="155"/>
      <c r="J2637" s="155"/>
      <c r="K2637" s="155"/>
      <c r="L2637" s="155"/>
      <c r="M2637" s="155"/>
      <c r="N2637" s="155"/>
      <c r="O2637" s="155"/>
      <c r="P2637" s="155"/>
      <c r="Q2637" s="155"/>
      <c r="R2637" s="155"/>
      <c r="S2637" s="155"/>
      <c r="T2637" s="155"/>
      <c r="U2637" s="155"/>
      <c r="V2637" s="155"/>
      <c r="W2637" s="155"/>
      <c r="GL2637" s="155"/>
      <c r="GM2637" s="155"/>
      <c r="GN2637" s="155"/>
      <c r="GO2637" s="155"/>
      <c r="GP2637" s="155"/>
      <c r="GQ2637" s="155"/>
      <c r="GR2637" s="155"/>
      <c r="GS2637" s="155"/>
      <c r="GT2637" s="155"/>
      <c r="GU2637" s="155"/>
      <c r="GV2637" s="155"/>
      <c r="GW2637" s="155"/>
      <c r="GX2637" s="155"/>
      <c r="GY2637" s="155"/>
      <c r="GZ2637" s="155"/>
      <c r="HA2637" s="155"/>
      <c r="HB2637" s="155"/>
      <c r="HC2637" s="155"/>
      <c r="HD2637" s="155"/>
      <c r="HE2637" s="155"/>
    </row>
    <row r="2638" spans="2:213" s="156" customFormat="1" hidden="1">
      <c r="B2638" s="155"/>
      <c r="C2638" s="155"/>
      <c r="D2638" s="155"/>
      <c r="E2638" s="155"/>
      <c r="F2638" s="155"/>
      <c r="G2638" s="155"/>
      <c r="H2638" s="155"/>
      <c r="I2638" s="155"/>
      <c r="J2638" s="155"/>
      <c r="K2638" s="155"/>
      <c r="L2638" s="155"/>
      <c r="M2638" s="155"/>
      <c r="N2638" s="155"/>
      <c r="O2638" s="155"/>
      <c r="P2638" s="155"/>
      <c r="Q2638" s="155"/>
      <c r="R2638" s="155"/>
      <c r="S2638" s="155"/>
      <c r="T2638" s="155"/>
      <c r="U2638" s="155"/>
      <c r="V2638" s="155"/>
      <c r="W2638" s="155"/>
      <c r="GL2638" s="155"/>
      <c r="GM2638" s="155"/>
      <c r="GN2638" s="155"/>
      <c r="GO2638" s="155"/>
      <c r="GP2638" s="155"/>
      <c r="GQ2638" s="155"/>
      <c r="GR2638" s="155"/>
      <c r="GS2638" s="155"/>
      <c r="GT2638" s="155"/>
      <c r="GU2638" s="155"/>
      <c r="GV2638" s="155"/>
      <c r="GW2638" s="155"/>
      <c r="GX2638" s="155"/>
      <c r="GY2638" s="155"/>
      <c r="GZ2638" s="155"/>
      <c r="HA2638" s="155"/>
      <c r="HB2638" s="155"/>
      <c r="HC2638" s="155"/>
      <c r="HD2638" s="155"/>
      <c r="HE2638" s="155"/>
    </row>
    <row r="2639" spans="2:213" s="156" customFormat="1" hidden="1">
      <c r="B2639" s="155"/>
      <c r="C2639" s="155"/>
      <c r="D2639" s="155"/>
      <c r="E2639" s="155"/>
      <c r="F2639" s="155"/>
      <c r="G2639" s="155"/>
      <c r="H2639" s="155"/>
      <c r="I2639" s="155"/>
      <c r="J2639" s="155"/>
      <c r="K2639" s="155"/>
      <c r="L2639" s="155"/>
      <c r="M2639" s="155"/>
      <c r="N2639" s="155"/>
      <c r="O2639" s="155"/>
      <c r="P2639" s="155"/>
      <c r="Q2639" s="155"/>
      <c r="R2639" s="155"/>
      <c r="S2639" s="155"/>
      <c r="T2639" s="155"/>
      <c r="U2639" s="155"/>
      <c r="V2639" s="155"/>
      <c r="W2639" s="155"/>
      <c r="GL2639" s="155"/>
      <c r="GM2639" s="155"/>
      <c r="GN2639" s="155"/>
      <c r="GO2639" s="155"/>
      <c r="GP2639" s="155"/>
      <c r="GQ2639" s="155"/>
      <c r="GR2639" s="155"/>
      <c r="GS2639" s="155"/>
      <c r="GT2639" s="155"/>
      <c r="GU2639" s="155"/>
      <c r="GV2639" s="155"/>
      <c r="GW2639" s="155"/>
      <c r="GX2639" s="155"/>
      <c r="GY2639" s="155"/>
      <c r="GZ2639" s="155"/>
      <c r="HA2639" s="155"/>
      <c r="HB2639" s="155"/>
      <c r="HC2639" s="155"/>
      <c r="HD2639" s="155"/>
      <c r="HE2639" s="155"/>
    </row>
    <row r="2640" spans="2:213" s="156" customFormat="1" hidden="1">
      <c r="B2640" s="155"/>
      <c r="C2640" s="155"/>
      <c r="D2640" s="155"/>
      <c r="E2640" s="155"/>
      <c r="F2640" s="155"/>
      <c r="G2640" s="155"/>
      <c r="H2640" s="155"/>
      <c r="I2640" s="155"/>
      <c r="J2640" s="155"/>
      <c r="K2640" s="155"/>
      <c r="L2640" s="155"/>
      <c r="M2640" s="155"/>
      <c r="N2640" s="155"/>
      <c r="O2640" s="155"/>
      <c r="P2640" s="155"/>
      <c r="Q2640" s="155"/>
      <c r="R2640" s="155"/>
      <c r="S2640" s="155"/>
      <c r="T2640" s="155"/>
      <c r="U2640" s="155"/>
      <c r="V2640" s="155"/>
      <c r="W2640" s="155"/>
      <c r="GL2640" s="155"/>
      <c r="GM2640" s="155"/>
      <c r="GN2640" s="155"/>
      <c r="GO2640" s="155"/>
      <c r="GP2640" s="155"/>
      <c r="GQ2640" s="155"/>
      <c r="GR2640" s="155"/>
      <c r="GS2640" s="155"/>
      <c r="GT2640" s="155"/>
      <c r="GU2640" s="155"/>
      <c r="GV2640" s="155"/>
      <c r="GW2640" s="155"/>
      <c r="GX2640" s="155"/>
      <c r="GY2640" s="155"/>
      <c r="GZ2640" s="155"/>
      <c r="HA2640" s="155"/>
      <c r="HB2640" s="155"/>
      <c r="HC2640" s="155"/>
      <c r="HD2640" s="155"/>
      <c r="HE2640" s="155"/>
    </row>
    <row r="2641" spans="2:213" s="156" customFormat="1" hidden="1">
      <c r="B2641" s="155"/>
      <c r="C2641" s="155"/>
      <c r="D2641" s="155"/>
      <c r="E2641" s="155"/>
      <c r="F2641" s="155"/>
      <c r="G2641" s="155"/>
      <c r="H2641" s="155"/>
      <c r="I2641" s="155"/>
      <c r="J2641" s="155"/>
      <c r="K2641" s="155"/>
      <c r="L2641" s="155"/>
      <c r="M2641" s="155"/>
      <c r="N2641" s="155"/>
      <c r="O2641" s="155"/>
      <c r="P2641" s="155"/>
      <c r="Q2641" s="155"/>
      <c r="R2641" s="155"/>
      <c r="S2641" s="155"/>
      <c r="T2641" s="155"/>
      <c r="U2641" s="155"/>
      <c r="V2641" s="155"/>
      <c r="W2641" s="155"/>
      <c r="GL2641" s="155"/>
      <c r="GM2641" s="155"/>
      <c r="GN2641" s="155"/>
      <c r="GO2641" s="155"/>
      <c r="GP2641" s="155"/>
      <c r="GQ2641" s="155"/>
      <c r="GR2641" s="155"/>
      <c r="GS2641" s="155"/>
      <c r="GT2641" s="155"/>
      <c r="GU2641" s="155"/>
      <c r="GV2641" s="155"/>
      <c r="GW2641" s="155"/>
      <c r="GX2641" s="155"/>
      <c r="GY2641" s="155"/>
      <c r="GZ2641" s="155"/>
      <c r="HA2641" s="155"/>
      <c r="HB2641" s="155"/>
      <c r="HC2641" s="155"/>
      <c r="HD2641" s="155"/>
      <c r="HE2641" s="155"/>
    </row>
    <row r="2642" spans="2:213" s="156" customFormat="1" hidden="1">
      <c r="B2642" s="155"/>
      <c r="C2642" s="155"/>
      <c r="D2642" s="155"/>
      <c r="E2642" s="155"/>
      <c r="F2642" s="155"/>
      <c r="G2642" s="155"/>
      <c r="H2642" s="155"/>
      <c r="I2642" s="155"/>
      <c r="J2642" s="155"/>
      <c r="K2642" s="155"/>
      <c r="L2642" s="155"/>
      <c r="M2642" s="155"/>
      <c r="N2642" s="155"/>
      <c r="O2642" s="155"/>
      <c r="P2642" s="155"/>
      <c r="Q2642" s="155"/>
      <c r="R2642" s="155"/>
      <c r="S2642" s="155"/>
      <c r="T2642" s="155"/>
      <c r="U2642" s="155"/>
      <c r="V2642" s="155"/>
      <c r="W2642" s="155"/>
      <c r="GL2642" s="155"/>
      <c r="GM2642" s="155"/>
      <c r="GN2642" s="155"/>
      <c r="GO2642" s="155"/>
      <c r="GP2642" s="155"/>
      <c r="GQ2642" s="155"/>
      <c r="GR2642" s="155"/>
      <c r="GS2642" s="155"/>
      <c r="GT2642" s="155"/>
      <c r="GU2642" s="155"/>
      <c r="GV2642" s="155"/>
      <c r="GW2642" s="155"/>
      <c r="GX2642" s="155"/>
      <c r="GY2642" s="155"/>
      <c r="GZ2642" s="155"/>
      <c r="HA2642" s="155"/>
      <c r="HB2642" s="155"/>
      <c r="HC2642" s="155"/>
      <c r="HD2642" s="155"/>
      <c r="HE2642" s="155"/>
    </row>
    <row r="2643" spans="2:213" s="156" customFormat="1" hidden="1">
      <c r="B2643" s="155"/>
      <c r="C2643" s="155"/>
      <c r="D2643" s="155"/>
      <c r="E2643" s="155"/>
      <c r="F2643" s="155"/>
      <c r="G2643" s="155"/>
      <c r="H2643" s="155"/>
      <c r="I2643" s="155"/>
      <c r="J2643" s="155"/>
      <c r="K2643" s="155"/>
      <c r="L2643" s="155"/>
      <c r="M2643" s="155"/>
      <c r="N2643" s="155"/>
      <c r="O2643" s="155"/>
      <c r="P2643" s="155"/>
      <c r="Q2643" s="155"/>
      <c r="R2643" s="155"/>
      <c r="S2643" s="155"/>
      <c r="T2643" s="155"/>
      <c r="U2643" s="155"/>
      <c r="V2643" s="155"/>
      <c r="W2643" s="155"/>
      <c r="GL2643" s="155"/>
      <c r="GM2643" s="155"/>
      <c r="GN2643" s="155"/>
      <c r="GO2643" s="155"/>
      <c r="GP2643" s="155"/>
      <c r="GQ2643" s="155"/>
      <c r="GR2643" s="155"/>
      <c r="GS2643" s="155"/>
      <c r="GT2643" s="155"/>
      <c r="GU2643" s="155"/>
      <c r="GV2643" s="155"/>
      <c r="GW2643" s="155"/>
      <c r="GX2643" s="155"/>
      <c r="GY2643" s="155"/>
      <c r="GZ2643" s="155"/>
      <c r="HA2643" s="155"/>
      <c r="HB2643" s="155"/>
      <c r="HC2643" s="155"/>
      <c r="HD2643" s="155"/>
      <c r="HE2643" s="155"/>
    </row>
    <row r="2644" spans="2:213" s="156" customFormat="1" hidden="1">
      <c r="B2644" s="155"/>
      <c r="C2644" s="155"/>
      <c r="D2644" s="155"/>
      <c r="E2644" s="155"/>
      <c r="F2644" s="155"/>
      <c r="G2644" s="155"/>
      <c r="H2644" s="155"/>
      <c r="I2644" s="155"/>
      <c r="J2644" s="155"/>
      <c r="K2644" s="155"/>
      <c r="L2644" s="155"/>
      <c r="M2644" s="155"/>
      <c r="N2644" s="155"/>
      <c r="O2644" s="155"/>
      <c r="P2644" s="155"/>
      <c r="Q2644" s="155"/>
      <c r="R2644" s="155"/>
      <c r="S2644" s="155"/>
      <c r="T2644" s="155"/>
      <c r="U2644" s="155"/>
      <c r="V2644" s="155"/>
      <c r="W2644" s="155"/>
      <c r="GL2644" s="155"/>
      <c r="GM2644" s="155"/>
      <c r="GN2644" s="155"/>
      <c r="GO2644" s="155"/>
      <c r="GP2644" s="155"/>
      <c r="GQ2644" s="155"/>
      <c r="GR2644" s="155"/>
      <c r="GS2644" s="155"/>
      <c r="GT2644" s="155"/>
      <c r="GU2644" s="155"/>
      <c r="GV2644" s="155"/>
      <c r="GW2644" s="155"/>
      <c r="GX2644" s="155"/>
      <c r="GY2644" s="155"/>
      <c r="GZ2644" s="155"/>
      <c r="HA2644" s="155"/>
      <c r="HB2644" s="155"/>
      <c r="HC2644" s="155"/>
      <c r="HD2644" s="155"/>
      <c r="HE2644" s="155"/>
    </row>
    <row r="2645" spans="2:213" s="156" customFormat="1" hidden="1">
      <c r="B2645" s="155"/>
      <c r="C2645" s="155"/>
      <c r="D2645" s="155"/>
      <c r="E2645" s="155"/>
      <c r="F2645" s="155"/>
      <c r="G2645" s="155"/>
      <c r="H2645" s="155"/>
      <c r="I2645" s="155"/>
      <c r="J2645" s="155"/>
      <c r="K2645" s="155"/>
      <c r="L2645" s="155"/>
      <c r="M2645" s="155"/>
      <c r="N2645" s="155"/>
      <c r="O2645" s="155"/>
      <c r="P2645" s="155"/>
      <c r="Q2645" s="155"/>
      <c r="R2645" s="155"/>
      <c r="S2645" s="155"/>
      <c r="T2645" s="155"/>
      <c r="U2645" s="155"/>
      <c r="V2645" s="155"/>
      <c r="W2645" s="155"/>
      <c r="GL2645" s="155"/>
      <c r="GM2645" s="155"/>
      <c r="GN2645" s="155"/>
      <c r="GO2645" s="155"/>
      <c r="GP2645" s="155"/>
      <c r="GQ2645" s="155"/>
      <c r="GR2645" s="155"/>
      <c r="GS2645" s="155"/>
      <c r="GT2645" s="155"/>
      <c r="GU2645" s="155"/>
      <c r="GV2645" s="155"/>
      <c r="GW2645" s="155"/>
      <c r="GX2645" s="155"/>
      <c r="GY2645" s="155"/>
      <c r="GZ2645" s="155"/>
      <c r="HA2645" s="155"/>
      <c r="HB2645" s="155"/>
      <c r="HC2645" s="155"/>
      <c r="HD2645" s="155"/>
      <c r="HE2645" s="155"/>
    </row>
    <row r="2646" spans="2:213" s="156" customFormat="1" hidden="1">
      <c r="B2646" s="155"/>
      <c r="C2646" s="155"/>
      <c r="D2646" s="155"/>
      <c r="E2646" s="155"/>
      <c r="F2646" s="155"/>
      <c r="G2646" s="155"/>
      <c r="H2646" s="155"/>
      <c r="I2646" s="155"/>
      <c r="J2646" s="155"/>
      <c r="K2646" s="155"/>
      <c r="L2646" s="155"/>
      <c r="M2646" s="155"/>
      <c r="N2646" s="155"/>
      <c r="O2646" s="155"/>
      <c r="P2646" s="155"/>
      <c r="Q2646" s="155"/>
      <c r="R2646" s="155"/>
      <c r="S2646" s="155"/>
      <c r="T2646" s="155"/>
      <c r="U2646" s="155"/>
      <c r="V2646" s="155"/>
      <c r="W2646" s="155"/>
      <c r="GL2646" s="155"/>
      <c r="GM2646" s="155"/>
      <c r="GN2646" s="155"/>
      <c r="GO2646" s="155"/>
      <c r="GP2646" s="155"/>
      <c r="GQ2646" s="155"/>
      <c r="GR2646" s="155"/>
      <c r="GS2646" s="155"/>
      <c r="GT2646" s="155"/>
      <c r="GU2646" s="155"/>
      <c r="GV2646" s="155"/>
      <c r="GW2646" s="155"/>
      <c r="GX2646" s="155"/>
      <c r="GY2646" s="155"/>
      <c r="GZ2646" s="155"/>
      <c r="HA2646" s="155"/>
      <c r="HB2646" s="155"/>
      <c r="HC2646" s="155"/>
      <c r="HD2646" s="155"/>
      <c r="HE2646" s="155"/>
    </row>
    <row r="2647" spans="2:213" s="156" customFormat="1" hidden="1">
      <c r="B2647" s="155"/>
      <c r="C2647" s="155"/>
      <c r="D2647" s="155"/>
      <c r="E2647" s="155"/>
      <c r="F2647" s="155"/>
      <c r="G2647" s="155"/>
      <c r="H2647" s="155"/>
      <c r="I2647" s="155"/>
      <c r="J2647" s="155"/>
      <c r="K2647" s="155"/>
      <c r="L2647" s="155"/>
      <c r="M2647" s="155"/>
      <c r="N2647" s="155"/>
      <c r="O2647" s="155"/>
      <c r="P2647" s="155"/>
      <c r="Q2647" s="155"/>
      <c r="R2647" s="155"/>
      <c r="S2647" s="155"/>
      <c r="T2647" s="155"/>
      <c r="U2647" s="155"/>
      <c r="V2647" s="155"/>
      <c r="W2647" s="155"/>
      <c r="GL2647" s="155"/>
      <c r="GM2647" s="155"/>
      <c r="GN2647" s="155"/>
      <c r="GO2647" s="155"/>
      <c r="GP2647" s="155"/>
      <c r="GQ2647" s="155"/>
      <c r="GR2647" s="155"/>
      <c r="GS2647" s="155"/>
      <c r="GT2647" s="155"/>
      <c r="GU2647" s="155"/>
      <c r="GV2647" s="155"/>
      <c r="GW2647" s="155"/>
      <c r="GX2647" s="155"/>
      <c r="GY2647" s="155"/>
      <c r="GZ2647" s="155"/>
      <c r="HA2647" s="155"/>
      <c r="HB2647" s="155"/>
      <c r="HC2647" s="155"/>
      <c r="HD2647" s="155"/>
      <c r="HE2647" s="155"/>
    </row>
    <row r="2648" spans="2:213" s="156" customFormat="1" hidden="1">
      <c r="B2648" s="155"/>
      <c r="C2648" s="155"/>
      <c r="D2648" s="155"/>
      <c r="E2648" s="155"/>
      <c r="F2648" s="155"/>
      <c r="G2648" s="155"/>
      <c r="H2648" s="155"/>
      <c r="I2648" s="155"/>
      <c r="J2648" s="155"/>
      <c r="K2648" s="155"/>
      <c r="L2648" s="155"/>
      <c r="M2648" s="155"/>
      <c r="N2648" s="155"/>
      <c r="O2648" s="155"/>
      <c r="P2648" s="155"/>
      <c r="Q2648" s="155"/>
      <c r="R2648" s="155"/>
      <c r="S2648" s="155"/>
      <c r="T2648" s="155"/>
      <c r="U2648" s="155"/>
      <c r="V2648" s="155"/>
      <c r="W2648" s="155"/>
      <c r="GL2648" s="155"/>
      <c r="GM2648" s="155"/>
      <c r="GN2648" s="155"/>
      <c r="GO2648" s="155"/>
      <c r="GP2648" s="155"/>
      <c r="GQ2648" s="155"/>
      <c r="GR2648" s="155"/>
      <c r="GS2648" s="155"/>
      <c r="GT2648" s="155"/>
      <c r="GU2648" s="155"/>
      <c r="GV2648" s="155"/>
      <c r="GW2648" s="155"/>
      <c r="GX2648" s="155"/>
      <c r="GY2648" s="155"/>
      <c r="GZ2648" s="155"/>
      <c r="HA2648" s="155"/>
      <c r="HB2648" s="155"/>
      <c r="HC2648" s="155"/>
      <c r="HD2648" s="155"/>
      <c r="HE2648" s="155"/>
    </row>
    <row r="2649" spans="2:213" s="156" customFormat="1" hidden="1">
      <c r="B2649" s="155"/>
      <c r="C2649" s="155"/>
      <c r="D2649" s="155"/>
      <c r="E2649" s="155"/>
      <c r="F2649" s="155"/>
      <c r="G2649" s="155"/>
      <c r="H2649" s="155"/>
      <c r="I2649" s="155"/>
      <c r="J2649" s="155"/>
      <c r="K2649" s="155"/>
      <c r="L2649" s="155"/>
      <c r="M2649" s="155"/>
      <c r="N2649" s="155"/>
      <c r="O2649" s="155"/>
      <c r="P2649" s="155"/>
      <c r="Q2649" s="155"/>
      <c r="R2649" s="155"/>
      <c r="S2649" s="155"/>
      <c r="T2649" s="155"/>
      <c r="U2649" s="155"/>
      <c r="V2649" s="155"/>
      <c r="W2649" s="155"/>
      <c r="GL2649" s="155"/>
      <c r="GM2649" s="155"/>
      <c r="GN2649" s="155"/>
      <c r="GO2649" s="155"/>
      <c r="GP2649" s="155"/>
      <c r="GQ2649" s="155"/>
      <c r="GR2649" s="155"/>
      <c r="GS2649" s="155"/>
      <c r="GT2649" s="155"/>
      <c r="GU2649" s="155"/>
      <c r="GV2649" s="155"/>
      <c r="GW2649" s="155"/>
      <c r="GX2649" s="155"/>
      <c r="GY2649" s="155"/>
      <c r="GZ2649" s="155"/>
      <c r="HA2649" s="155"/>
      <c r="HB2649" s="155"/>
      <c r="HC2649" s="155"/>
      <c r="HD2649" s="155"/>
      <c r="HE2649" s="155"/>
    </row>
    <row r="2650" spans="2:213" s="156" customFormat="1" hidden="1">
      <c r="B2650" s="155"/>
      <c r="C2650" s="155"/>
      <c r="D2650" s="155"/>
      <c r="E2650" s="155"/>
      <c r="F2650" s="155"/>
      <c r="G2650" s="155"/>
      <c r="H2650" s="155"/>
      <c r="I2650" s="155"/>
      <c r="J2650" s="155"/>
      <c r="K2650" s="155"/>
      <c r="L2650" s="155"/>
      <c r="M2650" s="155"/>
      <c r="N2650" s="155"/>
      <c r="O2650" s="155"/>
      <c r="P2650" s="155"/>
      <c r="Q2650" s="155"/>
      <c r="R2650" s="155"/>
      <c r="S2650" s="155"/>
      <c r="T2650" s="155"/>
      <c r="U2650" s="155"/>
      <c r="V2650" s="155"/>
      <c r="W2650" s="155"/>
      <c r="GL2650" s="155"/>
      <c r="GM2650" s="155"/>
      <c r="GN2650" s="155"/>
      <c r="GO2650" s="155"/>
      <c r="GP2650" s="155"/>
      <c r="GQ2650" s="155"/>
      <c r="GR2650" s="155"/>
      <c r="GS2650" s="155"/>
      <c r="GT2650" s="155"/>
      <c r="GU2650" s="155"/>
      <c r="GV2650" s="155"/>
      <c r="GW2650" s="155"/>
      <c r="GX2650" s="155"/>
      <c r="GY2650" s="155"/>
      <c r="GZ2650" s="155"/>
      <c r="HA2650" s="155"/>
      <c r="HB2650" s="155"/>
      <c r="HC2650" s="155"/>
      <c r="HD2650" s="155"/>
      <c r="HE2650" s="155"/>
    </row>
    <row r="2651" spans="2:213" s="156" customFormat="1" hidden="1">
      <c r="B2651" s="155"/>
      <c r="C2651" s="155"/>
      <c r="D2651" s="155"/>
      <c r="E2651" s="155"/>
      <c r="F2651" s="155"/>
      <c r="G2651" s="155"/>
      <c r="H2651" s="155"/>
      <c r="I2651" s="155"/>
      <c r="J2651" s="155"/>
      <c r="K2651" s="155"/>
      <c r="L2651" s="155"/>
      <c r="M2651" s="155"/>
      <c r="N2651" s="155"/>
      <c r="O2651" s="155"/>
      <c r="P2651" s="155"/>
      <c r="Q2651" s="155"/>
      <c r="R2651" s="155"/>
      <c r="S2651" s="155"/>
      <c r="T2651" s="155"/>
      <c r="U2651" s="155"/>
      <c r="V2651" s="155"/>
      <c r="W2651" s="155"/>
      <c r="GL2651" s="155"/>
      <c r="GM2651" s="155"/>
      <c r="GN2651" s="155"/>
      <c r="GO2651" s="155"/>
      <c r="GP2651" s="155"/>
      <c r="GQ2651" s="155"/>
      <c r="GR2651" s="155"/>
      <c r="GS2651" s="155"/>
      <c r="GT2651" s="155"/>
      <c r="GU2651" s="155"/>
      <c r="GV2651" s="155"/>
      <c r="GW2651" s="155"/>
      <c r="GX2651" s="155"/>
      <c r="GY2651" s="155"/>
      <c r="GZ2651" s="155"/>
      <c r="HA2651" s="155"/>
      <c r="HB2651" s="155"/>
      <c r="HC2651" s="155"/>
      <c r="HD2651" s="155"/>
      <c r="HE2651" s="155"/>
    </row>
    <row r="2652" spans="2:213" s="156" customFormat="1" hidden="1">
      <c r="B2652" s="155"/>
      <c r="C2652" s="155"/>
      <c r="D2652" s="155"/>
      <c r="E2652" s="155"/>
      <c r="F2652" s="155"/>
      <c r="G2652" s="155"/>
      <c r="H2652" s="155"/>
      <c r="I2652" s="155"/>
      <c r="J2652" s="155"/>
      <c r="K2652" s="155"/>
      <c r="L2652" s="155"/>
      <c r="M2652" s="155"/>
      <c r="N2652" s="155"/>
      <c r="O2652" s="155"/>
      <c r="P2652" s="155"/>
      <c r="Q2652" s="155"/>
      <c r="R2652" s="155"/>
      <c r="S2652" s="155"/>
      <c r="T2652" s="155"/>
      <c r="U2652" s="155"/>
      <c r="V2652" s="155"/>
      <c r="W2652" s="155"/>
      <c r="GL2652" s="155"/>
      <c r="GM2652" s="155"/>
      <c r="GN2652" s="155"/>
      <c r="GO2652" s="155"/>
      <c r="GP2652" s="155"/>
      <c r="GQ2652" s="155"/>
      <c r="GR2652" s="155"/>
      <c r="GS2652" s="155"/>
      <c r="GT2652" s="155"/>
      <c r="GU2652" s="155"/>
      <c r="GV2652" s="155"/>
      <c r="GW2652" s="155"/>
      <c r="GX2652" s="155"/>
      <c r="GY2652" s="155"/>
      <c r="GZ2652" s="155"/>
      <c r="HA2652" s="155"/>
      <c r="HB2652" s="155"/>
      <c r="HC2652" s="155"/>
      <c r="HD2652" s="155"/>
      <c r="HE2652" s="155"/>
    </row>
    <row r="2653" spans="2:213" s="156" customFormat="1" hidden="1">
      <c r="B2653" s="155"/>
      <c r="C2653" s="155"/>
      <c r="D2653" s="155"/>
      <c r="E2653" s="155"/>
      <c r="F2653" s="155"/>
      <c r="G2653" s="155"/>
      <c r="H2653" s="155"/>
      <c r="I2653" s="155"/>
      <c r="J2653" s="155"/>
      <c r="K2653" s="155"/>
      <c r="L2653" s="155"/>
      <c r="M2653" s="155"/>
      <c r="N2653" s="155"/>
      <c r="O2653" s="155"/>
      <c r="P2653" s="155"/>
      <c r="Q2653" s="155"/>
      <c r="R2653" s="155"/>
      <c r="S2653" s="155"/>
      <c r="T2653" s="155"/>
      <c r="U2653" s="155"/>
      <c r="V2653" s="155"/>
      <c r="W2653" s="155"/>
      <c r="GL2653" s="155"/>
      <c r="GM2653" s="155"/>
      <c r="GN2653" s="155"/>
      <c r="GO2653" s="155"/>
      <c r="GP2653" s="155"/>
      <c r="GQ2653" s="155"/>
      <c r="GR2653" s="155"/>
      <c r="GS2653" s="155"/>
      <c r="GT2653" s="155"/>
      <c r="GU2653" s="155"/>
      <c r="GV2653" s="155"/>
      <c r="GW2653" s="155"/>
      <c r="GX2653" s="155"/>
      <c r="GY2653" s="155"/>
      <c r="GZ2653" s="155"/>
      <c r="HA2653" s="155"/>
      <c r="HB2653" s="155"/>
      <c r="HC2653" s="155"/>
      <c r="HD2653" s="155"/>
      <c r="HE2653" s="155"/>
    </row>
    <row r="2654" spans="2:213" s="156" customFormat="1" hidden="1">
      <c r="B2654" s="155"/>
      <c r="C2654" s="155"/>
      <c r="D2654" s="155"/>
      <c r="E2654" s="155"/>
      <c r="F2654" s="155"/>
      <c r="G2654" s="155"/>
      <c r="H2654" s="155"/>
      <c r="I2654" s="155"/>
      <c r="J2654" s="155"/>
      <c r="K2654" s="155"/>
      <c r="L2654" s="155"/>
      <c r="M2654" s="155"/>
      <c r="N2654" s="155"/>
      <c r="O2654" s="155"/>
      <c r="P2654" s="155"/>
      <c r="Q2654" s="155"/>
      <c r="R2654" s="155"/>
      <c r="S2654" s="155"/>
      <c r="T2654" s="155"/>
      <c r="U2654" s="155"/>
      <c r="V2654" s="155"/>
      <c r="W2654" s="155"/>
      <c r="GL2654" s="155"/>
      <c r="GM2654" s="155"/>
      <c r="GN2654" s="155"/>
      <c r="GO2654" s="155"/>
      <c r="GP2654" s="155"/>
      <c r="GQ2654" s="155"/>
      <c r="GR2654" s="155"/>
      <c r="GS2654" s="155"/>
      <c r="GT2654" s="155"/>
      <c r="GU2654" s="155"/>
      <c r="GV2654" s="155"/>
      <c r="GW2654" s="155"/>
      <c r="GX2654" s="155"/>
      <c r="GY2654" s="155"/>
      <c r="GZ2654" s="155"/>
      <c r="HA2654" s="155"/>
      <c r="HB2654" s="155"/>
      <c r="HC2654" s="155"/>
      <c r="HD2654" s="155"/>
      <c r="HE2654" s="155"/>
    </row>
    <row r="2655" spans="2:213" s="156" customFormat="1" hidden="1">
      <c r="B2655" s="155"/>
      <c r="C2655" s="155"/>
      <c r="D2655" s="155"/>
      <c r="E2655" s="155"/>
      <c r="F2655" s="155"/>
      <c r="G2655" s="155"/>
      <c r="H2655" s="155"/>
      <c r="I2655" s="155"/>
      <c r="J2655" s="155"/>
      <c r="K2655" s="155"/>
      <c r="L2655" s="155"/>
      <c r="M2655" s="155"/>
      <c r="N2655" s="155"/>
      <c r="O2655" s="155"/>
      <c r="P2655" s="155"/>
      <c r="Q2655" s="155"/>
      <c r="R2655" s="155"/>
      <c r="S2655" s="155"/>
      <c r="T2655" s="155"/>
      <c r="U2655" s="155"/>
      <c r="V2655" s="155"/>
      <c r="W2655" s="155"/>
      <c r="GL2655" s="155"/>
      <c r="GM2655" s="155"/>
      <c r="GN2655" s="155"/>
      <c r="GO2655" s="155"/>
      <c r="GP2655" s="155"/>
      <c r="GQ2655" s="155"/>
      <c r="GR2655" s="155"/>
      <c r="GS2655" s="155"/>
      <c r="GT2655" s="155"/>
      <c r="GU2655" s="155"/>
      <c r="GV2655" s="155"/>
      <c r="GW2655" s="155"/>
      <c r="GX2655" s="155"/>
      <c r="GY2655" s="155"/>
      <c r="GZ2655" s="155"/>
      <c r="HA2655" s="155"/>
      <c r="HB2655" s="155"/>
      <c r="HC2655" s="155"/>
      <c r="HD2655" s="155"/>
      <c r="HE2655" s="155"/>
    </row>
    <row r="2656" spans="2:213" s="156" customFormat="1" hidden="1">
      <c r="B2656" s="155"/>
      <c r="C2656" s="155"/>
      <c r="D2656" s="155"/>
      <c r="E2656" s="155"/>
      <c r="F2656" s="155"/>
      <c r="G2656" s="155"/>
      <c r="H2656" s="155"/>
      <c r="I2656" s="155"/>
      <c r="J2656" s="155"/>
      <c r="K2656" s="155"/>
      <c r="L2656" s="155"/>
      <c r="M2656" s="155"/>
      <c r="N2656" s="155"/>
      <c r="O2656" s="155"/>
      <c r="P2656" s="155"/>
      <c r="Q2656" s="155"/>
      <c r="R2656" s="155"/>
      <c r="S2656" s="155"/>
      <c r="T2656" s="155"/>
      <c r="U2656" s="155"/>
      <c r="V2656" s="155"/>
      <c r="W2656" s="155"/>
      <c r="GL2656" s="155"/>
      <c r="GM2656" s="155"/>
      <c r="GN2656" s="155"/>
      <c r="GO2656" s="155"/>
      <c r="GP2656" s="155"/>
      <c r="GQ2656" s="155"/>
      <c r="GR2656" s="155"/>
      <c r="GS2656" s="155"/>
      <c r="GT2656" s="155"/>
      <c r="GU2656" s="155"/>
      <c r="GV2656" s="155"/>
      <c r="GW2656" s="155"/>
      <c r="GX2656" s="155"/>
      <c r="GY2656" s="155"/>
      <c r="GZ2656" s="155"/>
      <c r="HA2656" s="155"/>
      <c r="HB2656" s="155"/>
      <c r="HC2656" s="155"/>
      <c r="HD2656" s="155"/>
      <c r="HE2656" s="155"/>
    </row>
    <row r="2657" spans="2:213" s="156" customFormat="1" hidden="1">
      <c r="B2657" s="155"/>
      <c r="C2657" s="155"/>
      <c r="D2657" s="155"/>
      <c r="E2657" s="155"/>
      <c r="F2657" s="155"/>
      <c r="G2657" s="155"/>
      <c r="H2657" s="155"/>
      <c r="I2657" s="155"/>
      <c r="J2657" s="155"/>
      <c r="K2657" s="155"/>
      <c r="L2657" s="155"/>
      <c r="M2657" s="155"/>
      <c r="N2657" s="155"/>
      <c r="O2657" s="155"/>
      <c r="P2657" s="155"/>
      <c r="Q2657" s="155"/>
      <c r="R2657" s="155"/>
      <c r="S2657" s="155"/>
      <c r="T2657" s="155"/>
      <c r="U2657" s="155"/>
      <c r="V2657" s="155"/>
      <c r="W2657" s="155"/>
      <c r="GL2657" s="155"/>
      <c r="GM2657" s="155"/>
      <c r="GN2657" s="155"/>
      <c r="GO2657" s="155"/>
      <c r="GP2657" s="155"/>
      <c r="GQ2657" s="155"/>
      <c r="GR2657" s="155"/>
      <c r="GS2657" s="155"/>
      <c r="GT2657" s="155"/>
      <c r="GU2657" s="155"/>
      <c r="GV2657" s="155"/>
      <c r="GW2657" s="155"/>
      <c r="GX2657" s="155"/>
      <c r="GY2657" s="155"/>
      <c r="GZ2657" s="155"/>
      <c r="HA2657" s="155"/>
      <c r="HB2657" s="155"/>
      <c r="HC2657" s="155"/>
      <c r="HD2657" s="155"/>
      <c r="HE2657" s="155"/>
    </row>
    <row r="2658" spans="2:213" s="156" customFormat="1" hidden="1">
      <c r="B2658" s="155"/>
      <c r="C2658" s="155"/>
      <c r="D2658" s="155"/>
      <c r="E2658" s="155"/>
      <c r="F2658" s="155"/>
      <c r="G2658" s="155"/>
      <c r="H2658" s="155"/>
      <c r="I2658" s="155"/>
      <c r="J2658" s="155"/>
      <c r="K2658" s="155"/>
      <c r="L2658" s="155"/>
      <c r="M2658" s="155"/>
      <c r="N2658" s="155"/>
      <c r="O2658" s="155"/>
      <c r="P2658" s="155"/>
      <c r="Q2658" s="155"/>
      <c r="R2658" s="155"/>
      <c r="S2658" s="155"/>
      <c r="T2658" s="155"/>
      <c r="U2658" s="155"/>
      <c r="V2658" s="155"/>
      <c r="W2658" s="155"/>
      <c r="GL2658" s="155"/>
      <c r="GM2658" s="155"/>
      <c r="GN2658" s="155"/>
      <c r="GO2658" s="155"/>
      <c r="GP2658" s="155"/>
      <c r="GQ2658" s="155"/>
      <c r="GR2658" s="155"/>
      <c r="GS2658" s="155"/>
      <c r="GT2658" s="155"/>
      <c r="GU2658" s="155"/>
      <c r="GV2658" s="155"/>
      <c r="GW2658" s="155"/>
      <c r="GX2658" s="155"/>
      <c r="GY2658" s="155"/>
      <c r="GZ2658" s="155"/>
      <c r="HA2658" s="155"/>
      <c r="HB2658" s="155"/>
      <c r="HC2658" s="155"/>
      <c r="HD2658" s="155"/>
      <c r="HE2658" s="155"/>
    </row>
    <row r="2659" spans="2:213" s="156" customFormat="1" hidden="1">
      <c r="B2659" s="155"/>
      <c r="C2659" s="155"/>
      <c r="D2659" s="155"/>
      <c r="E2659" s="155"/>
      <c r="F2659" s="155"/>
      <c r="G2659" s="155"/>
      <c r="H2659" s="155"/>
      <c r="I2659" s="155"/>
      <c r="J2659" s="155"/>
      <c r="K2659" s="155"/>
      <c r="L2659" s="155"/>
      <c r="M2659" s="155"/>
      <c r="N2659" s="155"/>
      <c r="O2659" s="155"/>
      <c r="P2659" s="155"/>
      <c r="Q2659" s="155"/>
      <c r="R2659" s="155"/>
      <c r="S2659" s="155"/>
      <c r="T2659" s="155"/>
      <c r="U2659" s="155"/>
      <c r="V2659" s="155"/>
      <c r="W2659" s="155"/>
      <c r="GL2659" s="155"/>
      <c r="GM2659" s="155"/>
      <c r="GN2659" s="155"/>
      <c r="GO2659" s="155"/>
      <c r="GP2659" s="155"/>
      <c r="GQ2659" s="155"/>
      <c r="GR2659" s="155"/>
      <c r="GS2659" s="155"/>
      <c r="GT2659" s="155"/>
      <c r="GU2659" s="155"/>
      <c r="GV2659" s="155"/>
      <c r="GW2659" s="155"/>
      <c r="GX2659" s="155"/>
      <c r="GY2659" s="155"/>
      <c r="GZ2659" s="155"/>
      <c r="HA2659" s="155"/>
      <c r="HB2659" s="155"/>
      <c r="HC2659" s="155"/>
      <c r="HD2659" s="155"/>
      <c r="HE2659" s="155"/>
    </row>
    <row r="2660" spans="2:213" s="156" customFormat="1" hidden="1">
      <c r="B2660" s="155"/>
      <c r="C2660" s="155"/>
      <c r="D2660" s="155"/>
      <c r="E2660" s="155"/>
      <c r="F2660" s="155"/>
      <c r="G2660" s="155"/>
      <c r="H2660" s="155"/>
      <c r="I2660" s="155"/>
      <c r="J2660" s="155"/>
      <c r="K2660" s="155"/>
      <c r="L2660" s="155"/>
      <c r="M2660" s="155"/>
      <c r="N2660" s="155"/>
      <c r="O2660" s="155"/>
      <c r="P2660" s="155"/>
      <c r="Q2660" s="155"/>
      <c r="R2660" s="155"/>
      <c r="S2660" s="155"/>
      <c r="T2660" s="155"/>
      <c r="U2660" s="155"/>
      <c r="V2660" s="155"/>
      <c r="W2660" s="155"/>
      <c r="GL2660" s="155"/>
      <c r="GM2660" s="155"/>
      <c r="GN2660" s="155"/>
      <c r="GO2660" s="155"/>
      <c r="GP2660" s="155"/>
      <c r="GQ2660" s="155"/>
      <c r="GR2660" s="155"/>
      <c r="GS2660" s="155"/>
      <c r="GT2660" s="155"/>
      <c r="GU2660" s="155"/>
      <c r="GV2660" s="155"/>
      <c r="GW2660" s="155"/>
      <c r="GX2660" s="155"/>
      <c r="GY2660" s="155"/>
      <c r="GZ2660" s="155"/>
      <c r="HA2660" s="155"/>
      <c r="HB2660" s="155"/>
      <c r="HC2660" s="155"/>
      <c r="HD2660" s="155"/>
      <c r="HE2660" s="155"/>
    </row>
    <row r="2661" spans="2:213" s="156" customFormat="1" hidden="1">
      <c r="B2661" s="155"/>
      <c r="C2661" s="155"/>
      <c r="D2661" s="155"/>
      <c r="E2661" s="155"/>
      <c r="F2661" s="155"/>
      <c r="G2661" s="155"/>
      <c r="H2661" s="155"/>
      <c r="I2661" s="155"/>
      <c r="J2661" s="155"/>
      <c r="K2661" s="155"/>
      <c r="L2661" s="155"/>
      <c r="M2661" s="155"/>
      <c r="N2661" s="155"/>
      <c r="O2661" s="155"/>
      <c r="P2661" s="155"/>
      <c r="Q2661" s="155"/>
      <c r="R2661" s="155"/>
      <c r="S2661" s="155"/>
      <c r="T2661" s="155"/>
      <c r="U2661" s="155"/>
      <c r="V2661" s="155"/>
      <c r="W2661" s="155"/>
      <c r="GL2661" s="155"/>
      <c r="GM2661" s="155"/>
      <c r="GN2661" s="155"/>
      <c r="GO2661" s="155"/>
      <c r="GP2661" s="155"/>
      <c r="GQ2661" s="155"/>
      <c r="GR2661" s="155"/>
      <c r="GS2661" s="155"/>
      <c r="GT2661" s="155"/>
      <c r="GU2661" s="155"/>
      <c r="GV2661" s="155"/>
      <c r="GW2661" s="155"/>
      <c r="GX2661" s="155"/>
      <c r="GY2661" s="155"/>
      <c r="GZ2661" s="155"/>
      <c r="HA2661" s="155"/>
      <c r="HB2661" s="155"/>
      <c r="HC2661" s="155"/>
      <c r="HD2661" s="155"/>
      <c r="HE2661" s="155"/>
    </row>
    <row r="2662" spans="2:213" s="156" customFormat="1" hidden="1">
      <c r="B2662" s="155"/>
      <c r="C2662" s="155"/>
      <c r="D2662" s="155"/>
      <c r="E2662" s="155"/>
      <c r="F2662" s="155"/>
      <c r="G2662" s="155"/>
      <c r="H2662" s="155"/>
      <c r="I2662" s="155"/>
      <c r="J2662" s="155"/>
      <c r="K2662" s="155"/>
      <c r="L2662" s="155"/>
      <c r="M2662" s="155"/>
      <c r="N2662" s="155"/>
      <c r="O2662" s="155"/>
      <c r="P2662" s="155"/>
      <c r="Q2662" s="155"/>
      <c r="R2662" s="155"/>
      <c r="S2662" s="155"/>
      <c r="T2662" s="155"/>
      <c r="U2662" s="155"/>
      <c r="V2662" s="155"/>
      <c r="W2662" s="155"/>
      <c r="GL2662" s="155"/>
      <c r="GM2662" s="155"/>
      <c r="GN2662" s="155"/>
      <c r="GO2662" s="155"/>
      <c r="GP2662" s="155"/>
      <c r="GQ2662" s="155"/>
      <c r="GR2662" s="155"/>
      <c r="GS2662" s="155"/>
      <c r="GT2662" s="155"/>
      <c r="GU2662" s="155"/>
      <c r="GV2662" s="155"/>
      <c r="GW2662" s="155"/>
      <c r="GX2662" s="155"/>
      <c r="GY2662" s="155"/>
      <c r="GZ2662" s="155"/>
      <c r="HA2662" s="155"/>
      <c r="HB2662" s="155"/>
      <c r="HC2662" s="155"/>
      <c r="HD2662" s="155"/>
      <c r="HE2662" s="155"/>
    </row>
    <row r="2663" spans="2:213" s="156" customFormat="1" hidden="1">
      <c r="B2663" s="155"/>
      <c r="C2663" s="155"/>
      <c r="D2663" s="155"/>
      <c r="E2663" s="155"/>
      <c r="F2663" s="155"/>
      <c r="G2663" s="155"/>
      <c r="H2663" s="155"/>
      <c r="I2663" s="155"/>
      <c r="J2663" s="155"/>
      <c r="K2663" s="155"/>
      <c r="L2663" s="155"/>
      <c r="M2663" s="155"/>
      <c r="N2663" s="155"/>
      <c r="O2663" s="155"/>
      <c r="P2663" s="155"/>
      <c r="Q2663" s="155"/>
      <c r="R2663" s="155"/>
      <c r="S2663" s="155"/>
      <c r="T2663" s="155"/>
      <c r="U2663" s="155"/>
      <c r="V2663" s="155"/>
      <c r="W2663" s="155"/>
      <c r="GL2663" s="155"/>
      <c r="GM2663" s="155"/>
      <c r="GN2663" s="155"/>
      <c r="GO2663" s="155"/>
      <c r="GP2663" s="155"/>
      <c r="GQ2663" s="155"/>
      <c r="GR2663" s="155"/>
      <c r="GS2663" s="155"/>
      <c r="GT2663" s="155"/>
      <c r="GU2663" s="155"/>
      <c r="GV2663" s="155"/>
      <c r="GW2663" s="155"/>
      <c r="GX2663" s="155"/>
      <c r="GY2663" s="155"/>
      <c r="GZ2663" s="155"/>
      <c r="HA2663" s="155"/>
      <c r="HB2663" s="155"/>
      <c r="HC2663" s="155"/>
      <c r="HD2663" s="155"/>
      <c r="HE2663" s="155"/>
    </row>
    <row r="2664" spans="2:213" s="156" customFormat="1" hidden="1">
      <c r="B2664" s="155"/>
      <c r="C2664" s="155"/>
      <c r="D2664" s="155"/>
      <c r="E2664" s="155"/>
      <c r="F2664" s="155"/>
      <c r="G2664" s="155"/>
      <c r="H2664" s="155"/>
      <c r="I2664" s="155"/>
      <c r="J2664" s="155"/>
      <c r="K2664" s="155"/>
      <c r="L2664" s="155"/>
      <c r="M2664" s="155"/>
      <c r="N2664" s="155"/>
      <c r="O2664" s="155"/>
      <c r="P2664" s="155"/>
      <c r="Q2664" s="155"/>
      <c r="R2664" s="155"/>
      <c r="S2664" s="155"/>
      <c r="T2664" s="155"/>
      <c r="U2664" s="155"/>
      <c r="V2664" s="155"/>
      <c r="W2664" s="155"/>
      <c r="GL2664" s="155"/>
      <c r="GM2664" s="155"/>
      <c r="GN2664" s="155"/>
      <c r="GO2664" s="155"/>
      <c r="GP2664" s="155"/>
      <c r="GQ2664" s="155"/>
      <c r="GR2664" s="155"/>
      <c r="GS2664" s="155"/>
      <c r="GT2664" s="155"/>
      <c r="GU2664" s="155"/>
      <c r="GV2664" s="155"/>
      <c r="GW2664" s="155"/>
      <c r="GX2664" s="155"/>
      <c r="GY2664" s="155"/>
      <c r="GZ2664" s="155"/>
      <c r="HA2664" s="155"/>
      <c r="HB2664" s="155"/>
      <c r="HC2664" s="155"/>
      <c r="HD2664" s="155"/>
      <c r="HE2664" s="155"/>
    </row>
    <row r="2665" spans="2:213" s="156" customFormat="1" hidden="1">
      <c r="B2665" s="155"/>
      <c r="C2665" s="155"/>
      <c r="D2665" s="155"/>
      <c r="E2665" s="155"/>
      <c r="F2665" s="155"/>
      <c r="G2665" s="155"/>
      <c r="H2665" s="155"/>
      <c r="I2665" s="155"/>
      <c r="J2665" s="155"/>
      <c r="K2665" s="155"/>
      <c r="L2665" s="155"/>
      <c r="M2665" s="155"/>
      <c r="N2665" s="155"/>
      <c r="O2665" s="155"/>
      <c r="P2665" s="155"/>
      <c r="Q2665" s="155"/>
      <c r="R2665" s="155"/>
      <c r="S2665" s="155"/>
      <c r="T2665" s="155"/>
      <c r="U2665" s="155"/>
      <c r="V2665" s="155"/>
      <c r="W2665" s="155"/>
      <c r="GL2665" s="155"/>
      <c r="GM2665" s="155"/>
      <c r="GN2665" s="155"/>
      <c r="GO2665" s="155"/>
      <c r="GP2665" s="155"/>
      <c r="GQ2665" s="155"/>
      <c r="GR2665" s="155"/>
      <c r="GS2665" s="155"/>
      <c r="GT2665" s="155"/>
      <c r="GU2665" s="155"/>
      <c r="GV2665" s="155"/>
      <c r="GW2665" s="155"/>
      <c r="GX2665" s="155"/>
      <c r="GY2665" s="155"/>
      <c r="GZ2665" s="155"/>
      <c r="HA2665" s="155"/>
      <c r="HB2665" s="155"/>
      <c r="HC2665" s="155"/>
      <c r="HD2665" s="155"/>
      <c r="HE2665" s="155"/>
    </row>
    <row r="2666" spans="2:213" s="156" customFormat="1" hidden="1">
      <c r="B2666" s="155"/>
      <c r="C2666" s="155"/>
      <c r="D2666" s="155"/>
      <c r="E2666" s="155"/>
      <c r="F2666" s="155"/>
      <c r="G2666" s="155"/>
      <c r="H2666" s="155"/>
      <c r="I2666" s="155"/>
      <c r="J2666" s="155"/>
      <c r="K2666" s="155"/>
      <c r="L2666" s="155"/>
      <c r="M2666" s="155"/>
      <c r="N2666" s="155"/>
      <c r="O2666" s="155"/>
      <c r="P2666" s="155"/>
      <c r="Q2666" s="155"/>
      <c r="R2666" s="155"/>
      <c r="S2666" s="155"/>
      <c r="T2666" s="155"/>
      <c r="U2666" s="155"/>
      <c r="V2666" s="155"/>
      <c r="W2666" s="155"/>
      <c r="GL2666" s="155"/>
      <c r="GM2666" s="155"/>
      <c r="GN2666" s="155"/>
      <c r="GO2666" s="155"/>
      <c r="GP2666" s="155"/>
      <c r="GQ2666" s="155"/>
      <c r="GR2666" s="155"/>
      <c r="GS2666" s="155"/>
      <c r="GT2666" s="155"/>
      <c r="GU2666" s="155"/>
      <c r="GV2666" s="155"/>
      <c r="GW2666" s="155"/>
      <c r="GX2666" s="155"/>
      <c r="GY2666" s="155"/>
      <c r="GZ2666" s="155"/>
      <c r="HA2666" s="155"/>
      <c r="HB2666" s="155"/>
      <c r="HC2666" s="155"/>
      <c r="HD2666" s="155"/>
      <c r="HE2666" s="155"/>
    </row>
    <row r="2667" spans="2:213" s="156" customFormat="1" hidden="1">
      <c r="B2667" s="155"/>
      <c r="C2667" s="155"/>
      <c r="D2667" s="155"/>
      <c r="E2667" s="155"/>
      <c r="F2667" s="155"/>
      <c r="G2667" s="155"/>
      <c r="H2667" s="155"/>
      <c r="I2667" s="155"/>
      <c r="J2667" s="155"/>
      <c r="K2667" s="155"/>
      <c r="L2667" s="155"/>
      <c r="M2667" s="155"/>
      <c r="N2667" s="155"/>
      <c r="O2667" s="155"/>
      <c r="P2667" s="155"/>
      <c r="Q2667" s="155"/>
      <c r="R2667" s="155"/>
      <c r="S2667" s="155"/>
      <c r="T2667" s="155"/>
      <c r="U2667" s="155"/>
      <c r="V2667" s="155"/>
      <c r="W2667" s="155"/>
      <c r="GL2667" s="155"/>
      <c r="GM2667" s="155"/>
      <c r="GN2667" s="155"/>
      <c r="GO2667" s="155"/>
      <c r="GP2667" s="155"/>
      <c r="GQ2667" s="155"/>
      <c r="GR2667" s="155"/>
      <c r="GS2667" s="155"/>
      <c r="GT2667" s="155"/>
      <c r="GU2667" s="155"/>
      <c r="GV2667" s="155"/>
      <c r="GW2667" s="155"/>
      <c r="GX2667" s="155"/>
      <c r="GY2667" s="155"/>
      <c r="GZ2667" s="155"/>
      <c r="HA2667" s="155"/>
      <c r="HB2667" s="155"/>
      <c r="HC2667" s="155"/>
      <c r="HD2667" s="155"/>
      <c r="HE2667" s="155"/>
    </row>
    <row r="2668" spans="2:213" s="156" customFormat="1" hidden="1">
      <c r="B2668" s="155"/>
      <c r="C2668" s="155"/>
      <c r="D2668" s="155"/>
      <c r="E2668" s="155"/>
      <c r="F2668" s="155"/>
      <c r="G2668" s="155"/>
      <c r="H2668" s="155"/>
      <c r="I2668" s="155"/>
      <c r="J2668" s="155"/>
      <c r="K2668" s="155"/>
      <c r="L2668" s="155"/>
      <c r="M2668" s="155"/>
      <c r="N2668" s="155"/>
      <c r="O2668" s="155"/>
      <c r="P2668" s="155"/>
      <c r="Q2668" s="155"/>
      <c r="R2668" s="155"/>
      <c r="S2668" s="155"/>
      <c r="T2668" s="155"/>
      <c r="U2668" s="155"/>
      <c r="V2668" s="155"/>
      <c r="W2668" s="155"/>
      <c r="GL2668" s="155"/>
      <c r="GM2668" s="155"/>
      <c r="GN2668" s="155"/>
      <c r="GO2668" s="155"/>
      <c r="GP2668" s="155"/>
      <c r="GQ2668" s="155"/>
      <c r="GR2668" s="155"/>
      <c r="GS2668" s="155"/>
      <c r="GT2668" s="155"/>
      <c r="GU2668" s="155"/>
      <c r="GV2668" s="155"/>
      <c r="GW2668" s="155"/>
      <c r="GX2668" s="155"/>
      <c r="GY2668" s="155"/>
      <c r="GZ2668" s="155"/>
      <c r="HA2668" s="155"/>
      <c r="HB2668" s="155"/>
      <c r="HC2668" s="155"/>
      <c r="HD2668" s="155"/>
      <c r="HE2668" s="155"/>
    </row>
    <row r="2669" spans="2:213" s="156" customFormat="1" hidden="1">
      <c r="B2669" s="155"/>
      <c r="C2669" s="155"/>
      <c r="D2669" s="155"/>
      <c r="E2669" s="155"/>
      <c r="F2669" s="155"/>
      <c r="G2669" s="155"/>
      <c r="H2669" s="155"/>
      <c r="I2669" s="155"/>
      <c r="J2669" s="155"/>
      <c r="K2669" s="155"/>
      <c r="L2669" s="155"/>
      <c r="M2669" s="155"/>
      <c r="N2669" s="155"/>
      <c r="O2669" s="155"/>
      <c r="P2669" s="155"/>
      <c r="Q2669" s="155"/>
      <c r="R2669" s="155"/>
      <c r="S2669" s="155"/>
      <c r="T2669" s="155"/>
      <c r="U2669" s="155"/>
      <c r="V2669" s="155"/>
      <c r="W2669" s="155"/>
      <c r="GL2669" s="155"/>
      <c r="GM2669" s="155"/>
      <c r="GN2669" s="155"/>
      <c r="GO2669" s="155"/>
      <c r="GP2669" s="155"/>
      <c r="GQ2669" s="155"/>
      <c r="GR2669" s="155"/>
      <c r="GS2669" s="155"/>
      <c r="GT2669" s="155"/>
      <c r="GU2669" s="155"/>
      <c r="GV2669" s="155"/>
      <c r="GW2669" s="155"/>
      <c r="GX2669" s="155"/>
      <c r="GY2669" s="155"/>
      <c r="GZ2669" s="155"/>
      <c r="HA2669" s="155"/>
      <c r="HB2669" s="155"/>
      <c r="HC2669" s="155"/>
      <c r="HD2669" s="155"/>
      <c r="HE2669" s="155"/>
    </row>
    <row r="2670" spans="2:213" s="156" customFormat="1" hidden="1">
      <c r="B2670" s="155"/>
      <c r="C2670" s="155"/>
      <c r="D2670" s="155"/>
      <c r="E2670" s="155"/>
      <c r="F2670" s="155"/>
      <c r="G2670" s="155"/>
      <c r="H2670" s="155"/>
      <c r="I2670" s="155"/>
      <c r="J2670" s="155"/>
      <c r="K2670" s="155"/>
      <c r="L2670" s="155"/>
      <c r="M2670" s="155"/>
      <c r="N2670" s="155"/>
      <c r="O2670" s="155"/>
      <c r="P2670" s="155"/>
      <c r="Q2670" s="155"/>
      <c r="R2670" s="155"/>
      <c r="S2670" s="155"/>
      <c r="T2670" s="155"/>
      <c r="U2670" s="155"/>
      <c r="V2670" s="155"/>
      <c r="W2670" s="155"/>
      <c r="GL2670" s="155"/>
      <c r="GM2670" s="155"/>
      <c r="GN2670" s="155"/>
      <c r="GO2670" s="155"/>
      <c r="GP2670" s="155"/>
      <c r="GQ2670" s="155"/>
      <c r="GR2670" s="155"/>
      <c r="GS2670" s="155"/>
      <c r="GT2670" s="155"/>
      <c r="GU2670" s="155"/>
      <c r="GV2670" s="155"/>
      <c r="GW2670" s="155"/>
      <c r="GX2670" s="155"/>
      <c r="GY2670" s="155"/>
      <c r="GZ2670" s="155"/>
      <c r="HA2670" s="155"/>
      <c r="HB2670" s="155"/>
      <c r="HC2670" s="155"/>
      <c r="HD2670" s="155"/>
      <c r="HE2670" s="155"/>
    </row>
    <row r="2671" spans="2:213" s="156" customFormat="1" hidden="1">
      <c r="B2671" s="155"/>
      <c r="C2671" s="155"/>
      <c r="D2671" s="155"/>
      <c r="E2671" s="155"/>
      <c r="F2671" s="155"/>
      <c r="G2671" s="155"/>
      <c r="H2671" s="155"/>
      <c r="I2671" s="155"/>
      <c r="J2671" s="155"/>
      <c r="K2671" s="155"/>
      <c r="L2671" s="155"/>
      <c r="M2671" s="155"/>
      <c r="N2671" s="155"/>
      <c r="O2671" s="155"/>
      <c r="P2671" s="155"/>
      <c r="Q2671" s="155"/>
      <c r="R2671" s="155"/>
      <c r="S2671" s="155"/>
      <c r="T2671" s="155"/>
      <c r="U2671" s="155"/>
      <c r="V2671" s="155"/>
      <c r="W2671" s="155"/>
      <c r="GL2671" s="155"/>
      <c r="GM2671" s="155"/>
      <c r="GN2671" s="155"/>
      <c r="GO2671" s="155"/>
      <c r="GP2671" s="155"/>
      <c r="GQ2671" s="155"/>
      <c r="GR2671" s="155"/>
      <c r="GS2671" s="155"/>
      <c r="GT2671" s="155"/>
      <c r="GU2671" s="155"/>
      <c r="GV2671" s="155"/>
      <c r="GW2671" s="155"/>
      <c r="GX2671" s="155"/>
      <c r="GY2671" s="155"/>
      <c r="GZ2671" s="155"/>
      <c r="HA2671" s="155"/>
      <c r="HB2671" s="155"/>
      <c r="HC2671" s="155"/>
      <c r="HD2671" s="155"/>
      <c r="HE2671" s="155"/>
    </row>
    <row r="2672" spans="2:213" s="156" customFormat="1" hidden="1">
      <c r="B2672" s="155"/>
      <c r="C2672" s="155"/>
      <c r="D2672" s="155"/>
      <c r="E2672" s="155"/>
      <c r="F2672" s="155"/>
      <c r="G2672" s="155"/>
      <c r="H2672" s="155"/>
      <c r="I2672" s="155"/>
      <c r="J2672" s="155"/>
      <c r="K2672" s="155"/>
      <c r="L2672" s="155"/>
      <c r="M2672" s="155"/>
      <c r="N2672" s="155"/>
      <c r="O2672" s="155"/>
      <c r="P2672" s="155"/>
      <c r="Q2672" s="155"/>
      <c r="R2672" s="155"/>
      <c r="S2672" s="155"/>
      <c r="T2672" s="155"/>
      <c r="U2672" s="155"/>
      <c r="V2672" s="155"/>
      <c r="W2672" s="155"/>
      <c r="GL2672" s="155"/>
      <c r="GM2672" s="155"/>
      <c r="GN2672" s="155"/>
      <c r="GO2672" s="155"/>
      <c r="GP2672" s="155"/>
      <c r="GQ2672" s="155"/>
      <c r="GR2672" s="155"/>
      <c r="GS2672" s="155"/>
      <c r="GT2672" s="155"/>
      <c r="GU2672" s="155"/>
      <c r="GV2672" s="155"/>
      <c r="GW2672" s="155"/>
      <c r="GX2672" s="155"/>
      <c r="GY2672" s="155"/>
      <c r="GZ2672" s="155"/>
      <c r="HA2672" s="155"/>
      <c r="HB2672" s="155"/>
      <c r="HC2672" s="155"/>
      <c r="HD2672" s="155"/>
      <c r="HE2672" s="155"/>
    </row>
    <row r="2673" spans="2:213" s="156" customFormat="1" hidden="1">
      <c r="B2673" s="155"/>
      <c r="C2673" s="155"/>
      <c r="D2673" s="155"/>
      <c r="E2673" s="155"/>
      <c r="F2673" s="155"/>
      <c r="G2673" s="155"/>
      <c r="H2673" s="155"/>
      <c r="I2673" s="155"/>
      <c r="J2673" s="155"/>
      <c r="K2673" s="155"/>
      <c r="L2673" s="155"/>
      <c r="M2673" s="155"/>
      <c r="N2673" s="155"/>
      <c r="O2673" s="155"/>
      <c r="P2673" s="155"/>
      <c r="Q2673" s="155"/>
      <c r="R2673" s="155"/>
      <c r="S2673" s="155"/>
      <c r="T2673" s="155"/>
      <c r="U2673" s="155"/>
      <c r="V2673" s="155"/>
      <c r="W2673" s="155"/>
      <c r="GL2673" s="155"/>
      <c r="GM2673" s="155"/>
      <c r="GN2673" s="155"/>
      <c r="GO2673" s="155"/>
      <c r="GP2673" s="155"/>
      <c r="GQ2673" s="155"/>
      <c r="GR2673" s="155"/>
      <c r="GS2673" s="155"/>
      <c r="GT2673" s="155"/>
      <c r="GU2673" s="155"/>
      <c r="GV2673" s="155"/>
      <c r="GW2673" s="155"/>
      <c r="GX2673" s="155"/>
      <c r="GY2673" s="155"/>
      <c r="GZ2673" s="155"/>
      <c r="HA2673" s="155"/>
      <c r="HB2673" s="155"/>
      <c r="HC2673" s="155"/>
      <c r="HD2673" s="155"/>
      <c r="HE2673" s="155"/>
    </row>
    <row r="2674" spans="2:213" s="156" customFormat="1" hidden="1">
      <c r="B2674" s="155"/>
      <c r="C2674" s="155"/>
      <c r="D2674" s="155"/>
      <c r="E2674" s="155"/>
      <c r="F2674" s="155"/>
      <c r="G2674" s="155"/>
      <c r="H2674" s="155"/>
      <c r="I2674" s="155"/>
      <c r="J2674" s="155"/>
      <c r="K2674" s="155"/>
      <c r="L2674" s="155"/>
      <c r="M2674" s="155"/>
      <c r="N2674" s="155"/>
      <c r="O2674" s="155"/>
      <c r="P2674" s="155"/>
      <c r="Q2674" s="155"/>
      <c r="R2674" s="155"/>
      <c r="S2674" s="155"/>
      <c r="T2674" s="155"/>
      <c r="U2674" s="155"/>
      <c r="V2674" s="155"/>
      <c r="W2674" s="155"/>
      <c r="GL2674" s="155"/>
      <c r="GM2674" s="155"/>
      <c r="GN2674" s="155"/>
      <c r="GO2674" s="155"/>
      <c r="GP2674" s="155"/>
      <c r="GQ2674" s="155"/>
      <c r="GR2674" s="155"/>
      <c r="GS2674" s="155"/>
      <c r="GT2674" s="155"/>
      <c r="GU2674" s="155"/>
      <c r="GV2674" s="155"/>
      <c r="GW2674" s="155"/>
      <c r="GX2674" s="155"/>
      <c r="GY2674" s="155"/>
      <c r="GZ2674" s="155"/>
      <c r="HA2674" s="155"/>
      <c r="HB2674" s="155"/>
      <c r="HC2674" s="155"/>
      <c r="HD2674" s="155"/>
      <c r="HE2674" s="155"/>
    </row>
    <row r="2675" spans="2:213" s="156" customFormat="1" hidden="1">
      <c r="B2675" s="155"/>
      <c r="C2675" s="155"/>
      <c r="D2675" s="155"/>
      <c r="E2675" s="155"/>
      <c r="F2675" s="155"/>
      <c r="G2675" s="155"/>
      <c r="H2675" s="155"/>
      <c r="I2675" s="155"/>
      <c r="J2675" s="155"/>
      <c r="K2675" s="155"/>
      <c r="L2675" s="155"/>
      <c r="M2675" s="155"/>
      <c r="N2675" s="155"/>
      <c r="O2675" s="155"/>
      <c r="P2675" s="155"/>
      <c r="Q2675" s="155"/>
      <c r="R2675" s="155"/>
      <c r="S2675" s="155"/>
      <c r="T2675" s="155"/>
      <c r="U2675" s="155"/>
      <c r="V2675" s="155"/>
      <c r="W2675" s="155"/>
      <c r="GL2675" s="155"/>
      <c r="GM2675" s="155"/>
      <c r="GN2675" s="155"/>
      <c r="GO2675" s="155"/>
      <c r="GP2675" s="155"/>
      <c r="GQ2675" s="155"/>
      <c r="GR2675" s="155"/>
      <c r="GS2675" s="155"/>
      <c r="GT2675" s="155"/>
      <c r="GU2675" s="155"/>
      <c r="GV2675" s="155"/>
      <c r="GW2675" s="155"/>
      <c r="GX2675" s="155"/>
      <c r="GY2675" s="155"/>
      <c r="GZ2675" s="155"/>
      <c r="HA2675" s="155"/>
      <c r="HB2675" s="155"/>
      <c r="HC2675" s="155"/>
      <c r="HD2675" s="155"/>
      <c r="HE2675" s="155"/>
    </row>
    <row r="2676" spans="2:213" s="156" customFormat="1" hidden="1">
      <c r="B2676" s="155"/>
      <c r="C2676" s="155"/>
      <c r="D2676" s="155"/>
      <c r="E2676" s="155"/>
      <c r="F2676" s="155"/>
      <c r="G2676" s="155"/>
      <c r="H2676" s="155"/>
      <c r="I2676" s="155"/>
      <c r="J2676" s="155"/>
      <c r="K2676" s="155"/>
      <c r="L2676" s="155"/>
      <c r="M2676" s="155"/>
      <c r="N2676" s="155"/>
      <c r="O2676" s="155"/>
      <c r="P2676" s="155"/>
      <c r="Q2676" s="155"/>
      <c r="R2676" s="155"/>
      <c r="S2676" s="155"/>
      <c r="T2676" s="155"/>
      <c r="U2676" s="155"/>
      <c r="V2676" s="155"/>
      <c r="W2676" s="155"/>
      <c r="GL2676" s="155"/>
      <c r="GM2676" s="155"/>
      <c r="GN2676" s="155"/>
      <c r="GO2676" s="155"/>
      <c r="GP2676" s="155"/>
      <c r="GQ2676" s="155"/>
      <c r="GR2676" s="155"/>
      <c r="GS2676" s="155"/>
      <c r="GT2676" s="155"/>
      <c r="GU2676" s="155"/>
      <c r="GV2676" s="155"/>
      <c r="GW2676" s="155"/>
      <c r="GX2676" s="155"/>
      <c r="GY2676" s="155"/>
      <c r="GZ2676" s="155"/>
      <c r="HA2676" s="155"/>
      <c r="HB2676" s="155"/>
      <c r="HC2676" s="155"/>
      <c r="HD2676" s="155"/>
      <c r="HE2676" s="155"/>
    </row>
    <row r="2677" spans="2:213" s="156" customFormat="1" hidden="1">
      <c r="B2677" s="155"/>
      <c r="C2677" s="155"/>
      <c r="D2677" s="155"/>
      <c r="E2677" s="155"/>
      <c r="F2677" s="155"/>
      <c r="G2677" s="155"/>
      <c r="H2677" s="155"/>
      <c r="I2677" s="155"/>
      <c r="J2677" s="155"/>
      <c r="K2677" s="155"/>
      <c r="L2677" s="155"/>
      <c r="M2677" s="155"/>
      <c r="N2677" s="155"/>
      <c r="O2677" s="155"/>
      <c r="P2677" s="155"/>
      <c r="Q2677" s="155"/>
      <c r="R2677" s="155"/>
      <c r="S2677" s="155"/>
      <c r="T2677" s="155"/>
      <c r="U2677" s="155"/>
      <c r="V2677" s="155"/>
      <c r="W2677" s="155"/>
      <c r="GL2677" s="155"/>
      <c r="GM2677" s="155"/>
      <c r="GN2677" s="155"/>
      <c r="GO2677" s="155"/>
      <c r="GP2677" s="155"/>
      <c r="GQ2677" s="155"/>
      <c r="GR2677" s="155"/>
      <c r="GS2677" s="155"/>
      <c r="GT2677" s="155"/>
      <c r="GU2677" s="155"/>
      <c r="GV2677" s="155"/>
      <c r="GW2677" s="155"/>
      <c r="GX2677" s="155"/>
      <c r="GY2677" s="155"/>
      <c r="GZ2677" s="155"/>
      <c r="HA2677" s="155"/>
      <c r="HB2677" s="155"/>
      <c r="HC2677" s="155"/>
      <c r="HD2677" s="155"/>
      <c r="HE2677" s="155"/>
    </row>
    <row r="2678" spans="2:213" s="156" customFormat="1" hidden="1">
      <c r="B2678" s="155"/>
      <c r="C2678" s="155"/>
      <c r="D2678" s="155"/>
      <c r="E2678" s="155"/>
      <c r="F2678" s="155"/>
      <c r="G2678" s="155"/>
      <c r="H2678" s="155"/>
      <c r="I2678" s="155"/>
      <c r="J2678" s="155"/>
      <c r="K2678" s="155"/>
      <c r="L2678" s="155"/>
      <c r="M2678" s="155"/>
      <c r="N2678" s="155"/>
      <c r="O2678" s="155"/>
      <c r="P2678" s="155"/>
      <c r="Q2678" s="155"/>
      <c r="R2678" s="155"/>
      <c r="S2678" s="155"/>
      <c r="T2678" s="155"/>
      <c r="U2678" s="155"/>
      <c r="V2678" s="155"/>
      <c r="W2678" s="155"/>
      <c r="GL2678" s="155"/>
      <c r="GM2678" s="155"/>
      <c r="GN2678" s="155"/>
      <c r="GO2678" s="155"/>
      <c r="GP2678" s="155"/>
      <c r="GQ2678" s="155"/>
      <c r="GR2678" s="155"/>
      <c r="GS2678" s="155"/>
      <c r="GT2678" s="155"/>
      <c r="GU2678" s="155"/>
      <c r="GV2678" s="155"/>
      <c r="GW2678" s="155"/>
      <c r="GX2678" s="155"/>
      <c r="GY2678" s="155"/>
      <c r="GZ2678" s="155"/>
      <c r="HA2678" s="155"/>
      <c r="HB2678" s="155"/>
      <c r="HC2678" s="155"/>
      <c r="HD2678" s="155"/>
      <c r="HE2678" s="155"/>
    </row>
    <row r="2679" spans="2:213" s="156" customFormat="1" hidden="1">
      <c r="B2679" s="155"/>
      <c r="C2679" s="155"/>
      <c r="D2679" s="155"/>
      <c r="E2679" s="155"/>
      <c r="F2679" s="155"/>
      <c r="G2679" s="155"/>
      <c r="H2679" s="155"/>
      <c r="I2679" s="155"/>
      <c r="J2679" s="155"/>
      <c r="K2679" s="155"/>
      <c r="L2679" s="155"/>
      <c r="M2679" s="155"/>
      <c r="N2679" s="155"/>
      <c r="O2679" s="155"/>
      <c r="P2679" s="155"/>
      <c r="Q2679" s="155"/>
      <c r="R2679" s="155"/>
      <c r="S2679" s="155"/>
      <c r="T2679" s="155"/>
      <c r="U2679" s="155"/>
      <c r="V2679" s="155"/>
      <c r="W2679" s="155"/>
      <c r="GL2679" s="155"/>
      <c r="GM2679" s="155"/>
      <c r="GN2679" s="155"/>
      <c r="GO2679" s="155"/>
      <c r="GP2679" s="155"/>
      <c r="GQ2679" s="155"/>
      <c r="GR2679" s="155"/>
      <c r="GS2679" s="155"/>
      <c r="GT2679" s="155"/>
      <c r="GU2679" s="155"/>
      <c r="GV2679" s="155"/>
      <c r="GW2679" s="155"/>
      <c r="GX2679" s="155"/>
      <c r="GY2679" s="155"/>
      <c r="GZ2679" s="155"/>
      <c r="HA2679" s="155"/>
      <c r="HB2679" s="155"/>
      <c r="HC2679" s="155"/>
      <c r="HD2679" s="155"/>
      <c r="HE2679" s="155"/>
    </row>
    <row r="2680" spans="2:213" s="156" customFormat="1" hidden="1">
      <c r="B2680" s="155"/>
      <c r="C2680" s="155"/>
      <c r="D2680" s="155"/>
      <c r="E2680" s="155"/>
      <c r="F2680" s="155"/>
      <c r="G2680" s="155"/>
      <c r="H2680" s="155"/>
      <c r="I2680" s="155"/>
      <c r="J2680" s="155"/>
      <c r="K2680" s="155"/>
      <c r="L2680" s="155"/>
      <c r="M2680" s="155"/>
      <c r="N2680" s="155"/>
      <c r="O2680" s="155"/>
      <c r="P2680" s="155"/>
      <c r="Q2680" s="155"/>
      <c r="R2680" s="155"/>
      <c r="S2680" s="155"/>
      <c r="T2680" s="155"/>
      <c r="U2680" s="155"/>
      <c r="V2680" s="155"/>
      <c r="W2680" s="155"/>
      <c r="GL2680" s="155"/>
      <c r="GM2680" s="155"/>
      <c r="GN2680" s="155"/>
      <c r="GO2680" s="155"/>
      <c r="GP2680" s="155"/>
      <c r="GQ2680" s="155"/>
      <c r="GR2680" s="155"/>
      <c r="GS2680" s="155"/>
      <c r="GT2680" s="155"/>
      <c r="GU2680" s="155"/>
      <c r="GV2680" s="155"/>
      <c r="GW2680" s="155"/>
      <c r="GX2680" s="155"/>
      <c r="GY2680" s="155"/>
      <c r="GZ2680" s="155"/>
      <c r="HA2680" s="155"/>
      <c r="HB2680" s="155"/>
      <c r="HC2680" s="155"/>
      <c r="HD2680" s="155"/>
      <c r="HE2680" s="155"/>
    </row>
    <row r="2681" spans="2:213" s="156" customFormat="1" hidden="1">
      <c r="B2681" s="155"/>
      <c r="C2681" s="155"/>
      <c r="D2681" s="155"/>
      <c r="E2681" s="155"/>
      <c r="F2681" s="155"/>
      <c r="G2681" s="155"/>
      <c r="H2681" s="155"/>
      <c r="I2681" s="155"/>
      <c r="J2681" s="155"/>
      <c r="K2681" s="155"/>
      <c r="L2681" s="155"/>
      <c r="M2681" s="155"/>
      <c r="N2681" s="155"/>
      <c r="O2681" s="155"/>
      <c r="P2681" s="155"/>
      <c r="Q2681" s="155"/>
      <c r="R2681" s="155"/>
      <c r="S2681" s="155"/>
      <c r="T2681" s="155"/>
      <c r="U2681" s="155"/>
      <c r="V2681" s="155"/>
      <c r="W2681" s="155"/>
      <c r="GL2681" s="155"/>
      <c r="GM2681" s="155"/>
      <c r="GN2681" s="155"/>
      <c r="GO2681" s="155"/>
      <c r="GP2681" s="155"/>
      <c r="GQ2681" s="155"/>
      <c r="GR2681" s="155"/>
      <c r="GS2681" s="155"/>
      <c r="GT2681" s="155"/>
      <c r="GU2681" s="155"/>
      <c r="GV2681" s="155"/>
      <c r="GW2681" s="155"/>
      <c r="GX2681" s="155"/>
      <c r="GY2681" s="155"/>
      <c r="GZ2681" s="155"/>
      <c r="HA2681" s="155"/>
      <c r="HB2681" s="155"/>
      <c r="HC2681" s="155"/>
      <c r="HD2681" s="155"/>
      <c r="HE2681" s="155"/>
    </row>
    <row r="2682" spans="2:213" s="156" customFormat="1" hidden="1">
      <c r="B2682" s="155"/>
      <c r="C2682" s="155"/>
      <c r="D2682" s="155"/>
      <c r="E2682" s="155"/>
      <c r="F2682" s="155"/>
      <c r="G2682" s="155"/>
      <c r="H2682" s="155"/>
      <c r="I2682" s="155"/>
      <c r="J2682" s="155"/>
      <c r="K2682" s="155"/>
      <c r="L2682" s="155"/>
      <c r="M2682" s="155"/>
      <c r="N2682" s="155"/>
      <c r="O2682" s="155"/>
      <c r="P2682" s="155"/>
      <c r="Q2682" s="155"/>
      <c r="R2682" s="155"/>
      <c r="S2682" s="155"/>
      <c r="T2682" s="155"/>
      <c r="U2682" s="155"/>
      <c r="V2682" s="155"/>
      <c r="W2682" s="155"/>
      <c r="GL2682" s="155"/>
      <c r="GM2682" s="155"/>
      <c r="GN2682" s="155"/>
      <c r="GO2682" s="155"/>
      <c r="GP2682" s="155"/>
      <c r="GQ2682" s="155"/>
      <c r="GR2682" s="155"/>
      <c r="GS2682" s="155"/>
      <c r="GT2682" s="155"/>
      <c r="GU2682" s="155"/>
      <c r="GV2682" s="155"/>
      <c r="GW2682" s="155"/>
      <c r="GX2682" s="155"/>
      <c r="GY2682" s="155"/>
      <c r="GZ2682" s="155"/>
      <c r="HA2682" s="155"/>
      <c r="HB2682" s="155"/>
      <c r="HC2682" s="155"/>
      <c r="HD2682" s="155"/>
      <c r="HE2682" s="155"/>
    </row>
    <row r="2683" spans="2:213" s="156" customFormat="1" hidden="1">
      <c r="B2683" s="155"/>
      <c r="C2683" s="155"/>
      <c r="D2683" s="155"/>
      <c r="E2683" s="155"/>
      <c r="F2683" s="155"/>
      <c r="G2683" s="155"/>
      <c r="H2683" s="155"/>
      <c r="I2683" s="155"/>
      <c r="J2683" s="155"/>
      <c r="K2683" s="155"/>
      <c r="L2683" s="155"/>
      <c r="M2683" s="155"/>
      <c r="N2683" s="155"/>
      <c r="O2683" s="155"/>
      <c r="P2683" s="155"/>
      <c r="Q2683" s="155"/>
      <c r="R2683" s="155"/>
      <c r="S2683" s="155"/>
      <c r="T2683" s="155"/>
      <c r="U2683" s="155"/>
      <c r="V2683" s="155"/>
      <c r="W2683" s="155"/>
      <c r="GL2683" s="155"/>
      <c r="GM2683" s="155"/>
      <c r="GN2683" s="155"/>
      <c r="GO2683" s="155"/>
      <c r="GP2683" s="155"/>
      <c r="GQ2683" s="155"/>
      <c r="GR2683" s="155"/>
      <c r="GS2683" s="155"/>
      <c r="GT2683" s="155"/>
      <c r="GU2683" s="155"/>
      <c r="GV2683" s="155"/>
      <c r="GW2683" s="155"/>
      <c r="GX2683" s="155"/>
      <c r="GY2683" s="155"/>
      <c r="GZ2683" s="155"/>
      <c r="HA2683" s="155"/>
      <c r="HB2683" s="155"/>
      <c r="HC2683" s="155"/>
      <c r="HD2683" s="155"/>
      <c r="HE2683" s="155"/>
    </row>
    <row r="2684" spans="2:213" s="156" customFormat="1" hidden="1">
      <c r="B2684" s="155"/>
      <c r="C2684" s="155"/>
      <c r="D2684" s="155"/>
      <c r="E2684" s="155"/>
      <c r="F2684" s="155"/>
      <c r="G2684" s="155"/>
      <c r="H2684" s="155"/>
      <c r="I2684" s="155"/>
      <c r="J2684" s="155"/>
      <c r="K2684" s="155"/>
      <c r="L2684" s="155"/>
      <c r="M2684" s="155"/>
      <c r="N2684" s="155"/>
      <c r="O2684" s="155"/>
      <c r="P2684" s="155"/>
      <c r="Q2684" s="155"/>
      <c r="R2684" s="155"/>
      <c r="S2684" s="155"/>
      <c r="T2684" s="155"/>
      <c r="U2684" s="155"/>
      <c r="V2684" s="155"/>
      <c r="W2684" s="155"/>
      <c r="GL2684" s="155"/>
      <c r="GM2684" s="155"/>
      <c r="GN2684" s="155"/>
      <c r="GO2684" s="155"/>
      <c r="GP2684" s="155"/>
      <c r="GQ2684" s="155"/>
      <c r="GR2684" s="155"/>
      <c r="GS2684" s="155"/>
      <c r="GT2684" s="155"/>
      <c r="GU2684" s="155"/>
      <c r="GV2684" s="155"/>
      <c r="GW2684" s="155"/>
      <c r="GX2684" s="155"/>
      <c r="GY2684" s="155"/>
      <c r="GZ2684" s="155"/>
      <c r="HA2684" s="155"/>
      <c r="HB2684" s="155"/>
      <c r="HC2684" s="155"/>
      <c r="HD2684" s="155"/>
      <c r="HE2684" s="155"/>
    </row>
    <row r="2685" spans="2:213" s="156" customFormat="1" hidden="1">
      <c r="B2685" s="155"/>
      <c r="C2685" s="155"/>
      <c r="D2685" s="155"/>
      <c r="E2685" s="155"/>
      <c r="F2685" s="155"/>
      <c r="G2685" s="155"/>
      <c r="H2685" s="155"/>
      <c r="I2685" s="155"/>
      <c r="J2685" s="155"/>
      <c r="K2685" s="155"/>
      <c r="L2685" s="155"/>
      <c r="M2685" s="155"/>
      <c r="N2685" s="155"/>
      <c r="O2685" s="155"/>
      <c r="P2685" s="155"/>
      <c r="Q2685" s="155"/>
      <c r="R2685" s="155"/>
      <c r="S2685" s="155"/>
      <c r="T2685" s="155"/>
      <c r="U2685" s="155"/>
      <c r="V2685" s="155"/>
      <c r="W2685" s="155"/>
      <c r="GL2685" s="155"/>
      <c r="GM2685" s="155"/>
      <c r="GN2685" s="155"/>
      <c r="GO2685" s="155"/>
      <c r="GP2685" s="155"/>
      <c r="GQ2685" s="155"/>
      <c r="GR2685" s="155"/>
      <c r="GS2685" s="155"/>
      <c r="GT2685" s="155"/>
      <c r="GU2685" s="155"/>
      <c r="GV2685" s="155"/>
      <c r="GW2685" s="155"/>
      <c r="GX2685" s="155"/>
      <c r="GY2685" s="155"/>
      <c r="GZ2685" s="155"/>
      <c r="HA2685" s="155"/>
      <c r="HB2685" s="155"/>
      <c r="HC2685" s="155"/>
      <c r="HD2685" s="155"/>
      <c r="HE2685" s="155"/>
    </row>
    <row r="2686" spans="2:213" s="156" customFormat="1" hidden="1">
      <c r="B2686" s="155"/>
      <c r="C2686" s="155"/>
      <c r="D2686" s="155"/>
      <c r="E2686" s="155"/>
      <c r="F2686" s="155"/>
      <c r="G2686" s="155"/>
      <c r="H2686" s="155"/>
      <c r="I2686" s="155"/>
      <c r="J2686" s="155"/>
      <c r="K2686" s="155"/>
      <c r="L2686" s="155"/>
      <c r="M2686" s="155"/>
      <c r="N2686" s="155"/>
      <c r="O2686" s="155"/>
      <c r="P2686" s="155"/>
      <c r="Q2686" s="155"/>
      <c r="R2686" s="155"/>
      <c r="S2686" s="155"/>
      <c r="T2686" s="155"/>
      <c r="U2686" s="155"/>
      <c r="V2686" s="155"/>
      <c r="W2686" s="155"/>
      <c r="GL2686" s="155"/>
      <c r="GM2686" s="155"/>
      <c r="GN2686" s="155"/>
      <c r="GO2686" s="155"/>
      <c r="GP2686" s="155"/>
      <c r="GQ2686" s="155"/>
      <c r="GR2686" s="155"/>
      <c r="GS2686" s="155"/>
      <c r="GT2686" s="155"/>
      <c r="GU2686" s="155"/>
      <c r="GV2686" s="155"/>
      <c r="GW2686" s="155"/>
      <c r="GX2686" s="155"/>
      <c r="GY2686" s="155"/>
      <c r="GZ2686" s="155"/>
      <c r="HA2686" s="155"/>
      <c r="HB2686" s="155"/>
      <c r="HC2686" s="155"/>
      <c r="HD2686" s="155"/>
      <c r="HE2686" s="155"/>
    </row>
    <row r="2687" spans="2:213" s="156" customFormat="1" hidden="1">
      <c r="B2687" s="155"/>
      <c r="C2687" s="155"/>
      <c r="D2687" s="155"/>
      <c r="E2687" s="155"/>
      <c r="F2687" s="155"/>
      <c r="G2687" s="155"/>
      <c r="H2687" s="155"/>
      <c r="I2687" s="155"/>
      <c r="J2687" s="155"/>
      <c r="K2687" s="155"/>
      <c r="L2687" s="155"/>
      <c r="M2687" s="155"/>
      <c r="N2687" s="155"/>
      <c r="O2687" s="155"/>
      <c r="P2687" s="155"/>
      <c r="Q2687" s="155"/>
      <c r="R2687" s="155"/>
      <c r="S2687" s="155"/>
      <c r="T2687" s="155"/>
      <c r="U2687" s="155"/>
      <c r="V2687" s="155"/>
      <c r="W2687" s="155"/>
      <c r="GL2687" s="155"/>
      <c r="GM2687" s="155"/>
      <c r="GN2687" s="155"/>
      <c r="GO2687" s="155"/>
      <c r="GP2687" s="155"/>
      <c r="GQ2687" s="155"/>
      <c r="GR2687" s="155"/>
      <c r="GS2687" s="155"/>
      <c r="GT2687" s="155"/>
      <c r="GU2687" s="155"/>
      <c r="GV2687" s="155"/>
      <c r="GW2687" s="155"/>
      <c r="GX2687" s="155"/>
      <c r="GY2687" s="155"/>
      <c r="GZ2687" s="155"/>
      <c r="HA2687" s="155"/>
      <c r="HB2687" s="155"/>
      <c r="HC2687" s="155"/>
      <c r="HD2687" s="155"/>
      <c r="HE2687" s="155"/>
    </row>
    <row r="2688" spans="2:213" s="156" customFormat="1" hidden="1">
      <c r="B2688" s="155"/>
      <c r="C2688" s="155"/>
      <c r="D2688" s="155"/>
      <c r="E2688" s="155"/>
      <c r="F2688" s="155"/>
      <c r="G2688" s="155"/>
      <c r="H2688" s="155"/>
      <c r="I2688" s="155"/>
      <c r="J2688" s="155"/>
      <c r="K2688" s="155"/>
      <c r="L2688" s="155"/>
      <c r="M2688" s="155"/>
      <c r="N2688" s="155"/>
      <c r="O2688" s="155"/>
      <c r="P2688" s="155"/>
      <c r="Q2688" s="155"/>
      <c r="R2688" s="155"/>
      <c r="S2688" s="155"/>
      <c r="T2688" s="155"/>
      <c r="U2688" s="155"/>
      <c r="V2688" s="155"/>
      <c r="W2688" s="155"/>
      <c r="GL2688" s="155"/>
      <c r="GM2688" s="155"/>
      <c r="GN2688" s="155"/>
      <c r="GO2688" s="155"/>
      <c r="GP2688" s="155"/>
      <c r="GQ2688" s="155"/>
      <c r="GR2688" s="155"/>
      <c r="GS2688" s="155"/>
      <c r="GT2688" s="155"/>
      <c r="GU2688" s="155"/>
      <c r="GV2688" s="155"/>
      <c r="GW2688" s="155"/>
      <c r="GX2688" s="155"/>
      <c r="GY2688" s="155"/>
      <c r="GZ2688" s="155"/>
      <c r="HA2688" s="155"/>
      <c r="HB2688" s="155"/>
      <c r="HC2688" s="155"/>
      <c r="HD2688" s="155"/>
      <c r="HE2688" s="155"/>
    </row>
    <row r="2689" spans="2:213" s="156" customFormat="1" hidden="1">
      <c r="B2689" s="155"/>
      <c r="C2689" s="155"/>
      <c r="D2689" s="155"/>
      <c r="E2689" s="155"/>
      <c r="F2689" s="155"/>
      <c r="G2689" s="155"/>
      <c r="H2689" s="155"/>
      <c r="I2689" s="155"/>
      <c r="J2689" s="155"/>
      <c r="K2689" s="155"/>
      <c r="L2689" s="155"/>
      <c r="M2689" s="155"/>
      <c r="N2689" s="155"/>
      <c r="O2689" s="155"/>
      <c r="P2689" s="155"/>
      <c r="Q2689" s="155"/>
      <c r="R2689" s="155"/>
      <c r="S2689" s="155"/>
      <c r="T2689" s="155"/>
      <c r="U2689" s="155"/>
      <c r="V2689" s="155"/>
      <c r="W2689" s="155"/>
      <c r="GL2689" s="155"/>
      <c r="GM2689" s="155"/>
      <c r="GN2689" s="155"/>
      <c r="GO2689" s="155"/>
      <c r="GP2689" s="155"/>
      <c r="GQ2689" s="155"/>
      <c r="GR2689" s="155"/>
      <c r="GS2689" s="155"/>
      <c r="GT2689" s="155"/>
      <c r="GU2689" s="155"/>
      <c r="GV2689" s="155"/>
      <c r="GW2689" s="155"/>
      <c r="GX2689" s="155"/>
      <c r="GY2689" s="155"/>
      <c r="GZ2689" s="155"/>
      <c r="HA2689" s="155"/>
      <c r="HB2689" s="155"/>
      <c r="HC2689" s="155"/>
      <c r="HD2689" s="155"/>
      <c r="HE2689" s="155"/>
    </row>
    <row r="2690" spans="2:213" s="156" customFormat="1" hidden="1">
      <c r="B2690" s="155"/>
      <c r="C2690" s="155"/>
      <c r="D2690" s="155"/>
      <c r="E2690" s="155"/>
      <c r="F2690" s="155"/>
      <c r="G2690" s="155"/>
      <c r="H2690" s="155"/>
      <c r="I2690" s="155"/>
      <c r="J2690" s="155"/>
      <c r="K2690" s="155"/>
      <c r="L2690" s="155"/>
      <c r="M2690" s="155"/>
      <c r="N2690" s="155"/>
      <c r="O2690" s="155"/>
      <c r="P2690" s="155"/>
      <c r="Q2690" s="155"/>
      <c r="R2690" s="155"/>
      <c r="S2690" s="155"/>
      <c r="T2690" s="155"/>
      <c r="U2690" s="155"/>
      <c r="V2690" s="155"/>
      <c r="W2690" s="155"/>
      <c r="GL2690" s="155"/>
      <c r="GM2690" s="155"/>
      <c r="GN2690" s="155"/>
      <c r="GO2690" s="155"/>
      <c r="GP2690" s="155"/>
      <c r="GQ2690" s="155"/>
      <c r="GR2690" s="155"/>
      <c r="GS2690" s="155"/>
      <c r="GT2690" s="155"/>
      <c r="GU2690" s="155"/>
      <c r="GV2690" s="155"/>
      <c r="GW2690" s="155"/>
      <c r="GX2690" s="155"/>
      <c r="GY2690" s="155"/>
      <c r="GZ2690" s="155"/>
      <c r="HA2690" s="155"/>
      <c r="HB2690" s="155"/>
      <c r="HC2690" s="155"/>
      <c r="HD2690" s="155"/>
      <c r="HE2690" s="155"/>
    </row>
    <row r="2691" spans="2:213" s="156" customFormat="1" hidden="1">
      <c r="B2691" s="155"/>
      <c r="C2691" s="155"/>
      <c r="D2691" s="155"/>
      <c r="E2691" s="155"/>
      <c r="F2691" s="155"/>
      <c r="G2691" s="155"/>
      <c r="H2691" s="155"/>
      <c r="I2691" s="155"/>
      <c r="J2691" s="155"/>
      <c r="K2691" s="155"/>
      <c r="L2691" s="155"/>
      <c r="M2691" s="155"/>
      <c r="N2691" s="155"/>
      <c r="O2691" s="155"/>
      <c r="P2691" s="155"/>
      <c r="Q2691" s="155"/>
      <c r="R2691" s="155"/>
      <c r="S2691" s="155"/>
      <c r="T2691" s="155"/>
      <c r="U2691" s="155"/>
      <c r="V2691" s="155"/>
      <c r="W2691" s="155"/>
      <c r="GL2691" s="155"/>
      <c r="GM2691" s="155"/>
      <c r="GN2691" s="155"/>
      <c r="GO2691" s="155"/>
      <c r="GP2691" s="155"/>
      <c r="GQ2691" s="155"/>
      <c r="GR2691" s="155"/>
      <c r="GS2691" s="155"/>
      <c r="GT2691" s="155"/>
      <c r="GU2691" s="155"/>
      <c r="GV2691" s="155"/>
      <c r="GW2691" s="155"/>
      <c r="GX2691" s="155"/>
      <c r="GY2691" s="155"/>
      <c r="GZ2691" s="155"/>
      <c r="HA2691" s="155"/>
      <c r="HB2691" s="155"/>
      <c r="HC2691" s="155"/>
      <c r="HD2691" s="155"/>
      <c r="HE2691" s="155"/>
    </row>
    <row r="2692" spans="2:213" s="156" customFormat="1" hidden="1">
      <c r="B2692" s="155"/>
      <c r="C2692" s="155"/>
      <c r="D2692" s="155"/>
      <c r="E2692" s="155"/>
      <c r="F2692" s="155"/>
      <c r="G2692" s="155"/>
      <c r="H2692" s="155"/>
      <c r="I2692" s="155"/>
      <c r="J2692" s="155"/>
      <c r="K2692" s="155"/>
      <c r="L2692" s="155"/>
      <c r="M2692" s="155"/>
      <c r="N2692" s="155"/>
      <c r="O2692" s="155"/>
      <c r="P2692" s="155"/>
      <c r="Q2692" s="155"/>
      <c r="R2692" s="155"/>
      <c r="S2692" s="155"/>
      <c r="T2692" s="155"/>
      <c r="U2692" s="155"/>
      <c r="V2692" s="155"/>
      <c r="W2692" s="155"/>
      <c r="GL2692" s="155"/>
      <c r="GM2692" s="155"/>
      <c r="GN2692" s="155"/>
      <c r="GO2692" s="155"/>
      <c r="GP2692" s="155"/>
      <c r="GQ2692" s="155"/>
      <c r="GR2692" s="155"/>
      <c r="GS2692" s="155"/>
      <c r="GT2692" s="155"/>
      <c r="GU2692" s="155"/>
      <c r="GV2692" s="155"/>
      <c r="GW2692" s="155"/>
      <c r="GX2692" s="155"/>
      <c r="GY2692" s="155"/>
      <c r="GZ2692" s="155"/>
      <c r="HA2692" s="155"/>
      <c r="HB2692" s="155"/>
      <c r="HC2692" s="155"/>
      <c r="HD2692" s="155"/>
      <c r="HE2692" s="155"/>
    </row>
    <row r="2693" spans="2:213" s="156" customFormat="1" hidden="1">
      <c r="B2693" s="155"/>
      <c r="C2693" s="155"/>
      <c r="D2693" s="155"/>
      <c r="E2693" s="155"/>
      <c r="F2693" s="155"/>
      <c r="G2693" s="155"/>
      <c r="H2693" s="155"/>
      <c r="I2693" s="155"/>
      <c r="J2693" s="155"/>
      <c r="K2693" s="155"/>
      <c r="L2693" s="155"/>
      <c r="M2693" s="155"/>
      <c r="N2693" s="155"/>
      <c r="O2693" s="155"/>
      <c r="P2693" s="155"/>
      <c r="Q2693" s="155"/>
      <c r="R2693" s="155"/>
      <c r="S2693" s="155"/>
      <c r="T2693" s="155"/>
      <c r="U2693" s="155"/>
      <c r="V2693" s="155"/>
      <c r="W2693" s="155"/>
      <c r="GL2693" s="155"/>
      <c r="GM2693" s="155"/>
      <c r="GN2693" s="155"/>
      <c r="GO2693" s="155"/>
      <c r="GP2693" s="155"/>
      <c r="GQ2693" s="155"/>
      <c r="GR2693" s="155"/>
      <c r="GS2693" s="155"/>
      <c r="GT2693" s="155"/>
      <c r="GU2693" s="155"/>
      <c r="GV2693" s="155"/>
      <c r="GW2693" s="155"/>
      <c r="GX2693" s="155"/>
      <c r="GY2693" s="155"/>
      <c r="GZ2693" s="155"/>
      <c r="HA2693" s="155"/>
      <c r="HB2693" s="155"/>
      <c r="HC2693" s="155"/>
      <c r="HD2693" s="155"/>
      <c r="HE2693" s="155"/>
    </row>
    <row r="2694" spans="2:213" s="156" customFormat="1" hidden="1">
      <c r="B2694" s="155"/>
      <c r="C2694" s="155"/>
      <c r="D2694" s="155"/>
      <c r="E2694" s="155"/>
      <c r="F2694" s="155"/>
      <c r="G2694" s="155"/>
      <c r="H2694" s="155"/>
      <c r="I2694" s="155"/>
      <c r="J2694" s="155"/>
      <c r="K2694" s="155"/>
      <c r="L2694" s="155"/>
      <c r="M2694" s="155"/>
      <c r="N2694" s="155"/>
      <c r="O2694" s="155"/>
      <c r="P2694" s="155"/>
      <c r="Q2694" s="155"/>
      <c r="R2694" s="155"/>
      <c r="S2694" s="155"/>
      <c r="T2694" s="155"/>
      <c r="U2694" s="155"/>
      <c r="V2694" s="155"/>
      <c r="W2694" s="155"/>
      <c r="GL2694" s="155"/>
      <c r="GM2694" s="155"/>
      <c r="GN2694" s="155"/>
      <c r="GO2694" s="155"/>
      <c r="GP2694" s="155"/>
      <c r="GQ2694" s="155"/>
      <c r="GR2694" s="155"/>
      <c r="GS2694" s="155"/>
      <c r="GT2694" s="155"/>
      <c r="GU2694" s="155"/>
      <c r="GV2694" s="155"/>
      <c r="GW2694" s="155"/>
      <c r="GX2694" s="155"/>
      <c r="GY2694" s="155"/>
      <c r="GZ2694" s="155"/>
      <c r="HA2694" s="155"/>
      <c r="HB2694" s="155"/>
      <c r="HC2694" s="155"/>
      <c r="HD2694" s="155"/>
      <c r="HE2694" s="155"/>
    </row>
    <row r="2695" spans="2:213" s="156" customFormat="1" hidden="1">
      <c r="B2695" s="155"/>
      <c r="C2695" s="155"/>
      <c r="D2695" s="155"/>
      <c r="E2695" s="155"/>
      <c r="F2695" s="155"/>
      <c r="G2695" s="155"/>
      <c r="H2695" s="155"/>
      <c r="I2695" s="155"/>
      <c r="J2695" s="155"/>
      <c r="K2695" s="155"/>
      <c r="L2695" s="155"/>
      <c r="M2695" s="155"/>
      <c r="N2695" s="155"/>
      <c r="O2695" s="155"/>
      <c r="P2695" s="155"/>
      <c r="Q2695" s="155"/>
      <c r="R2695" s="155"/>
      <c r="S2695" s="155"/>
      <c r="T2695" s="155"/>
      <c r="U2695" s="155"/>
      <c r="V2695" s="155"/>
      <c r="W2695" s="155"/>
      <c r="GL2695" s="155"/>
      <c r="GM2695" s="155"/>
      <c r="GN2695" s="155"/>
      <c r="GO2695" s="155"/>
      <c r="GP2695" s="155"/>
      <c r="GQ2695" s="155"/>
      <c r="GR2695" s="155"/>
      <c r="GS2695" s="155"/>
      <c r="GT2695" s="155"/>
      <c r="GU2695" s="155"/>
      <c r="GV2695" s="155"/>
      <c r="GW2695" s="155"/>
      <c r="GX2695" s="155"/>
      <c r="GY2695" s="155"/>
      <c r="GZ2695" s="155"/>
      <c r="HA2695" s="155"/>
      <c r="HB2695" s="155"/>
      <c r="HC2695" s="155"/>
      <c r="HD2695" s="155"/>
      <c r="HE2695" s="155"/>
    </row>
    <row r="2696" spans="2:213" s="156" customFormat="1" hidden="1">
      <c r="B2696" s="155"/>
      <c r="C2696" s="155"/>
      <c r="D2696" s="155"/>
      <c r="E2696" s="155"/>
      <c r="F2696" s="155"/>
      <c r="G2696" s="155"/>
      <c r="H2696" s="155"/>
      <c r="I2696" s="155"/>
      <c r="J2696" s="155"/>
      <c r="K2696" s="155"/>
      <c r="L2696" s="155"/>
      <c r="M2696" s="155"/>
      <c r="N2696" s="155"/>
      <c r="O2696" s="155"/>
      <c r="P2696" s="155"/>
      <c r="Q2696" s="155"/>
      <c r="R2696" s="155"/>
      <c r="S2696" s="155"/>
      <c r="T2696" s="155"/>
      <c r="U2696" s="155"/>
      <c r="V2696" s="155"/>
      <c r="W2696" s="155"/>
      <c r="GL2696" s="155"/>
      <c r="GM2696" s="155"/>
      <c r="GN2696" s="155"/>
      <c r="GO2696" s="155"/>
      <c r="GP2696" s="155"/>
      <c r="GQ2696" s="155"/>
      <c r="GR2696" s="155"/>
      <c r="GS2696" s="155"/>
      <c r="GT2696" s="155"/>
      <c r="GU2696" s="155"/>
      <c r="GV2696" s="155"/>
      <c r="GW2696" s="155"/>
      <c r="GX2696" s="155"/>
      <c r="GY2696" s="155"/>
      <c r="GZ2696" s="155"/>
      <c r="HA2696" s="155"/>
      <c r="HB2696" s="155"/>
      <c r="HC2696" s="155"/>
      <c r="HD2696" s="155"/>
      <c r="HE2696" s="155"/>
    </row>
    <row r="2697" spans="2:213" s="156" customFormat="1" hidden="1">
      <c r="B2697" s="155"/>
      <c r="C2697" s="155"/>
      <c r="D2697" s="155"/>
      <c r="E2697" s="155"/>
      <c r="F2697" s="155"/>
      <c r="G2697" s="155"/>
      <c r="H2697" s="155"/>
      <c r="I2697" s="155"/>
      <c r="J2697" s="155"/>
      <c r="K2697" s="155"/>
      <c r="L2697" s="155"/>
      <c r="M2697" s="155"/>
      <c r="N2697" s="155"/>
      <c r="O2697" s="155"/>
      <c r="P2697" s="155"/>
      <c r="Q2697" s="155"/>
      <c r="R2697" s="155"/>
      <c r="S2697" s="155"/>
      <c r="T2697" s="155"/>
      <c r="U2697" s="155"/>
      <c r="V2697" s="155"/>
      <c r="W2697" s="155"/>
      <c r="GL2697" s="155"/>
      <c r="GM2697" s="155"/>
      <c r="GN2697" s="155"/>
      <c r="GO2697" s="155"/>
      <c r="GP2697" s="155"/>
      <c r="GQ2697" s="155"/>
      <c r="GR2697" s="155"/>
      <c r="GS2697" s="155"/>
      <c r="GT2697" s="155"/>
      <c r="GU2697" s="155"/>
      <c r="GV2697" s="155"/>
      <c r="GW2697" s="155"/>
      <c r="GX2697" s="155"/>
      <c r="GY2697" s="155"/>
      <c r="GZ2697" s="155"/>
      <c r="HA2697" s="155"/>
      <c r="HB2697" s="155"/>
      <c r="HC2697" s="155"/>
      <c r="HD2697" s="155"/>
      <c r="HE2697" s="155"/>
    </row>
    <row r="2698" spans="2:213" s="156" customFormat="1" hidden="1">
      <c r="B2698" s="155"/>
      <c r="C2698" s="155"/>
      <c r="D2698" s="155"/>
      <c r="E2698" s="155"/>
      <c r="F2698" s="155"/>
      <c r="G2698" s="155"/>
      <c r="H2698" s="155"/>
      <c r="I2698" s="155"/>
      <c r="J2698" s="155"/>
      <c r="K2698" s="155"/>
      <c r="L2698" s="155"/>
      <c r="M2698" s="155"/>
      <c r="N2698" s="155"/>
      <c r="O2698" s="155"/>
      <c r="P2698" s="155"/>
      <c r="Q2698" s="155"/>
      <c r="R2698" s="155"/>
      <c r="S2698" s="155"/>
      <c r="T2698" s="155"/>
      <c r="U2698" s="155"/>
      <c r="V2698" s="155"/>
      <c r="W2698" s="155"/>
      <c r="GL2698" s="155"/>
      <c r="GM2698" s="155"/>
      <c r="GN2698" s="155"/>
      <c r="GO2698" s="155"/>
      <c r="GP2698" s="155"/>
      <c r="GQ2698" s="155"/>
      <c r="GR2698" s="155"/>
      <c r="GS2698" s="155"/>
      <c r="GT2698" s="155"/>
      <c r="GU2698" s="155"/>
      <c r="GV2698" s="155"/>
      <c r="GW2698" s="155"/>
      <c r="GX2698" s="155"/>
      <c r="GY2698" s="155"/>
      <c r="GZ2698" s="155"/>
      <c r="HA2698" s="155"/>
      <c r="HB2698" s="155"/>
      <c r="HC2698" s="155"/>
      <c r="HD2698" s="155"/>
      <c r="HE2698" s="155"/>
    </row>
    <row r="2699" spans="2:213" s="156" customFormat="1" hidden="1">
      <c r="B2699" s="155"/>
      <c r="C2699" s="155"/>
      <c r="D2699" s="155"/>
      <c r="E2699" s="155"/>
      <c r="F2699" s="155"/>
      <c r="G2699" s="155"/>
      <c r="H2699" s="155"/>
      <c r="I2699" s="155"/>
      <c r="J2699" s="155"/>
      <c r="K2699" s="155"/>
      <c r="L2699" s="155"/>
      <c r="M2699" s="155"/>
      <c r="N2699" s="155"/>
      <c r="O2699" s="155"/>
      <c r="P2699" s="155"/>
      <c r="Q2699" s="155"/>
      <c r="R2699" s="155"/>
      <c r="S2699" s="155"/>
      <c r="T2699" s="155"/>
      <c r="U2699" s="155"/>
      <c r="V2699" s="155"/>
      <c r="W2699" s="155"/>
      <c r="GL2699" s="155"/>
      <c r="GM2699" s="155"/>
      <c r="GN2699" s="155"/>
      <c r="GO2699" s="155"/>
      <c r="GP2699" s="155"/>
      <c r="GQ2699" s="155"/>
      <c r="GR2699" s="155"/>
      <c r="GS2699" s="155"/>
      <c r="GT2699" s="155"/>
      <c r="GU2699" s="155"/>
      <c r="GV2699" s="155"/>
      <c r="GW2699" s="155"/>
      <c r="GX2699" s="155"/>
      <c r="GY2699" s="155"/>
      <c r="GZ2699" s="155"/>
      <c r="HA2699" s="155"/>
      <c r="HB2699" s="155"/>
      <c r="HC2699" s="155"/>
      <c r="HD2699" s="155"/>
      <c r="HE2699" s="155"/>
    </row>
    <row r="2700" spans="2:213" s="156" customFormat="1" hidden="1">
      <c r="B2700" s="155"/>
      <c r="C2700" s="155"/>
      <c r="D2700" s="155"/>
      <c r="E2700" s="155"/>
      <c r="F2700" s="155"/>
      <c r="G2700" s="155"/>
      <c r="H2700" s="155"/>
      <c r="I2700" s="155"/>
      <c r="J2700" s="155"/>
      <c r="K2700" s="155"/>
      <c r="L2700" s="155"/>
      <c r="M2700" s="155"/>
      <c r="N2700" s="155"/>
      <c r="O2700" s="155"/>
      <c r="P2700" s="155"/>
      <c r="Q2700" s="155"/>
      <c r="R2700" s="155"/>
      <c r="S2700" s="155"/>
      <c r="T2700" s="155"/>
      <c r="U2700" s="155"/>
      <c r="V2700" s="155"/>
      <c r="W2700" s="155"/>
      <c r="GL2700" s="155"/>
      <c r="GM2700" s="155"/>
      <c r="GN2700" s="155"/>
      <c r="GO2700" s="155"/>
      <c r="GP2700" s="155"/>
      <c r="GQ2700" s="155"/>
      <c r="GR2700" s="155"/>
      <c r="GS2700" s="155"/>
      <c r="GT2700" s="155"/>
      <c r="GU2700" s="155"/>
      <c r="GV2700" s="155"/>
      <c r="GW2700" s="155"/>
      <c r="GX2700" s="155"/>
      <c r="GY2700" s="155"/>
      <c r="GZ2700" s="155"/>
      <c r="HA2700" s="155"/>
      <c r="HB2700" s="155"/>
      <c r="HC2700" s="155"/>
      <c r="HD2700" s="155"/>
      <c r="HE2700" s="155"/>
    </row>
    <row r="2701" spans="2:213" s="156" customFormat="1" hidden="1">
      <c r="B2701" s="155"/>
      <c r="C2701" s="155"/>
      <c r="D2701" s="155"/>
      <c r="E2701" s="155"/>
      <c r="F2701" s="155"/>
      <c r="G2701" s="155"/>
      <c r="H2701" s="155"/>
      <c r="I2701" s="155"/>
      <c r="J2701" s="155"/>
      <c r="K2701" s="155"/>
      <c r="L2701" s="155"/>
      <c r="M2701" s="155"/>
      <c r="N2701" s="155"/>
      <c r="O2701" s="155"/>
      <c r="P2701" s="155"/>
      <c r="Q2701" s="155"/>
      <c r="R2701" s="155"/>
      <c r="S2701" s="155"/>
      <c r="T2701" s="155"/>
      <c r="U2701" s="155"/>
      <c r="V2701" s="155"/>
      <c r="W2701" s="155"/>
      <c r="GL2701" s="155"/>
      <c r="GM2701" s="155"/>
      <c r="GN2701" s="155"/>
      <c r="GO2701" s="155"/>
      <c r="GP2701" s="155"/>
      <c r="GQ2701" s="155"/>
      <c r="GR2701" s="155"/>
      <c r="GS2701" s="155"/>
      <c r="GT2701" s="155"/>
      <c r="GU2701" s="155"/>
      <c r="GV2701" s="155"/>
      <c r="GW2701" s="155"/>
      <c r="GX2701" s="155"/>
      <c r="GY2701" s="155"/>
      <c r="GZ2701" s="155"/>
      <c r="HA2701" s="155"/>
      <c r="HB2701" s="155"/>
      <c r="HC2701" s="155"/>
      <c r="HD2701" s="155"/>
      <c r="HE2701" s="155"/>
    </row>
    <row r="2702" spans="2:213" s="156" customFormat="1" hidden="1">
      <c r="B2702" s="155"/>
      <c r="C2702" s="155"/>
      <c r="D2702" s="155"/>
      <c r="E2702" s="155"/>
      <c r="F2702" s="155"/>
      <c r="G2702" s="155"/>
      <c r="H2702" s="155"/>
      <c r="I2702" s="155"/>
      <c r="J2702" s="155"/>
      <c r="K2702" s="155"/>
      <c r="L2702" s="155"/>
      <c r="M2702" s="155"/>
      <c r="N2702" s="155"/>
      <c r="O2702" s="155"/>
      <c r="P2702" s="155"/>
      <c r="Q2702" s="155"/>
      <c r="R2702" s="155"/>
      <c r="S2702" s="155"/>
      <c r="T2702" s="155"/>
      <c r="U2702" s="155"/>
      <c r="V2702" s="155"/>
      <c r="W2702" s="155"/>
      <c r="GL2702" s="155"/>
      <c r="GM2702" s="155"/>
      <c r="GN2702" s="155"/>
      <c r="GO2702" s="155"/>
      <c r="GP2702" s="155"/>
      <c r="GQ2702" s="155"/>
      <c r="GR2702" s="155"/>
      <c r="GS2702" s="155"/>
      <c r="GT2702" s="155"/>
      <c r="GU2702" s="155"/>
      <c r="GV2702" s="155"/>
      <c r="GW2702" s="155"/>
      <c r="GX2702" s="155"/>
      <c r="GY2702" s="155"/>
      <c r="GZ2702" s="155"/>
      <c r="HA2702" s="155"/>
      <c r="HB2702" s="155"/>
      <c r="HC2702" s="155"/>
      <c r="HD2702" s="155"/>
      <c r="HE2702" s="155"/>
    </row>
    <row r="2703" spans="2:213" s="156" customFormat="1" hidden="1">
      <c r="B2703" s="155"/>
      <c r="C2703" s="155"/>
      <c r="D2703" s="155"/>
      <c r="E2703" s="155"/>
      <c r="F2703" s="155"/>
      <c r="G2703" s="155"/>
      <c r="H2703" s="155"/>
      <c r="I2703" s="155"/>
      <c r="J2703" s="155"/>
      <c r="K2703" s="155"/>
      <c r="L2703" s="155"/>
      <c r="M2703" s="155"/>
      <c r="N2703" s="155"/>
      <c r="O2703" s="155"/>
      <c r="P2703" s="155"/>
      <c r="Q2703" s="155"/>
      <c r="R2703" s="155"/>
      <c r="S2703" s="155"/>
      <c r="T2703" s="155"/>
      <c r="U2703" s="155"/>
      <c r="V2703" s="155"/>
      <c r="W2703" s="155"/>
      <c r="GL2703" s="155"/>
      <c r="GM2703" s="155"/>
      <c r="GN2703" s="155"/>
      <c r="GO2703" s="155"/>
      <c r="GP2703" s="155"/>
      <c r="GQ2703" s="155"/>
      <c r="GR2703" s="155"/>
      <c r="GS2703" s="155"/>
      <c r="GT2703" s="155"/>
      <c r="GU2703" s="155"/>
      <c r="GV2703" s="155"/>
      <c r="GW2703" s="155"/>
      <c r="GX2703" s="155"/>
      <c r="GY2703" s="155"/>
      <c r="GZ2703" s="155"/>
      <c r="HA2703" s="155"/>
      <c r="HB2703" s="155"/>
      <c r="HC2703" s="155"/>
      <c r="HD2703" s="155"/>
      <c r="HE2703" s="155"/>
    </row>
    <row r="2704" spans="2:213" s="156" customFormat="1" hidden="1">
      <c r="B2704" s="155"/>
      <c r="C2704" s="155"/>
      <c r="D2704" s="155"/>
      <c r="E2704" s="155"/>
      <c r="F2704" s="155"/>
      <c r="G2704" s="155"/>
      <c r="H2704" s="155"/>
      <c r="I2704" s="155"/>
      <c r="J2704" s="155"/>
      <c r="K2704" s="155"/>
      <c r="L2704" s="155"/>
      <c r="M2704" s="155"/>
      <c r="N2704" s="155"/>
      <c r="O2704" s="155"/>
      <c r="P2704" s="155"/>
      <c r="Q2704" s="155"/>
      <c r="R2704" s="155"/>
      <c r="S2704" s="155"/>
      <c r="T2704" s="155"/>
      <c r="U2704" s="155"/>
      <c r="V2704" s="155"/>
      <c r="W2704" s="155"/>
      <c r="GL2704" s="155"/>
      <c r="GM2704" s="155"/>
      <c r="GN2704" s="155"/>
      <c r="GO2704" s="155"/>
      <c r="GP2704" s="155"/>
      <c r="GQ2704" s="155"/>
      <c r="GR2704" s="155"/>
      <c r="GS2704" s="155"/>
      <c r="GT2704" s="155"/>
      <c r="GU2704" s="155"/>
      <c r="GV2704" s="155"/>
      <c r="GW2704" s="155"/>
      <c r="GX2704" s="155"/>
      <c r="GY2704" s="155"/>
      <c r="GZ2704" s="155"/>
      <c r="HA2704" s="155"/>
      <c r="HB2704" s="155"/>
      <c r="HC2704" s="155"/>
      <c r="HD2704" s="155"/>
      <c r="HE2704" s="155"/>
    </row>
    <row r="2705" spans="2:213" s="156" customFormat="1" hidden="1">
      <c r="B2705" s="155"/>
      <c r="C2705" s="155"/>
      <c r="D2705" s="155"/>
      <c r="E2705" s="155"/>
      <c r="F2705" s="155"/>
      <c r="G2705" s="155"/>
      <c r="H2705" s="155"/>
      <c r="I2705" s="155"/>
      <c r="J2705" s="155"/>
      <c r="K2705" s="155"/>
      <c r="L2705" s="155"/>
      <c r="M2705" s="155"/>
      <c r="N2705" s="155"/>
      <c r="O2705" s="155"/>
      <c r="P2705" s="155"/>
      <c r="Q2705" s="155"/>
      <c r="R2705" s="155"/>
      <c r="S2705" s="155"/>
      <c r="T2705" s="155"/>
      <c r="U2705" s="155"/>
      <c r="V2705" s="155"/>
      <c r="W2705" s="155"/>
      <c r="GL2705" s="155"/>
      <c r="GM2705" s="155"/>
      <c r="GN2705" s="155"/>
      <c r="GO2705" s="155"/>
      <c r="GP2705" s="155"/>
      <c r="GQ2705" s="155"/>
      <c r="GR2705" s="155"/>
      <c r="GS2705" s="155"/>
      <c r="GT2705" s="155"/>
      <c r="GU2705" s="155"/>
      <c r="GV2705" s="155"/>
      <c r="GW2705" s="155"/>
      <c r="GX2705" s="155"/>
      <c r="GY2705" s="155"/>
      <c r="GZ2705" s="155"/>
      <c r="HA2705" s="155"/>
      <c r="HB2705" s="155"/>
      <c r="HC2705" s="155"/>
      <c r="HD2705" s="155"/>
      <c r="HE2705" s="155"/>
    </row>
    <row r="2706" spans="2:213" s="156" customFormat="1" hidden="1">
      <c r="B2706" s="155"/>
      <c r="C2706" s="155"/>
      <c r="D2706" s="155"/>
      <c r="E2706" s="155"/>
      <c r="F2706" s="155"/>
      <c r="G2706" s="155"/>
      <c r="H2706" s="155"/>
      <c r="I2706" s="155"/>
      <c r="J2706" s="155"/>
      <c r="K2706" s="155"/>
      <c r="L2706" s="155"/>
      <c r="M2706" s="155"/>
      <c r="N2706" s="155"/>
      <c r="O2706" s="155"/>
      <c r="P2706" s="155"/>
      <c r="Q2706" s="155"/>
      <c r="R2706" s="155"/>
      <c r="S2706" s="155"/>
      <c r="T2706" s="155"/>
      <c r="U2706" s="155"/>
      <c r="V2706" s="155"/>
      <c r="W2706" s="155"/>
      <c r="GL2706" s="155"/>
      <c r="GM2706" s="155"/>
      <c r="GN2706" s="155"/>
      <c r="GO2706" s="155"/>
      <c r="GP2706" s="155"/>
      <c r="GQ2706" s="155"/>
      <c r="GR2706" s="155"/>
      <c r="GS2706" s="155"/>
      <c r="GT2706" s="155"/>
      <c r="GU2706" s="155"/>
      <c r="GV2706" s="155"/>
      <c r="GW2706" s="155"/>
      <c r="GX2706" s="155"/>
      <c r="GY2706" s="155"/>
      <c r="GZ2706" s="155"/>
      <c r="HA2706" s="155"/>
      <c r="HB2706" s="155"/>
      <c r="HC2706" s="155"/>
      <c r="HD2706" s="155"/>
      <c r="HE2706" s="155"/>
    </row>
    <row r="2707" spans="2:213" s="156" customFormat="1" hidden="1">
      <c r="B2707" s="155"/>
      <c r="C2707" s="155"/>
      <c r="D2707" s="155"/>
      <c r="E2707" s="155"/>
      <c r="F2707" s="155"/>
      <c r="G2707" s="155"/>
      <c r="H2707" s="155"/>
      <c r="I2707" s="155"/>
      <c r="J2707" s="155"/>
      <c r="K2707" s="155"/>
      <c r="L2707" s="155"/>
      <c r="M2707" s="155"/>
      <c r="N2707" s="155"/>
      <c r="O2707" s="155"/>
      <c r="P2707" s="155"/>
      <c r="Q2707" s="155"/>
      <c r="R2707" s="155"/>
      <c r="S2707" s="155"/>
      <c r="T2707" s="155"/>
      <c r="U2707" s="155"/>
      <c r="V2707" s="155"/>
      <c r="W2707" s="155"/>
      <c r="GL2707" s="155"/>
      <c r="GM2707" s="155"/>
      <c r="GN2707" s="155"/>
      <c r="GO2707" s="155"/>
      <c r="GP2707" s="155"/>
      <c r="GQ2707" s="155"/>
      <c r="GR2707" s="155"/>
      <c r="GS2707" s="155"/>
      <c r="GT2707" s="155"/>
      <c r="GU2707" s="155"/>
      <c r="GV2707" s="155"/>
      <c r="GW2707" s="155"/>
      <c r="GX2707" s="155"/>
      <c r="GY2707" s="155"/>
      <c r="GZ2707" s="155"/>
      <c r="HA2707" s="155"/>
      <c r="HB2707" s="155"/>
      <c r="HC2707" s="155"/>
      <c r="HD2707" s="155"/>
      <c r="HE2707" s="155"/>
    </row>
    <row r="2708" spans="2:213" s="156" customFormat="1" hidden="1">
      <c r="B2708" s="155"/>
      <c r="C2708" s="155"/>
      <c r="D2708" s="155"/>
      <c r="E2708" s="155"/>
      <c r="F2708" s="155"/>
      <c r="G2708" s="155"/>
      <c r="H2708" s="155"/>
      <c r="I2708" s="155"/>
      <c r="J2708" s="155"/>
      <c r="K2708" s="155"/>
      <c r="L2708" s="155"/>
      <c r="M2708" s="155"/>
      <c r="N2708" s="155"/>
      <c r="O2708" s="155"/>
      <c r="P2708" s="155"/>
      <c r="Q2708" s="155"/>
      <c r="R2708" s="155"/>
      <c r="S2708" s="155"/>
      <c r="T2708" s="155"/>
      <c r="U2708" s="155"/>
      <c r="V2708" s="155"/>
      <c r="W2708" s="155"/>
      <c r="GL2708" s="155"/>
      <c r="GM2708" s="155"/>
      <c r="GN2708" s="155"/>
      <c r="GO2708" s="155"/>
      <c r="GP2708" s="155"/>
      <c r="GQ2708" s="155"/>
      <c r="GR2708" s="155"/>
      <c r="GS2708" s="155"/>
      <c r="GT2708" s="155"/>
      <c r="GU2708" s="155"/>
      <c r="GV2708" s="155"/>
      <c r="GW2708" s="155"/>
      <c r="GX2708" s="155"/>
      <c r="GY2708" s="155"/>
      <c r="GZ2708" s="155"/>
      <c r="HA2708" s="155"/>
      <c r="HB2708" s="155"/>
      <c r="HC2708" s="155"/>
      <c r="HD2708" s="155"/>
      <c r="HE2708" s="155"/>
    </row>
    <row r="2709" spans="2:213" s="156" customFormat="1" hidden="1">
      <c r="B2709" s="155"/>
      <c r="C2709" s="155"/>
      <c r="D2709" s="155"/>
      <c r="E2709" s="155"/>
      <c r="F2709" s="155"/>
      <c r="G2709" s="155"/>
      <c r="H2709" s="155"/>
      <c r="I2709" s="155"/>
      <c r="J2709" s="155"/>
      <c r="K2709" s="155"/>
      <c r="L2709" s="155"/>
      <c r="M2709" s="155"/>
      <c r="N2709" s="155"/>
      <c r="O2709" s="155"/>
      <c r="P2709" s="155"/>
      <c r="Q2709" s="155"/>
      <c r="R2709" s="155"/>
      <c r="S2709" s="155"/>
      <c r="T2709" s="155"/>
      <c r="U2709" s="155"/>
      <c r="V2709" s="155"/>
      <c r="W2709" s="155"/>
      <c r="GL2709" s="155"/>
      <c r="GM2709" s="155"/>
      <c r="GN2709" s="155"/>
      <c r="GO2709" s="155"/>
      <c r="GP2709" s="155"/>
      <c r="GQ2709" s="155"/>
      <c r="GR2709" s="155"/>
      <c r="GS2709" s="155"/>
      <c r="GT2709" s="155"/>
      <c r="GU2709" s="155"/>
      <c r="GV2709" s="155"/>
      <c r="GW2709" s="155"/>
      <c r="GX2709" s="155"/>
      <c r="GY2709" s="155"/>
      <c r="GZ2709" s="155"/>
      <c r="HA2709" s="155"/>
      <c r="HB2709" s="155"/>
      <c r="HC2709" s="155"/>
      <c r="HD2709" s="155"/>
      <c r="HE2709" s="155"/>
    </row>
    <row r="2710" spans="2:213" s="156" customFormat="1" hidden="1">
      <c r="B2710" s="155"/>
      <c r="C2710" s="155"/>
      <c r="D2710" s="155"/>
      <c r="E2710" s="155"/>
      <c r="F2710" s="155"/>
      <c r="G2710" s="155"/>
      <c r="H2710" s="155"/>
      <c r="I2710" s="155"/>
      <c r="J2710" s="155"/>
      <c r="K2710" s="155"/>
      <c r="L2710" s="155"/>
      <c r="M2710" s="155"/>
      <c r="N2710" s="155"/>
      <c r="O2710" s="155"/>
      <c r="P2710" s="155"/>
      <c r="Q2710" s="155"/>
      <c r="R2710" s="155"/>
      <c r="S2710" s="155"/>
      <c r="T2710" s="155"/>
      <c r="U2710" s="155"/>
      <c r="V2710" s="155"/>
      <c r="W2710" s="155"/>
      <c r="GL2710" s="155"/>
      <c r="GM2710" s="155"/>
      <c r="GN2710" s="155"/>
      <c r="GO2710" s="155"/>
      <c r="GP2710" s="155"/>
      <c r="GQ2710" s="155"/>
      <c r="GR2710" s="155"/>
      <c r="GS2710" s="155"/>
      <c r="GT2710" s="155"/>
      <c r="GU2710" s="155"/>
      <c r="GV2710" s="155"/>
      <c r="GW2710" s="155"/>
      <c r="GX2710" s="155"/>
      <c r="GY2710" s="155"/>
      <c r="GZ2710" s="155"/>
      <c r="HA2710" s="155"/>
      <c r="HB2710" s="155"/>
      <c r="HC2710" s="155"/>
      <c r="HD2710" s="155"/>
      <c r="HE2710" s="155"/>
    </row>
    <row r="2711" spans="2:213" s="156" customFormat="1" hidden="1">
      <c r="B2711" s="155"/>
      <c r="C2711" s="155"/>
      <c r="D2711" s="155"/>
      <c r="E2711" s="155"/>
      <c r="F2711" s="155"/>
      <c r="G2711" s="155"/>
      <c r="H2711" s="155"/>
      <c r="I2711" s="155"/>
      <c r="J2711" s="155"/>
      <c r="K2711" s="155"/>
      <c r="L2711" s="155"/>
      <c r="M2711" s="155"/>
      <c r="N2711" s="155"/>
      <c r="O2711" s="155"/>
      <c r="P2711" s="155"/>
      <c r="Q2711" s="155"/>
      <c r="R2711" s="155"/>
      <c r="S2711" s="155"/>
      <c r="T2711" s="155"/>
      <c r="U2711" s="155"/>
      <c r="V2711" s="155"/>
      <c r="W2711" s="155"/>
      <c r="GL2711" s="155"/>
      <c r="GM2711" s="155"/>
      <c r="GN2711" s="155"/>
      <c r="GO2711" s="155"/>
      <c r="GP2711" s="155"/>
      <c r="GQ2711" s="155"/>
      <c r="GR2711" s="155"/>
      <c r="GS2711" s="155"/>
      <c r="GT2711" s="155"/>
      <c r="GU2711" s="155"/>
      <c r="GV2711" s="155"/>
      <c r="GW2711" s="155"/>
      <c r="GX2711" s="155"/>
      <c r="GY2711" s="155"/>
      <c r="GZ2711" s="155"/>
      <c r="HA2711" s="155"/>
      <c r="HB2711" s="155"/>
      <c r="HC2711" s="155"/>
      <c r="HD2711" s="155"/>
      <c r="HE2711" s="155"/>
    </row>
    <row r="2712" spans="2:213" s="156" customFormat="1" hidden="1">
      <c r="B2712" s="155"/>
      <c r="C2712" s="155"/>
      <c r="D2712" s="155"/>
      <c r="E2712" s="155"/>
      <c r="F2712" s="155"/>
      <c r="G2712" s="155"/>
      <c r="H2712" s="155"/>
      <c r="I2712" s="155"/>
      <c r="J2712" s="155"/>
      <c r="K2712" s="155"/>
      <c r="L2712" s="155"/>
      <c r="M2712" s="155"/>
      <c r="N2712" s="155"/>
      <c r="O2712" s="155"/>
      <c r="P2712" s="155"/>
      <c r="Q2712" s="155"/>
      <c r="R2712" s="155"/>
      <c r="S2712" s="155"/>
      <c r="T2712" s="155"/>
      <c r="U2712" s="155"/>
      <c r="V2712" s="155"/>
      <c r="W2712" s="155"/>
      <c r="GL2712" s="155"/>
      <c r="GM2712" s="155"/>
      <c r="GN2712" s="155"/>
      <c r="GO2712" s="155"/>
      <c r="GP2712" s="155"/>
      <c r="GQ2712" s="155"/>
      <c r="GR2712" s="155"/>
      <c r="GS2712" s="155"/>
      <c r="GT2712" s="155"/>
      <c r="GU2712" s="155"/>
      <c r="GV2712" s="155"/>
      <c r="GW2712" s="155"/>
      <c r="GX2712" s="155"/>
      <c r="GY2712" s="155"/>
      <c r="GZ2712" s="155"/>
      <c r="HA2712" s="155"/>
      <c r="HB2712" s="155"/>
      <c r="HC2712" s="155"/>
      <c r="HD2712" s="155"/>
      <c r="HE2712" s="155"/>
    </row>
    <row r="2713" spans="2:213" s="156" customFormat="1" hidden="1">
      <c r="B2713" s="155"/>
      <c r="C2713" s="155"/>
      <c r="D2713" s="155"/>
      <c r="E2713" s="155"/>
      <c r="F2713" s="155"/>
      <c r="G2713" s="155"/>
      <c r="H2713" s="155"/>
      <c r="I2713" s="155"/>
      <c r="J2713" s="155"/>
      <c r="K2713" s="155"/>
      <c r="L2713" s="155"/>
      <c r="M2713" s="155"/>
      <c r="N2713" s="155"/>
      <c r="O2713" s="155"/>
      <c r="P2713" s="155"/>
      <c r="Q2713" s="155"/>
      <c r="R2713" s="155"/>
      <c r="S2713" s="155"/>
      <c r="T2713" s="155"/>
      <c r="U2713" s="155"/>
      <c r="V2713" s="155"/>
      <c r="W2713" s="155"/>
      <c r="GL2713" s="155"/>
      <c r="GM2713" s="155"/>
      <c r="GN2713" s="155"/>
      <c r="GO2713" s="155"/>
      <c r="GP2713" s="155"/>
      <c r="GQ2713" s="155"/>
      <c r="GR2713" s="155"/>
      <c r="GS2713" s="155"/>
      <c r="GT2713" s="155"/>
      <c r="GU2713" s="155"/>
      <c r="GV2713" s="155"/>
      <c r="GW2713" s="155"/>
      <c r="GX2713" s="155"/>
      <c r="GY2713" s="155"/>
      <c r="GZ2713" s="155"/>
      <c r="HA2713" s="155"/>
      <c r="HB2713" s="155"/>
      <c r="HC2713" s="155"/>
      <c r="HD2713" s="155"/>
      <c r="HE2713" s="155"/>
    </row>
    <row r="2714" spans="2:213" s="156" customFormat="1" hidden="1">
      <c r="B2714" s="155"/>
      <c r="C2714" s="155"/>
      <c r="D2714" s="155"/>
      <c r="E2714" s="155"/>
      <c r="F2714" s="155"/>
      <c r="G2714" s="155"/>
      <c r="H2714" s="155"/>
      <c r="I2714" s="155"/>
      <c r="J2714" s="155"/>
      <c r="K2714" s="155"/>
      <c r="L2714" s="155"/>
      <c r="M2714" s="155"/>
      <c r="N2714" s="155"/>
      <c r="O2714" s="155"/>
      <c r="P2714" s="155"/>
      <c r="Q2714" s="155"/>
      <c r="R2714" s="155"/>
      <c r="S2714" s="155"/>
      <c r="T2714" s="155"/>
      <c r="U2714" s="155"/>
      <c r="V2714" s="155"/>
      <c r="W2714" s="155"/>
      <c r="GL2714" s="155"/>
      <c r="GM2714" s="155"/>
      <c r="GN2714" s="155"/>
      <c r="GO2714" s="155"/>
      <c r="GP2714" s="155"/>
      <c r="GQ2714" s="155"/>
      <c r="GR2714" s="155"/>
      <c r="GS2714" s="155"/>
      <c r="GT2714" s="155"/>
      <c r="GU2714" s="155"/>
      <c r="GV2714" s="155"/>
      <c r="GW2714" s="155"/>
      <c r="GX2714" s="155"/>
      <c r="GY2714" s="155"/>
      <c r="GZ2714" s="155"/>
      <c r="HA2714" s="155"/>
      <c r="HB2714" s="155"/>
      <c r="HC2714" s="155"/>
      <c r="HD2714" s="155"/>
      <c r="HE2714" s="155"/>
    </row>
    <row r="2715" spans="2:213" s="156" customFormat="1" hidden="1">
      <c r="B2715" s="155"/>
      <c r="C2715" s="155"/>
      <c r="D2715" s="155"/>
      <c r="E2715" s="155"/>
      <c r="F2715" s="155"/>
      <c r="G2715" s="155"/>
      <c r="H2715" s="155"/>
      <c r="I2715" s="155"/>
      <c r="J2715" s="155"/>
      <c r="K2715" s="155"/>
      <c r="L2715" s="155"/>
      <c r="M2715" s="155"/>
      <c r="N2715" s="155"/>
      <c r="O2715" s="155"/>
      <c r="P2715" s="155"/>
      <c r="Q2715" s="155"/>
      <c r="R2715" s="155"/>
      <c r="S2715" s="155"/>
      <c r="T2715" s="155"/>
      <c r="U2715" s="155"/>
      <c r="V2715" s="155"/>
      <c r="W2715" s="155"/>
      <c r="GL2715" s="155"/>
      <c r="GM2715" s="155"/>
      <c r="GN2715" s="155"/>
      <c r="GO2715" s="155"/>
      <c r="GP2715" s="155"/>
      <c r="GQ2715" s="155"/>
      <c r="GR2715" s="155"/>
      <c r="GS2715" s="155"/>
      <c r="GT2715" s="155"/>
      <c r="GU2715" s="155"/>
      <c r="GV2715" s="155"/>
      <c r="GW2715" s="155"/>
      <c r="GX2715" s="155"/>
      <c r="GY2715" s="155"/>
      <c r="GZ2715" s="155"/>
      <c r="HA2715" s="155"/>
      <c r="HB2715" s="155"/>
      <c r="HC2715" s="155"/>
      <c r="HD2715" s="155"/>
      <c r="HE2715" s="155"/>
    </row>
    <row r="2716" spans="2:213" s="156" customFormat="1" hidden="1">
      <c r="B2716" s="155"/>
      <c r="C2716" s="155"/>
      <c r="D2716" s="155"/>
      <c r="E2716" s="155"/>
      <c r="F2716" s="155"/>
      <c r="G2716" s="155"/>
      <c r="H2716" s="155"/>
      <c r="I2716" s="155"/>
      <c r="J2716" s="155"/>
      <c r="K2716" s="155"/>
      <c r="L2716" s="155"/>
      <c r="M2716" s="155"/>
      <c r="N2716" s="155"/>
      <c r="O2716" s="155"/>
      <c r="P2716" s="155"/>
      <c r="Q2716" s="155"/>
      <c r="R2716" s="155"/>
      <c r="S2716" s="155"/>
      <c r="T2716" s="155"/>
      <c r="U2716" s="155"/>
      <c r="V2716" s="155"/>
      <c r="W2716" s="155"/>
      <c r="GL2716" s="155"/>
      <c r="GM2716" s="155"/>
      <c r="GN2716" s="155"/>
      <c r="GO2716" s="155"/>
      <c r="GP2716" s="155"/>
      <c r="GQ2716" s="155"/>
      <c r="GR2716" s="155"/>
      <c r="GS2716" s="155"/>
      <c r="GT2716" s="155"/>
      <c r="GU2716" s="155"/>
      <c r="GV2716" s="155"/>
      <c r="GW2716" s="155"/>
      <c r="GX2716" s="155"/>
      <c r="GY2716" s="155"/>
      <c r="GZ2716" s="155"/>
      <c r="HA2716" s="155"/>
      <c r="HB2716" s="155"/>
      <c r="HC2716" s="155"/>
      <c r="HD2716" s="155"/>
      <c r="HE2716" s="155"/>
    </row>
    <row r="2717" spans="2:213" s="156" customFormat="1" hidden="1">
      <c r="B2717" s="155"/>
      <c r="C2717" s="155"/>
      <c r="D2717" s="155"/>
      <c r="E2717" s="155"/>
      <c r="F2717" s="155"/>
      <c r="G2717" s="155"/>
      <c r="H2717" s="155"/>
      <c r="I2717" s="155"/>
      <c r="J2717" s="155"/>
      <c r="K2717" s="155"/>
      <c r="L2717" s="155"/>
      <c r="M2717" s="155"/>
      <c r="N2717" s="155"/>
      <c r="O2717" s="155"/>
      <c r="P2717" s="155"/>
      <c r="Q2717" s="155"/>
      <c r="R2717" s="155"/>
      <c r="S2717" s="155"/>
      <c r="T2717" s="155"/>
      <c r="U2717" s="155"/>
      <c r="V2717" s="155"/>
      <c r="W2717" s="155"/>
      <c r="GL2717" s="155"/>
      <c r="GM2717" s="155"/>
      <c r="GN2717" s="155"/>
      <c r="GO2717" s="155"/>
      <c r="GP2717" s="155"/>
      <c r="GQ2717" s="155"/>
      <c r="GR2717" s="155"/>
      <c r="GS2717" s="155"/>
      <c r="GT2717" s="155"/>
      <c r="GU2717" s="155"/>
      <c r="GV2717" s="155"/>
      <c r="GW2717" s="155"/>
      <c r="GX2717" s="155"/>
      <c r="GY2717" s="155"/>
      <c r="GZ2717" s="155"/>
      <c r="HA2717" s="155"/>
      <c r="HB2717" s="155"/>
      <c r="HC2717" s="155"/>
      <c r="HD2717" s="155"/>
      <c r="HE2717" s="155"/>
    </row>
    <row r="2718" spans="2:213" s="156" customFormat="1" hidden="1">
      <c r="B2718" s="155"/>
      <c r="C2718" s="155"/>
      <c r="D2718" s="155"/>
      <c r="E2718" s="155"/>
      <c r="F2718" s="155"/>
      <c r="G2718" s="155"/>
      <c r="H2718" s="155"/>
      <c r="I2718" s="155"/>
      <c r="J2718" s="155"/>
      <c r="K2718" s="155"/>
      <c r="L2718" s="155"/>
      <c r="M2718" s="155"/>
      <c r="N2718" s="155"/>
      <c r="O2718" s="155"/>
      <c r="P2718" s="155"/>
      <c r="Q2718" s="155"/>
      <c r="R2718" s="155"/>
      <c r="S2718" s="155"/>
      <c r="T2718" s="155"/>
      <c r="U2718" s="155"/>
      <c r="V2718" s="155"/>
      <c r="W2718" s="155"/>
      <c r="GL2718" s="155"/>
      <c r="GM2718" s="155"/>
      <c r="GN2718" s="155"/>
      <c r="GO2718" s="155"/>
      <c r="GP2718" s="155"/>
      <c r="GQ2718" s="155"/>
      <c r="GR2718" s="155"/>
      <c r="GS2718" s="155"/>
      <c r="GT2718" s="155"/>
      <c r="GU2718" s="155"/>
      <c r="GV2718" s="155"/>
      <c r="GW2718" s="155"/>
      <c r="GX2718" s="155"/>
      <c r="GY2718" s="155"/>
      <c r="GZ2718" s="155"/>
      <c r="HA2718" s="155"/>
      <c r="HB2718" s="155"/>
      <c r="HC2718" s="155"/>
      <c r="HD2718" s="155"/>
      <c r="HE2718" s="155"/>
    </row>
    <row r="2719" spans="2:213" s="156" customFormat="1" hidden="1">
      <c r="B2719" s="155"/>
      <c r="C2719" s="155"/>
      <c r="D2719" s="155"/>
      <c r="E2719" s="155"/>
      <c r="F2719" s="155"/>
      <c r="G2719" s="155"/>
      <c r="H2719" s="155"/>
      <c r="I2719" s="155"/>
      <c r="J2719" s="155"/>
      <c r="K2719" s="155"/>
      <c r="L2719" s="155"/>
      <c r="M2719" s="155"/>
      <c r="N2719" s="155"/>
      <c r="O2719" s="155"/>
      <c r="P2719" s="155"/>
      <c r="Q2719" s="155"/>
      <c r="R2719" s="155"/>
      <c r="S2719" s="155"/>
      <c r="T2719" s="155"/>
      <c r="U2719" s="155"/>
      <c r="V2719" s="155"/>
      <c r="W2719" s="155"/>
      <c r="GL2719" s="155"/>
      <c r="GM2719" s="155"/>
      <c r="GN2719" s="155"/>
      <c r="GO2719" s="155"/>
      <c r="GP2719" s="155"/>
      <c r="GQ2719" s="155"/>
      <c r="GR2719" s="155"/>
      <c r="GS2719" s="155"/>
      <c r="GT2719" s="155"/>
      <c r="GU2719" s="155"/>
      <c r="GV2719" s="155"/>
      <c r="GW2719" s="155"/>
      <c r="GX2719" s="155"/>
      <c r="GY2719" s="155"/>
      <c r="GZ2719" s="155"/>
      <c r="HA2719" s="155"/>
      <c r="HB2719" s="155"/>
      <c r="HC2719" s="155"/>
      <c r="HD2719" s="155"/>
      <c r="HE2719" s="155"/>
    </row>
    <row r="2720" spans="2:213" s="156" customFormat="1" hidden="1">
      <c r="B2720" s="155"/>
      <c r="C2720" s="155"/>
      <c r="D2720" s="155"/>
      <c r="E2720" s="155"/>
      <c r="F2720" s="155"/>
      <c r="G2720" s="155"/>
      <c r="H2720" s="155"/>
      <c r="I2720" s="155"/>
      <c r="J2720" s="155"/>
      <c r="K2720" s="155"/>
      <c r="L2720" s="155"/>
      <c r="M2720" s="155"/>
      <c r="N2720" s="155"/>
      <c r="O2720" s="155"/>
      <c r="P2720" s="155"/>
      <c r="Q2720" s="155"/>
      <c r="R2720" s="155"/>
      <c r="S2720" s="155"/>
      <c r="T2720" s="155"/>
      <c r="U2720" s="155"/>
      <c r="V2720" s="155"/>
      <c r="W2720" s="155"/>
      <c r="GL2720" s="155"/>
      <c r="GM2720" s="155"/>
      <c r="GN2720" s="155"/>
      <c r="GO2720" s="155"/>
      <c r="GP2720" s="155"/>
      <c r="GQ2720" s="155"/>
      <c r="GR2720" s="155"/>
      <c r="GS2720" s="155"/>
      <c r="GT2720" s="155"/>
      <c r="GU2720" s="155"/>
      <c r="GV2720" s="155"/>
      <c r="GW2720" s="155"/>
      <c r="GX2720" s="155"/>
      <c r="GY2720" s="155"/>
      <c r="GZ2720" s="155"/>
      <c r="HA2720" s="155"/>
      <c r="HB2720" s="155"/>
      <c r="HC2720" s="155"/>
      <c r="HD2720" s="155"/>
      <c r="HE2720" s="155"/>
    </row>
    <row r="2721" spans="2:213" s="156" customFormat="1" hidden="1">
      <c r="B2721" s="155"/>
      <c r="C2721" s="155"/>
      <c r="D2721" s="155"/>
      <c r="E2721" s="155"/>
      <c r="F2721" s="155"/>
      <c r="G2721" s="155"/>
      <c r="H2721" s="155"/>
      <c r="I2721" s="155"/>
      <c r="J2721" s="155"/>
      <c r="K2721" s="155"/>
      <c r="L2721" s="155"/>
      <c r="M2721" s="155"/>
      <c r="N2721" s="155"/>
      <c r="O2721" s="155"/>
      <c r="P2721" s="155"/>
      <c r="Q2721" s="155"/>
      <c r="R2721" s="155"/>
      <c r="S2721" s="155"/>
      <c r="T2721" s="155"/>
      <c r="U2721" s="155"/>
      <c r="V2721" s="155"/>
      <c r="W2721" s="155"/>
      <c r="GL2721" s="155"/>
      <c r="GM2721" s="155"/>
      <c r="GN2721" s="155"/>
      <c r="GO2721" s="155"/>
      <c r="GP2721" s="155"/>
      <c r="GQ2721" s="155"/>
      <c r="GR2721" s="155"/>
      <c r="GS2721" s="155"/>
      <c r="GT2721" s="155"/>
      <c r="GU2721" s="155"/>
      <c r="GV2721" s="155"/>
      <c r="GW2721" s="155"/>
      <c r="GX2721" s="155"/>
      <c r="GY2721" s="155"/>
      <c r="GZ2721" s="155"/>
      <c r="HA2721" s="155"/>
      <c r="HB2721" s="155"/>
      <c r="HC2721" s="155"/>
      <c r="HD2721" s="155"/>
      <c r="HE2721" s="155"/>
    </row>
    <row r="2722" spans="2:213" s="156" customFormat="1" hidden="1">
      <c r="B2722" s="155"/>
      <c r="C2722" s="155"/>
      <c r="D2722" s="155"/>
      <c r="E2722" s="155"/>
      <c r="F2722" s="155"/>
      <c r="G2722" s="155"/>
      <c r="H2722" s="155"/>
      <c r="I2722" s="155"/>
      <c r="J2722" s="155"/>
      <c r="K2722" s="155"/>
      <c r="L2722" s="155"/>
      <c r="M2722" s="155"/>
      <c r="N2722" s="155"/>
      <c r="O2722" s="155"/>
      <c r="P2722" s="155"/>
      <c r="Q2722" s="155"/>
      <c r="R2722" s="155"/>
      <c r="S2722" s="155"/>
      <c r="T2722" s="155"/>
      <c r="U2722" s="155"/>
      <c r="V2722" s="155"/>
      <c r="W2722" s="155"/>
      <c r="GL2722" s="155"/>
      <c r="GM2722" s="155"/>
      <c r="GN2722" s="155"/>
      <c r="GO2722" s="155"/>
      <c r="GP2722" s="155"/>
      <c r="GQ2722" s="155"/>
      <c r="GR2722" s="155"/>
      <c r="GS2722" s="155"/>
      <c r="GT2722" s="155"/>
      <c r="GU2722" s="155"/>
      <c r="GV2722" s="155"/>
      <c r="GW2722" s="155"/>
      <c r="GX2722" s="155"/>
      <c r="GY2722" s="155"/>
      <c r="GZ2722" s="155"/>
      <c r="HA2722" s="155"/>
      <c r="HB2722" s="155"/>
      <c r="HC2722" s="155"/>
      <c r="HD2722" s="155"/>
      <c r="HE2722" s="155"/>
    </row>
    <row r="2723" spans="2:213" s="156" customFormat="1" hidden="1">
      <c r="B2723" s="155"/>
      <c r="C2723" s="155"/>
      <c r="D2723" s="155"/>
      <c r="E2723" s="155"/>
      <c r="F2723" s="155"/>
      <c r="G2723" s="155"/>
      <c r="H2723" s="155"/>
      <c r="I2723" s="155"/>
      <c r="J2723" s="155"/>
      <c r="K2723" s="155"/>
      <c r="L2723" s="155"/>
      <c r="M2723" s="155"/>
      <c r="N2723" s="155"/>
      <c r="O2723" s="155"/>
      <c r="P2723" s="155"/>
      <c r="Q2723" s="155"/>
      <c r="R2723" s="155"/>
      <c r="S2723" s="155"/>
      <c r="T2723" s="155"/>
      <c r="U2723" s="155"/>
      <c r="V2723" s="155"/>
      <c r="W2723" s="155"/>
      <c r="GL2723" s="155"/>
      <c r="GM2723" s="155"/>
      <c r="GN2723" s="155"/>
      <c r="GO2723" s="155"/>
      <c r="GP2723" s="155"/>
      <c r="GQ2723" s="155"/>
      <c r="GR2723" s="155"/>
      <c r="GS2723" s="155"/>
      <c r="GT2723" s="155"/>
      <c r="GU2723" s="155"/>
      <c r="GV2723" s="155"/>
      <c r="GW2723" s="155"/>
      <c r="GX2723" s="155"/>
      <c r="GY2723" s="155"/>
      <c r="GZ2723" s="155"/>
      <c r="HA2723" s="155"/>
      <c r="HB2723" s="155"/>
      <c r="HC2723" s="155"/>
      <c r="HD2723" s="155"/>
      <c r="HE2723" s="155"/>
    </row>
    <row r="2724" spans="2:213" s="156" customFormat="1" hidden="1">
      <c r="B2724" s="155"/>
      <c r="C2724" s="155"/>
      <c r="D2724" s="155"/>
      <c r="E2724" s="155"/>
      <c r="F2724" s="155"/>
      <c r="G2724" s="155"/>
      <c r="H2724" s="155"/>
      <c r="I2724" s="155"/>
      <c r="J2724" s="155"/>
      <c r="K2724" s="155"/>
      <c r="L2724" s="155"/>
      <c r="M2724" s="155"/>
      <c r="N2724" s="155"/>
      <c r="O2724" s="155"/>
      <c r="P2724" s="155"/>
      <c r="Q2724" s="155"/>
      <c r="R2724" s="155"/>
      <c r="S2724" s="155"/>
      <c r="T2724" s="155"/>
      <c r="U2724" s="155"/>
      <c r="V2724" s="155"/>
      <c r="W2724" s="155"/>
      <c r="GL2724" s="155"/>
      <c r="GM2724" s="155"/>
      <c r="GN2724" s="155"/>
      <c r="GO2724" s="155"/>
      <c r="GP2724" s="155"/>
      <c r="GQ2724" s="155"/>
      <c r="GR2724" s="155"/>
      <c r="GS2724" s="155"/>
      <c r="GT2724" s="155"/>
      <c r="GU2724" s="155"/>
      <c r="GV2724" s="155"/>
      <c r="GW2724" s="155"/>
      <c r="GX2724" s="155"/>
      <c r="GY2724" s="155"/>
      <c r="GZ2724" s="155"/>
      <c r="HA2724" s="155"/>
      <c r="HB2724" s="155"/>
      <c r="HC2724" s="155"/>
      <c r="HD2724" s="155"/>
      <c r="HE2724" s="155"/>
    </row>
    <row r="2725" spans="2:213" s="156" customFormat="1" hidden="1">
      <c r="B2725" s="155"/>
      <c r="C2725" s="155"/>
      <c r="D2725" s="155"/>
      <c r="E2725" s="155"/>
      <c r="F2725" s="155"/>
      <c r="G2725" s="155"/>
      <c r="H2725" s="155"/>
      <c r="I2725" s="155"/>
      <c r="J2725" s="155"/>
      <c r="K2725" s="155"/>
      <c r="L2725" s="155"/>
      <c r="M2725" s="155"/>
      <c r="N2725" s="155"/>
      <c r="O2725" s="155"/>
      <c r="P2725" s="155"/>
      <c r="Q2725" s="155"/>
      <c r="R2725" s="155"/>
      <c r="S2725" s="155"/>
      <c r="T2725" s="155"/>
      <c r="U2725" s="155"/>
      <c r="V2725" s="155"/>
      <c r="W2725" s="155"/>
      <c r="GL2725" s="155"/>
      <c r="GM2725" s="155"/>
      <c r="GN2725" s="155"/>
      <c r="GO2725" s="155"/>
      <c r="GP2725" s="155"/>
      <c r="GQ2725" s="155"/>
      <c r="GR2725" s="155"/>
      <c r="GS2725" s="155"/>
      <c r="GT2725" s="155"/>
      <c r="GU2725" s="155"/>
      <c r="GV2725" s="155"/>
      <c r="GW2725" s="155"/>
      <c r="GX2725" s="155"/>
      <c r="GY2725" s="155"/>
      <c r="GZ2725" s="155"/>
      <c r="HA2725" s="155"/>
      <c r="HB2725" s="155"/>
      <c r="HC2725" s="155"/>
      <c r="HD2725" s="155"/>
      <c r="HE2725" s="155"/>
    </row>
    <row r="2726" spans="2:213" s="156" customFormat="1" hidden="1">
      <c r="B2726" s="155"/>
      <c r="C2726" s="155"/>
      <c r="D2726" s="155"/>
      <c r="E2726" s="155"/>
      <c r="F2726" s="155"/>
      <c r="G2726" s="155"/>
      <c r="H2726" s="155"/>
      <c r="I2726" s="155"/>
      <c r="J2726" s="155"/>
      <c r="K2726" s="155"/>
      <c r="L2726" s="155"/>
      <c r="M2726" s="155"/>
      <c r="N2726" s="155"/>
      <c r="O2726" s="155"/>
      <c r="P2726" s="155"/>
      <c r="Q2726" s="155"/>
      <c r="R2726" s="155"/>
      <c r="S2726" s="155"/>
      <c r="T2726" s="155"/>
      <c r="U2726" s="155"/>
      <c r="V2726" s="155"/>
      <c r="W2726" s="155"/>
      <c r="GL2726" s="155"/>
      <c r="GM2726" s="155"/>
      <c r="GN2726" s="155"/>
      <c r="GO2726" s="155"/>
      <c r="GP2726" s="155"/>
      <c r="GQ2726" s="155"/>
      <c r="GR2726" s="155"/>
      <c r="GS2726" s="155"/>
      <c r="GT2726" s="155"/>
      <c r="GU2726" s="155"/>
      <c r="GV2726" s="155"/>
      <c r="GW2726" s="155"/>
      <c r="GX2726" s="155"/>
      <c r="GY2726" s="155"/>
      <c r="GZ2726" s="155"/>
      <c r="HA2726" s="155"/>
      <c r="HB2726" s="155"/>
      <c r="HC2726" s="155"/>
      <c r="HD2726" s="155"/>
      <c r="HE2726" s="155"/>
    </row>
    <row r="2727" spans="2:213" s="156" customFormat="1" hidden="1">
      <c r="B2727" s="155"/>
      <c r="C2727" s="155"/>
      <c r="D2727" s="155"/>
      <c r="E2727" s="155"/>
      <c r="F2727" s="155"/>
      <c r="G2727" s="155"/>
      <c r="H2727" s="155"/>
      <c r="I2727" s="155"/>
      <c r="J2727" s="155"/>
      <c r="K2727" s="155"/>
      <c r="L2727" s="155"/>
      <c r="M2727" s="155"/>
      <c r="N2727" s="155"/>
      <c r="O2727" s="155"/>
      <c r="P2727" s="155"/>
      <c r="Q2727" s="155"/>
      <c r="R2727" s="155"/>
      <c r="S2727" s="155"/>
      <c r="T2727" s="155"/>
      <c r="U2727" s="155"/>
      <c r="V2727" s="155"/>
      <c r="W2727" s="155"/>
      <c r="GL2727" s="155"/>
      <c r="GM2727" s="155"/>
      <c r="GN2727" s="155"/>
      <c r="GO2727" s="155"/>
      <c r="GP2727" s="155"/>
      <c r="GQ2727" s="155"/>
      <c r="GR2727" s="155"/>
      <c r="GS2727" s="155"/>
      <c r="GT2727" s="155"/>
      <c r="GU2727" s="155"/>
      <c r="GV2727" s="155"/>
      <c r="GW2727" s="155"/>
      <c r="GX2727" s="155"/>
      <c r="GY2727" s="155"/>
      <c r="GZ2727" s="155"/>
      <c r="HA2727" s="155"/>
      <c r="HB2727" s="155"/>
      <c r="HC2727" s="155"/>
      <c r="HD2727" s="155"/>
      <c r="HE2727" s="155"/>
    </row>
    <row r="2728" spans="2:213" s="156" customFormat="1" hidden="1">
      <c r="B2728" s="155"/>
      <c r="C2728" s="155"/>
      <c r="D2728" s="155"/>
      <c r="E2728" s="155"/>
      <c r="F2728" s="155"/>
      <c r="G2728" s="155"/>
      <c r="H2728" s="155"/>
      <c r="I2728" s="155"/>
      <c r="J2728" s="155"/>
      <c r="K2728" s="155"/>
      <c r="L2728" s="155"/>
      <c r="M2728" s="155"/>
      <c r="N2728" s="155"/>
      <c r="O2728" s="155"/>
      <c r="P2728" s="155"/>
      <c r="Q2728" s="155"/>
      <c r="R2728" s="155"/>
      <c r="S2728" s="155"/>
      <c r="T2728" s="155"/>
      <c r="U2728" s="155"/>
      <c r="V2728" s="155"/>
      <c r="W2728" s="155"/>
      <c r="GL2728" s="155"/>
      <c r="GM2728" s="155"/>
      <c r="GN2728" s="155"/>
      <c r="GO2728" s="155"/>
      <c r="GP2728" s="155"/>
      <c r="GQ2728" s="155"/>
      <c r="GR2728" s="155"/>
      <c r="GS2728" s="155"/>
      <c r="GT2728" s="155"/>
      <c r="GU2728" s="155"/>
      <c r="GV2728" s="155"/>
      <c r="GW2728" s="155"/>
      <c r="GX2728" s="155"/>
      <c r="GY2728" s="155"/>
      <c r="GZ2728" s="155"/>
      <c r="HA2728" s="155"/>
      <c r="HB2728" s="155"/>
      <c r="HC2728" s="155"/>
      <c r="HD2728" s="155"/>
      <c r="HE2728" s="155"/>
    </row>
    <row r="2729" spans="2:213" s="156" customFormat="1" hidden="1">
      <c r="B2729" s="155"/>
      <c r="C2729" s="155"/>
      <c r="D2729" s="155"/>
      <c r="E2729" s="155"/>
      <c r="F2729" s="155"/>
      <c r="G2729" s="155"/>
      <c r="H2729" s="155"/>
      <c r="I2729" s="155"/>
      <c r="J2729" s="155"/>
      <c r="K2729" s="155"/>
      <c r="L2729" s="155"/>
      <c r="M2729" s="155"/>
      <c r="N2729" s="155"/>
      <c r="O2729" s="155"/>
      <c r="P2729" s="155"/>
      <c r="Q2729" s="155"/>
      <c r="R2729" s="155"/>
      <c r="S2729" s="155"/>
      <c r="T2729" s="155"/>
      <c r="U2729" s="155"/>
      <c r="V2729" s="155"/>
      <c r="W2729" s="155"/>
      <c r="GL2729" s="155"/>
      <c r="GM2729" s="155"/>
      <c r="GN2729" s="155"/>
      <c r="GO2729" s="155"/>
      <c r="GP2729" s="155"/>
      <c r="GQ2729" s="155"/>
      <c r="GR2729" s="155"/>
      <c r="GS2729" s="155"/>
      <c r="GT2729" s="155"/>
      <c r="GU2729" s="155"/>
      <c r="GV2729" s="155"/>
      <c r="GW2729" s="155"/>
      <c r="GX2729" s="155"/>
      <c r="GY2729" s="155"/>
      <c r="GZ2729" s="155"/>
      <c r="HA2729" s="155"/>
      <c r="HB2729" s="155"/>
      <c r="HC2729" s="155"/>
      <c r="HD2729" s="155"/>
      <c r="HE2729" s="155"/>
    </row>
    <row r="2730" spans="2:213" s="156" customFormat="1" hidden="1">
      <c r="B2730" s="155"/>
      <c r="C2730" s="155"/>
      <c r="D2730" s="155"/>
      <c r="E2730" s="155"/>
      <c r="F2730" s="155"/>
      <c r="G2730" s="155"/>
      <c r="H2730" s="155"/>
      <c r="I2730" s="155"/>
      <c r="J2730" s="155"/>
      <c r="K2730" s="155"/>
      <c r="L2730" s="155"/>
      <c r="M2730" s="155"/>
      <c r="N2730" s="155"/>
      <c r="O2730" s="155"/>
      <c r="P2730" s="155"/>
      <c r="Q2730" s="155"/>
      <c r="R2730" s="155"/>
      <c r="S2730" s="155"/>
      <c r="T2730" s="155"/>
      <c r="U2730" s="155"/>
      <c r="V2730" s="155"/>
      <c r="W2730" s="155"/>
      <c r="GL2730" s="155"/>
      <c r="GM2730" s="155"/>
      <c r="GN2730" s="155"/>
      <c r="GO2730" s="155"/>
      <c r="GP2730" s="155"/>
      <c r="GQ2730" s="155"/>
      <c r="GR2730" s="155"/>
      <c r="GS2730" s="155"/>
      <c r="GT2730" s="155"/>
      <c r="GU2730" s="155"/>
      <c r="GV2730" s="155"/>
      <c r="GW2730" s="155"/>
      <c r="GX2730" s="155"/>
      <c r="GY2730" s="155"/>
      <c r="GZ2730" s="155"/>
      <c r="HA2730" s="155"/>
      <c r="HB2730" s="155"/>
      <c r="HC2730" s="155"/>
      <c r="HD2730" s="155"/>
      <c r="HE2730" s="155"/>
    </row>
    <row r="2731" spans="2:213" s="156" customFormat="1" hidden="1">
      <c r="B2731" s="155"/>
      <c r="C2731" s="155"/>
      <c r="D2731" s="155"/>
      <c r="E2731" s="155"/>
      <c r="F2731" s="155"/>
      <c r="G2731" s="155"/>
      <c r="H2731" s="155"/>
      <c r="I2731" s="155"/>
      <c r="J2731" s="155"/>
      <c r="K2731" s="155"/>
      <c r="L2731" s="155"/>
      <c r="M2731" s="155"/>
      <c r="N2731" s="155"/>
      <c r="O2731" s="155"/>
      <c r="P2731" s="155"/>
      <c r="Q2731" s="155"/>
      <c r="R2731" s="155"/>
      <c r="S2731" s="155"/>
      <c r="T2731" s="155"/>
      <c r="U2731" s="155"/>
      <c r="V2731" s="155"/>
      <c r="W2731" s="155"/>
      <c r="GL2731" s="155"/>
      <c r="GM2731" s="155"/>
      <c r="GN2731" s="155"/>
      <c r="GO2731" s="155"/>
      <c r="GP2731" s="155"/>
      <c r="GQ2731" s="155"/>
      <c r="GR2731" s="155"/>
      <c r="GS2731" s="155"/>
      <c r="GT2731" s="155"/>
      <c r="GU2731" s="155"/>
      <c r="GV2731" s="155"/>
      <c r="GW2731" s="155"/>
      <c r="GX2731" s="155"/>
      <c r="GY2731" s="155"/>
      <c r="GZ2731" s="155"/>
      <c r="HA2731" s="155"/>
      <c r="HB2731" s="155"/>
      <c r="HC2731" s="155"/>
      <c r="HD2731" s="155"/>
      <c r="HE2731" s="155"/>
    </row>
    <row r="2732" spans="2:213" s="156" customFormat="1" hidden="1">
      <c r="B2732" s="155"/>
      <c r="C2732" s="155"/>
      <c r="D2732" s="155"/>
      <c r="E2732" s="155"/>
      <c r="F2732" s="155"/>
      <c r="G2732" s="155"/>
      <c r="H2732" s="155"/>
      <c r="I2732" s="155"/>
      <c r="J2732" s="155"/>
      <c r="K2732" s="155"/>
      <c r="L2732" s="155"/>
      <c r="M2732" s="155"/>
      <c r="N2732" s="155"/>
      <c r="O2732" s="155"/>
      <c r="P2732" s="155"/>
      <c r="Q2732" s="155"/>
      <c r="R2732" s="155"/>
      <c r="S2732" s="155"/>
      <c r="T2732" s="155"/>
      <c r="U2732" s="155"/>
      <c r="V2732" s="155"/>
      <c r="W2732" s="155"/>
      <c r="GL2732" s="155"/>
      <c r="GM2732" s="155"/>
      <c r="GN2732" s="155"/>
      <c r="GO2732" s="155"/>
      <c r="GP2732" s="155"/>
      <c r="GQ2732" s="155"/>
      <c r="GR2732" s="155"/>
      <c r="GS2732" s="155"/>
      <c r="GT2732" s="155"/>
      <c r="GU2732" s="155"/>
      <c r="GV2732" s="155"/>
      <c r="GW2732" s="155"/>
      <c r="GX2732" s="155"/>
      <c r="GY2732" s="155"/>
      <c r="GZ2732" s="155"/>
      <c r="HA2732" s="155"/>
      <c r="HB2732" s="155"/>
      <c r="HC2732" s="155"/>
      <c r="HD2732" s="155"/>
      <c r="HE2732" s="155"/>
    </row>
    <row r="2733" spans="2:213" s="156" customFormat="1" hidden="1">
      <c r="B2733" s="155"/>
      <c r="C2733" s="155"/>
      <c r="D2733" s="155"/>
      <c r="E2733" s="155"/>
      <c r="F2733" s="155"/>
      <c r="G2733" s="155"/>
      <c r="H2733" s="155"/>
      <c r="I2733" s="155"/>
      <c r="J2733" s="155"/>
      <c r="K2733" s="155"/>
      <c r="L2733" s="155"/>
      <c r="M2733" s="155"/>
      <c r="N2733" s="155"/>
      <c r="O2733" s="155"/>
      <c r="P2733" s="155"/>
      <c r="Q2733" s="155"/>
      <c r="R2733" s="155"/>
      <c r="S2733" s="155"/>
      <c r="T2733" s="155"/>
      <c r="U2733" s="155"/>
      <c r="V2733" s="155"/>
      <c r="W2733" s="155"/>
      <c r="GL2733" s="155"/>
      <c r="GM2733" s="155"/>
      <c r="GN2733" s="155"/>
      <c r="GO2733" s="155"/>
      <c r="GP2733" s="155"/>
      <c r="GQ2733" s="155"/>
      <c r="GR2733" s="155"/>
      <c r="GS2733" s="155"/>
      <c r="GT2733" s="155"/>
      <c r="GU2733" s="155"/>
      <c r="GV2733" s="155"/>
      <c r="GW2733" s="155"/>
      <c r="GX2733" s="155"/>
      <c r="GY2733" s="155"/>
      <c r="GZ2733" s="155"/>
      <c r="HA2733" s="155"/>
      <c r="HB2733" s="155"/>
      <c r="HC2733" s="155"/>
      <c r="HD2733" s="155"/>
      <c r="HE2733" s="155"/>
    </row>
    <row r="2734" spans="2:213" s="156" customFormat="1" hidden="1">
      <c r="B2734" s="155"/>
      <c r="C2734" s="155"/>
      <c r="D2734" s="155"/>
      <c r="E2734" s="155"/>
      <c r="F2734" s="155"/>
      <c r="G2734" s="155"/>
      <c r="H2734" s="155"/>
      <c r="I2734" s="155"/>
      <c r="J2734" s="155"/>
      <c r="K2734" s="155"/>
      <c r="L2734" s="155"/>
      <c r="M2734" s="155"/>
      <c r="N2734" s="155"/>
      <c r="O2734" s="155"/>
      <c r="P2734" s="155"/>
      <c r="Q2734" s="155"/>
      <c r="R2734" s="155"/>
      <c r="S2734" s="155"/>
      <c r="T2734" s="155"/>
      <c r="U2734" s="155"/>
      <c r="V2734" s="155"/>
      <c r="W2734" s="155"/>
      <c r="GL2734" s="155"/>
      <c r="GM2734" s="155"/>
      <c r="GN2734" s="155"/>
      <c r="GO2734" s="155"/>
      <c r="GP2734" s="155"/>
      <c r="GQ2734" s="155"/>
      <c r="GR2734" s="155"/>
      <c r="GS2734" s="155"/>
      <c r="GT2734" s="155"/>
      <c r="GU2734" s="155"/>
      <c r="GV2734" s="155"/>
      <c r="GW2734" s="155"/>
      <c r="GX2734" s="155"/>
      <c r="GY2734" s="155"/>
      <c r="GZ2734" s="155"/>
      <c r="HA2734" s="155"/>
      <c r="HB2734" s="155"/>
      <c r="HC2734" s="155"/>
      <c r="HD2734" s="155"/>
      <c r="HE2734" s="155"/>
    </row>
    <row r="2735" spans="2:213" s="156" customFormat="1" hidden="1">
      <c r="B2735" s="155"/>
      <c r="C2735" s="155"/>
      <c r="D2735" s="155"/>
      <c r="E2735" s="155"/>
      <c r="F2735" s="155"/>
      <c r="G2735" s="155"/>
      <c r="H2735" s="155"/>
      <c r="I2735" s="155"/>
      <c r="J2735" s="155"/>
      <c r="K2735" s="155"/>
      <c r="L2735" s="155"/>
      <c r="M2735" s="155"/>
      <c r="N2735" s="155"/>
      <c r="O2735" s="155"/>
      <c r="P2735" s="155"/>
      <c r="Q2735" s="155"/>
      <c r="R2735" s="155"/>
      <c r="S2735" s="155"/>
      <c r="T2735" s="155"/>
      <c r="U2735" s="155"/>
      <c r="V2735" s="155"/>
      <c r="W2735" s="155"/>
      <c r="GL2735" s="155"/>
      <c r="GM2735" s="155"/>
      <c r="GN2735" s="155"/>
      <c r="GO2735" s="155"/>
      <c r="GP2735" s="155"/>
      <c r="GQ2735" s="155"/>
      <c r="GR2735" s="155"/>
      <c r="GS2735" s="155"/>
      <c r="GT2735" s="155"/>
      <c r="GU2735" s="155"/>
      <c r="GV2735" s="155"/>
      <c r="GW2735" s="155"/>
      <c r="GX2735" s="155"/>
      <c r="GY2735" s="155"/>
      <c r="GZ2735" s="155"/>
      <c r="HA2735" s="155"/>
      <c r="HB2735" s="155"/>
      <c r="HC2735" s="155"/>
      <c r="HD2735" s="155"/>
      <c r="HE2735" s="155"/>
    </row>
    <row r="2736" spans="2:213" s="156" customFormat="1" hidden="1">
      <c r="B2736" s="155"/>
      <c r="C2736" s="155"/>
      <c r="D2736" s="155"/>
      <c r="E2736" s="155"/>
      <c r="F2736" s="155"/>
      <c r="G2736" s="155"/>
      <c r="H2736" s="155"/>
      <c r="I2736" s="155"/>
      <c r="J2736" s="155"/>
      <c r="K2736" s="155"/>
      <c r="L2736" s="155"/>
      <c r="M2736" s="155"/>
      <c r="N2736" s="155"/>
      <c r="O2736" s="155"/>
      <c r="P2736" s="155"/>
      <c r="Q2736" s="155"/>
      <c r="R2736" s="155"/>
      <c r="S2736" s="155"/>
      <c r="T2736" s="155"/>
      <c r="U2736" s="155"/>
      <c r="V2736" s="155"/>
      <c r="W2736" s="155"/>
      <c r="GL2736" s="155"/>
      <c r="GM2736" s="155"/>
      <c r="GN2736" s="155"/>
      <c r="GO2736" s="155"/>
      <c r="GP2736" s="155"/>
      <c r="GQ2736" s="155"/>
      <c r="GR2736" s="155"/>
      <c r="GS2736" s="155"/>
      <c r="GT2736" s="155"/>
      <c r="GU2736" s="155"/>
      <c r="GV2736" s="155"/>
      <c r="GW2736" s="155"/>
      <c r="GX2736" s="155"/>
      <c r="GY2736" s="155"/>
      <c r="GZ2736" s="155"/>
      <c r="HA2736" s="155"/>
      <c r="HB2736" s="155"/>
      <c r="HC2736" s="155"/>
      <c r="HD2736" s="155"/>
      <c r="HE2736" s="155"/>
    </row>
    <row r="2737" spans="2:213" s="156" customFormat="1" hidden="1">
      <c r="B2737" s="155"/>
      <c r="C2737" s="155"/>
      <c r="D2737" s="155"/>
      <c r="E2737" s="155"/>
      <c r="F2737" s="155"/>
      <c r="G2737" s="155"/>
      <c r="H2737" s="155"/>
      <c r="I2737" s="155"/>
      <c r="J2737" s="155"/>
      <c r="K2737" s="155"/>
      <c r="L2737" s="155"/>
      <c r="M2737" s="155"/>
      <c r="N2737" s="155"/>
      <c r="O2737" s="155"/>
      <c r="P2737" s="155"/>
      <c r="Q2737" s="155"/>
      <c r="R2737" s="155"/>
      <c r="S2737" s="155"/>
      <c r="T2737" s="155"/>
      <c r="U2737" s="155"/>
      <c r="V2737" s="155"/>
      <c r="W2737" s="155"/>
      <c r="GL2737" s="155"/>
      <c r="GM2737" s="155"/>
      <c r="GN2737" s="155"/>
      <c r="GO2737" s="155"/>
      <c r="GP2737" s="155"/>
      <c r="GQ2737" s="155"/>
      <c r="GR2737" s="155"/>
      <c r="GS2737" s="155"/>
      <c r="GT2737" s="155"/>
      <c r="GU2737" s="155"/>
      <c r="GV2737" s="155"/>
      <c r="GW2737" s="155"/>
      <c r="GX2737" s="155"/>
      <c r="GY2737" s="155"/>
      <c r="GZ2737" s="155"/>
      <c r="HA2737" s="155"/>
      <c r="HB2737" s="155"/>
      <c r="HC2737" s="155"/>
      <c r="HD2737" s="155"/>
      <c r="HE2737" s="155"/>
    </row>
    <row r="2738" spans="2:213" s="156" customFormat="1" hidden="1">
      <c r="B2738" s="155"/>
      <c r="C2738" s="155"/>
      <c r="D2738" s="155"/>
      <c r="E2738" s="155"/>
      <c r="F2738" s="155"/>
      <c r="G2738" s="155"/>
      <c r="H2738" s="155"/>
      <c r="I2738" s="155"/>
      <c r="J2738" s="155"/>
      <c r="K2738" s="155"/>
      <c r="L2738" s="155"/>
      <c r="M2738" s="155"/>
      <c r="N2738" s="155"/>
      <c r="O2738" s="155"/>
      <c r="P2738" s="155"/>
      <c r="Q2738" s="155"/>
      <c r="R2738" s="155"/>
      <c r="S2738" s="155"/>
      <c r="T2738" s="155"/>
      <c r="U2738" s="155"/>
      <c r="V2738" s="155"/>
      <c r="W2738" s="155"/>
      <c r="GL2738" s="155"/>
      <c r="GM2738" s="155"/>
      <c r="GN2738" s="155"/>
      <c r="GO2738" s="155"/>
      <c r="GP2738" s="155"/>
      <c r="GQ2738" s="155"/>
      <c r="GR2738" s="155"/>
      <c r="GS2738" s="155"/>
      <c r="GT2738" s="155"/>
      <c r="GU2738" s="155"/>
      <c r="GV2738" s="155"/>
      <c r="GW2738" s="155"/>
      <c r="GX2738" s="155"/>
      <c r="GY2738" s="155"/>
      <c r="GZ2738" s="155"/>
      <c r="HA2738" s="155"/>
      <c r="HB2738" s="155"/>
      <c r="HC2738" s="155"/>
      <c r="HD2738" s="155"/>
      <c r="HE2738" s="155"/>
    </row>
    <row r="2739" spans="2:213" s="156" customFormat="1" hidden="1">
      <c r="B2739" s="155"/>
      <c r="C2739" s="155"/>
      <c r="D2739" s="155"/>
      <c r="E2739" s="155"/>
      <c r="F2739" s="155"/>
      <c r="G2739" s="155"/>
      <c r="H2739" s="155"/>
      <c r="I2739" s="155"/>
      <c r="J2739" s="155"/>
      <c r="K2739" s="155"/>
      <c r="L2739" s="155"/>
      <c r="M2739" s="155"/>
      <c r="N2739" s="155"/>
      <c r="O2739" s="155"/>
      <c r="P2739" s="155"/>
      <c r="Q2739" s="155"/>
      <c r="R2739" s="155"/>
      <c r="S2739" s="155"/>
      <c r="T2739" s="155"/>
      <c r="U2739" s="155"/>
      <c r="V2739" s="155"/>
      <c r="W2739" s="155"/>
      <c r="GL2739" s="155"/>
      <c r="GM2739" s="155"/>
      <c r="GN2739" s="155"/>
      <c r="GO2739" s="155"/>
      <c r="GP2739" s="155"/>
      <c r="GQ2739" s="155"/>
      <c r="GR2739" s="155"/>
      <c r="GS2739" s="155"/>
      <c r="GT2739" s="155"/>
      <c r="GU2739" s="155"/>
      <c r="GV2739" s="155"/>
      <c r="GW2739" s="155"/>
      <c r="GX2739" s="155"/>
      <c r="GY2739" s="155"/>
      <c r="GZ2739" s="155"/>
      <c r="HA2739" s="155"/>
      <c r="HB2739" s="155"/>
      <c r="HC2739" s="155"/>
      <c r="HD2739" s="155"/>
      <c r="HE2739" s="155"/>
    </row>
    <row r="2740" spans="2:213" s="156" customFormat="1" hidden="1">
      <c r="B2740" s="155"/>
      <c r="C2740" s="155"/>
      <c r="D2740" s="155"/>
      <c r="E2740" s="155"/>
      <c r="F2740" s="155"/>
      <c r="G2740" s="155"/>
      <c r="H2740" s="155"/>
      <c r="I2740" s="155"/>
      <c r="J2740" s="155"/>
      <c r="K2740" s="155"/>
      <c r="L2740" s="155"/>
      <c r="M2740" s="155"/>
      <c r="N2740" s="155"/>
      <c r="O2740" s="155"/>
      <c r="P2740" s="155"/>
      <c r="Q2740" s="155"/>
      <c r="R2740" s="155"/>
      <c r="S2740" s="155"/>
      <c r="T2740" s="155"/>
      <c r="U2740" s="155"/>
      <c r="V2740" s="155"/>
      <c r="W2740" s="155"/>
      <c r="GL2740" s="155"/>
      <c r="GM2740" s="155"/>
      <c r="GN2740" s="155"/>
      <c r="GO2740" s="155"/>
      <c r="GP2740" s="155"/>
      <c r="GQ2740" s="155"/>
      <c r="GR2740" s="155"/>
      <c r="GS2740" s="155"/>
      <c r="GT2740" s="155"/>
      <c r="GU2740" s="155"/>
      <c r="GV2740" s="155"/>
      <c r="GW2740" s="155"/>
      <c r="GX2740" s="155"/>
      <c r="GY2740" s="155"/>
      <c r="GZ2740" s="155"/>
      <c r="HA2740" s="155"/>
      <c r="HB2740" s="155"/>
      <c r="HC2740" s="155"/>
      <c r="HD2740" s="155"/>
      <c r="HE2740" s="155"/>
    </row>
    <row r="2741" spans="2:213" s="156" customFormat="1" hidden="1">
      <c r="B2741" s="155"/>
      <c r="C2741" s="155"/>
      <c r="D2741" s="155"/>
      <c r="E2741" s="155"/>
      <c r="F2741" s="155"/>
      <c r="G2741" s="155"/>
      <c r="H2741" s="155"/>
      <c r="I2741" s="155"/>
      <c r="J2741" s="155"/>
      <c r="K2741" s="155"/>
      <c r="L2741" s="155"/>
      <c r="M2741" s="155"/>
      <c r="N2741" s="155"/>
      <c r="O2741" s="155"/>
      <c r="P2741" s="155"/>
      <c r="Q2741" s="155"/>
      <c r="R2741" s="155"/>
      <c r="S2741" s="155"/>
      <c r="T2741" s="155"/>
      <c r="U2741" s="155"/>
      <c r="V2741" s="155"/>
      <c r="W2741" s="155"/>
      <c r="GL2741" s="155"/>
      <c r="GM2741" s="155"/>
      <c r="GN2741" s="155"/>
      <c r="GO2741" s="155"/>
      <c r="GP2741" s="155"/>
      <c r="GQ2741" s="155"/>
      <c r="GR2741" s="155"/>
      <c r="GS2741" s="155"/>
      <c r="GT2741" s="155"/>
      <c r="GU2741" s="155"/>
      <c r="GV2741" s="155"/>
      <c r="GW2741" s="155"/>
      <c r="GX2741" s="155"/>
      <c r="GY2741" s="155"/>
      <c r="GZ2741" s="155"/>
      <c r="HA2741" s="155"/>
      <c r="HB2741" s="155"/>
      <c r="HC2741" s="155"/>
      <c r="HD2741" s="155"/>
      <c r="HE2741" s="155"/>
    </row>
    <row r="2742" spans="2:213" s="156" customFormat="1" hidden="1">
      <c r="B2742" s="155"/>
      <c r="C2742" s="155"/>
      <c r="D2742" s="155"/>
      <c r="E2742" s="155"/>
      <c r="F2742" s="155"/>
      <c r="G2742" s="155"/>
      <c r="H2742" s="155"/>
      <c r="I2742" s="155"/>
      <c r="J2742" s="155"/>
      <c r="K2742" s="155"/>
      <c r="L2742" s="155"/>
      <c r="M2742" s="155"/>
      <c r="N2742" s="155"/>
      <c r="O2742" s="155"/>
      <c r="P2742" s="155"/>
      <c r="Q2742" s="155"/>
      <c r="R2742" s="155"/>
      <c r="S2742" s="155"/>
      <c r="T2742" s="155"/>
      <c r="U2742" s="155"/>
      <c r="V2742" s="155"/>
      <c r="W2742" s="155"/>
      <c r="GL2742" s="155"/>
      <c r="GM2742" s="155"/>
      <c r="GN2742" s="155"/>
      <c r="GO2742" s="155"/>
      <c r="GP2742" s="155"/>
      <c r="GQ2742" s="155"/>
      <c r="GR2742" s="155"/>
      <c r="GS2742" s="155"/>
      <c r="GT2742" s="155"/>
      <c r="GU2742" s="155"/>
      <c r="GV2742" s="155"/>
      <c r="GW2742" s="155"/>
      <c r="GX2742" s="155"/>
      <c r="GY2742" s="155"/>
      <c r="GZ2742" s="155"/>
      <c r="HA2742" s="155"/>
      <c r="HB2742" s="155"/>
      <c r="HC2742" s="155"/>
      <c r="HD2742" s="155"/>
      <c r="HE2742" s="155"/>
    </row>
    <row r="2743" spans="2:213" s="156" customFormat="1" hidden="1">
      <c r="B2743" s="155"/>
      <c r="C2743" s="155"/>
      <c r="D2743" s="155"/>
      <c r="E2743" s="155"/>
      <c r="F2743" s="155"/>
      <c r="G2743" s="155"/>
      <c r="H2743" s="155"/>
      <c r="I2743" s="155"/>
      <c r="J2743" s="155"/>
      <c r="K2743" s="155"/>
      <c r="L2743" s="155"/>
      <c r="M2743" s="155"/>
      <c r="N2743" s="155"/>
      <c r="O2743" s="155"/>
      <c r="P2743" s="155"/>
      <c r="Q2743" s="155"/>
      <c r="R2743" s="155"/>
      <c r="S2743" s="155"/>
      <c r="T2743" s="155"/>
      <c r="U2743" s="155"/>
      <c r="V2743" s="155"/>
      <c r="W2743" s="155"/>
      <c r="GL2743" s="155"/>
      <c r="GM2743" s="155"/>
      <c r="GN2743" s="155"/>
      <c r="GO2743" s="155"/>
      <c r="GP2743" s="155"/>
      <c r="GQ2743" s="155"/>
      <c r="GR2743" s="155"/>
      <c r="GS2743" s="155"/>
      <c r="GT2743" s="155"/>
      <c r="GU2743" s="155"/>
      <c r="GV2743" s="155"/>
      <c r="GW2743" s="155"/>
      <c r="GX2743" s="155"/>
      <c r="GY2743" s="155"/>
      <c r="GZ2743" s="155"/>
      <c r="HA2743" s="155"/>
      <c r="HB2743" s="155"/>
      <c r="HC2743" s="155"/>
      <c r="HD2743" s="155"/>
      <c r="HE2743" s="155"/>
    </row>
    <row r="2744" spans="2:213" s="156" customFormat="1" hidden="1">
      <c r="B2744" s="155"/>
      <c r="C2744" s="155"/>
      <c r="D2744" s="155"/>
      <c r="E2744" s="155"/>
      <c r="F2744" s="155"/>
      <c r="G2744" s="155"/>
      <c r="H2744" s="155"/>
      <c r="I2744" s="155"/>
      <c r="J2744" s="155"/>
      <c r="K2744" s="155"/>
      <c r="L2744" s="155"/>
      <c r="M2744" s="155"/>
      <c r="N2744" s="155"/>
      <c r="O2744" s="155"/>
      <c r="P2744" s="155"/>
      <c r="Q2744" s="155"/>
      <c r="R2744" s="155"/>
      <c r="S2744" s="155"/>
      <c r="T2744" s="155"/>
      <c r="U2744" s="155"/>
      <c r="V2744" s="155"/>
      <c r="W2744" s="155"/>
      <c r="GL2744" s="155"/>
      <c r="GM2744" s="155"/>
      <c r="GN2744" s="155"/>
      <c r="GO2744" s="155"/>
      <c r="GP2744" s="155"/>
      <c r="GQ2744" s="155"/>
      <c r="GR2744" s="155"/>
      <c r="GS2744" s="155"/>
      <c r="GT2744" s="155"/>
      <c r="GU2744" s="155"/>
      <c r="GV2744" s="155"/>
      <c r="GW2744" s="155"/>
      <c r="GX2744" s="155"/>
      <c r="GY2744" s="155"/>
      <c r="GZ2744" s="155"/>
      <c r="HA2744" s="155"/>
      <c r="HB2744" s="155"/>
      <c r="HC2744" s="155"/>
      <c r="HD2744" s="155"/>
      <c r="HE2744" s="155"/>
    </row>
    <row r="2745" spans="2:213" s="156" customFormat="1" hidden="1">
      <c r="B2745" s="155"/>
      <c r="C2745" s="155"/>
      <c r="D2745" s="155"/>
      <c r="E2745" s="155"/>
      <c r="F2745" s="155"/>
      <c r="G2745" s="155"/>
      <c r="H2745" s="155"/>
      <c r="I2745" s="155"/>
      <c r="J2745" s="155"/>
      <c r="K2745" s="155"/>
      <c r="L2745" s="155"/>
      <c r="M2745" s="155"/>
      <c r="N2745" s="155"/>
      <c r="O2745" s="155"/>
      <c r="P2745" s="155"/>
      <c r="Q2745" s="155"/>
      <c r="R2745" s="155"/>
      <c r="S2745" s="155"/>
      <c r="T2745" s="155"/>
      <c r="U2745" s="155"/>
      <c r="V2745" s="155"/>
      <c r="W2745" s="155"/>
      <c r="GL2745" s="155"/>
      <c r="GM2745" s="155"/>
      <c r="GN2745" s="155"/>
      <c r="GO2745" s="155"/>
      <c r="GP2745" s="155"/>
      <c r="GQ2745" s="155"/>
      <c r="GR2745" s="155"/>
      <c r="GS2745" s="155"/>
      <c r="GT2745" s="155"/>
      <c r="GU2745" s="155"/>
      <c r="GV2745" s="155"/>
      <c r="GW2745" s="155"/>
      <c r="GX2745" s="155"/>
      <c r="GY2745" s="155"/>
      <c r="GZ2745" s="155"/>
      <c r="HA2745" s="155"/>
      <c r="HB2745" s="155"/>
      <c r="HC2745" s="155"/>
      <c r="HD2745" s="155"/>
      <c r="HE2745" s="155"/>
    </row>
    <row r="2746" spans="2:213" s="156" customFormat="1" hidden="1">
      <c r="B2746" s="155"/>
      <c r="C2746" s="155"/>
      <c r="D2746" s="155"/>
      <c r="E2746" s="155"/>
      <c r="F2746" s="155"/>
      <c r="G2746" s="155"/>
      <c r="H2746" s="155"/>
      <c r="I2746" s="155"/>
      <c r="J2746" s="155"/>
      <c r="K2746" s="155"/>
      <c r="L2746" s="155"/>
      <c r="M2746" s="155"/>
      <c r="N2746" s="155"/>
      <c r="O2746" s="155"/>
      <c r="P2746" s="155"/>
      <c r="Q2746" s="155"/>
      <c r="R2746" s="155"/>
      <c r="S2746" s="155"/>
      <c r="T2746" s="155"/>
      <c r="U2746" s="155"/>
      <c r="V2746" s="155"/>
      <c r="W2746" s="155"/>
      <c r="GL2746" s="155"/>
      <c r="GM2746" s="155"/>
      <c r="GN2746" s="155"/>
      <c r="GO2746" s="155"/>
      <c r="GP2746" s="155"/>
      <c r="GQ2746" s="155"/>
      <c r="GR2746" s="155"/>
      <c r="GS2746" s="155"/>
      <c r="GT2746" s="155"/>
      <c r="GU2746" s="155"/>
      <c r="GV2746" s="155"/>
      <c r="GW2746" s="155"/>
      <c r="GX2746" s="155"/>
      <c r="GY2746" s="155"/>
      <c r="GZ2746" s="155"/>
      <c r="HA2746" s="155"/>
      <c r="HB2746" s="155"/>
      <c r="HC2746" s="155"/>
      <c r="HD2746" s="155"/>
      <c r="HE2746" s="155"/>
    </row>
    <row r="2747" spans="2:213" s="156" customFormat="1" hidden="1">
      <c r="B2747" s="155"/>
      <c r="C2747" s="155"/>
      <c r="D2747" s="155"/>
      <c r="E2747" s="155"/>
      <c r="F2747" s="155"/>
      <c r="G2747" s="155"/>
      <c r="H2747" s="155"/>
      <c r="I2747" s="155"/>
      <c r="J2747" s="155"/>
      <c r="K2747" s="155"/>
      <c r="L2747" s="155"/>
      <c r="M2747" s="155"/>
      <c r="N2747" s="155"/>
      <c r="O2747" s="155"/>
      <c r="P2747" s="155"/>
      <c r="Q2747" s="155"/>
      <c r="R2747" s="155"/>
      <c r="S2747" s="155"/>
      <c r="T2747" s="155"/>
      <c r="U2747" s="155"/>
      <c r="V2747" s="155"/>
      <c r="W2747" s="155"/>
      <c r="GL2747" s="155"/>
      <c r="GM2747" s="155"/>
      <c r="GN2747" s="155"/>
      <c r="GO2747" s="155"/>
      <c r="GP2747" s="155"/>
      <c r="GQ2747" s="155"/>
      <c r="GR2747" s="155"/>
      <c r="GS2747" s="155"/>
      <c r="GT2747" s="155"/>
      <c r="GU2747" s="155"/>
      <c r="GV2747" s="155"/>
      <c r="GW2747" s="155"/>
      <c r="GX2747" s="155"/>
      <c r="GY2747" s="155"/>
      <c r="GZ2747" s="155"/>
      <c r="HA2747" s="155"/>
      <c r="HB2747" s="155"/>
      <c r="HC2747" s="155"/>
      <c r="HD2747" s="155"/>
      <c r="HE2747" s="155"/>
    </row>
    <row r="2748" spans="2:213" s="156" customFormat="1" hidden="1">
      <c r="B2748" s="155"/>
      <c r="C2748" s="155"/>
      <c r="D2748" s="155"/>
      <c r="E2748" s="155"/>
      <c r="F2748" s="155"/>
      <c r="G2748" s="155"/>
      <c r="H2748" s="155"/>
      <c r="I2748" s="155"/>
      <c r="J2748" s="155"/>
      <c r="K2748" s="155"/>
      <c r="L2748" s="155"/>
      <c r="M2748" s="155"/>
      <c r="N2748" s="155"/>
      <c r="O2748" s="155"/>
      <c r="P2748" s="155"/>
      <c r="Q2748" s="155"/>
      <c r="R2748" s="155"/>
      <c r="S2748" s="155"/>
      <c r="T2748" s="155"/>
      <c r="U2748" s="155"/>
      <c r="V2748" s="155"/>
      <c r="W2748" s="155"/>
      <c r="GL2748" s="155"/>
      <c r="GM2748" s="155"/>
      <c r="GN2748" s="155"/>
      <c r="GO2748" s="155"/>
      <c r="GP2748" s="155"/>
      <c r="GQ2748" s="155"/>
      <c r="GR2748" s="155"/>
      <c r="GS2748" s="155"/>
      <c r="GT2748" s="155"/>
      <c r="GU2748" s="155"/>
      <c r="GV2748" s="155"/>
      <c r="GW2748" s="155"/>
      <c r="GX2748" s="155"/>
      <c r="GY2748" s="155"/>
      <c r="GZ2748" s="155"/>
      <c r="HA2748" s="155"/>
      <c r="HB2748" s="155"/>
      <c r="HC2748" s="155"/>
      <c r="HD2748" s="155"/>
      <c r="HE2748" s="155"/>
    </row>
    <row r="2749" spans="2:213" s="156" customFormat="1" hidden="1">
      <c r="B2749" s="155"/>
      <c r="C2749" s="155"/>
      <c r="D2749" s="155"/>
      <c r="E2749" s="155"/>
      <c r="F2749" s="155"/>
      <c r="G2749" s="155"/>
      <c r="H2749" s="155"/>
      <c r="I2749" s="155"/>
      <c r="J2749" s="155"/>
      <c r="K2749" s="155"/>
      <c r="L2749" s="155"/>
      <c r="M2749" s="155"/>
      <c r="N2749" s="155"/>
      <c r="O2749" s="155"/>
      <c r="P2749" s="155"/>
      <c r="Q2749" s="155"/>
      <c r="R2749" s="155"/>
      <c r="S2749" s="155"/>
      <c r="T2749" s="155"/>
      <c r="U2749" s="155"/>
      <c r="V2749" s="155"/>
      <c r="W2749" s="155"/>
      <c r="GL2749" s="155"/>
      <c r="GM2749" s="155"/>
      <c r="GN2749" s="155"/>
      <c r="GO2749" s="155"/>
      <c r="GP2749" s="155"/>
      <c r="GQ2749" s="155"/>
      <c r="GR2749" s="155"/>
      <c r="GS2749" s="155"/>
      <c r="GT2749" s="155"/>
      <c r="GU2749" s="155"/>
      <c r="GV2749" s="155"/>
      <c r="GW2749" s="155"/>
      <c r="GX2749" s="155"/>
      <c r="GY2749" s="155"/>
      <c r="GZ2749" s="155"/>
      <c r="HA2749" s="155"/>
      <c r="HB2749" s="155"/>
      <c r="HC2749" s="155"/>
      <c r="HD2749" s="155"/>
      <c r="HE2749" s="155"/>
    </row>
    <row r="2750" spans="2:213" s="156" customFormat="1" hidden="1">
      <c r="B2750" s="155"/>
      <c r="C2750" s="155"/>
      <c r="D2750" s="155"/>
      <c r="E2750" s="155"/>
      <c r="F2750" s="155"/>
      <c r="G2750" s="155"/>
      <c r="H2750" s="155"/>
      <c r="I2750" s="155"/>
      <c r="J2750" s="155"/>
      <c r="K2750" s="155"/>
      <c r="L2750" s="155"/>
      <c r="M2750" s="155"/>
      <c r="N2750" s="155"/>
      <c r="O2750" s="155"/>
      <c r="P2750" s="155"/>
      <c r="Q2750" s="155"/>
      <c r="R2750" s="155"/>
      <c r="S2750" s="155"/>
      <c r="T2750" s="155"/>
      <c r="U2750" s="155"/>
      <c r="V2750" s="155"/>
      <c r="W2750" s="155"/>
      <c r="GL2750" s="155"/>
      <c r="GM2750" s="155"/>
      <c r="GN2750" s="155"/>
      <c r="GO2750" s="155"/>
      <c r="GP2750" s="155"/>
      <c r="GQ2750" s="155"/>
      <c r="GR2750" s="155"/>
      <c r="GS2750" s="155"/>
      <c r="GT2750" s="155"/>
      <c r="GU2750" s="155"/>
      <c r="GV2750" s="155"/>
      <c r="GW2750" s="155"/>
      <c r="GX2750" s="155"/>
      <c r="GY2750" s="155"/>
      <c r="GZ2750" s="155"/>
      <c r="HA2750" s="155"/>
      <c r="HB2750" s="155"/>
      <c r="HC2750" s="155"/>
      <c r="HD2750" s="155"/>
      <c r="HE2750" s="155"/>
    </row>
    <row r="2751" spans="2:213" s="156" customFormat="1" hidden="1">
      <c r="B2751" s="155"/>
      <c r="C2751" s="155"/>
      <c r="D2751" s="155"/>
      <c r="E2751" s="155"/>
      <c r="F2751" s="155"/>
      <c r="G2751" s="155"/>
      <c r="H2751" s="155"/>
      <c r="I2751" s="155"/>
      <c r="J2751" s="155"/>
      <c r="K2751" s="155"/>
      <c r="L2751" s="155"/>
      <c r="M2751" s="155"/>
      <c r="N2751" s="155"/>
      <c r="O2751" s="155"/>
      <c r="P2751" s="155"/>
      <c r="Q2751" s="155"/>
      <c r="R2751" s="155"/>
      <c r="S2751" s="155"/>
      <c r="T2751" s="155"/>
      <c r="U2751" s="155"/>
      <c r="V2751" s="155"/>
      <c r="W2751" s="155"/>
      <c r="GL2751" s="155"/>
      <c r="GM2751" s="155"/>
      <c r="GN2751" s="155"/>
      <c r="GO2751" s="155"/>
      <c r="GP2751" s="155"/>
      <c r="GQ2751" s="155"/>
      <c r="GR2751" s="155"/>
      <c r="GS2751" s="155"/>
      <c r="GT2751" s="155"/>
      <c r="GU2751" s="155"/>
      <c r="GV2751" s="155"/>
      <c r="GW2751" s="155"/>
      <c r="GX2751" s="155"/>
      <c r="GY2751" s="155"/>
      <c r="GZ2751" s="155"/>
      <c r="HA2751" s="155"/>
      <c r="HB2751" s="155"/>
      <c r="HC2751" s="155"/>
      <c r="HD2751" s="155"/>
      <c r="HE2751" s="155"/>
    </row>
    <row r="2752" spans="2:213" s="156" customFormat="1" hidden="1">
      <c r="B2752" s="155"/>
      <c r="C2752" s="155"/>
      <c r="D2752" s="155"/>
      <c r="E2752" s="155"/>
      <c r="F2752" s="155"/>
      <c r="G2752" s="155"/>
      <c r="H2752" s="155"/>
      <c r="I2752" s="155"/>
      <c r="J2752" s="155"/>
      <c r="K2752" s="155"/>
      <c r="L2752" s="155"/>
      <c r="M2752" s="155"/>
      <c r="N2752" s="155"/>
      <c r="O2752" s="155"/>
      <c r="P2752" s="155"/>
      <c r="Q2752" s="155"/>
      <c r="R2752" s="155"/>
      <c r="S2752" s="155"/>
      <c r="T2752" s="155"/>
      <c r="U2752" s="155"/>
      <c r="V2752" s="155"/>
      <c r="W2752" s="155"/>
      <c r="GL2752" s="155"/>
      <c r="GM2752" s="155"/>
      <c r="GN2752" s="155"/>
      <c r="GO2752" s="155"/>
      <c r="GP2752" s="155"/>
      <c r="GQ2752" s="155"/>
      <c r="GR2752" s="155"/>
      <c r="GS2752" s="155"/>
      <c r="GT2752" s="155"/>
      <c r="GU2752" s="155"/>
      <c r="GV2752" s="155"/>
      <c r="GW2752" s="155"/>
      <c r="GX2752" s="155"/>
      <c r="GY2752" s="155"/>
      <c r="GZ2752" s="155"/>
      <c r="HA2752" s="155"/>
      <c r="HB2752" s="155"/>
      <c r="HC2752" s="155"/>
      <c r="HD2752" s="155"/>
      <c r="HE2752" s="155"/>
    </row>
    <row r="2753" spans="2:213" s="156" customFormat="1" hidden="1">
      <c r="B2753" s="155"/>
      <c r="C2753" s="155"/>
      <c r="D2753" s="155"/>
      <c r="E2753" s="155"/>
      <c r="F2753" s="155"/>
      <c r="G2753" s="155"/>
      <c r="H2753" s="155"/>
      <c r="I2753" s="155"/>
      <c r="J2753" s="155"/>
      <c r="K2753" s="155"/>
      <c r="L2753" s="155"/>
      <c r="M2753" s="155"/>
      <c r="N2753" s="155"/>
      <c r="O2753" s="155"/>
      <c r="P2753" s="155"/>
      <c r="Q2753" s="155"/>
      <c r="R2753" s="155"/>
      <c r="S2753" s="155"/>
      <c r="T2753" s="155"/>
      <c r="U2753" s="155"/>
      <c r="V2753" s="155"/>
      <c r="W2753" s="155"/>
      <c r="GL2753" s="155"/>
      <c r="GM2753" s="155"/>
      <c r="GN2753" s="155"/>
      <c r="GO2753" s="155"/>
      <c r="GP2753" s="155"/>
      <c r="GQ2753" s="155"/>
      <c r="GR2753" s="155"/>
      <c r="GS2753" s="155"/>
      <c r="GT2753" s="155"/>
      <c r="GU2753" s="155"/>
      <c r="GV2753" s="155"/>
      <c r="GW2753" s="155"/>
      <c r="GX2753" s="155"/>
      <c r="GY2753" s="155"/>
      <c r="GZ2753" s="155"/>
      <c r="HA2753" s="155"/>
      <c r="HB2753" s="155"/>
      <c r="HC2753" s="155"/>
      <c r="HD2753" s="155"/>
      <c r="HE2753" s="155"/>
    </row>
    <row r="2754" spans="2:213" s="156" customFormat="1" hidden="1">
      <c r="B2754" s="155"/>
      <c r="C2754" s="155"/>
      <c r="D2754" s="155"/>
      <c r="E2754" s="155"/>
      <c r="F2754" s="155"/>
      <c r="G2754" s="155"/>
      <c r="H2754" s="155"/>
      <c r="I2754" s="155"/>
      <c r="J2754" s="155"/>
      <c r="K2754" s="155"/>
      <c r="L2754" s="155"/>
      <c r="M2754" s="155"/>
      <c r="N2754" s="155"/>
      <c r="O2754" s="155"/>
      <c r="P2754" s="155"/>
      <c r="Q2754" s="155"/>
      <c r="R2754" s="155"/>
      <c r="S2754" s="155"/>
      <c r="T2754" s="155"/>
      <c r="U2754" s="155"/>
      <c r="V2754" s="155"/>
      <c r="W2754" s="155"/>
      <c r="GL2754" s="155"/>
      <c r="GM2754" s="155"/>
      <c r="GN2754" s="155"/>
      <c r="GO2754" s="155"/>
      <c r="GP2754" s="155"/>
      <c r="GQ2754" s="155"/>
      <c r="GR2754" s="155"/>
      <c r="GS2754" s="155"/>
      <c r="GT2754" s="155"/>
      <c r="GU2754" s="155"/>
      <c r="GV2754" s="155"/>
      <c r="GW2754" s="155"/>
      <c r="GX2754" s="155"/>
      <c r="GY2754" s="155"/>
      <c r="GZ2754" s="155"/>
      <c r="HA2754" s="155"/>
      <c r="HB2754" s="155"/>
      <c r="HC2754" s="155"/>
      <c r="HD2754" s="155"/>
      <c r="HE2754" s="155"/>
    </row>
    <row r="2755" spans="2:213" s="156" customFormat="1" hidden="1">
      <c r="B2755" s="155"/>
      <c r="C2755" s="155"/>
      <c r="D2755" s="155"/>
      <c r="E2755" s="155"/>
      <c r="F2755" s="155"/>
      <c r="G2755" s="155"/>
      <c r="H2755" s="155"/>
      <c r="I2755" s="155"/>
      <c r="J2755" s="155"/>
      <c r="K2755" s="155"/>
      <c r="L2755" s="155"/>
      <c r="M2755" s="155"/>
      <c r="N2755" s="155"/>
      <c r="O2755" s="155"/>
      <c r="P2755" s="155"/>
      <c r="Q2755" s="155"/>
      <c r="R2755" s="155"/>
      <c r="S2755" s="155"/>
      <c r="T2755" s="155"/>
      <c r="U2755" s="155"/>
      <c r="V2755" s="155"/>
      <c r="W2755" s="155"/>
      <c r="GL2755" s="155"/>
      <c r="GM2755" s="155"/>
      <c r="GN2755" s="155"/>
      <c r="GO2755" s="155"/>
      <c r="GP2755" s="155"/>
      <c r="GQ2755" s="155"/>
      <c r="GR2755" s="155"/>
      <c r="GS2755" s="155"/>
      <c r="GT2755" s="155"/>
      <c r="GU2755" s="155"/>
      <c r="GV2755" s="155"/>
      <c r="GW2755" s="155"/>
      <c r="GX2755" s="155"/>
      <c r="GY2755" s="155"/>
      <c r="GZ2755" s="155"/>
      <c r="HA2755" s="155"/>
      <c r="HB2755" s="155"/>
      <c r="HC2755" s="155"/>
      <c r="HD2755" s="155"/>
      <c r="HE2755" s="155"/>
    </row>
    <row r="2756" spans="2:213" s="156" customFormat="1" hidden="1">
      <c r="B2756" s="155"/>
      <c r="C2756" s="155"/>
      <c r="D2756" s="155"/>
      <c r="E2756" s="155"/>
      <c r="F2756" s="155"/>
      <c r="G2756" s="155"/>
      <c r="H2756" s="155"/>
      <c r="I2756" s="155"/>
      <c r="J2756" s="155"/>
      <c r="K2756" s="155"/>
      <c r="L2756" s="155"/>
      <c r="M2756" s="155"/>
      <c r="N2756" s="155"/>
      <c r="O2756" s="155"/>
      <c r="P2756" s="155"/>
      <c r="Q2756" s="155"/>
      <c r="R2756" s="155"/>
      <c r="S2756" s="155"/>
      <c r="T2756" s="155"/>
      <c r="U2756" s="155"/>
      <c r="V2756" s="155"/>
      <c r="W2756" s="155"/>
      <c r="GL2756" s="155"/>
      <c r="GM2756" s="155"/>
      <c r="GN2756" s="155"/>
      <c r="GO2756" s="155"/>
      <c r="GP2756" s="155"/>
      <c r="GQ2756" s="155"/>
      <c r="GR2756" s="155"/>
      <c r="GS2756" s="155"/>
      <c r="GT2756" s="155"/>
      <c r="GU2756" s="155"/>
      <c r="GV2756" s="155"/>
      <c r="GW2756" s="155"/>
      <c r="GX2756" s="155"/>
      <c r="GY2756" s="155"/>
      <c r="GZ2756" s="155"/>
      <c r="HA2756" s="155"/>
      <c r="HB2756" s="155"/>
      <c r="HC2756" s="155"/>
      <c r="HD2756" s="155"/>
      <c r="HE2756" s="155"/>
    </row>
    <row r="2757" spans="2:213" s="156" customFormat="1" hidden="1">
      <c r="B2757" s="155"/>
      <c r="C2757" s="155"/>
      <c r="D2757" s="155"/>
      <c r="E2757" s="155"/>
      <c r="F2757" s="155"/>
      <c r="G2757" s="155"/>
      <c r="H2757" s="155"/>
      <c r="I2757" s="155"/>
      <c r="J2757" s="155"/>
      <c r="K2757" s="155"/>
      <c r="L2757" s="155"/>
      <c r="M2757" s="155"/>
      <c r="N2757" s="155"/>
      <c r="O2757" s="155"/>
      <c r="P2757" s="155"/>
      <c r="Q2757" s="155"/>
      <c r="R2757" s="155"/>
      <c r="S2757" s="155"/>
      <c r="T2757" s="155"/>
      <c r="U2757" s="155"/>
      <c r="V2757" s="155"/>
      <c r="W2757" s="155"/>
      <c r="GL2757" s="155"/>
      <c r="GM2757" s="155"/>
      <c r="GN2757" s="155"/>
      <c r="GO2757" s="155"/>
      <c r="GP2757" s="155"/>
      <c r="GQ2757" s="155"/>
      <c r="GR2757" s="155"/>
      <c r="GS2757" s="155"/>
      <c r="GT2757" s="155"/>
      <c r="GU2757" s="155"/>
      <c r="GV2757" s="155"/>
      <c r="GW2757" s="155"/>
      <c r="GX2757" s="155"/>
      <c r="GY2757" s="155"/>
      <c r="GZ2757" s="155"/>
      <c r="HA2757" s="155"/>
      <c r="HB2757" s="155"/>
      <c r="HC2757" s="155"/>
      <c r="HD2757" s="155"/>
      <c r="HE2757" s="155"/>
    </row>
    <row r="2758" spans="2:213" s="156" customFormat="1" hidden="1">
      <c r="B2758" s="155"/>
      <c r="C2758" s="155"/>
      <c r="D2758" s="155"/>
      <c r="E2758" s="155"/>
      <c r="F2758" s="155"/>
      <c r="G2758" s="155"/>
      <c r="H2758" s="155"/>
      <c r="I2758" s="155"/>
      <c r="J2758" s="155"/>
      <c r="K2758" s="155"/>
      <c r="L2758" s="155"/>
      <c r="M2758" s="155"/>
      <c r="N2758" s="155"/>
      <c r="O2758" s="155"/>
      <c r="P2758" s="155"/>
      <c r="Q2758" s="155"/>
      <c r="R2758" s="155"/>
      <c r="S2758" s="155"/>
      <c r="T2758" s="155"/>
      <c r="U2758" s="155"/>
      <c r="V2758" s="155"/>
      <c r="W2758" s="155"/>
      <c r="GL2758" s="155"/>
      <c r="GM2758" s="155"/>
      <c r="GN2758" s="155"/>
      <c r="GO2758" s="155"/>
      <c r="GP2758" s="155"/>
      <c r="GQ2758" s="155"/>
      <c r="GR2758" s="155"/>
      <c r="GS2758" s="155"/>
      <c r="GT2758" s="155"/>
      <c r="GU2758" s="155"/>
      <c r="GV2758" s="155"/>
      <c r="GW2758" s="155"/>
      <c r="GX2758" s="155"/>
      <c r="GY2758" s="155"/>
      <c r="GZ2758" s="155"/>
      <c r="HA2758" s="155"/>
      <c r="HB2758" s="155"/>
      <c r="HC2758" s="155"/>
      <c r="HD2758" s="155"/>
      <c r="HE2758" s="155"/>
    </row>
    <row r="2759" spans="2:213" s="156" customFormat="1" hidden="1">
      <c r="B2759" s="155"/>
      <c r="C2759" s="155"/>
      <c r="D2759" s="155"/>
      <c r="E2759" s="155"/>
      <c r="F2759" s="155"/>
      <c r="G2759" s="155"/>
      <c r="H2759" s="155"/>
      <c r="I2759" s="155"/>
      <c r="J2759" s="155"/>
      <c r="K2759" s="155"/>
      <c r="L2759" s="155"/>
      <c r="M2759" s="155"/>
      <c r="N2759" s="155"/>
      <c r="O2759" s="155"/>
      <c r="P2759" s="155"/>
      <c r="Q2759" s="155"/>
      <c r="R2759" s="155"/>
      <c r="S2759" s="155"/>
      <c r="T2759" s="155"/>
      <c r="U2759" s="155"/>
      <c r="V2759" s="155"/>
      <c r="W2759" s="155"/>
      <c r="GL2759" s="155"/>
      <c r="GM2759" s="155"/>
      <c r="GN2759" s="155"/>
      <c r="GO2759" s="155"/>
      <c r="GP2759" s="155"/>
      <c r="GQ2759" s="155"/>
      <c r="GR2759" s="155"/>
      <c r="GS2759" s="155"/>
      <c r="GT2759" s="155"/>
      <c r="GU2759" s="155"/>
      <c r="GV2759" s="155"/>
      <c r="GW2759" s="155"/>
      <c r="GX2759" s="155"/>
      <c r="GY2759" s="155"/>
      <c r="GZ2759" s="155"/>
      <c r="HA2759" s="155"/>
      <c r="HB2759" s="155"/>
      <c r="HC2759" s="155"/>
      <c r="HD2759" s="155"/>
      <c r="HE2759" s="155"/>
    </row>
    <row r="2760" spans="2:213" s="156" customFormat="1" hidden="1">
      <c r="B2760" s="155"/>
      <c r="C2760" s="155"/>
      <c r="D2760" s="155"/>
      <c r="E2760" s="155"/>
      <c r="F2760" s="155"/>
      <c r="G2760" s="155"/>
      <c r="H2760" s="155"/>
      <c r="I2760" s="155"/>
      <c r="J2760" s="155"/>
      <c r="K2760" s="155"/>
      <c r="L2760" s="155"/>
      <c r="M2760" s="155"/>
      <c r="N2760" s="155"/>
      <c r="O2760" s="155"/>
      <c r="P2760" s="155"/>
      <c r="Q2760" s="155"/>
      <c r="R2760" s="155"/>
      <c r="S2760" s="155"/>
      <c r="T2760" s="155"/>
      <c r="U2760" s="155"/>
      <c r="V2760" s="155"/>
      <c r="W2760" s="155"/>
      <c r="GL2760" s="155"/>
      <c r="GM2760" s="155"/>
      <c r="GN2760" s="155"/>
      <c r="GO2760" s="155"/>
      <c r="GP2760" s="155"/>
      <c r="GQ2760" s="155"/>
      <c r="GR2760" s="155"/>
      <c r="GS2760" s="155"/>
      <c r="GT2760" s="155"/>
      <c r="GU2760" s="155"/>
      <c r="GV2760" s="155"/>
      <c r="GW2760" s="155"/>
      <c r="GX2760" s="155"/>
      <c r="GY2760" s="155"/>
      <c r="GZ2760" s="155"/>
      <c r="HA2760" s="155"/>
      <c r="HB2760" s="155"/>
      <c r="HC2760" s="155"/>
      <c r="HD2760" s="155"/>
      <c r="HE2760" s="155"/>
    </row>
    <row r="2761" spans="2:213" s="156" customFormat="1" hidden="1">
      <c r="B2761" s="155"/>
      <c r="C2761" s="155"/>
      <c r="D2761" s="155"/>
      <c r="E2761" s="155"/>
      <c r="F2761" s="155"/>
      <c r="G2761" s="155"/>
      <c r="H2761" s="155"/>
      <c r="I2761" s="155"/>
      <c r="J2761" s="155"/>
      <c r="K2761" s="155"/>
      <c r="L2761" s="155"/>
      <c r="M2761" s="155"/>
      <c r="N2761" s="155"/>
      <c r="O2761" s="155"/>
      <c r="P2761" s="155"/>
      <c r="Q2761" s="155"/>
      <c r="R2761" s="155"/>
      <c r="S2761" s="155"/>
      <c r="T2761" s="155"/>
      <c r="U2761" s="155"/>
      <c r="V2761" s="155"/>
      <c r="W2761" s="155"/>
      <c r="GL2761" s="155"/>
      <c r="GM2761" s="155"/>
      <c r="GN2761" s="155"/>
      <c r="GO2761" s="155"/>
      <c r="GP2761" s="155"/>
      <c r="GQ2761" s="155"/>
      <c r="GR2761" s="155"/>
      <c r="GS2761" s="155"/>
      <c r="GT2761" s="155"/>
      <c r="GU2761" s="155"/>
      <c r="GV2761" s="155"/>
      <c r="GW2761" s="155"/>
      <c r="GX2761" s="155"/>
      <c r="GY2761" s="155"/>
      <c r="GZ2761" s="155"/>
      <c r="HA2761" s="155"/>
      <c r="HB2761" s="155"/>
      <c r="HC2761" s="155"/>
      <c r="HD2761" s="155"/>
      <c r="HE2761" s="155"/>
    </row>
    <row r="2762" spans="2:213" s="156" customFormat="1" hidden="1">
      <c r="B2762" s="155"/>
      <c r="C2762" s="155"/>
      <c r="D2762" s="155"/>
      <c r="E2762" s="155"/>
      <c r="F2762" s="155"/>
      <c r="G2762" s="155"/>
      <c r="H2762" s="155"/>
      <c r="I2762" s="155"/>
      <c r="J2762" s="155"/>
      <c r="K2762" s="155"/>
      <c r="L2762" s="155"/>
      <c r="M2762" s="155"/>
      <c r="N2762" s="155"/>
      <c r="O2762" s="155"/>
      <c r="P2762" s="155"/>
      <c r="Q2762" s="155"/>
      <c r="R2762" s="155"/>
      <c r="S2762" s="155"/>
      <c r="T2762" s="155"/>
      <c r="U2762" s="155"/>
      <c r="V2762" s="155"/>
      <c r="W2762" s="155"/>
      <c r="GL2762" s="155"/>
      <c r="GM2762" s="155"/>
      <c r="GN2762" s="155"/>
      <c r="GO2762" s="155"/>
      <c r="GP2762" s="155"/>
      <c r="GQ2762" s="155"/>
      <c r="GR2762" s="155"/>
      <c r="GS2762" s="155"/>
      <c r="GT2762" s="155"/>
      <c r="GU2762" s="155"/>
      <c r="GV2762" s="155"/>
      <c r="GW2762" s="155"/>
      <c r="GX2762" s="155"/>
      <c r="GY2762" s="155"/>
      <c r="GZ2762" s="155"/>
      <c r="HA2762" s="155"/>
      <c r="HB2762" s="155"/>
      <c r="HC2762" s="155"/>
      <c r="HD2762" s="155"/>
      <c r="HE2762" s="155"/>
    </row>
    <row r="2763" spans="2:213" s="156" customFormat="1" hidden="1">
      <c r="B2763" s="155"/>
      <c r="C2763" s="155"/>
      <c r="D2763" s="155"/>
      <c r="E2763" s="155"/>
      <c r="F2763" s="155"/>
      <c r="G2763" s="155"/>
      <c r="H2763" s="155"/>
      <c r="I2763" s="155"/>
      <c r="J2763" s="155"/>
      <c r="K2763" s="155"/>
      <c r="L2763" s="155"/>
      <c r="M2763" s="155"/>
      <c r="N2763" s="155"/>
      <c r="O2763" s="155"/>
      <c r="P2763" s="155"/>
      <c r="Q2763" s="155"/>
      <c r="R2763" s="155"/>
      <c r="S2763" s="155"/>
      <c r="T2763" s="155"/>
      <c r="U2763" s="155"/>
      <c r="V2763" s="155"/>
      <c r="W2763" s="155"/>
      <c r="GL2763" s="155"/>
      <c r="GM2763" s="155"/>
      <c r="GN2763" s="155"/>
      <c r="GO2763" s="155"/>
      <c r="GP2763" s="155"/>
      <c r="GQ2763" s="155"/>
      <c r="GR2763" s="155"/>
      <c r="GS2763" s="155"/>
      <c r="GT2763" s="155"/>
      <c r="GU2763" s="155"/>
      <c r="GV2763" s="155"/>
      <c r="GW2763" s="155"/>
      <c r="GX2763" s="155"/>
      <c r="GY2763" s="155"/>
      <c r="GZ2763" s="155"/>
      <c r="HA2763" s="155"/>
      <c r="HB2763" s="155"/>
      <c r="HC2763" s="155"/>
      <c r="HD2763" s="155"/>
      <c r="HE2763" s="155"/>
    </row>
    <row r="2764" spans="2:213" s="156" customFormat="1" hidden="1">
      <c r="B2764" s="155"/>
      <c r="C2764" s="155"/>
      <c r="D2764" s="155"/>
      <c r="E2764" s="155"/>
      <c r="F2764" s="155"/>
      <c r="G2764" s="155"/>
      <c r="H2764" s="155"/>
      <c r="I2764" s="155"/>
      <c r="J2764" s="155"/>
      <c r="K2764" s="155"/>
      <c r="L2764" s="155"/>
      <c r="M2764" s="155"/>
      <c r="N2764" s="155"/>
      <c r="O2764" s="155"/>
      <c r="P2764" s="155"/>
      <c r="Q2764" s="155"/>
      <c r="R2764" s="155"/>
      <c r="S2764" s="155"/>
      <c r="T2764" s="155"/>
      <c r="U2764" s="155"/>
      <c r="V2764" s="155"/>
      <c r="W2764" s="155"/>
      <c r="GL2764" s="155"/>
      <c r="GM2764" s="155"/>
      <c r="GN2764" s="155"/>
      <c r="GO2764" s="155"/>
      <c r="GP2764" s="155"/>
      <c r="GQ2764" s="155"/>
      <c r="GR2764" s="155"/>
      <c r="GS2764" s="155"/>
      <c r="GT2764" s="155"/>
      <c r="GU2764" s="155"/>
      <c r="GV2764" s="155"/>
      <c r="GW2764" s="155"/>
      <c r="GX2764" s="155"/>
      <c r="GY2764" s="155"/>
      <c r="GZ2764" s="155"/>
      <c r="HA2764" s="155"/>
      <c r="HB2764" s="155"/>
      <c r="HC2764" s="155"/>
      <c r="HD2764" s="155"/>
      <c r="HE2764" s="155"/>
    </row>
    <row r="2765" spans="2:213" s="156" customFormat="1" hidden="1">
      <c r="B2765" s="155"/>
      <c r="C2765" s="155"/>
      <c r="D2765" s="155"/>
      <c r="E2765" s="155"/>
      <c r="F2765" s="155"/>
      <c r="G2765" s="155"/>
      <c r="H2765" s="155"/>
      <c r="I2765" s="155"/>
      <c r="J2765" s="155"/>
      <c r="K2765" s="155"/>
      <c r="L2765" s="155"/>
      <c r="M2765" s="155"/>
      <c r="N2765" s="155"/>
      <c r="O2765" s="155"/>
      <c r="P2765" s="155"/>
      <c r="Q2765" s="155"/>
      <c r="R2765" s="155"/>
      <c r="S2765" s="155"/>
      <c r="T2765" s="155"/>
      <c r="U2765" s="155"/>
      <c r="V2765" s="155"/>
      <c r="W2765" s="155"/>
      <c r="GL2765" s="155"/>
      <c r="GM2765" s="155"/>
      <c r="GN2765" s="155"/>
      <c r="GO2765" s="155"/>
      <c r="GP2765" s="155"/>
      <c r="GQ2765" s="155"/>
      <c r="GR2765" s="155"/>
      <c r="GS2765" s="155"/>
      <c r="GT2765" s="155"/>
      <c r="GU2765" s="155"/>
      <c r="GV2765" s="155"/>
      <c r="GW2765" s="155"/>
      <c r="GX2765" s="155"/>
      <c r="GY2765" s="155"/>
      <c r="GZ2765" s="155"/>
      <c r="HA2765" s="155"/>
      <c r="HB2765" s="155"/>
      <c r="HC2765" s="155"/>
      <c r="HD2765" s="155"/>
      <c r="HE2765" s="155"/>
    </row>
    <row r="2766" spans="2:213" s="156" customFormat="1" hidden="1">
      <c r="B2766" s="155"/>
      <c r="C2766" s="155"/>
      <c r="D2766" s="155"/>
      <c r="E2766" s="155"/>
      <c r="F2766" s="155"/>
      <c r="G2766" s="155"/>
      <c r="H2766" s="155"/>
      <c r="I2766" s="155"/>
      <c r="J2766" s="155"/>
      <c r="K2766" s="155"/>
      <c r="L2766" s="155"/>
      <c r="M2766" s="155"/>
      <c r="N2766" s="155"/>
      <c r="O2766" s="155"/>
      <c r="P2766" s="155"/>
      <c r="Q2766" s="155"/>
      <c r="R2766" s="155"/>
      <c r="S2766" s="155"/>
      <c r="T2766" s="155"/>
      <c r="U2766" s="155"/>
      <c r="V2766" s="155"/>
      <c r="W2766" s="155"/>
      <c r="GL2766" s="155"/>
      <c r="GM2766" s="155"/>
      <c r="GN2766" s="155"/>
      <c r="GO2766" s="155"/>
      <c r="GP2766" s="155"/>
      <c r="GQ2766" s="155"/>
      <c r="GR2766" s="155"/>
      <c r="GS2766" s="155"/>
      <c r="GT2766" s="155"/>
      <c r="GU2766" s="155"/>
      <c r="GV2766" s="155"/>
      <c r="GW2766" s="155"/>
      <c r="GX2766" s="155"/>
      <c r="GY2766" s="155"/>
      <c r="GZ2766" s="155"/>
      <c r="HA2766" s="155"/>
      <c r="HB2766" s="155"/>
      <c r="HC2766" s="155"/>
      <c r="HD2766" s="155"/>
      <c r="HE2766" s="155"/>
    </row>
    <row r="2767" spans="2:213" s="156" customFormat="1" hidden="1">
      <c r="B2767" s="155"/>
      <c r="C2767" s="155"/>
      <c r="D2767" s="155"/>
      <c r="E2767" s="155"/>
      <c r="F2767" s="155"/>
      <c r="G2767" s="155"/>
      <c r="H2767" s="155"/>
      <c r="I2767" s="155"/>
      <c r="J2767" s="155"/>
      <c r="K2767" s="155"/>
      <c r="L2767" s="155"/>
      <c r="M2767" s="155"/>
      <c r="N2767" s="155"/>
      <c r="O2767" s="155"/>
      <c r="P2767" s="155"/>
      <c r="Q2767" s="155"/>
      <c r="R2767" s="155"/>
      <c r="S2767" s="155"/>
      <c r="T2767" s="155"/>
      <c r="U2767" s="155"/>
      <c r="V2767" s="155"/>
      <c r="W2767" s="155"/>
      <c r="GL2767" s="155"/>
      <c r="GM2767" s="155"/>
      <c r="GN2767" s="155"/>
      <c r="GO2767" s="155"/>
      <c r="GP2767" s="155"/>
      <c r="GQ2767" s="155"/>
      <c r="GR2767" s="155"/>
      <c r="GS2767" s="155"/>
      <c r="GT2767" s="155"/>
      <c r="GU2767" s="155"/>
      <c r="GV2767" s="155"/>
      <c r="GW2767" s="155"/>
      <c r="GX2767" s="155"/>
      <c r="GY2767" s="155"/>
      <c r="GZ2767" s="155"/>
      <c r="HA2767" s="155"/>
      <c r="HB2767" s="155"/>
      <c r="HC2767" s="155"/>
      <c r="HD2767" s="155"/>
      <c r="HE2767" s="155"/>
    </row>
    <row r="2768" spans="2:213" s="156" customFormat="1" hidden="1">
      <c r="B2768" s="155"/>
      <c r="C2768" s="155"/>
      <c r="D2768" s="155"/>
      <c r="E2768" s="155"/>
      <c r="F2768" s="155"/>
      <c r="G2768" s="155"/>
      <c r="H2768" s="155"/>
      <c r="I2768" s="155"/>
      <c r="J2768" s="155"/>
      <c r="K2768" s="155"/>
      <c r="L2768" s="155"/>
      <c r="M2768" s="155"/>
      <c r="N2768" s="155"/>
      <c r="O2768" s="155"/>
      <c r="P2768" s="155"/>
      <c r="Q2768" s="155"/>
      <c r="R2768" s="155"/>
      <c r="S2768" s="155"/>
      <c r="T2768" s="155"/>
      <c r="U2768" s="155"/>
      <c r="V2768" s="155"/>
      <c r="W2768" s="155"/>
      <c r="GL2768" s="155"/>
      <c r="GM2768" s="155"/>
      <c r="GN2768" s="155"/>
      <c r="GO2768" s="155"/>
      <c r="GP2768" s="155"/>
      <c r="GQ2768" s="155"/>
      <c r="GR2768" s="155"/>
      <c r="GS2768" s="155"/>
      <c r="GT2768" s="155"/>
      <c r="GU2768" s="155"/>
      <c r="GV2768" s="155"/>
      <c r="GW2768" s="155"/>
      <c r="GX2768" s="155"/>
      <c r="GY2768" s="155"/>
      <c r="GZ2768" s="155"/>
      <c r="HA2768" s="155"/>
      <c r="HB2768" s="155"/>
      <c r="HC2768" s="155"/>
      <c r="HD2768" s="155"/>
      <c r="HE2768" s="155"/>
    </row>
    <row r="2769" spans="2:213" s="156" customFormat="1" hidden="1">
      <c r="B2769" s="155"/>
      <c r="C2769" s="155"/>
      <c r="D2769" s="155"/>
      <c r="E2769" s="155"/>
      <c r="F2769" s="155"/>
      <c r="G2769" s="155"/>
      <c r="H2769" s="155"/>
      <c r="I2769" s="155"/>
      <c r="J2769" s="155"/>
      <c r="K2769" s="155"/>
      <c r="L2769" s="155"/>
      <c r="M2769" s="155"/>
      <c r="N2769" s="155"/>
      <c r="O2769" s="155"/>
      <c r="P2769" s="155"/>
      <c r="Q2769" s="155"/>
      <c r="R2769" s="155"/>
      <c r="S2769" s="155"/>
      <c r="T2769" s="155"/>
      <c r="U2769" s="155"/>
      <c r="V2769" s="155"/>
      <c r="W2769" s="155"/>
      <c r="GL2769" s="155"/>
      <c r="GM2769" s="155"/>
      <c r="GN2769" s="155"/>
      <c r="GO2769" s="155"/>
      <c r="GP2769" s="155"/>
      <c r="GQ2769" s="155"/>
      <c r="GR2769" s="155"/>
      <c r="GS2769" s="155"/>
      <c r="GT2769" s="155"/>
      <c r="GU2769" s="155"/>
      <c r="GV2769" s="155"/>
      <c r="GW2769" s="155"/>
      <c r="GX2769" s="155"/>
      <c r="GY2769" s="155"/>
      <c r="GZ2769" s="155"/>
      <c r="HA2769" s="155"/>
      <c r="HB2769" s="155"/>
      <c r="HC2769" s="155"/>
      <c r="HD2769" s="155"/>
      <c r="HE2769" s="155"/>
    </row>
    <row r="2770" spans="2:213" s="156" customFormat="1" hidden="1">
      <c r="B2770" s="155"/>
      <c r="C2770" s="155"/>
      <c r="D2770" s="155"/>
      <c r="E2770" s="155"/>
      <c r="F2770" s="155"/>
      <c r="G2770" s="155"/>
      <c r="H2770" s="155"/>
      <c r="I2770" s="155"/>
      <c r="J2770" s="155"/>
      <c r="K2770" s="155"/>
      <c r="L2770" s="155"/>
      <c r="M2770" s="155"/>
      <c r="N2770" s="155"/>
      <c r="O2770" s="155"/>
      <c r="P2770" s="155"/>
      <c r="Q2770" s="155"/>
      <c r="R2770" s="155"/>
      <c r="S2770" s="155"/>
      <c r="T2770" s="155"/>
      <c r="U2770" s="155"/>
      <c r="V2770" s="155"/>
      <c r="W2770" s="155"/>
      <c r="GL2770" s="155"/>
      <c r="GM2770" s="155"/>
      <c r="GN2770" s="155"/>
      <c r="GO2770" s="155"/>
      <c r="GP2770" s="155"/>
      <c r="GQ2770" s="155"/>
      <c r="GR2770" s="155"/>
      <c r="GS2770" s="155"/>
      <c r="GT2770" s="155"/>
      <c r="GU2770" s="155"/>
      <c r="GV2770" s="155"/>
      <c r="GW2770" s="155"/>
      <c r="GX2770" s="155"/>
      <c r="GY2770" s="155"/>
      <c r="GZ2770" s="155"/>
      <c r="HA2770" s="155"/>
      <c r="HB2770" s="155"/>
      <c r="HC2770" s="155"/>
      <c r="HD2770" s="155"/>
      <c r="HE2770" s="155"/>
    </row>
    <row r="2771" spans="2:213" s="156" customFormat="1" hidden="1">
      <c r="B2771" s="155"/>
      <c r="C2771" s="155"/>
      <c r="D2771" s="155"/>
      <c r="E2771" s="155"/>
      <c r="F2771" s="155"/>
      <c r="G2771" s="155"/>
      <c r="H2771" s="155"/>
      <c r="I2771" s="155"/>
      <c r="J2771" s="155"/>
      <c r="K2771" s="155"/>
      <c r="L2771" s="155"/>
      <c r="M2771" s="155"/>
      <c r="N2771" s="155"/>
      <c r="O2771" s="155"/>
      <c r="P2771" s="155"/>
      <c r="Q2771" s="155"/>
      <c r="R2771" s="155"/>
      <c r="S2771" s="155"/>
      <c r="T2771" s="155"/>
      <c r="U2771" s="155"/>
      <c r="V2771" s="155"/>
      <c r="W2771" s="155"/>
      <c r="GL2771" s="155"/>
      <c r="GM2771" s="155"/>
      <c r="GN2771" s="155"/>
      <c r="GO2771" s="155"/>
      <c r="GP2771" s="155"/>
      <c r="GQ2771" s="155"/>
      <c r="GR2771" s="155"/>
      <c r="GS2771" s="155"/>
      <c r="GT2771" s="155"/>
      <c r="GU2771" s="155"/>
      <c r="GV2771" s="155"/>
      <c r="GW2771" s="155"/>
      <c r="GX2771" s="155"/>
      <c r="GY2771" s="155"/>
      <c r="GZ2771" s="155"/>
      <c r="HA2771" s="155"/>
      <c r="HB2771" s="155"/>
      <c r="HC2771" s="155"/>
      <c r="HD2771" s="155"/>
      <c r="HE2771" s="155"/>
    </row>
    <row r="2772" spans="2:213" s="156" customFormat="1" hidden="1">
      <c r="B2772" s="155"/>
      <c r="C2772" s="155"/>
      <c r="D2772" s="155"/>
      <c r="E2772" s="155"/>
      <c r="F2772" s="155"/>
      <c r="G2772" s="155"/>
      <c r="H2772" s="155"/>
      <c r="I2772" s="155"/>
      <c r="J2772" s="155"/>
      <c r="K2772" s="155"/>
      <c r="L2772" s="155"/>
      <c r="M2772" s="155"/>
      <c r="N2772" s="155"/>
      <c r="O2772" s="155"/>
      <c r="P2772" s="155"/>
      <c r="Q2772" s="155"/>
      <c r="R2772" s="155"/>
      <c r="S2772" s="155"/>
      <c r="T2772" s="155"/>
      <c r="U2772" s="155"/>
      <c r="V2772" s="155"/>
      <c r="W2772" s="155"/>
      <c r="GL2772" s="155"/>
      <c r="GM2772" s="155"/>
      <c r="GN2772" s="155"/>
      <c r="GO2772" s="155"/>
      <c r="GP2772" s="155"/>
      <c r="GQ2772" s="155"/>
      <c r="GR2772" s="155"/>
      <c r="GS2772" s="155"/>
      <c r="GT2772" s="155"/>
      <c r="GU2772" s="155"/>
      <c r="GV2772" s="155"/>
      <c r="GW2772" s="155"/>
      <c r="GX2772" s="155"/>
      <c r="GY2772" s="155"/>
      <c r="GZ2772" s="155"/>
      <c r="HA2772" s="155"/>
      <c r="HB2772" s="155"/>
      <c r="HC2772" s="155"/>
      <c r="HD2772" s="155"/>
      <c r="HE2772" s="155"/>
    </row>
    <row r="2773" spans="2:213" s="156" customFormat="1" hidden="1">
      <c r="B2773" s="155"/>
      <c r="C2773" s="155"/>
      <c r="D2773" s="155"/>
      <c r="E2773" s="155"/>
      <c r="F2773" s="155"/>
      <c r="G2773" s="155"/>
      <c r="H2773" s="155"/>
      <c r="I2773" s="155"/>
      <c r="J2773" s="155"/>
      <c r="K2773" s="155"/>
      <c r="L2773" s="155"/>
      <c r="M2773" s="155"/>
      <c r="N2773" s="155"/>
      <c r="O2773" s="155"/>
      <c r="P2773" s="155"/>
      <c r="Q2773" s="155"/>
      <c r="R2773" s="155"/>
      <c r="S2773" s="155"/>
      <c r="T2773" s="155"/>
      <c r="U2773" s="155"/>
      <c r="V2773" s="155"/>
      <c r="W2773" s="155"/>
      <c r="GL2773" s="155"/>
      <c r="GM2773" s="155"/>
      <c r="GN2773" s="155"/>
      <c r="GO2773" s="155"/>
      <c r="GP2773" s="155"/>
      <c r="GQ2773" s="155"/>
      <c r="GR2773" s="155"/>
      <c r="GS2773" s="155"/>
      <c r="GT2773" s="155"/>
      <c r="GU2773" s="155"/>
      <c r="GV2773" s="155"/>
      <c r="GW2773" s="155"/>
      <c r="GX2773" s="155"/>
      <c r="GY2773" s="155"/>
      <c r="GZ2773" s="155"/>
      <c r="HA2773" s="155"/>
      <c r="HB2773" s="155"/>
      <c r="HC2773" s="155"/>
      <c r="HD2773" s="155"/>
      <c r="HE2773" s="155"/>
    </row>
    <row r="2774" spans="2:213" s="156" customFormat="1" hidden="1">
      <c r="B2774" s="155"/>
      <c r="C2774" s="155"/>
      <c r="D2774" s="155"/>
      <c r="E2774" s="155"/>
      <c r="F2774" s="155"/>
      <c r="G2774" s="155"/>
      <c r="H2774" s="155"/>
      <c r="I2774" s="155"/>
      <c r="J2774" s="155"/>
      <c r="K2774" s="155"/>
      <c r="L2774" s="155"/>
      <c r="M2774" s="155"/>
      <c r="N2774" s="155"/>
      <c r="O2774" s="155"/>
      <c r="P2774" s="155"/>
      <c r="Q2774" s="155"/>
      <c r="R2774" s="155"/>
      <c r="S2774" s="155"/>
      <c r="T2774" s="155"/>
      <c r="U2774" s="155"/>
      <c r="V2774" s="155"/>
      <c r="W2774" s="155"/>
      <c r="GL2774" s="155"/>
      <c r="GM2774" s="155"/>
      <c r="GN2774" s="155"/>
      <c r="GO2774" s="155"/>
      <c r="GP2774" s="155"/>
      <c r="GQ2774" s="155"/>
      <c r="GR2774" s="155"/>
      <c r="GS2774" s="155"/>
      <c r="GT2774" s="155"/>
      <c r="GU2774" s="155"/>
      <c r="GV2774" s="155"/>
      <c r="GW2774" s="155"/>
      <c r="GX2774" s="155"/>
      <c r="GY2774" s="155"/>
      <c r="GZ2774" s="155"/>
      <c r="HA2774" s="155"/>
      <c r="HB2774" s="155"/>
      <c r="HC2774" s="155"/>
      <c r="HD2774" s="155"/>
      <c r="HE2774" s="155"/>
    </row>
    <row r="2775" spans="2:213" s="156" customFormat="1" hidden="1">
      <c r="B2775" s="155"/>
      <c r="C2775" s="155"/>
      <c r="D2775" s="155"/>
      <c r="E2775" s="155"/>
      <c r="F2775" s="155"/>
      <c r="G2775" s="155"/>
      <c r="H2775" s="155"/>
      <c r="I2775" s="155"/>
      <c r="J2775" s="155"/>
      <c r="K2775" s="155"/>
      <c r="L2775" s="155"/>
      <c r="M2775" s="155"/>
      <c r="N2775" s="155"/>
      <c r="O2775" s="155"/>
      <c r="P2775" s="155"/>
      <c r="Q2775" s="155"/>
      <c r="R2775" s="155"/>
      <c r="S2775" s="155"/>
      <c r="T2775" s="155"/>
      <c r="U2775" s="155"/>
      <c r="V2775" s="155"/>
      <c r="W2775" s="155"/>
      <c r="GL2775" s="155"/>
      <c r="GM2775" s="155"/>
      <c r="GN2775" s="155"/>
      <c r="GO2775" s="155"/>
      <c r="GP2775" s="155"/>
      <c r="GQ2775" s="155"/>
      <c r="GR2775" s="155"/>
      <c r="GS2775" s="155"/>
      <c r="GT2775" s="155"/>
      <c r="GU2775" s="155"/>
      <c r="GV2775" s="155"/>
      <c r="GW2775" s="155"/>
      <c r="GX2775" s="155"/>
      <c r="GY2775" s="155"/>
      <c r="GZ2775" s="155"/>
      <c r="HA2775" s="155"/>
      <c r="HB2775" s="155"/>
      <c r="HC2775" s="155"/>
      <c r="HD2775" s="155"/>
      <c r="HE2775" s="155"/>
    </row>
    <row r="2776" spans="2:213" s="156" customFormat="1" hidden="1">
      <c r="B2776" s="155"/>
      <c r="C2776" s="155"/>
      <c r="D2776" s="155"/>
      <c r="E2776" s="155"/>
      <c r="F2776" s="155"/>
      <c r="G2776" s="155"/>
      <c r="H2776" s="155"/>
      <c r="I2776" s="155"/>
      <c r="J2776" s="155"/>
      <c r="K2776" s="155"/>
      <c r="L2776" s="155"/>
      <c r="M2776" s="155"/>
      <c r="N2776" s="155"/>
      <c r="O2776" s="155"/>
      <c r="P2776" s="155"/>
      <c r="Q2776" s="155"/>
      <c r="R2776" s="155"/>
      <c r="S2776" s="155"/>
      <c r="T2776" s="155"/>
      <c r="U2776" s="155"/>
      <c r="V2776" s="155"/>
      <c r="W2776" s="155"/>
      <c r="GL2776" s="155"/>
      <c r="GM2776" s="155"/>
      <c r="GN2776" s="155"/>
      <c r="GO2776" s="155"/>
      <c r="GP2776" s="155"/>
      <c r="GQ2776" s="155"/>
      <c r="GR2776" s="155"/>
      <c r="GS2776" s="155"/>
      <c r="GT2776" s="155"/>
      <c r="GU2776" s="155"/>
      <c r="GV2776" s="155"/>
      <c r="GW2776" s="155"/>
      <c r="GX2776" s="155"/>
      <c r="GY2776" s="155"/>
      <c r="GZ2776" s="155"/>
      <c r="HA2776" s="155"/>
      <c r="HB2776" s="155"/>
      <c r="HC2776" s="155"/>
      <c r="HD2776" s="155"/>
      <c r="HE2776" s="155"/>
    </row>
    <row r="2777" spans="2:213" s="156" customFormat="1" hidden="1">
      <c r="B2777" s="155"/>
      <c r="C2777" s="155"/>
      <c r="D2777" s="155"/>
      <c r="E2777" s="155"/>
      <c r="F2777" s="155"/>
      <c r="G2777" s="155"/>
      <c r="H2777" s="155"/>
      <c r="I2777" s="155"/>
      <c r="J2777" s="155"/>
      <c r="K2777" s="155"/>
      <c r="L2777" s="155"/>
      <c r="M2777" s="155"/>
      <c r="N2777" s="155"/>
      <c r="O2777" s="155"/>
      <c r="P2777" s="155"/>
      <c r="Q2777" s="155"/>
      <c r="R2777" s="155"/>
      <c r="S2777" s="155"/>
      <c r="T2777" s="155"/>
      <c r="U2777" s="155"/>
      <c r="V2777" s="155"/>
      <c r="W2777" s="155"/>
      <c r="GL2777" s="155"/>
      <c r="GM2777" s="155"/>
      <c r="GN2777" s="155"/>
      <c r="GO2777" s="155"/>
      <c r="GP2777" s="155"/>
      <c r="GQ2777" s="155"/>
      <c r="GR2777" s="155"/>
      <c r="GS2777" s="155"/>
      <c r="GT2777" s="155"/>
      <c r="GU2777" s="155"/>
      <c r="GV2777" s="155"/>
      <c r="GW2777" s="155"/>
      <c r="GX2777" s="155"/>
      <c r="GY2777" s="155"/>
      <c r="GZ2777" s="155"/>
      <c r="HA2777" s="155"/>
      <c r="HB2777" s="155"/>
      <c r="HC2777" s="155"/>
      <c r="HD2777" s="155"/>
      <c r="HE2777" s="155"/>
    </row>
    <row r="2778" spans="2:213" s="156" customFormat="1" hidden="1">
      <c r="B2778" s="155"/>
      <c r="C2778" s="155"/>
      <c r="D2778" s="155"/>
      <c r="E2778" s="155"/>
      <c r="F2778" s="155"/>
      <c r="G2778" s="155"/>
      <c r="H2778" s="155"/>
      <c r="I2778" s="155"/>
      <c r="J2778" s="155"/>
      <c r="K2778" s="155"/>
      <c r="L2778" s="155"/>
      <c r="M2778" s="155"/>
      <c r="N2778" s="155"/>
      <c r="O2778" s="155"/>
      <c r="P2778" s="155"/>
      <c r="Q2778" s="155"/>
      <c r="R2778" s="155"/>
      <c r="S2778" s="155"/>
      <c r="T2778" s="155"/>
      <c r="U2778" s="155"/>
      <c r="V2778" s="155"/>
      <c r="W2778" s="155"/>
      <c r="GL2778" s="155"/>
      <c r="GM2778" s="155"/>
      <c r="GN2778" s="155"/>
      <c r="GO2778" s="155"/>
      <c r="GP2778" s="155"/>
      <c r="GQ2778" s="155"/>
      <c r="GR2778" s="155"/>
      <c r="GS2778" s="155"/>
      <c r="GT2778" s="155"/>
      <c r="GU2778" s="155"/>
      <c r="GV2778" s="155"/>
      <c r="GW2778" s="155"/>
      <c r="GX2778" s="155"/>
      <c r="GY2778" s="155"/>
      <c r="GZ2778" s="155"/>
      <c r="HA2778" s="155"/>
      <c r="HB2778" s="155"/>
      <c r="HC2778" s="155"/>
      <c r="HD2778" s="155"/>
      <c r="HE2778" s="155"/>
    </row>
    <row r="2779" spans="2:213" s="156" customFormat="1" hidden="1">
      <c r="B2779" s="155"/>
      <c r="C2779" s="155"/>
      <c r="D2779" s="155"/>
      <c r="E2779" s="155"/>
      <c r="F2779" s="155"/>
      <c r="G2779" s="155"/>
      <c r="H2779" s="155"/>
      <c r="I2779" s="155"/>
      <c r="J2779" s="155"/>
      <c r="K2779" s="155"/>
      <c r="L2779" s="155"/>
      <c r="M2779" s="155"/>
      <c r="N2779" s="155"/>
      <c r="O2779" s="155"/>
      <c r="P2779" s="155"/>
      <c r="Q2779" s="155"/>
      <c r="R2779" s="155"/>
      <c r="S2779" s="155"/>
      <c r="T2779" s="155"/>
      <c r="U2779" s="155"/>
      <c r="V2779" s="155"/>
      <c r="W2779" s="155"/>
      <c r="GL2779" s="155"/>
      <c r="GM2779" s="155"/>
      <c r="GN2779" s="155"/>
      <c r="GO2779" s="155"/>
      <c r="GP2779" s="155"/>
      <c r="GQ2779" s="155"/>
      <c r="GR2779" s="155"/>
      <c r="GS2779" s="155"/>
      <c r="GT2779" s="155"/>
      <c r="GU2779" s="155"/>
      <c r="GV2779" s="155"/>
      <c r="GW2779" s="155"/>
      <c r="GX2779" s="155"/>
      <c r="GY2779" s="155"/>
      <c r="GZ2779" s="155"/>
      <c r="HA2779" s="155"/>
      <c r="HB2779" s="155"/>
      <c r="HC2779" s="155"/>
      <c r="HD2779" s="155"/>
      <c r="HE2779" s="155"/>
    </row>
    <row r="2780" spans="2:213" s="156" customFormat="1" hidden="1">
      <c r="B2780" s="155"/>
      <c r="C2780" s="155"/>
      <c r="D2780" s="155"/>
      <c r="E2780" s="155"/>
      <c r="F2780" s="155"/>
      <c r="G2780" s="155"/>
      <c r="H2780" s="155"/>
      <c r="I2780" s="155"/>
      <c r="J2780" s="155"/>
      <c r="K2780" s="155"/>
      <c r="L2780" s="155"/>
      <c r="M2780" s="155"/>
      <c r="N2780" s="155"/>
      <c r="O2780" s="155"/>
      <c r="P2780" s="155"/>
      <c r="Q2780" s="155"/>
      <c r="R2780" s="155"/>
      <c r="S2780" s="155"/>
      <c r="T2780" s="155"/>
      <c r="U2780" s="155"/>
      <c r="V2780" s="155"/>
      <c r="W2780" s="155"/>
      <c r="GL2780" s="155"/>
      <c r="GM2780" s="155"/>
      <c r="GN2780" s="155"/>
      <c r="GO2780" s="155"/>
      <c r="GP2780" s="155"/>
      <c r="GQ2780" s="155"/>
      <c r="GR2780" s="155"/>
      <c r="GS2780" s="155"/>
      <c r="GT2780" s="155"/>
      <c r="GU2780" s="155"/>
      <c r="GV2780" s="155"/>
      <c r="GW2780" s="155"/>
      <c r="GX2780" s="155"/>
      <c r="GY2780" s="155"/>
      <c r="GZ2780" s="155"/>
      <c r="HA2780" s="155"/>
      <c r="HB2780" s="155"/>
      <c r="HC2780" s="155"/>
      <c r="HD2780" s="155"/>
      <c r="HE2780" s="155"/>
    </row>
    <row r="2781" spans="2:213" s="156" customFormat="1" hidden="1">
      <c r="B2781" s="155"/>
      <c r="C2781" s="155"/>
      <c r="D2781" s="155"/>
      <c r="E2781" s="155"/>
      <c r="F2781" s="155"/>
      <c r="G2781" s="155"/>
      <c r="H2781" s="155"/>
      <c r="I2781" s="155"/>
      <c r="J2781" s="155"/>
      <c r="K2781" s="155"/>
      <c r="L2781" s="155"/>
      <c r="M2781" s="155"/>
      <c r="N2781" s="155"/>
      <c r="O2781" s="155"/>
      <c r="P2781" s="155"/>
      <c r="Q2781" s="155"/>
      <c r="R2781" s="155"/>
      <c r="S2781" s="155"/>
      <c r="T2781" s="155"/>
      <c r="U2781" s="155"/>
      <c r="V2781" s="155"/>
      <c r="W2781" s="155"/>
      <c r="GL2781" s="155"/>
      <c r="GM2781" s="155"/>
      <c r="GN2781" s="155"/>
      <c r="GO2781" s="155"/>
      <c r="GP2781" s="155"/>
      <c r="GQ2781" s="155"/>
      <c r="GR2781" s="155"/>
      <c r="GS2781" s="155"/>
      <c r="GT2781" s="155"/>
      <c r="GU2781" s="155"/>
      <c r="GV2781" s="155"/>
      <c r="GW2781" s="155"/>
      <c r="GX2781" s="155"/>
      <c r="GY2781" s="155"/>
      <c r="GZ2781" s="155"/>
      <c r="HA2781" s="155"/>
      <c r="HB2781" s="155"/>
      <c r="HC2781" s="155"/>
      <c r="HD2781" s="155"/>
      <c r="HE2781" s="155"/>
    </row>
    <row r="2782" spans="2:213" s="156" customFormat="1" hidden="1">
      <c r="B2782" s="155"/>
      <c r="C2782" s="155"/>
      <c r="D2782" s="155"/>
      <c r="E2782" s="155"/>
      <c r="F2782" s="155"/>
      <c r="G2782" s="155"/>
      <c r="H2782" s="155"/>
      <c r="I2782" s="155"/>
      <c r="J2782" s="155"/>
      <c r="K2782" s="155"/>
      <c r="L2782" s="155"/>
      <c r="M2782" s="155"/>
      <c r="N2782" s="155"/>
      <c r="O2782" s="155"/>
      <c r="P2782" s="155"/>
      <c r="Q2782" s="155"/>
      <c r="R2782" s="155"/>
      <c r="S2782" s="155"/>
      <c r="T2782" s="155"/>
      <c r="U2782" s="155"/>
      <c r="V2782" s="155"/>
      <c r="W2782" s="155"/>
      <c r="GL2782" s="155"/>
      <c r="GM2782" s="155"/>
      <c r="GN2782" s="155"/>
      <c r="GO2782" s="155"/>
      <c r="GP2782" s="155"/>
      <c r="GQ2782" s="155"/>
      <c r="GR2782" s="155"/>
      <c r="GS2782" s="155"/>
      <c r="GT2782" s="155"/>
      <c r="GU2782" s="155"/>
      <c r="GV2782" s="155"/>
      <c r="GW2782" s="155"/>
      <c r="GX2782" s="155"/>
      <c r="GY2782" s="155"/>
      <c r="GZ2782" s="155"/>
      <c r="HA2782" s="155"/>
      <c r="HB2782" s="155"/>
      <c r="HC2782" s="155"/>
      <c r="HD2782" s="155"/>
      <c r="HE2782" s="155"/>
    </row>
    <row r="2783" spans="2:213" s="156" customFormat="1" hidden="1">
      <c r="B2783" s="155"/>
      <c r="C2783" s="155"/>
      <c r="D2783" s="155"/>
      <c r="E2783" s="155"/>
      <c r="F2783" s="155"/>
      <c r="G2783" s="155"/>
      <c r="H2783" s="155"/>
      <c r="I2783" s="155"/>
      <c r="J2783" s="155"/>
      <c r="K2783" s="155"/>
      <c r="L2783" s="155"/>
      <c r="M2783" s="155"/>
      <c r="N2783" s="155"/>
      <c r="O2783" s="155"/>
      <c r="P2783" s="155"/>
      <c r="Q2783" s="155"/>
      <c r="R2783" s="155"/>
      <c r="S2783" s="155"/>
      <c r="T2783" s="155"/>
      <c r="U2783" s="155"/>
      <c r="V2783" s="155"/>
      <c r="W2783" s="155"/>
      <c r="GL2783" s="155"/>
      <c r="GM2783" s="155"/>
      <c r="GN2783" s="155"/>
      <c r="GO2783" s="155"/>
      <c r="GP2783" s="155"/>
      <c r="GQ2783" s="155"/>
      <c r="GR2783" s="155"/>
      <c r="GS2783" s="155"/>
      <c r="GT2783" s="155"/>
      <c r="GU2783" s="155"/>
      <c r="GV2783" s="155"/>
      <c r="GW2783" s="155"/>
      <c r="GX2783" s="155"/>
      <c r="GY2783" s="155"/>
      <c r="GZ2783" s="155"/>
      <c r="HA2783" s="155"/>
      <c r="HB2783" s="155"/>
      <c r="HC2783" s="155"/>
      <c r="HD2783" s="155"/>
      <c r="HE2783" s="155"/>
    </row>
    <row r="2784" spans="2:213" s="156" customFormat="1" hidden="1">
      <c r="B2784" s="155"/>
      <c r="C2784" s="155"/>
      <c r="D2784" s="155"/>
      <c r="E2784" s="155"/>
      <c r="F2784" s="155"/>
      <c r="G2784" s="155"/>
      <c r="H2784" s="155"/>
      <c r="I2784" s="155"/>
      <c r="J2784" s="155"/>
      <c r="K2784" s="155"/>
      <c r="L2784" s="155"/>
      <c r="M2784" s="155"/>
      <c r="N2784" s="155"/>
      <c r="O2784" s="155"/>
      <c r="P2784" s="155"/>
      <c r="Q2784" s="155"/>
      <c r="R2784" s="155"/>
      <c r="S2784" s="155"/>
      <c r="T2784" s="155"/>
      <c r="U2784" s="155"/>
      <c r="V2784" s="155"/>
      <c r="W2784" s="155"/>
      <c r="GL2784" s="155"/>
      <c r="GM2784" s="155"/>
      <c r="GN2784" s="155"/>
      <c r="GO2784" s="155"/>
      <c r="GP2784" s="155"/>
      <c r="GQ2784" s="155"/>
      <c r="GR2784" s="155"/>
      <c r="GS2784" s="155"/>
      <c r="GT2784" s="155"/>
      <c r="GU2784" s="155"/>
      <c r="GV2784" s="155"/>
      <c r="GW2784" s="155"/>
      <c r="GX2784" s="155"/>
      <c r="GY2784" s="155"/>
      <c r="GZ2784" s="155"/>
      <c r="HA2784" s="155"/>
      <c r="HB2784" s="155"/>
      <c r="HC2784" s="155"/>
      <c r="HD2784" s="155"/>
      <c r="HE2784" s="155"/>
    </row>
    <row r="2785" spans="2:213" s="156" customFormat="1" hidden="1">
      <c r="B2785" s="155"/>
      <c r="C2785" s="155"/>
      <c r="D2785" s="155"/>
      <c r="E2785" s="155"/>
      <c r="F2785" s="155"/>
      <c r="G2785" s="155"/>
      <c r="H2785" s="155"/>
      <c r="I2785" s="155"/>
      <c r="J2785" s="155"/>
      <c r="K2785" s="155"/>
      <c r="L2785" s="155"/>
      <c r="M2785" s="155"/>
      <c r="N2785" s="155"/>
      <c r="O2785" s="155"/>
      <c r="P2785" s="155"/>
      <c r="Q2785" s="155"/>
      <c r="R2785" s="155"/>
      <c r="S2785" s="155"/>
      <c r="T2785" s="155"/>
      <c r="U2785" s="155"/>
      <c r="V2785" s="155"/>
      <c r="W2785" s="155"/>
      <c r="GL2785" s="155"/>
      <c r="GM2785" s="155"/>
      <c r="GN2785" s="155"/>
      <c r="GO2785" s="155"/>
      <c r="GP2785" s="155"/>
      <c r="GQ2785" s="155"/>
      <c r="GR2785" s="155"/>
      <c r="GS2785" s="155"/>
      <c r="GT2785" s="155"/>
      <c r="GU2785" s="155"/>
      <c r="GV2785" s="155"/>
      <c r="GW2785" s="155"/>
      <c r="GX2785" s="155"/>
      <c r="GY2785" s="155"/>
      <c r="GZ2785" s="155"/>
      <c r="HA2785" s="155"/>
      <c r="HB2785" s="155"/>
      <c r="HC2785" s="155"/>
      <c r="HD2785" s="155"/>
      <c r="HE2785" s="155"/>
    </row>
    <row r="2786" spans="2:213" s="156" customFormat="1" hidden="1">
      <c r="B2786" s="155"/>
      <c r="C2786" s="155"/>
      <c r="D2786" s="155"/>
      <c r="E2786" s="155"/>
      <c r="F2786" s="155"/>
      <c r="G2786" s="155"/>
      <c r="H2786" s="155"/>
      <c r="I2786" s="155"/>
      <c r="J2786" s="155"/>
      <c r="K2786" s="155"/>
      <c r="L2786" s="155"/>
      <c r="M2786" s="155"/>
      <c r="N2786" s="155"/>
      <c r="O2786" s="155"/>
      <c r="P2786" s="155"/>
      <c r="Q2786" s="155"/>
      <c r="R2786" s="155"/>
      <c r="S2786" s="155"/>
      <c r="T2786" s="155"/>
      <c r="U2786" s="155"/>
      <c r="V2786" s="155"/>
      <c r="W2786" s="155"/>
      <c r="GL2786" s="155"/>
      <c r="GM2786" s="155"/>
      <c r="GN2786" s="155"/>
      <c r="GO2786" s="155"/>
      <c r="GP2786" s="155"/>
      <c r="GQ2786" s="155"/>
      <c r="GR2786" s="155"/>
      <c r="GS2786" s="155"/>
      <c r="GT2786" s="155"/>
      <c r="GU2786" s="155"/>
      <c r="GV2786" s="155"/>
      <c r="GW2786" s="155"/>
      <c r="GX2786" s="155"/>
      <c r="GY2786" s="155"/>
      <c r="GZ2786" s="155"/>
      <c r="HA2786" s="155"/>
      <c r="HB2786" s="155"/>
      <c r="HC2786" s="155"/>
      <c r="HD2786" s="155"/>
      <c r="HE2786" s="155"/>
    </row>
    <row r="2787" spans="2:213" s="156" customFormat="1" hidden="1">
      <c r="B2787" s="155"/>
      <c r="C2787" s="155"/>
      <c r="D2787" s="155"/>
      <c r="E2787" s="155"/>
      <c r="F2787" s="155"/>
      <c r="G2787" s="155"/>
      <c r="H2787" s="155"/>
      <c r="I2787" s="155"/>
      <c r="J2787" s="155"/>
      <c r="K2787" s="155"/>
      <c r="L2787" s="155"/>
      <c r="M2787" s="155"/>
      <c r="N2787" s="155"/>
      <c r="O2787" s="155"/>
      <c r="P2787" s="155"/>
      <c r="Q2787" s="155"/>
      <c r="R2787" s="155"/>
      <c r="S2787" s="155"/>
      <c r="T2787" s="155"/>
      <c r="U2787" s="155"/>
      <c r="V2787" s="155"/>
      <c r="W2787" s="155"/>
      <c r="GL2787" s="155"/>
      <c r="GM2787" s="155"/>
      <c r="GN2787" s="155"/>
      <c r="GO2787" s="155"/>
      <c r="GP2787" s="155"/>
      <c r="GQ2787" s="155"/>
      <c r="GR2787" s="155"/>
      <c r="GS2787" s="155"/>
      <c r="GT2787" s="155"/>
      <c r="GU2787" s="155"/>
      <c r="GV2787" s="155"/>
      <c r="GW2787" s="155"/>
      <c r="GX2787" s="155"/>
      <c r="GY2787" s="155"/>
      <c r="GZ2787" s="155"/>
      <c r="HA2787" s="155"/>
      <c r="HB2787" s="155"/>
      <c r="HC2787" s="155"/>
      <c r="HD2787" s="155"/>
      <c r="HE2787" s="155"/>
    </row>
    <row r="2788" spans="2:213" s="156" customFormat="1" hidden="1">
      <c r="B2788" s="155"/>
      <c r="C2788" s="155"/>
      <c r="D2788" s="155"/>
      <c r="E2788" s="155"/>
      <c r="F2788" s="155"/>
      <c r="G2788" s="155"/>
      <c r="H2788" s="155"/>
      <c r="I2788" s="155"/>
      <c r="J2788" s="155"/>
      <c r="K2788" s="155"/>
      <c r="L2788" s="155"/>
      <c r="M2788" s="155"/>
      <c r="N2788" s="155"/>
      <c r="O2788" s="155"/>
      <c r="P2788" s="155"/>
      <c r="Q2788" s="155"/>
      <c r="R2788" s="155"/>
      <c r="S2788" s="155"/>
      <c r="T2788" s="155"/>
      <c r="U2788" s="155"/>
      <c r="V2788" s="155"/>
      <c r="W2788" s="155"/>
      <c r="GL2788" s="155"/>
      <c r="GM2788" s="155"/>
      <c r="GN2788" s="155"/>
      <c r="GO2788" s="155"/>
      <c r="GP2788" s="155"/>
      <c r="GQ2788" s="155"/>
      <c r="GR2788" s="155"/>
      <c r="GS2788" s="155"/>
      <c r="GT2788" s="155"/>
      <c r="GU2788" s="155"/>
      <c r="GV2788" s="155"/>
      <c r="GW2788" s="155"/>
      <c r="GX2788" s="155"/>
      <c r="GY2788" s="155"/>
      <c r="GZ2788" s="155"/>
      <c r="HA2788" s="155"/>
      <c r="HB2788" s="155"/>
      <c r="HC2788" s="155"/>
      <c r="HD2788" s="155"/>
      <c r="HE2788" s="155"/>
    </row>
    <row r="2789" spans="2:213" s="156" customFormat="1" hidden="1">
      <c r="B2789" s="155"/>
      <c r="C2789" s="155"/>
      <c r="D2789" s="155"/>
      <c r="E2789" s="155"/>
      <c r="F2789" s="155"/>
      <c r="G2789" s="155"/>
      <c r="H2789" s="155"/>
      <c r="I2789" s="155"/>
      <c r="J2789" s="155"/>
      <c r="K2789" s="155"/>
      <c r="L2789" s="155"/>
      <c r="M2789" s="155"/>
      <c r="N2789" s="155"/>
      <c r="O2789" s="155"/>
      <c r="P2789" s="155"/>
      <c r="Q2789" s="155"/>
      <c r="R2789" s="155"/>
      <c r="S2789" s="155"/>
      <c r="T2789" s="155"/>
      <c r="U2789" s="155"/>
      <c r="V2789" s="155"/>
      <c r="W2789" s="155"/>
      <c r="GL2789" s="155"/>
      <c r="GM2789" s="155"/>
      <c r="GN2789" s="155"/>
      <c r="GO2789" s="155"/>
      <c r="GP2789" s="155"/>
      <c r="GQ2789" s="155"/>
      <c r="GR2789" s="155"/>
      <c r="GS2789" s="155"/>
      <c r="GT2789" s="155"/>
      <c r="GU2789" s="155"/>
      <c r="GV2789" s="155"/>
      <c r="GW2789" s="155"/>
      <c r="GX2789" s="155"/>
      <c r="GY2789" s="155"/>
      <c r="GZ2789" s="155"/>
      <c r="HA2789" s="155"/>
      <c r="HB2789" s="155"/>
      <c r="HC2789" s="155"/>
      <c r="HD2789" s="155"/>
      <c r="HE2789" s="155"/>
    </row>
    <row r="2790" spans="2:213" s="156" customFormat="1" hidden="1">
      <c r="B2790" s="155"/>
      <c r="C2790" s="155"/>
      <c r="D2790" s="155"/>
      <c r="E2790" s="155"/>
      <c r="F2790" s="155"/>
      <c r="G2790" s="155"/>
      <c r="H2790" s="155"/>
      <c r="I2790" s="155"/>
      <c r="J2790" s="155"/>
      <c r="K2790" s="155"/>
      <c r="L2790" s="155"/>
      <c r="M2790" s="155"/>
      <c r="N2790" s="155"/>
      <c r="O2790" s="155"/>
      <c r="P2790" s="155"/>
      <c r="Q2790" s="155"/>
      <c r="R2790" s="155"/>
      <c r="S2790" s="155"/>
      <c r="T2790" s="155"/>
      <c r="U2790" s="155"/>
      <c r="V2790" s="155"/>
      <c r="W2790" s="155"/>
      <c r="GL2790" s="155"/>
      <c r="GM2790" s="155"/>
      <c r="GN2790" s="155"/>
      <c r="GO2790" s="155"/>
      <c r="GP2790" s="155"/>
      <c r="GQ2790" s="155"/>
      <c r="GR2790" s="155"/>
      <c r="GS2790" s="155"/>
      <c r="GT2790" s="155"/>
      <c r="GU2790" s="155"/>
      <c r="GV2790" s="155"/>
      <c r="GW2790" s="155"/>
      <c r="GX2790" s="155"/>
      <c r="GY2790" s="155"/>
      <c r="GZ2790" s="155"/>
      <c r="HA2790" s="155"/>
      <c r="HB2790" s="155"/>
      <c r="HC2790" s="155"/>
      <c r="HD2790" s="155"/>
      <c r="HE2790" s="155"/>
    </row>
    <row r="2791" spans="2:213" s="156" customFormat="1" hidden="1">
      <c r="B2791" s="155"/>
      <c r="C2791" s="155"/>
      <c r="D2791" s="155"/>
      <c r="E2791" s="155"/>
      <c r="F2791" s="155"/>
      <c r="G2791" s="155"/>
      <c r="H2791" s="155"/>
      <c r="I2791" s="155"/>
      <c r="J2791" s="155"/>
      <c r="K2791" s="155"/>
      <c r="L2791" s="155"/>
      <c r="M2791" s="155"/>
      <c r="N2791" s="155"/>
      <c r="O2791" s="155"/>
      <c r="P2791" s="155"/>
      <c r="Q2791" s="155"/>
      <c r="R2791" s="155"/>
      <c r="S2791" s="155"/>
      <c r="T2791" s="155"/>
      <c r="U2791" s="155"/>
      <c r="V2791" s="155"/>
      <c r="W2791" s="155"/>
      <c r="GL2791" s="155"/>
      <c r="GM2791" s="155"/>
      <c r="GN2791" s="155"/>
      <c r="GO2791" s="155"/>
      <c r="GP2791" s="155"/>
      <c r="GQ2791" s="155"/>
      <c r="GR2791" s="155"/>
      <c r="GS2791" s="155"/>
      <c r="GT2791" s="155"/>
      <c r="GU2791" s="155"/>
      <c r="GV2791" s="155"/>
      <c r="GW2791" s="155"/>
      <c r="GX2791" s="155"/>
      <c r="GY2791" s="155"/>
      <c r="GZ2791" s="155"/>
      <c r="HA2791" s="155"/>
      <c r="HB2791" s="155"/>
      <c r="HC2791" s="155"/>
      <c r="HD2791" s="155"/>
      <c r="HE2791" s="155"/>
    </row>
    <row r="2792" spans="2:213" s="156" customFormat="1" hidden="1">
      <c r="B2792" s="155"/>
      <c r="C2792" s="155"/>
      <c r="D2792" s="155"/>
      <c r="E2792" s="155"/>
      <c r="F2792" s="155"/>
      <c r="G2792" s="155"/>
      <c r="H2792" s="155"/>
      <c r="I2792" s="155"/>
      <c r="J2792" s="155"/>
      <c r="K2792" s="155"/>
      <c r="L2792" s="155"/>
      <c r="M2792" s="155"/>
      <c r="N2792" s="155"/>
      <c r="O2792" s="155"/>
      <c r="P2792" s="155"/>
      <c r="Q2792" s="155"/>
      <c r="R2792" s="155"/>
      <c r="S2792" s="155"/>
      <c r="T2792" s="155"/>
      <c r="U2792" s="155"/>
      <c r="V2792" s="155"/>
      <c r="W2792" s="155"/>
      <c r="GL2792" s="155"/>
      <c r="GM2792" s="155"/>
      <c r="GN2792" s="155"/>
      <c r="GO2792" s="155"/>
      <c r="GP2792" s="155"/>
      <c r="GQ2792" s="155"/>
      <c r="GR2792" s="155"/>
      <c r="GS2792" s="155"/>
      <c r="GT2792" s="155"/>
      <c r="GU2792" s="155"/>
      <c r="GV2792" s="155"/>
      <c r="GW2792" s="155"/>
      <c r="GX2792" s="155"/>
      <c r="GY2792" s="155"/>
      <c r="GZ2792" s="155"/>
      <c r="HA2792" s="155"/>
      <c r="HB2792" s="155"/>
      <c r="HC2792" s="155"/>
      <c r="HD2792" s="155"/>
      <c r="HE2792" s="155"/>
    </row>
    <row r="2793" spans="2:213" s="156" customFormat="1" hidden="1">
      <c r="B2793" s="155"/>
      <c r="C2793" s="155"/>
      <c r="D2793" s="155"/>
      <c r="E2793" s="155"/>
      <c r="F2793" s="155"/>
      <c r="G2793" s="155"/>
      <c r="H2793" s="155"/>
      <c r="I2793" s="155"/>
      <c r="J2793" s="155"/>
      <c r="K2793" s="155"/>
      <c r="L2793" s="155"/>
      <c r="M2793" s="155"/>
      <c r="N2793" s="155"/>
      <c r="O2793" s="155"/>
      <c r="P2793" s="155"/>
      <c r="Q2793" s="155"/>
      <c r="R2793" s="155"/>
      <c r="S2793" s="155"/>
      <c r="T2793" s="155"/>
      <c r="U2793" s="155"/>
      <c r="V2793" s="155"/>
      <c r="W2793" s="155"/>
      <c r="GL2793" s="155"/>
      <c r="GM2793" s="155"/>
      <c r="GN2793" s="155"/>
      <c r="GO2793" s="155"/>
      <c r="GP2793" s="155"/>
      <c r="GQ2793" s="155"/>
      <c r="GR2793" s="155"/>
      <c r="GS2793" s="155"/>
      <c r="GT2793" s="155"/>
      <c r="GU2793" s="155"/>
      <c r="GV2793" s="155"/>
      <c r="GW2793" s="155"/>
      <c r="GX2793" s="155"/>
      <c r="GY2793" s="155"/>
      <c r="GZ2793" s="155"/>
      <c r="HA2793" s="155"/>
      <c r="HB2793" s="155"/>
      <c r="HC2793" s="155"/>
      <c r="HD2793" s="155"/>
      <c r="HE2793" s="155"/>
    </row>
    <row r="2794" spans="2:213" s="156" customFormat="1" hidden="1">
      <c r="B2794" s="155"/>
      <c r="C2794" s="155"/>
      <c r="D2794" s="155"/>
      <c r="E2794" s="155"/>
      <c r="F2794" s="155"/>
      <c r="G2794" s="155"/>
      <c r="H2794" s="155"/>
      <c r="I2794" s="155"/>
      <c r="J2794" s="155"/>
      <c r="K2794" s="155"/>
      <c r="L2794" s="155"/>
      <c r="M2794" s="155"/>
      <c r="N2794" s="155"/>
      <c r="O2794" s="155"/>
      <c r="P2794" s="155"/>
      <c r="Q2794" s="155"/>
      <c r="R2794" s="155"/>
      <c r="S2794" s="155"/>
      <c r="T2794" s="155"/>
      <c r="U2794" s="155"/>
      <c r="V2794" s="155"/>
      <c r="W2794" s="155"/>
      <c r="GL2794" s="155"/>
      <c r="GM2794" s="155"/>
      <c r="GN2794" s="155"/>
      <c r="GO2794" s="155"/>
      <c r="GP2794" s="155"/>
      <c r="GQ2794" s="155"/>
      <c r="GR2794" s="155"/>
      <c r="GS2794" s="155"/>
      <c r="GT2794" s="155"/>
      <c r="GU2794" s="155"/>
      <c r="GV2794" s="155"/>
      <c r="GW2794" s="155"/>
      <c r="GX2794" s="155"/>
      <c r="GY2794" s="155"/>
      <c r="GZ2794" s="155"/>
      <c r="HA2794" s="155"/>
      <c r="HB2794" s="155"/>
      <c r="HC2794" s="155"/>
      <c r="HD2794" s="155"/>
      <c r="HE2794" s="155"/>
    </row>
    <row r="2795" spans="2:213" s="156" customFormat="1" hidden="1">
      <c r="B2795" s="155"/>
      <c r="C2795" s="155"/>
      <c r="D2795" s="155"/>
      <c r="E2795" s="155"/>
      <c r="F2795" s="155"/>
      <c r="G2795" s="155"/>
      <c r="H2795" s="155"/>
      <c r="I2795" s="155"/>
      <c r="J2795" s="155"/>
      <c r="K2795" s="155"/>
      <c r="L2795" s="155"/>
      <c r="M2795" s="155"/>
      <c r="N2795" s="155"/>
      <c r="O2795" s="155"/>
      <c r="P2795" s="155"/>
      <c r="Q2795" s="155"/>
      <c r="R2795" s="155"/>
      <c r="S2795" s="155"/>
      <c r="T2795" s="155"/>
      <c r="U2795" s="155"/>
      <c r="V2795" s="155"/>
      <c r="W2795" s="155"/>
      <c r="GL2795" s="155"/>
      <c r="GM2795" s="155"/>
      <c r="GN2795" s="155"/>
      <c r="GO2795" s="155"/>
      <c r="GP2795" s="155"/>
      <c r="GQ2795" s="155"/>
      <c r="GR2795" s="155"/>
      <c r="GS2795" s="155"/>
      <c r="GT2795" s="155"/>
      <c r="GU2795" s="155"/>
      <c r="GV2795" s="155"/>
      <c r="GW2795" s="155"/>
      <c r="GX2795" s="155"/>
      <c r="GY2795" s="155"/>
      <c r="GZ2795" s="155"/>
      <c r="HA2795" s="155"/>
      <c r="HB2795" s="155"/>
      <c r="HC2795" s="155"/>
      <c r="HD2795" s="155"/>
      <c r="HE2795" s="155"/>
    </row>
    <row r="2796" spans="2:213" s="156" customFormat="1" hidden="1">
      <c r="B2796" s="155"/>
      <c r="C2796" s="155"/>
      <c r="D2796" s="155"/>
      <c r="E2796" s="155"/>
      <c r="F2796" s="155"/>
      <c r="G2796" s="155"/>
      <c r="H2796" s="155"/>
      <c r="I2796" s="155"/>
      <c r="J2796" s="155"/>
      <c r="K2796" s="155"/>
      <c r="L2796" s="155"/>
      <c r="M2796" s="155"/>
      <c r="N2796" s="155"/>
      <c r="O2796" s="155"/>
      <c r="P2796" s="155"/>
      <c r="Q2796" s="155"/>
      <c r="R2796" s="155"/>
      <c r="S2796" s="155"/>
      <c r="T2796" s="155"/>
      <c r="U2796" s="155"/>
      <c r="V2796" s="155"/>
      <c r="W2796" s="155"/>
      <c r="GL2796" s="155"/>
      <c r="GM2796" s="155"/>
      <c r="GN2796" s="155"/>
      <c r="GO2796" s="155"/>
      <c r="GP2796" s="155"/>
      <c r="GQ2796" s="155"/>
      <c r="GR2796" s="155"/>
      <c r="GS2796" s="155"/>
      <c r="GT2796" s="155"/>
      <c r="GU2796" s="155"/>
      <c r="GV2796" s="155"/>
      <c r="GW2796" s="155"/>
      <c r="GX2796" s="155"/>
      <c r="GY2796" s="155"/>
      <c r="GZ2796" s="155"/>
      <c r="HA2796" s="155"/>
      <c r="HB2796" s="155"/>
      <c r="HC2796" s="155"/>
      <c r="HD2796" s="155"/>
      <c r="HE2796" s="155"/>
    </row>
    <row r="2797" spans="2:213" s="156" customFormat="1" hidden="1">
      <c r="B2797" s="155"/>
      <c r="C2797" s="155"/>
      <c r="D2797" s="155"/>
      <c r="E2797" s="155"/>
      <c r="F2797" s="155"/>
      <c r="G2797" s="155"/>
      <c r="H2797" s="155"/>
      <c r="I2797" s="155"/>
      <c r="J2797" s="155"/>
      <c r="K2797" s="155"/>
      <c r="L2797" s="155"/>
      <c r="M2797" s="155"/>
      <c r="N2797" s="155"/>
      <c r="O2797" s="155"/>
      <c r="P2797" s="155"/>
      <c r="Q2797" s="155"/>
      <c r="R2797" s="155"/>
      <c r="S2797" s="155"/>
      <c r="T2797" s="155"/>
      <c r="U2797" s="155"/>
      <c r="V2797" s="155"/>
      <c r="W2797" s="155"/>
      <c r="GL2797" s="155"/>
      <c r="GM2797" s="155"/>
      <c r="GN2797" s="155"/>
      <c r="GO2797" s="155"/>
      <c r="GP2797" s="155"/>
      <c r="GQ2797" s="155"/>
      <c r="GR2797" s="155"/>
      <c r="GS2797" s="155"/>
      <c r="GT2797" s="155"/>
      <c r="GU2797" s="155"/>
      <c r="GV2797" s="155"/>
      <c r="GW2797" s="155"/>
      <c r="GX2797" s="155"/>
      <c r="GY2797" s="155"/>
      <c r="GZ2797" s="155"/>
      <c r="HA2797" s="155"/>
      <c r="HB2797" s="155"/>
      <c r="HC2797" s="155"/>
      <c r="HD2797" s="155"/>
      <c r="HE2797" s="155"/>
    </row>
    <row r="2798" spans="2:213" s="156" customFormat="1" hidden="1">
      <c r="B2798" s="155"/>
      <c r="C2798" s="155"/>
      <c r="D2798" s="155"/>
      <c r="E2798" s="155"/>
      <c r="F2798" s="155"/>
      <c r="G2798" s="155"/>
      <c r="H2798" s="155"/>
      <c r="I2798" s="155"/>
      <c r="J2798" s="155"/>
      <c r="K2798" s="155"/>
      <c r="L2798" s="155"/>
      <c r="M2798" s="155"/>
      <c r="N2798" s="155"/>
      <c r="O2798" s="155"/>
      <c r="P2798" s="155"/>
      <c r="Q2798" s="155"/>
      <c r="R2798" s="155"/>
      <c r="S2798" s="155"/>
      <c r="T2798" s="155"/>
      <c r="U2798" s="155"/>
      <c r="V2798" s="155"/>
      <c r="W2798" s="155"/>
      <c r="GL2798" s="155"/>
      <c r="GM2798" s="155"/>
      <c r="GN2798" s="155"/>
      <c r="GO2798" s="155"/>
      <c r="GP2798" s="155"/>
      <c r="GQ2798" s="155"/>
      <c r="GR2798" s="155"/>
      <c r="GS2798" s="155"/>
      <c r="GT2798" s="155"/>
      <c r="GU2798" s="155"/>
      <c r="GV2798" s="155"/>
      <c r="GW2798" s="155"/>
      <c r="GX2798" s="155"/>
      <c r="GY2798" s="155"/>
      <c r="GZ2798" s="155"/>
      <c r="HA2798" s="155"/>
      <c r="HB2798" s="155"/>
      <c r="HC2798" s="155"/>
      <c r="HD2798" s="155"/>
      <c r="HE2798" s="155"/>
    </row>
    <row r="2799" spans="2:213" s="156" customFormat="1" hidden="1">
      <c r="B2799" s="155"/>
      <c r="C2799" s="155"/>
      <c r="D2799" s="155"/>
      <c r="E2799" s="155"/>
      <c r="F2799" s="155"/>
      <c r="G2799" s="155"/>
      <c r="H2799" s="155"/>
      <c r="I2799" s="155"/>
      <c r="J2799" s="155"/>
      <c r="K2799" s="155"/>
      <c r="L2799" s="155"/>
      <c r="M2799" s="155"/>
      <c r="N2799" s="155"/>
      <c r="O2799" s="155"/>
      <c r="P2799" s="155"/>
      <c r="Q2799" s="155"/>
      <c r="R2799" s="155"/>
      <c r="S2799" s="155"/>
      <c r="T2799" s="155"/>
      <c r="U2799" s="155"/>
      <c r="V2799" s="155"/>
      <c r="W2799" s="155"/>
      <c r="GL2799" s="155"/>
      <c r="GM2799" s="155"/>
      <c r="GN2799" s="155"/>
      <c r="GO2799" s="155"/>
      <c r="GP2799" s="155"/>
      <c r="GQ2799" s="155"/>
      <c r="GR2799" s="155"/>
      <c r="GS2799" s="155"/>
      <c r="GT2799" s="155"/>
      <c r="GU2799" s="155"/>
      <c r="GV2799" s="155"/>
      <c r="GW2799" s="155"/>
      <c r="GX2799" s="155"/>
      <c r="GY2799" s="155"/>
      <c r="GZ2799" s="155"/>
      <c r="HA2799" s="155"/>
      <c r="HB2799" s="155"/>
      <c r="HC2799" s="155"/>
      <c r="HD2799" s="155"/>
      <c r="HE2799" s="155"/>
    </row>
    <row r="2800" spans="2:213" s="156" customFormat="1" hidden="1">
      <c r="B2800" s="155"/>
      <c r="C2800" s="155"/>
      <c r="D2800" s="155"/>
      <c r="E2800" s="155"/>
      <c r="F2800" s="155"/>
      <c r="G2800" s="155"/>
      <c r="H2800" s="155"/>
      <c r="I2800" s="155"/>
      <c r="J2800" s="155"/>
      <c r="K2800" s="155"/>
      <c r="L2800" s="155"/>
      <c r="M2800" s="155"/>
      <c r="N2800" s="155"/>
      <c r="O2800" s="155"/>
      <c r="P2800" s="155"/>
      <c r="Q2800" s="155"/>
      <c r="R2800" s="155"/>
      <c r="S2800" s="155"/>
      <c r="T2800" s="155"/>
      <c r="U2800" s="155"/>
      <c r="V2800" s="155"/>
      <c r="W2800" s="155"/>
      <c r="GL2800" s="155"/>
      <c r="GM2800" s="155"/>
      <c r="GN2800" s="155"/>
      <c r="GO2800" s="155"/>
      <c r="GP2800" s="155"/>
      <c r="GQ2800" s="155"/>
      <c r="GR2800" s="155"/>
      <c r="GS2800" s="155"/>
      <c r="GT2800" s="155"/>
      <c r="GU2800" s="155"/>
      <c r="GV2800" s="155"/>
      <c r="GW2800" s="155"/>
      <c r="GX2800" s="155"/>
      <c r="GY2800" s="155"/>
      <c r="GZ2800" s="155"/>
      <c r="HA2800" s="155"/>
      <c r="HB2800" s="155"/>
      <c r="HC2800" s="155"/>
      <c r="HD2800" s="155"/>
      <c r="HE2800" s="155"/>
    </row>
    <row r="2801" spans="2:213" s="156" customFormat="1" hidden="1">
      <c r="B2801" s="155"/>
      <c r="C2801" s="155"/>
      <c r="D2801" s="155"/>
      <c r="E2801" s="155"/>
      <c r="F2801" s="155"/>
      <c r="G2801" s="155"/>
      <c r="H2801" s="155"/>
      <c r="I2801" s="155"/>
      <c r="J2801" s="155"/>
      <c r="K2801" s="155"/>
      <c r="L2801" s="155"/>
      <c r="M2801" s="155"/>
      <c r="N2801" s="155"/>
      <c r="O2801" s="155"/>
      <c r="P2801" s="155"/>
      <c r="Q2801" s="155"/>
      <c r="R2801" s="155"/>
      <c r="S2801" s="155"/>
      <c r="T2801" s="155"/>
      <c r="U2801" s="155"/>
      <c r="V2801" s="155"/>
      <c r="W2801" s="155"/>
      <c r="GL2801" s="155"/>
      <c r="GM2801" s="155"/>
      <c r="GN2801" s="155"/>
      <c r="GO2801" s="155"/>
      <c r="GP2801" s="155"/>
      <c r="GQ2801" s="155"/>
      <c r="GR2801" s="155"/>
      <c r="GS2801" s="155"/>
      <c r="GT2801" s="155"/>
      <c r="GU2801" s="155"/>
      <c r="GV2801" s="155"/>
      <c r="GW2801" s="155"/>
      <c r="GX2801" s="155"/>
      <c r="GY2801" s="155"/>
      <c r="GZ2801" s="155"/>
      <c r="HA2801" s="155"/>
      <c r="HB2801" s="155"/>
      <c r="HC2801" s="155"/>
      <c r="HD2801" s="155"/>
      <c r="HE2801" s="155"/>
    </row>
    <row r="2802" spans="2:213" s="156" customFormat="1" hidden="1">
      <c r="B2802" s="155"/>
      <c r="C2802" s="155"/>
      <c r="D2802" s="155"/>
      <c r="E2802" s="155"/>
      <c r="F2802" s="155"/>
      <c r="G2802" s="155"/>
      <c r="H2802" s="155"/>
      <c r="I2802" s="155"/>
      <c r="J2802" s="155"/>
      <c r="K2802" s="155"/>
      <c r="L2802" s="155"/>
      <c r="M2802" s="155"/>
      <c r="N2802" s="155"/>
      <c r="O2802" s="155"/>
      <c r="P2802" s="155"/>
      <c r="Q2802" s="155"/>
      <c r="R2802" s="155"/>
      <c r="S2802" s="155"/>
      <c r="T2802" s="155"/>
      <c r="U2802" s="155"/>
      <c r="V2802" s="155"/>
      <c r="W2802" s="155"/>
      <c r="GL2802" s="155"/>
      <c r="GM2802" s="155"/>
      <c r="GN2802" s="155"/>
      <c r="GO2802" s="155"/>
      <c r="GP2802" s="155"/>
      <c r="GQ2802" s="155"/>
      <c r="GR2802" s="155"/>
      <c r="GS2802" s="155"/>
      <c r="GT2802" s="155"/>
      <c r="GU2802" s="155"/>
      <c r="GV2802" s="155"/>
      <c r="GW2802" s="155"/>
      <c r="GX2802" s="155"/>
      <c r="GY2802" s="155"/>
      <c r="GZ2802" s="155"/>
      <c r="HA2802" s="155"/>
      <c r="HB2802" s="155"/>
      <c r="HC2802" s="155"/>
      <c r="HD2802" s="155"/>
      <c r="HE2802" s="155"/>
    </row>
    <row r="2803" spans="2:213" s="156" customFormat="1" hidden="1">
      <c r="B2803" s="155"/>
      <c r="C2803" s="155"/>
      <c r="D2803" s="155"/>
      <c r="E2803" s="155"/>
      <c r="F2803" s="155"/>
      <c r="G2803" s="155"/>
      <c r="H2803" s="155"/>
      <c r="I2803" s="155"/>
      <c r="J2803" s="155"/>
      <c r="K2803" s="155"/>
      <c r="L2803" s="155"/>
      <c r="M2803" s="155"/>
      <c r="N2803" s="155"/>
      <c r="O2803" s="155"/>
      <c r="P2803" s="155"/>
      <c r="Q2803" s="155"/>
      <c r="R2803" s="155"/>
      <c r="S2803" s="155"/>
      <c r="T2803" s="155"/>
      <c r="U2803" s="155"/>
      <c r="V2803" s="155"/>
      <c r="W2803" s="155"/>
      <c r="GL2803" s="155"/>
      <c r="GM2803" s="155"/>
      <c r="GN2803" s="155"/>
      <c r="GO2803" s="155"/>
      <c r="GP2803" s="155"/>
      <c r="GQ2803" s="155"/>
      <c r="GR2803" s="155"/>
      <c r="GS2803" s="155"/>
      <c r="GT2803" s="155"/>
      <c r="GU2803" s="155"/>
      <c r="GV2803" s="155"/>
      <c r="GW2803" s="155"/>
      <c r="GX2803" s="155"/>
      <c r="GY2803" s="155"/>
      <c r="GZ2803" s="155"/>
      <c r="HA2803" s="155"/>
      <c r="HB2803" s="155"/>
      <c r="HC2803" s="155"/>
      <c r="HD2803" s="155"/>
      <c r="HE2803" s="155"/>
    </row>
    <row r="2804" spans="2:213" s="156" customFormat="1" hidden="1">
      <c r="B2804" s="155"/>
      <c r="C2804" s="155"/>
      <c r="D2804" s="155"/>
      <c r="E2804" s="155"/>
      <c r="F2804" s="155"/>
      <c r="G2804" s="155"/>
      <c r="H2804" s="155"/>
      <c r="I2804" s="155"/>
      <c r="J2804" s="155"/>
      <c r="K2804" s="155"/>
      <c r="L2804" s="155"/>
      <c r="M2804" s="155"/>
      <c r="N2804" s="155"/>
      <c r="O2804" s="155"/>
      <c r="P2804" s="155"/>
      <c r="Q2804" s="155"/>
      <c r="R2804" s="155"/>
      <c r="S2804" s="155"/>
      <c r="T2804" s="155"/>
      <c r="U2804" s="155"/>
      <c r="V2804" s="155"/>
      <c r="W2804" s="155"/>
      <c r="GL2804" s="155"/>
      <c r="GM2804" s="155"/>
      <c r="GN2804" s="155"/>
      <c r="GO2804" s="155"/>
      <c r="GP2804" s="155"/>
      <c r="GQ2804" s="155"/>
      <c r="GR2804" s="155"/>
      <c r="GS2804" s="155"/>
      <c r="GT2804" s="155"/>
      <c r="GU2804" s="155"/>
      <c r="GV2804" s="155"/>
      <c r="GW2804" s="155"/>
      <c r="GX2804" s="155"/>
      <c r="GY2804" s="155"/>
      <c r="GZ2804" s="155"/>
      <c r="HA2804" s="155"/>
      <c r="HB2804" s="155"/>
      <c r="HC2804" s="155"/>
      <c r="HD2804" s="155"/>
      <c r="HE2804" s="155"/>
    </row>
    <row r="2805" spans="2:213" s="156" customFormat="1" hidden="1">
      <c r="B2805" s="155"/>
      <c r="C2805" s="155"/>
      <c r="D2805" s="155"/>
      <c r="E2805" s="155"/>
      <c r="F2805" s="155"/>
      <c r="G2805" s="155"/>
      <c r="H2805" s="155"/>
      <c r="I2805" s="155"/>
      <c r="J2805" s="155"/>
      <c r="K2805" s="155"/>
      <c r="L2805" s="155"/>
      <c r="M2805" s="155"/>
      <c r="N2805" s="155"/>
      <c r="O2805" s="155"/>
      <c r="P2805" s="155"/>
      <c r="Q2805" s="155"/>
      <c r="R2805" s="155"/>
      <c r="S2805" s="155"/>
      <c r="T2805" s="155"/>
      <c r="U2805" s="155"/>
      <c r="V2805" s="155"/>
      <c r="W2805" s="155"/>
      <c r="GL2805" s="155"/>
      <c r="GM2805" s="155"/>
      <c r="GN2805" s="155"/>
      <c r="GO2805" s="155"/>
      <c r="GP2805" s="155"/>
      <c r="GQ2805" s="155"/>
      <c r="GR2805" s="155"/>
      <c r="GS2805" s="155"/>
      <c r="GT2805" s="155"/>
      <c r="GU2805" s="155"/>
      <c r="GV2805" s="155"/>
      <c r="GW2805" s="155"/>
      <c r="GX2805" s="155"/>
      <c r="GY2805" s="155"/>
      <c r="GZ2805" s="155"/>
      <c r="HA2805" s="155"/>
      <c r="HB2805" s="155"/>
      <c r="HC2805" s="155"/>
      <c r="HD2805" s="155"/>
      <c r="HE2805" s="155"/>
    </row>
    <row r="2806" spans="2:213" s="156" customFormat="1" hidden="1">
      <c r="B2806" s="155"/>
      <c r="C2806" s="155"/>
      <c r="D2806" s="155"/>
      <c r="E2806" s="155"/>
      <c r="F2806" s="155"/>
      <c r="G2806" s="155"/>
      <c r="H2806" s="155"/>
      <c r="I2806" s="155"/>
      <c r="J2806" s="155"/>
      <c r="K2806" s="155"/>
      <c r="L2806" s="155"/>
      <c r="M2806" s="155"/>
      <c r="N2806" s="155"/>
      <c r="O2806" s="155"/>
      <c r="P2806" s="155"/>
      <c r="Q2806" s="155"/>
      <c r="R2806" s="155"/>
      <c r="S2806" s="155"/>
      <c r="T2806" s="155"/>
      <c r="U2806" s="155"/>
      <c r="V2806" s="155"/>
      <c r="W2806" s="155"/>
      <c r="GL2806" s="155"/>
      <c r="GM2806" s="155"/>
      <c r="GN2806" s="155"/>
      <c r="GO2806" s="155"/>
      <c r="GP2806" s="155"/>
      <c r="GQ2806" s="155"/>
      <c r="GR2806" s="155"/>
      <c r="GS2806" s="155"/>
      <c r="GT2806" s="155"/>
      <c r="GU2806" s="155"/>
      <c r="GV2806" s="155"/>
      <c r="GW2806" s="155"/>
      <c r="GX2806" s="155"/>
      <c r="GY2806" s="155"/>
      <c r="GZ2806" s="155"/>
      <c r="HA2806" s="155"/>
      <c r="HB2806" s="155"/>
      <c r="HC2806" s="155"/>
      <c r="HD2806" s="155"/>
      <c r="HE2806" s="155"/>
    </row>
    <row r="2807" spans="2:213" s="156" customFormat="1" hidden="1">
      <c r="B2807" s="155"/>
      <c r="C2807" s="155"/>
      <c r="D2807" s="155"/>
      <c r="E2807" s="155"/>
      <c r="F2807" s="155"/>
      <c r="G2807" s="155"/>
      <c r="H2807" s="155"/>
      <c r="I2807" s="155"/>
      <c r="J2807" s="155"/>
      <c r="K2807" s="155"/>
      <c r="L2807" s="155"/>
      <c r="M2807" s="155"/>
      <c r="N2807" s="155"/>
      <c r="O2807" s="155"/>
      <c r="P2807" s="155"/>
      <c r="Q2807" s="155"/>
      <c r="R2807" s="155"/>
      <c r="S2807" s="155"/>
      <c r="T2807" s="155"/>
      <c r="U2807" s="155"/>
      <c r="V2807" s="155"/>
      <c r="W2807" s="155"/>
      <c r="GL2807" s="155"/>
      <c r="GM2807" s="155"/>
      <c r="GN2807" s="155"/>
      <c r="GO2807" s="155"/>
      <c r="GP2807" s="155"/>
      <c r="GQ2807" s="155"/>
      <c r="GR2807" s="155"/>
      <c r="GS2807" s="155"/>
      <c r="GT2807" s="155"/>
      <c r="GU2807" s="155"/>
      <c r="GV2807" s="155"/>
      <c r="GW2807" s="155"/>
      <c r="GX2807" s="155"/>
      <c r="GY2807" s="155"/>
      <c r="GZ2807" s="155"/>
      <c r="HA2807" s="155"/>
      <c r="HB2807" s="155"/>
      <c r="HC2807" s="155"/>
      <c r="HD2807" s="155"/>
      <c r="HE2807" s="155"/>
    </row>
    <row r="2808" spans="2:213" s="156" customFormat="1" hidden="1">
      <c r="B2808" s="155"/>
      <c r="C2808" s="155"/>
      <c r="D2808" s="155"/>
      <c r="E2808" s="155"/>
      <c r="F2808" s="155"/>
      <c r="G2808" s="155"/>
      <c r="H2808" s="155"/>
      <c r="I2808" s="155"/>
      <c r="J2808" s="155"/>
      <c r="K2808" s="155"/>
      <c r="L2808" s="155"/>
      <c r="M2808" s="155"/>
      <c r="N2808" s="155"/>
      <c r="O2808" s="155"/>
      <c r="P2808" s="155"/>
      <c r="Q2808" s="155"/>
      <c r="R2808" s="155"/>
      <c r="S2808" s="155"/>
      <c r="T2808" s="155"/>
      <c r="U2808" s="155"/>
      <c r="V2808" s="155"/>
      <c r="W2808" s="155"/>
      <c r="GL2808" s="155"/>
      <c r="GM2808" s="155"/>
      <c r="GN2808" s="155"/>
      <c r="GO2808" s="155"/>
      <c r="GP2808" s="155"/>
      <c r="GQ2808" s="155"/>
      <c r="GR2808" s="155"/>
      <c r="GS2808" s="155"/>
      <c r="GT2808" s="155"/>
      <c r="GU2808" s="155"/>
      <c r="GV2808" s="155"/>
      <c r="GW2808" s="155"/>
      <c r="GX2808" s="155"/>
      <c r="GY2808" s="155"/>
      <c r="GZ2808" s="155"/>
      <c r="HA2808" s="155"/>
      <c r="HB2808" s="155"/>
      <c r="HC2808" s="155"/>
      <c r="HD2808" s="155"/>
      <c r="HE2808" s="155"/>
    </row>
    <row r="2809" spans="2:213" s="156" customFormat="1" hidden="1">
      <c r="B2809" s="155"/>
      <c r="C2809" s="155"/>
      <c r="D2809" s="155"/>
      <c r="E2809" s="155"/>
      <c r="F2809" s="155"/>
      <c r="G2809" s="155"/>
      <c r="H2809" s="155"/>
      <c r="I2809" s="155"/>
      <c r="J2809" s="155"/>
      <c r="K2809" s="155"/>
      <c r="L2809" s="155"/>
      <c r="M2809" s="155"/>
      <c r="N2809" s="155"/>
      <c r="O2809" s="155"/>
      <c r="P2809" s="155"/>
      <c r="Q2809" s="155"/>
      <c r="R2809" s="155"/>
      <c r="S2809" s="155"/>
      <c r="T2809" s="155"/>
      <c r="U2809" s="155"/>
      <c r="V2809" s="155"/>
      <c r="W2809" s="155"/>
      <c r="GL2809" s="155"/>
      <c r="GM2809" s="155"/>
      <c r="GN2809" s="155"/>
      <c r="GO2809" s="155"/>
      <c r="GP2809" s="155"/>
      <c r="GQ2809" s="155"/>
      <c r="GR2809" s="155"/>
      <c r="GS2809" s="155"/>
      <c r="GT2809" s="155"/>
      <c r="GU2809" s="155"/>
      <c r="GV2809" s="155"/>
      <c r="GW2809" s="155"/>
      <c r="GX2809" s="155"/>
      <c r="GY2809" s="155"/>
      <c r="GZ2809" s="155"/>
      <c r="HA2809" s="155"/>
      <c r="HB2809" s="155"/>
      <c r="HC2809" s="155"/>
      <c r="HD2809" s="155"/>
      <c r="HE2809" s="155"/>
    </row>
    <row r="2810" spans="2:213" s="156" customFormat="1" hidden="1">
      <c r="B2810" s="155"/>
      <c r="C2810" s="155"/>
      <c r="D2810" s="155"/>
      <c r="E2810" s="155"/>
      <c r="F2810" s="155"/>
      <c r="G2810" s="155"/>
      <c r="H2810" s="155"/>
      <c r="I2810" s="155"/>
      <c r="J2810" s="155"/>
      <c r="K2810" s="155"/>
      <c r="L2810" s="155"/>
      <c r="M2810" s="155"/>
      <c r="N2810" s="155"/>
      <c r="O2810" s="155"/>
      <c r="P2810" s="155"/>
      <c r="Q2810" s="155"/>
      <c r="R2810" s="155"/>
      <c r="S2810" s="155"/>
      <c r="T2810" s="155"/>
      <c r="U2810" s="155"/>
      <c r="V2810" s="155"/>
      <c r="W2810" s="155"/>
      <c r="GL2810" s="155"/>
      <c r="GM2810" s="155"/>
      <c r="GN2810" s="155"/>
      <c r="GO2810" s="155"/>
      <c r="GP2810" s="155"/>
      <c r="GQ2810" s="155"/>
      <c r="GR2810" s="155"/>
      <c r="GS2810" s="155"/>
      <c r="GT2810" s="155"/>
      <c r="GU2810" s="155"/>
      <c r="GV2810" s="155"/>
      <c r="GW2810" s="155"/>
      <c r="GX2810" s="155"/>
      <c r="GY2810" s="155"/>
      <c r="GZ2810" s="155"/>
      <c r="HA2810" s="155"/>
      <c r="HB2810" s="155"/>
      <c r="HC2810" s="155"/>
      <c r="HD2810" s="155"/>
      <c r="HE2810" s="155"/>
    </row>
    <row r="2811" spans="2:213" s="156" customFormat="1" hidden="1">
      <c r="B2811" s="155"/>
      <c r="C2811" s="155"/>
      <c r="D2811" s="155"/>
      <c r="E2811" s="155"/>
      <c r="F2811" s="155"/>
      <c r="G2811" s="155"/>
      <c r="H2811" s="155"/>
      <c r="I2811" s="155"/>
      <c r="J2811" s="155"/>
      <c r="K2811" s="155"/>
      <c r="L2811" s="155"/>
      <c r="M2811" s="155"/>
      <c r="N2811" s="155"/>
      <c r="O2811" s="155"/>
      <c r="P2811" s="155"/>
      <c r="Q2811" s="155"/>
      <c r="R2811" s="155"/>
      <c r="S2811" s="155"/>
      <c r="T2811" s="155"/>
      <c r="U2811" s="155"/>
      <c r="V2811" s="155"/>
      <c r="W2811" s="155"/>
      <c r="GL2811" s="155"/>
      <c r="GM2811" s="155"/>
      <c r="GN2811" s="155"/>
      <c r="GO2811" s="155"/>
      <c r="GP2811" s="155"/>
      <c r="GQ2811" s="155"/>
      <c r="GR2811" s="155"/>
      <c r="GS2811" s="155"/>
      <c r="GT2811" s="155"/>
      <c r="GU2811" s="155"/>
      <c r="GV2811" s="155"/>
      <c r="GW2811" s="155"/>
      <c r="GX2811" s="155"/>
      <c r="GY2811" s="155"/>
      <c r="GZ2811" s="155"/>
      <c r="HA2811" s="155"/>
      <c r="HB2811" s="155"/>
      <c r="HC2811" s="155"/>
      <c r="HD2811" s="155"/>
      <c r="HE2811" s="155"/>
    </row>
    <row r="2812" spans="2:213" s="156" customFormat="1" hidden="1">
      <c r="B2812" s="155"/>
      <c r="C2812" s="155"/>
      <c r="D2812" s="155"/>
      <c r="E2812" s="155"/>
      <c r="F2812" s="155"/>
      <c r="G2812" s="155"/>
      <c r="H2812" s="155"/>
      <c r="I2812" s="155"/>
      <c r="J2812" s="155"/>
      <c r="K2812" s="155"/>
      <c r="L2812" s="155"/>
      <c r="M2812" s="155"/>
      <c r="N2812" s="155"/>
      <c r="O2812" s="155"/>
      <c r="P2812" s="155"/>
      <c r="Q2812" s="155"/>
      <c r="R2812" s="155"/>
      <c r="S2812" s="155"/>
      <c r="T2812" s="155"/>
      <c r="U2812" s="155"/>
      <c r="V2812" s="155"/>
      <c r="W2812" s="155"/>
      <c r="GL2812" s="155"/>
      <c r="GM2812" s="155"/>
      <c r="GN2812" s="155"/>
      <c r="GO2812" s="155"/>
      <c r="GP2812" s="155"/>
      <c r="GQ2812" s="155"/>
      <c r="GR2812" s="155"/>
      <c r="GS2812" s="155"/>
      <c r="GT2812" s="155"/>
      <c r="GU2812" s="155"/>
      <c r="GV2812" s="155"/>
      <c r="GW2812" s="155"/>
      <c r="GX2812" s="155"/>
      <c r="GY2812" s="155"/>
      <c r="GZ2812" s="155"/>
      <c r="HA2812" s="155"/>
      <c r="HB2812" s="155"/>
      <c r="HC2812" s="155"/>
      <c r="HD2812" s="155"/>
      <c r="HE2812" s="155"/>
    </row>
    <row r="2813" spans="2:213" s="156" customFormat="1" hidden="1">
      <c r="B2813" s="155"/>
      <c r="C2813" s="155"/>
      <c r="D2813" s="155"/>
      <c r="E2813" s="155"/>
      <c r="F2813" s="155"/>
      <c r="G2813" s="155"/>
      <c r="H2813" s="155"/>
      <c r="I2813" s="155"/>
      <c r="J2813" s="155"/>
      <c r="K2813" s="155"/>
      <c r="L2813" s="155"/>
      <c r="M2813" s="155"/>
      <c r="N2813" s="155"/>
      <c r="O2813" s="155"/>
      <c r="P2813" s="155"/>
      <c r="Q2813" s="155"/>
      <c r="R2813" s="155"/>
      <c r="S2813" s="155"/>
      <c r="T2813" s="155"/>
      <c r="U2813" s="155"/>
      <c r="V2813" s="155"/>
      <c r="W2813" s="155"/>
      <c r="GL2813" s="155"/>
      <c r="GM2813" s="155"/>
      <c r="GN2813" s="155"/>
      <c r="GO2813" s="155"/>
      <c r="GP2813" s="155"/>
      <c r="GQ2813" s="155"/>
      <c r="GR2813" s="155"/>
      <c r="GS2813" s="155"/>
      <c r="GT2813" s="155"/>
      <c r="GU2813" s="155"/>
      <c r="GV2813" s="155"/>
      <c r="GW2813" s="155"/>
      <c r="GX2813" s="155"/>
      <c r="GY2813" s="155"/>
      <c r="GZ2813" s="155"/>
      <c r="HA2813" s="155"/>
      <c r="HB2813" s="155"/>
      <c r="HC2813" s="155"/>
      <c r="HD2813" s="155"/>
      <c r="HE2813" s="155"/>
    </row>
    <row r="2814" spans="2:213" s="156" customFormat="1" hidden="1">
      <c r="B2814" s="155"/>
      <c r="C2814" s="155"/>
      <c r="D2814" s="155"/>
      <c r="E2814" s="155"/>
      <c r="F2814" s="155"/>
      <c r="G2814" s="155"/>
      <c r="H2814" s="155"/>
      <c r="I2814" s="155"/>
      <c r="J2814" s="155"/>
      <c r="K2814" s="155"/>
      <c r="L2814" s="155"/>
      <c r="M2814" s="155"/>
      <c r="N2814" s="155"/>
      <c r="O2814" s="155"/>
      <c r="P2814" s="155"/>
      <c r="Q2814" s="155"/>
      <c r="R2814" s="155"/>
      <c r="S2814" s="155"/>
      <c r="T2814" s="155"/>
      <c r="U2814" s="155"/>
      <c r="V2814" s="155"/>
      <c r="W2814" s="155"/>
      <c r="GL2814" s="155"/>
      <c r="GM2814" s="155"/>
      <c r="GN2814" s="155"/>
      <c r="GO2814" s="155"/>
      <c r="GP2814" s="155"/>
      <c r="GQ2814" s="155"/>
      <c r="GR2814" s="155"/>
      <c r="GS2814" s="155"/>
      <c r="GT2814" s="155"/>
      <c r="GU2814" s="155"/>
      <c r="GV2814" s="155"/>
      <c r="GW2814" s="155"/>
      <c r="GX2814" s="155"/>
      <c r="GY2814" s="155"/>
      <c r="GZ2814" s="155"/>
      <c r="HA2814" s="155"/>
      <c r="HB2814" s="155"/>
      <c r="HC2814" s="155"/>
      <c r="HD2814" s="155"/>
      <c r="HE2814" s="155"/>
    </row>
    <row r="2815" spans="2:213" s="156" customFormat="1" hidden="1">
      <c r="B2815" s="155"/>
      <c r="C2815" s="155"/>
      <c r="D2815" s="155"/>
      <c r="E2815" s="155"/>
      <c r="F2815" s="155"/>
      <c r="G2815" s="155"/>
      <c r="H2815" s="155"/>
      <c r="I2815" s="155"/>
      <c r="J2815" s="155"/>
      <c r="K2815" s="155"/>
      <c r="L2815" s="155"/>
      <c r="M2815" s="155"/>
      <c r="N2815" s="155"/>
      <c r="O2815" s="155"/>
      <c r="P2815" s="155"/>
      <c r="Q2815" s="155"/>
      <c r="R2815" s="155"/>
      <c r="S2815" s="155"/>
      <c r="T2815" s="155"/>
      <c r="U2815" s="155"/>
      <c r="V2815" s="155"/>
      <c r="W2815" s="155"/>
      <c r="GL2815" s="155"/>
      <c r="GM2815" s="155"/>
      <c r="GN2815" s="155"/>
      <c r="GO2815" s="155"/>
      <c r="GP2815" s="155"/>
      <c r="GQ2815" s="155"/>
      <c r="GR2815" s="155"/>
      <c r="GS2815" s="155"/>
      <c r="GT2815" s="155"/>
      <c r="GU2815" s="155"/>
      <c r="GV2815" s="155"/>
      <c r="GW2815" s="155"/>
      <c r="GX2815" s="155"/>
      <c r="GY2815" s="155"/>
      <c r="GZ2815" s="155"/>
      <c r="HA2815" s="155"/>
      <c r="HB2815" s="155"/>
      <c r="HC2815" s="155"/>
      <c r="HD2815" s="155"/>
      <c r="HE2815" s="155"/>
    </row>
    <row r="2816" spans="2:213" s="156" customFormat="1" hidden="1">
      <c r="B2816" s="155"/>
      <c r="C2816" s="155"/>
      <c r="D2816" s="155"/>
      <c r="E2816" s="155"/>
      <c r="F2816" s="155"/>
      <c r="G2816" s="155"/>
      <c r="H2816" s="155"/>
      <c r="I2816" s="155"/>
      <c r="J2816" s="155"/>
      <c r="K2816" s="155"/>
      <c r="L2816" s="155"/>
      <c r="M2816" s="155"/>
      <c r="N2816" s="155"/>
      <c r="O2816" s="155"/>
      <c r="P2816" s="155"/>
      <c r="Q2816" s="155"/>
      <c r="R2816" s="155"/>
      <c r="S2816" s="155"/>
      <c r="T2816" s="155"/>
      <c r="U2816" s="155"/>
      <c r="V2816" s="155"/>
      <c r="W2816" s="155"/>
      <c r="GL2816" s="155"/>
      <c r="GM2816" s="155"/>
      <c r="GN2816" s="155"/>
      <c r="GO2816" s="155"/>
      <c r="GP2816" s="155"/>
      <c r="GQ2816" s="155"/>
      <c r="GR2816" s="155"/>
      <c r="GS2816" s="155"/>
      <c r="GT2816" s="155"/>
      <c r="GU2816" s="155"/>
      <c r="GV2816" s="155"/>
      <c r="GW2816" s="155"/>
      <c r="GX2816" s="155"/>
      <c r="GY2816" s="155"/>
      <c r="GZ2816" s="155"/>
      <c r="HA2816" s="155"/>
      <c r="HB2816" s="155"/>
      <c r="HC2816" s="155"/>
      <c r="HD2816" s="155"/>
      <c r="HE2816" s="155"/>
    </row>
    <row r="2817" spans="2:213" s="156" customFormat="1" hidden="1">
      <c r="B2817" s="155"/>
      <c r="C2817" s="155"/>
      <c r="D2817" s="155"/>
      <c r="E2817" s="155"/>
      <c r="F2817" s="155"/>
      <c r="G2817" s="155"/>
      <c r="H2817" s="155"/>
      <c r="I2817" s="155"/>
      <c r="J2817" s="155"/>
      <c r="K2817" s="155"/>
      <c r="L2817" s="155"/>
      <c r="M2817" s="155"/>
      <c r="N2817" s="155"/>
      <c r="O2817" s="155"/>
      <c r="P2817" s="155"/>
      <c r="Q2817" s="155"/>
      <c r="R2817" s="155"/>
      <c r="S2817" s="155"/>
      <c r="T2817" s="155"/>
      <c r="U2817" s="155"/>
      <c r="V2817" s="155"/>
      <c r="W2817" s="155"/>
      <c r="GL2817" s="155"/>
      <c r="GM2817" s="155"/>
      <c r="GN2817" s="155"/>
      <c r="GO2817" s="155"/>
      <c r="GP2817" s="155"/>
      <c r="GQ2817" s="155"/>
      <c r="GR2817" s="155"/>
      <c r="GS2817" s="155"/>
      <c r="GT2817" s="155"/>
      <c r="GU2817" s="155"/>
      <c r="GV2817" s="155"/>
      <c r="GW2817" s="155"/>
      <c r="GX2817" s="155"/>
      <c r="GY2817" s="155"/>
      <c r="GZ2817" s="155"/>
      <c r="HA2817" s="155"/>
      <c r="HB2817" s="155"/>
      <c r="HC2817" s="155"/>
      <c r="HD2817" s="155"/>
      <c r="HE2817" s="155"/>
    </row>
    <row r="2818" spans="2:213" s="156" customFormat="1" hidden="1">
      <c r="B2818" s="155"/>
      <c r="C2818" s="155"/>
      <c r="D2818" s="155"/>
      <c r="E2818" s="155"/>
      <c r="F2818" s="155"/>
      <c r="G2818" s="155"/>
      <c r="H2818" s="155"/>
      <c r="I2818" s="155"/>
      <c r="J2818" s="155"/>
      <c r="K2818" s="155"/>
      <c r="L2818" s="155"/>
      <c r="M2818" s="155"/>
      <c r="N2818" s="155"/>
      <c r="O2818" s="155"/>
      <c r="P2818" s="155"/>
      <c r="Q2818" s="155"/>
      <c r="R2818" s="155"/>
      <c r="S2818" s="155"/>
      <c r="T2818" s="155"/>
      <c r="U2818" s="155"/>
      <c r="V2818" s="155"/>
      <c r="W2818" s="155"/>
      <c r="GL2818" s="155"/>
      <c r="GM2818" s="155"/>
      <c r="GN2818" s="155"/>
      <c r="GO2818" s="155"/>
      <c r="GP2818" s="155"/>
      <c r="GQ2818" s="155"/>
      <c r="GR2818" s="155"/>
      <c r="GS2818" s="155"/>
      <c r="GT2818" s="155"/>
      <c r="GU2818" s="155"/>
      <c r="GV2818" s="155"/>
      <c r="GW2818" s="155"/>
      <c r="GX2818" s="155"/>
      <c r="GY2818" s="155"/>
      <c r="GZ2818" s="155"/>
      <c r="HA2818" s="155"/>
      <c r="HB2818" s="155"/>
      <c r="HC2818" s="155"/>
      <c r="HD2818" s="155"/>
      <c r="HE2818" s="155"/>
    </row>
    <row r="2819" spans="2:213" s="156" customFormat="1" hidden="1">
      <c r="B2819" s="155"/>
      <c r="C2819" s="155"/>
      <c r="D2819" s="155"/>
      <c r="E2819" s="155"/>
      <c r="F2819" s="155"/>
      <c r="G2819" s="155"/>
      <c r="H2819" s="155"/>
      <c r="I2819" s="155"/>
      <c r="J2819" s="155"/>
      <c r="K2819" s="155"/>
      <c r="L2819" s="155"/>
      <c r="M2819" s="155"/>
      <c r="N2819" s="155"/>
      <c r="O2819" s="155"/>
      <c r="P2819" s="155"/>
      <c r="Q2819" s="155"/>
      <c r="R2819" s="155"/>
      <c r="S2819" s="155"/>
      <c r="T2819" s="155"/>
      <c r="U2819" s="155"/>
      <c r="V2819" s="155"/>
      <c r="W2819" s="155"/>
      <c r="GL2819" s="155"/>
      <c r="GM2819" s="155"/>
      <c r="GN2819" s="155"/>
      <c r="GO2819" s="155"/>
      <c r="GP2819" s="155"/>
      <c r="GQ2819" s="155"/>
      <c r="GR2819" s="155"/>
      <c r="GS2819" s="155"/>
      <c r="GT2819" s="155"/>
      <c r="GU2819" s="155"/>
      <c r="GV2819" s="155"/>
      <c r="GW2819" s="155"/>
      <c r="GX2819" s="155"/>
      <c r="GY2819" s="155"/>
      <c r="GZ2819" s="155"/>
      <c r="HA2819" s="155"/>
      <c r="HB2819" s="155"/>
      <c r="HC2819" s="155"/>
      <c r="HD2819" s="155"/>
      <c r="HE2819" s="155"/>
    </row>
    <row r="2820" spans="2:213" s="156" customFormat="1" hidden="1">
      <c r="B2820" s="155"/>
      <c r="C2820" s="155"/>
      <c r="D2820" s="155"/>
      <c r="E2820" s="155"/>
      <c r="F2820" s="155"/>
      <c r="G2820" s="155"/>
      <c r="H2820" s="155"/>
      <c r="I2820" s="155"/>
      <c r="J2820" s="155"/>
      <c r="K2820" s="155"/>
      <c r="L2820" s="155"/>
      <c r="M2820" s="155"/>
      <c r="N2820" s="155"/>
      <c r="O2820" s="155"/>
      <c r="P2820" s="155"/>
      <c r="Q2820" s="155"/>
      <c r="R2820" s="155"/>
      <c r="S2820" s="155"/>
      <c r="T2820" s="155"/>
      <c r="U2820" s="155"/>
      <c r="V2820" s="155"/>
      <c r="W2820" s="155"/>
      <c r="GL2820" s="155"/>
      <c r="GM2820" s="155"/>
      <c r="GN2820" s="155"/>
      <c r="GO2820" s="155"/>
      <c r="GP2820" s="155"/>
      <c r="GQ2820" s="155"/>
      <c r="GR2820" s="155"/>
      <c r="GS2820" s="155"/>
      <c r="GT2820" s="155"/>
      <c r="GU2820" s="155"/>
      <c r="GV2820" s="155"/>
      <c r="GW2820" s="155"/>
      <c r="GX2820" s="155"/>
      <c r="GY2820" s="155"/>
      <c r="GZ2820" s="155"/>
      <c r="HA2820" s="155"/>
      <c r="HB2820" s="155"/>
      <c r="HC2820" s="155"/>
      <c r="HD2820" s="155"/>
      <c r="HE2820" s="155"/>
    </row>
    <row r="2821" spans="2:213" s="156" customFormat="1" hidden="1">
      <c r="B2821" s="155"/>
      <c r="C2821" s="155"/>
      <c r="D2821" s="155"/>
      <c r="E2821" s="155"/>
      <c r="F2821" s="155"/>
      <c r="G2821" s="155"/>
      <c r="H2821" s="155"/>
      <c r="I2821" s="155"/>
      <c r="J2821" s="155"/>
      <c r="K2821" s="155"/>
      <c r="L2821" s="155"/>
      <c r="M2821" s="155"/>
      <c r="N2821" s="155"/>
      <c r="O2821" s="155"/>
      <c r="P2821" s="155"/>
      <c r="Q2821" s="155"/>
      <c r="R2821" s="155"/>
      <c r="S2821" s="155"/>
      <c r="T2821" s="155"/>
      <c r="U2821" s="155"/>
      <c r="V2821" s="155"/>
      <c r="W2821" s="155"/>
      <c r="GL2821" s="155"/>
      <c r="GM2821" s="155"/>
      <c r="GN2821" s="155"/>
      <c r="GO2821" s="155"/>
      <c r="GP2821" s="155"/>
      <c r="GQ2821" s="155"/>
      <c r="GR2821" s="155"/>
      <c r="GS2821" s="155"/>
      <c r="GT2821" s="155"/>
      <c r="GU2821" s="155"/>
      <c r="GV2821" s="155"/>
      <c r="GW2821" s="155"/>
      <c r="GX2821" s="155"/>
      <c r="GY2821" s="155"/>
      <c r="GZ2821" s="155"/>
      <c r="HA2821" s="155"/>
      <c r="HB2821" s="155"/>
      <c r="HC2821" s="155"/>
      <c r="HD2821" s="155"/>
      <c r="HE2821" s="155"/>
    </row>
    <row r="2822" spans="2:213" s="156" customFormat="1" hidden="1">
      <c r="B2822" s="155"/>
      <c r="C2822" s="155"/>
      <c r="D2822" s="155"/>
      <c r="E2822" s="155"/>
      <c r="F2822" s="155"/>
      <c r="G2822" s="155"/>
      <c r="H2822" s="155"/>
      <c r="I2822" s="155"/>
      <c r="J2822" s="155"/>
      <c r="K2822" s="155"/>
      <c r="L2822" s="155"/>
      <c r="M2822" s="155"/>
      <c r="N2822" s="155"/>
      <c r="O2822" s="155"/>
      <c r="P2822" s="155"/>
      <c r="Q2822" s="155"/>
      <c r="R2822" s="155"/>
      <c r="S2822" s="155"/>
      <c r="T2822" s="155"/>
      <c r="U2822" s="155"/>
      <c r="V2822" s="155"/>
      <c r="W2822" s="155"/>
      <c r="GL2822" s="155"/>
      <c r="GM2822" s="155"/>
      <c r="GN2822" s="155"/>
      <c r="GO2822" s="155"/>
      <c r="GP2822" s="155"/>
      <c r="GQ2822" s="155"/>
      <c r="GR2822" s="155"/>
      <c r="GS2822" s="155"/>
      <c r="GT2822" s="155"/>
      <c r="GU2822" s="155"/>
      <c r="GV2822" s="155"/>
      <c r="GW2822" s="155"/>
      <c r="GX2822" s="155"/>
      <c r="GY2822" s="155"/>
      <c r="GZ2822" s="155"/>
      <c r="HA2822" s="155"/>
      <c r="HB2822" s="155"/>
      <c r="HC2822" s="155"/>
      <c r="HD2822" s="155"/>
      <c r="HE2822" s="155"/>
    </row>
    <row r="2823" spans="2:213" s="156" customFormat="1" hidden="1">
      <c r="B2823" s="155"/>
      <c r="C2823" s="155"/>
      <c r="D2823" s="155"/>
      <c r="E2823" s="155"/>
      <c r="F2823" s="155"/>
      <c r="G2823" s="155"/>
      <c r="H2823" s="155"/>
      <c r="I2823" s="155"/>
      <c r="J2823" s="155"/>
      <c r="K2823" s="155"/>
      <c r="L2823" s="155"/>
      <c r="M2823" s="155"/>
      <c r="N2823" s="155"/>
      <c r="O2823" s="155"/>
      <c r="P2823" s="155"/>
      <c r="Q2823" s="155"/>
      <c r="R2823" s="155"/>
      <c r="S2823" s="155"/>
      <c r="T2823" s="155"/>
      <c r="U2823" s="155"/>
      <c r="V2823" s="155"/>
      <c r="W2823" s="155"/>
      <c r="GL2823" s="155"/>
      <c r="GM2823" s="155"/>
      <c r="GN2823" s="155"/>
      <c r="GO2823" s="155"/>
      <c r="GP2823" s="155"/>
      <c r="GQ2823" s="155"/>
      <c r="GR2823" s="155"/>
      <c r="GS2823" s="155"/>
      <c r="GT2823" s="155"/>
      <c r="GU2823" s="155"/>
      <c r="GV2823" s="155"/>
      <c r="GW2823" s="155"/>
      <c r="GX2823" s="155"/>
      <c r="GY2823" s="155"/>
      <c r="GZ2823" s="155"/>
      <c r="HA2823" s="155"/>
      <c r="HB2823" s="155"/>
      <c r="HC2823" s="155"/>
      <c r="HD2823" s="155"/>
      <c r="HE2823" s="155"/>
    </row>
    <row r="2824" spans="2:213" s="156" customFormat="1" hidden="1">
      <c r="B2824" s="155"/>
      <c r="C2824" s="155"/>
      <c r="D2824" s="155"/>
      <c r="E2824" s="155"/>
      <c r="F2824" s="155"/>
      <c r="G2824" s="155"/>
      <c r="H2824" s="155"/>
      <c r="I2824" s="155"/>
      <c r="J2824" s="155"/>
      <c r="K2824" s="155"/>
      <c r="L2824" s="155"/>
      <c r="M2824" s="155"/>
      <c r="N2824" s="155"/>
      <c r="O2824" s="155"/>
      <c r="P2824" s="155"/>
      <c r="Q2824" s="155"/>
      <c r="R2824" s="155"/>
      <c r="S2824" s="155"/>
      <c r="T2824" s="155"/>
      <c r="U2824" s="155"/>
      <c r="V2824" s="155"/>
      <c r="W2824" s="155"/>
      <c r="GL2824" s="155"/>
      <c r="GM2824" s="155"/>
      <c r="GN2824" s="155"/>
      <c r="GO2824" s="155"/>
      <c r="GP2824" s="155"/>
      <c r="GQ2824" s="155"/>
      <c r="GR2824" s="155"/>
      <c r="GS2824" s="155"/>
      <c r="GT2824" s="155"/>
      <c r="GU2824" s="155"/>
      <c r="GV2824" s="155"/>
      <c r="GW2824" s="155"/>
      <c r="GX2824" s="155"/>
      <c r="GY2824" s="155"/>
      <c r="GZ2824" s="155"/>
      <c r="HA2824" s="155"/>
      <c r="HB2824" s="155"/>
      <c r="HC2824" s="155"/>
      <c r="HD2824" s="155"/>
      <c r="HE2824" s="155"/>
    </row>
    <row r="2825" spans="2:213" s="156" customFormat="1" hidden="1">
      <c r="B2825" s="155"/>
      <c r="C2825" s="155"/>
      <c r="D2825" s="155"/>
      <c r="E2825" s="155"/>
      <c r="F2825" s="155"/>
      <c r="G2825" s="155"/>
      <c r="H2825" s="155"/>
      <c r="I2825" s="155"/>
      <c r="J2825" s="155"/>
      <c r="K2825" s="155"/>
      <c r="L2825" s="155"/>
      <c r="M2825" s="155"/>
      <c r="N2825" s="155"/>
      <c r="O2825" s="155"/>
      <c r="P2825" s="155"/>
      <c r="Q2825" s="155"/>
      <c r="R2825" s="155"/>
      <c r="S2825" s="155"/>
      <c r="T2825" s="155"/>
      <c r="U2825" s="155"/>
      <c r="V2825" s="155"/>
      <c r="W2825" s="155"/>
      <c r="GL2825" s="155"/>
      <c r="GM2825" s="155"/>
      <c r="GN2825" s="155"/>
      <c r="GO2825" s="155"/>
      <c r="GP2825" s="155"/>
      <c r="GQ2825" s="155"/>
      <c r="GR2825" s="155"/>
      <c r="GS2825" s="155"/>
      <c r="GT2825" s="155"/>
      <c r="GU2825" s="155"/>
      <c r="GV2825" s="155"/>
      <c r="GW2825" s="155"/>
      <c r="GX2825" s="155"/>
      <c r="GY2825" s="155"/>
      <c r="GZ2825" s="155"/>
      <c r="HA2825" s="155"/>
      <c r="HB2825" s="155"/>
      <c r="HC2825" s="155"/>
      <c r="HD2825" s="155"/>
      <c r="HE2825" s="155"/>
    </row>
    <row r="2826" spans="2:213" s="156" customFormat="1" hidden="1">
      <c r="B2826" s="155"/>
      <c r="C2826" s="155"/>
      <c r="D2826" s="155"/>
      <c r="E2826" s="155"/>
      <c r="F2826" s="155"/>
      <c r="G2826" s="155"/>
      <c r="H2826" s="155"/>
      <c r="I2826" s="155"/>
      <c r="J2826" s="155"/>
      <c r="K2826" s="155"/>
      <c r="L2826" s="155"/>
      <c r="M2826" s="155"/>
      <c r="N2826" s="155"/>
      <c r="O2826" s="155"/>
      <c r="P2826" s="155"/>
      <c r="Q2826" s="155"/>
      <c r="R2826" s="155"/>
      <c r="S2826" s="155"/>
      <c r="T2826" s="155"/>
      <c r="U2826" s="155"/>
      <c r="V2826" s="155"/>
      <c r="W2826" s="155"/>
      <c r="GL2826" s="155"/>
      <c r="GM2826" s="155"/>
      <c r="GN2826" s="155"/>
      <c r="GO2826" s="155"/>
      <c r="GP2826" s="155"/>
      <c r="GQ2826" s="155"/>
      <c r="GR2826" s="155"/>
      <c r="GS2826" s="155"/>
      <c r="GT2826" s="155"/>
      <c r="GU2826" s="155"/>
      <c r="GV2826" s="155"/>
      <c r="GW2826" s="155"/>
      <c r="GX2826" s="155"/>
      <c r="GY2826" s="155"/>
      <c r="GZ2826" s="155"/>
      <c r="HA2826" s="155"/>
      <c r="HB2826" s="155"/>
      <c r="HC2826" s="155"/>
      <c r="HD2826" s="155"/>
      <c r="HE2826" s="155"/>
    </row>
    <row r="2827" spans="2:213" s="156" customFormat="1" hidden="1">
      <c r="B2827" s="155"/>
      <c r="C2827" s="155"/>
      <c r="D2827" s="155"/>
      <c r="E2827" s="155"/>
      <c r="F2827" s="155"/>
      <c r="G2827" s="155"/>
      <c r="H2827" s="155"/>
      <c r="I2827" s="155"/>
      <c r="J2827" s="155"/>
      <c r="K2827" s="155"/>
      <c r="L2827" s="155"/>
      <c r="M2827" s="155"/>
      <c r="N2827" s="155"/>
      <c r="O2827" s="155"/>
      <c r="P2827" s="155"/>
      <c r="Q2827" s="155"/>
      <c r="R2827" s="155"/>
      <c r="S2827" s="155"/>
      <c r="T2827" s="155"/>
      <c r="U2827" s="155"/>
      <c r="V2827" s="155"/>
      <c r="W2827" s="155"/>
      <c r="GL2827" s="155"/>
      <c r="GM2827" s="155"/>
      <c r="GN2827" s="155"/>
      <c r="GO2827" s="155"/>
      <c r="GP2827" s="155"/>
      <c r="GQ2827" s="155"/>
      <c r="GR2827" s="155"/>
      <c r="GS2827" s="155"/>
      <c r="GT2827" s="155"/>
      <c r="GU2827" s="155"/>
      <c r="GV2827" s="155"/>
      <c r="GW2827" s="155"/>
      <c r="GX2827" s="155"/>
      <c r="GY2827" s="155"/>
      <c r="GZ2827" s="155"/>
      <c r="HA2827" s="155"/>
      <c r="HB2827" s="155"/>
      <c r="HC2827" s="155"/>
      <c r="HD2827" s="155"/>
      <c r="HE2827" s="155"/>
    </row>
    <row r="2828" spans="2:213" s="156" customFormat="1" hidden="1">
      <c r="B2828" s="155"/>
      <c r="C2828" s="155"/>
      <c r="D2828" s="155"/>
      <c r="E2828" s="155"/>
      <c r="F2828" s="155"/>
      <c r="G2828" s="155"/>
      <c r="H2828" s="155"/>
      <c r="I2828" s="155"/>
      <c r="J2828" s="155"/>
      <c r="K2828" s="155"/>
      <c r="L2828" s="155"/>
      <c r="M2828" s="155"/>
      <c r="N2828" s="155"/>
      <c r="O2828" s="155"/>
      <c r="P2828" s="155"/>
      <c r="Q2828" s="155"/>
      <c r="R2828" s="155"/>
      <c r="S2828" s="155"/>
      <c r="T2828" s="155"/>
      <c r="U2828" s="155"/>
      <c r="V2828" s="155"/>
      <c r="W2828" s="155"/>
      <c r="GL2828" s="155"/>
      <c r="GM2828" s="155"/>
      <c r="GN2828" s="155"/>
      <c r="GO2828" s="155"/>
      <c r="GP2828" s="155"/>
      <c r="GQ2828" s="155"/>
      <c r="GR2828" s="155"/>
      <c r="GS2828" s="155"/>
      <c r="GT2828" s="155"/>
      <c r="GU2828" s="155"/>
      <c r="GV2828" s="155"/>
      <c r="GW2828" s="155"/>
      <c r="GX2828" s="155"/>
      <c r="GY2828" s="155"/>
      <c r="GZ2828" s="155"/>
      <c r="HA2828" s="155"/>
      <c r="HB2828" s="155"/>
      <c r="HC2828" s="155"/>
      <c r="HD2828" s="155"/>
      <c r="HE2828" s="155"/>
    </row>
    <row r="2829" spans="2:213" s="156" customFormat="1" hidden="1">
      <c r="B2829" s="155"/>
      <c r="C2829" s="155"/>
      <c r="D2829" s="155"/>
      <c r="E2829" s="155"/>
      <c r="F2829" s="155"/>
      <c r="G2829" s="155"/>
      <c r="H2829" s="155"/>
      <c r="I2829" s="155"/>
      <c r="J2829" s="155"/>
      <c r="K2829" s="155"/>
      <c r="L2829" s="155"/>
      <c r="M2829" s="155"/>
      <c r="N2829" s="155"/>
      <c r="O2829" s="155"/>
      <c r="P2829" s="155"/>
      <c r="Q2829" s="155"/>
      <c r="R2829" s="155"/>
      <c r="S2829" s="155"/>
      <c r="T2829" s="155"/>
      <c r="U2829" s="155"/>
      <c r="V2829" s="155"/>
      <c r="W2829" s="155"/>
      <c r="GL2829" s="155"/>
      <c r="GM2829" s="155"/>
      <c r="GN2829" s="155"/>
      <c r="GO2829" s="155"/>
      <c r="GP2829" s="155"/>
      <c r="GQ2829" s="155"/>
      <c r="GR2829" s="155"/>
      <c r="GS2829" s="155"/>
      <c r="GT2829" s="155"/>
      <c r="GU2829" s="155"/>
      <c r="GV2829" s="155"/>
      <c r="GW2829" s="155"/>
      <c r="GX2829" s="155"/>
      <c r="GY2829" s="155"/>
      <c r="GZ2829" s="155"/>
      <c r="HA2829" s="155"/>
      <c r="HB2829" s="155"/>
      <c r="HC2829" s="155"/>
      <c r="HD2829" s="155"/>
      <c r="HE2829" s="155"/>
    </row>
    <row r="2830" spans="2:213" s="156" customFormat="1" hidden="1">
      <c r="B2830" s="155"/>
      <c r="C2830" s="155"/>
      <c r="D2830" s="155"/>
      <c r="E2830" s="155"/>
      <c r="F2830" s="155"/>
      <c r="G2830" s="155"/>
      <c r="H2830" s="155"/>
      <c r="I2830" s="155"/>
      <c r="J2830" s="155"/>
      <c r="K2830" s="155"/>
      <c r="L2830" s="155"/>
      <c r="M2830" s="155"/>
      <c r="N2830" s="155"/>
      <c r="O2830" s="155"/>
      <c r="P2830" s="155"/>
      <c r="Q2830" s="155"/>
      <c r="R2830" s="155"/>
      <c r="S2830" s="155"/>
      <c r="T2830" s="155"/>
      <c r="U2830" s="155"/>
      <c r="V2830" s="155"/>
      <c r="W2830" s="155"/>
      <c r="GL2830" s="155"/>
      <c r="GM2830" s="155"/>
      <c r="GN2830" s="155"/>
      <c r="GO2830" s="155"/>
      <c r="GP2830" s="155"/>
      <c r="GQ2830" s="155"/>
      <c r="GR2830" s="155"/>
      <c r="GS2830" s="155"/>
      <c r="GT2830" s="155"/>
      <c r="GU2830" s="155"/>
      <c r="GV2830" s="155"/>
      <c r="GW2830" s="155"/>
      <c r="GX2830" s="155"/>
      <c r="GY2830" s="155"/>
      <c r="GZ2830" s="155"/>
      <c r="HA2830" s="155"/>
      <c r="HB2830" s="155"/>
      <c r="HC2830" s="155"/>
      <c r="HD2830" s="155"/>
      <c r="HE2830" s="155"/>
    </row>
    <row r="2831" spans="2:213" s="156" customFormat="1" hidden="1">
      <c r="B2831" s="155"/>
      <c r="C2831" s="155"/>
      <c r="D2831" s="155"/>
      <c r="E2831" s="155"/>
      <c r="F2831" s="155"/>
      <c r="G2831" s="155"/>
      <c r="H2831" s="155"/>
      <c r="I2831" s="155"/>
      <c r="J2831" s="155"/>
      <c r="K2831" s="155"/>
      <c r="L2831" s="155"/>
      <c r="M2831" s="155"/>
      <c r="N2831" s="155"/>
      <c r="O2831" s="155"/>
      <c r="P2831" s="155"/>
      <c r="Q2831" s="155"/>
      <c r="R2831" s="155"/>
      <c r="S2831" s="155"/>
      <c r="T2831" s="155"/>
      <c r="U2831" s="155"/>
      <c r="V2831" s="155"/>
      <c r="W2831" s="155"/>
      <c r="GL2831" s="155"/>
      <c r="GM2831" s="155"/>
      <c r="GN2831" s="155"/>
      <c r="GO2831" s="155"/>
      <c r="GP2831" s="155"/>
      <c r="GQ2831" s="155"/>
      <c r="GR2831" s="155"/>
      <c r="GS2831" s="155"/>
      <c r="GT2831" s="155"/>
      <c r="GU2831" s="155"/>
      <c r="GV2831" s="155"/>
      <c r="GW2831" s="155"/>
      <c r="GX2831" s="155"/>
      <c r="GY2831" s="155"/>
      <c r="GZ2831" s="155"/>
      <c r="HA2831" s="155"/>
      <c r="HB2831" s="155"/>
      <c r="HC2831" s="155"/>
      <c r="HD2831" s="155"/>
      <c r="HE2831" s="155"/>
    </row>
    <row r="2832" spans="2:213" s="156" customFormat="1" hidden="1">
      <c r="B2832" s="155"/>
      <c r="C2832" s="155"/>
      <c r="D2832" s="155"/>
      <c r="E2832" s="155"/>
      <c r="F2832" s="155"/>
      <c r="G2832" s="155"/>
      <c r="H2832" s="155"/>
      <c r="I2832" s="155"/>
      <c r="J2832" s="155"/>
      <c r="K2832" s="155"/>
      <c r="L2832" s="155"/>
      <c r="M2832" s="155"/>
      <c r="N2832" s="155"/>
      <c r="O2832" s="155"/>
      <c r="P2832" s="155"/>
      <c r="Q2832" s="155"/>
      <c r="R2832" s="155"/>
      <c r="S2832" s="155"/>
      <c r="T2832" s="155"/>
      <c r="U2832" s="155"/>
      <c r="V2832" s="155"/>
      <c r="W2832" s="155"/>
      <c r="GL2832" s="155"/>
      <c r="GM2832" s="155"/>
      <c r="GN2832" s="155"/>
      <c r="GO2832" s="155"/>
      <c r="GP2832" s="155"/>
      <c r="GQ2832" s="155"/>
      <c r="GR2832" s="155"/>
      <c r="GS2832" s="155"/>
      <c r="GT2832" s="155"/>
      <c r="GU2832" s="155"/>
      <c r="GV2832" s="155"/>
      <c r="GW2832" s="155"/>
      <c r="GX2832" s="155"/>
      <c r="GY2832" s="155"/>
      <c r="GZ2832" s="155"/>
      <c r="HA2832" s="155"/>
      <c r="HB2832" s="155"/>
      <c r="HC2832" s="155"/>
      <c r="HD2832" s="155"/>
      <c r="HE2832" s="155"/>
    </row>
    <row r="2833" spans="2:213" s="156" customFormat="1" hidden="1">
      <c r="B2833" s="155"/>
      <c r="C2833" s="155"/>
      <c r="D2833" s="155"/>
      <c r="E2833" s="155"/>
      <c r="F2833" s="155"/>
      <c r="G2833" s="155"/>
      <c r="H2833" s="155"/>
      <c r="I2833" s="155"/>
      <c r="J2833" s="155"/>
      <c r="K2833" s="155"/>
      <c r="L2833" s="155"/>
      <c r="M2833" s="155"/>
      <c r="N2833" s="155"/>
      <c r="O2833" s="155"/>
      <c r="P2833" s="155"/>
      <c r="Q2833" s="155"/>
      <c r="R2833" s="155"/>
      <c r="S2833" s="155"/>
      <c r="T2833" s="155"/>
      <c r="U2833" s="155"/>
      <c r="V2833" s="155"/>
      <c r="W2833" s="155"/>
      <c r="GL2833" s="155"/>
      <c r="GM2833" s="155"/>
      <c r="GN2833" s="155"/>
      <c r="GO2833" s="155"/>
      <c r="GP2833" s="155"/>
      <c r="GQ2833" s="155"/>
      <c r="GR2833" s="155"/>
      <c r="GS2833" s="155"/>
      <c r="GT2833" s="155"/>
      <c r="GU2833" s="155"/>
      <c r="GV2833" s="155"/>
      <c r="GW2833" s="155"/>
      <c r="GX2833" s="155"/>
      <c r="GY2833" s="155"/>
      <c r="GZ2833" s="155"/>
      <c r="HA2833" s="155"/>
      <c r="HB2833" s="155"/>
      <c r="HC2833" s="155"/>
      <c r="HD2833" s="155"/>
      <c r="HE2833" s="155"/>
    </row>
    <row r="2834" spans="2:213" s="156" customFormat="1" hidden="1">
      <c r="B2834" s="155"/>
      <c r="C2834" s="155"/>
      <c r="D2834" s="155"/>
      <c r="E2834" s="155"/>
      <c r="F2834" s="155"/>
      <c r="G2834" s="155"/>
      <c r="H2834" s="155"/>
      <c r="I2834" s="155"/>
      <c r="J2834" s="155"/>
      <c r="K2834" s="155"/>
      <c r="L2834" s="155"/>
      <c r="M2834" s="155"/>
      <c r="N2834" s="155"/>
      <c r="O2834" s="155"/>
      <c r="P2834" s="155"/>
      <c r="Q2834" s="155"/>
      <c r="R2834" s="155"/>
      <c r="S2834" s="155"/>
      <c r="T2834" s="155"/>
      <c r="U2834" s="155"/>
      <c r="V2834" s="155"/>
      <c r="W2834" s="155"/>
      <c r="GL2834" s="155"/>
      <c r="GM2834" s="155"/>
      <c r="GN2834" s="155"/>
      <c r="GO2834" s="155"/>
      <c r="GP2834" s="155"/>
      <c r="GQ2834" s="155"/>
      <c r="GR2834" s="155"/>
      <c r="GS2834" s="155"/>
      <c r="GT2834" s="155"/>
      <c r="GU2834" s="155"/>
      <c r="GV2834" s="155"/>
      <c r="GW2834" s="155"/>
      <c r="GX2834" s="155"/>
      <c r="GY2834" s="155"/>
      <c r="GZ2834" s="155"/>
      <c r="HA2834" s="155"/>
      <c r="HB2834" s="155"/>
      <c r="HC2834" s="155"/>
      <c r="HD2834" s="155"/>
      <c r="HE2834" s="155"/>
    </row>
    <row r="2835" spans="2:213" s="156" customFormat="1" hidden="1">
      <c r="B2835" s="155"/>
      <c r="C2835" s="155"/>
      <c r="D2835" s="155"/>
      <c r="E2835" s="155"/>
      <c r="F2835" s="155"/>
      <c r="G2835" s="155"/>
      <c r="H2835" s="155"/>
      <c r="I2835" s="155"/>
      <c r="J2835" s="155"/>
      <c r="K2835" s="155"/>
      <c r="L2835" s="155"/>
      <c r="M2835" s="155"/>
      <c r="N2835" s="155"/>
      <c r="O2835" s="155"/>
      <c r="P2835" s="155"/>
      <c r="Q2835" s="155"/>
      <c r="R2835" s="155"/>
      <c r="S2835" s="155"/>
      <c r="T2835" s="155"/>
      <c r="U2835" s="155"/>
      <c r="V2835" s="155"/>
      <c r="W2835" s="155"/>
      <c r="GL2835" s="155"/>
      <c r="GM2835" s="155"/>
      <c r="GN2835" s="155"/>
      <c r="GO2835" s="155"/>
      <c r="GP2835" s="155"/>
      <c r="GQ2835" s="155"/>
      <c r="GR2835" s="155"/>
      <c r="GS2835" s="155"/>
      <c r="GT2835" s="155"/>
      <c r="GU2835" s="155"/>
      <c r="GV2835" s="155"/>
      <c r="GW2835" s="155"/>
      <c r="GX2835" s="155"/>
      <c r="GY2835" s="155"/>
      <c r="GZ2835" s="155"/>
      <c r="HA2835" s="155"/>
      <c r="HB2835" s="155"/>
      <c r="HC2835" s="155"/>
      <c r="HD2835" s="155"/>
      <c r="HE2835" s="155"/>
    </row>
    <row r="2836" spans="2:213" s="156" customFormat="1" hidden="1">
      <c r="B2836" s="155"/>
      <c r="C2836" s="155"/>
      <c r="D2836" s="155"/>
      <c r="E2836" s="155"/>
      <c r="F2836" s="155"/>
      <c r="G2836" s="155"/>
      <c r="H2836" s="155"/>
      <c r="I2836" s="155"/>
      <c r="J2836" s="155"/>
      <c r="K2836" s="155"/>
      <c r="L2836" s="155"/>
      <c r="M2836" s="155"/>
      <c r="N2836" s="155"/>
      <c r="O2836" s="155"/>
      <c r="P2836" s="155"/>
      <c r="Q2836" s="155"/>
      <c r="R2836" s="155"/>
      <c r="S2836" s="155"/>
      <c r="T2836" s="155"/>
      <c r="U2836" s="155"/>
      <c r="V2836" s="155"/>
      <c r="W2836" s="155"/>
      <c r="GL2836" s="155"/>
      <c r="GM2836" s="155"/>
      <c r="GN2836" s="155"/>
      <c r="GO2836" s="155"/>
      <c r="GP2836" s="155"/>
      <c r="GQ2836" s="155"/>
      <c r="GR2836" s="155"/>
      <c r="GS2836" s="155"/>
      <c r="GT2836" s="155"/>
      <c r="GU2836" s="155"/>
      <c r="GV2836" s="155"/>
      <c r="GW2836" s="155"/>
      <c r="GX2836" s="155"/>
      <c r="GY2836" s="155"/>
      <c r="GZ2836" s="155"/>
      <c r="HA2836" s="155"/>
      <c r="HB2836" s="155"/>
      <c r="HC2836" s="155"/>
      <c r="HD2836" s="155"/>
      <c r="HE2836" s="155"/>
    </row>
    <row r="2837" spans="2:213" s="156" customFormat="1" hidden="1">
      <c r="B2837" s="155"/>
      <c r="C2837" s="155"/>
      <c r="D2837" s="155"/>
      <c r="E2837" s="155"/>
      <c r="F2837" s="155"/>
      <c r="G2837" s="155"/>
      <c r="H2837" s="155"/>
      <c r="I2837" s="155"/>
      <c r="J2837" s="155"/>
      <c r="K2837" s="155"/>
      <c r="L2837" s="155"/>
      <c r="M2837" s="155"/>
      <c r="N2837" s="155"/>
      <c r="O2837" s="155"/>
      <c r="P2837" s="155"/>
      <c r="Q2837" s="155"/>
      <c r="R2837" s="155"/>
      <c r="S2837" s="155"/>
      <c r="T2837" s="155"/>
      <c r="U2837" s="155"/>
      <c r="V2837" s="155"/>
      <c r="W2837" s="155"/>
      <c r="GL2837" s="155"/>
      <c r="GM2837" s="155"/>
      <c r="GN2837" s="155"/>
      <c r="GO2837" s="155"/>
      <c r="GP2837" s="155"/>
      <c r="GQ2837" s="155"/>
      <c r="GR2837" s="155"/>
      <c r="GS2837" s="155"/>
      <c r="GT2837" s="155"/>
      <c r="GU2837" s="155"/>
      <c r="GV2837" s="155"/>
      <c r="GW2837" s="155"/>
      <c r="GX2837" s="155"/>
      <c r="GY2837" s="155"/>
      <c r="GZ2837" s="155"/>
      <c r="HA2837" s="155"/>
      <c r="HB2837" s="155"/>
      <c r="HC2837" s="155"/>
      <c r="HD2837" s="155"/>
      <c r="HE2837" s="155"/>
    </row>
    <row r="2838" spans="2:213" s="156" customFormat="1" hidden="1">
      <c r="B2838" s="155"/>
      <c r="C2838" s="155"/>
      <c r="D2838" s="155"/>
      <c r="E2838" s="155"/>
      <c r="F2838" s="155"/>
      <c r="G2838" s="155"/>
      <c r="H2838" s="155"/>
      <c r="I2838" s="155"/>
      <c r="J2838" s="155"/>
      <c r="K2838" s="155"/>
      <c r="L2838" s="155"/>
      <c r="M2838" s="155"/>
      <c r="N2838" s="155"/>
      <c r="O2838" s="155"/>
      <c r="P2838" s="155"/>
      <c r="Q2838" s="155"/>
      <c r="R2838" s="155"/>
      <c r="S2838" s="155"/>
      <c r="T2838" s="155"/>
      <c r="U2838" s="155"/>
      <c r="V2838" s="155"/>
      <c r="W2838" s="155"/>
      <c r="GL2838" s="155"/>
      <c r="GM2838" s="155"/>
      <c r="GN2838" s="155"/>
      <c r="GO2838" s="155"/>
      <c r="GP2838" s="155"/>
      <c r="GQ2838" s="155"/>
      <c r="GR2838" s="155"/>
      <c r="GS2838" s="155"/>
      <c r="GT2838" s="155"/>
      <c r="GU2838" s="155"/>
      <c r="GV2838" s="155"/>
      <c r="GW2838" s="155"/>
      <c r="GX2838" s="155"/>
      <c r="GY2838" s="155"/>
      <c r="GZ2838" s="155"/>
      <c r="HA2838" s="155"/>
      <c r="HB2838" s="155"/>
      <c r="HC2838" s="155"/>
      <c r="HD2838" s="155"/>
      <c r="HE2838" s="155"/>
    </row>
    <row r="2839" spans="2:213" s="156" customFormat="1" hidden="1">
      <c r="B2839" s="155"/>
      <c r="C2839" s="155"/>
      <c r="D2839" s="155"/>
      <c r="E2839" s="155"/>
      <c r="F2839" s="155"/>
      <c r="G2839" s="155"/>
      <c r="H2839" s="155"/>
      <c r="I2839" s="155"/>
      <c r="J2839" s="155"/>
      <c r="K2839" s="155"/>
      <c r="L2839" s="155"/>
      <c r="M2839" s="155"/>
      <c r="N2839" s="155"/>
      <c r="O2839" s="155"/>
      <c r="P2839" s="155"/>
      <c r="Q2839" s="155"/>
      <c r="R2839" s="155"/>
      <c r="S2839" s="155"/>
      <c r="T2839" s="155"/>
      <c r="U2839" s="155"/>
      <c r="V2839" s="155"/>
      <c r="W2839" s="155"/>
      <c r="GL2839" s="155"/>
      <c r="GM2839" s="155"/>
      <c r="GN2839" s="155"/>
      <c r="GO2839" s="155"/>
      <c r="GP2839" s="155"/>
      <c r="GQ2839" s="155"/>
      <c r="GR2839" s="155"/>
      <c r="GS2839" s="155"/>
      <c r="GT2839" s="155"/>
      <c r="GU2839" s="155"/>
      <c r="GV2839" s="155"/>
      <c r="GW2839" s="155"/>
      <c r="GX2839" s="155"/>
      <c r="GY2839" s="155"/>
      <c r="GZ2839" s="155"/>
      <c r="HA2839" s="155"/>
      <c r="HB2839" s="155"/>
      <c r="HC2839" s="155"/>
      <c r="HD2839" s="155"/>
      <c r="HE2839" s="155"/>
    </row>
    <row r="2840" spans="2:213" s="156" customFormat="1" hidden="1">
      <c r="B2840" s="155"/>
      <c r="C2840" s="155"/>
      <c r="D2840" s="155"/>
      <c r="E2840" s="155"/>
      <c r="F2840" s="155"/>
      <c r="G2840" s="155"/>
      <c r="H2840" s="155"/>
      <c r="I2840" s="155"/>
      <c r="J2840" s="155"/>
      <c r="K2840" s="155"/>
      <c r="L2840" s="155"/>
      <c r="M2840" s="155"/>
      <c r="N2840" s="155"/>
      <c r="O2840" s="155"/>
      <c r="P2840" s="155"/>
      <c r="Q2840" s="155"/>
      <c r="R2840" s="155"/>
      <c r="S2840" s="155"/>
      <c r="T2840" s="155"/>
      <c r="U2840" s="155"/>
      <c r="V2840" s="155"/>
      <c r="W2840" s="155"/>
      <c r="GL2840" s="155"/>
      <c r="GM2840" s="155"/>
      <c r="GN2840" s="155"/>
      <c r="GO2840" s="155"/>
      <c r="GP2840" s="155"/>
      <c r="GQ2840" s="155"/>
      <c r="GR2840" s="155"/>
      <c r="GS2840" s="155"/>
      <c r="GT2840" s="155"/>
      <c r="GU2840" s="155"/>
      <c r="GV2840" s="155"/>
      <c r="GW2840" s="155"/>
      <c r="GX2840" s="155"/>
      <c r="GY2840" s="155"/>
      <c r="GZ2840" s="155"/>
      <c r="HA2840" s="155"/>
      <c r="HB2840" s="155"/>
      <c r="HC2840" s="155"/>
      <c r="HD2840" s="155"/>
      <c r="HE2840" s="155"/>
    </row>
    <row r="2841" spans="2:213" s="156" customFormat="1" hidden="1">
      <c r="B2841" s="155"/>
      <c r="C2841" s="155"/>
      <c r="D2841" s="155"/>
      <c r="E2841" s="155"/>
      <c r="F2841" s="155"/>
      <c r="G2841" s="155"/>
      <c r="H2841" s="155"/>
      <c r="I2841" s="155"/>
      <c r="J2841" s="155"/>
      <c r="K2841" s="155"/>
      <c r="L2841" s="155"/>
      <c r="M2841" s="155"/>
      <c r="N2841" s="155"/>
      <c r="O2841" s="155"/>
      <c r="P2841" s="155"/>
      <c r="Q2841" s="155"/>
      <c r="R2841" s="155"/>
      <c r="S2841" s="155"/>
      <c r="T2841" s="155"/>
      <c r="U2841" s="155"/>
      <c r="V2841" s="155"/>
      <c r="W2841" s="155"/>
      <c r="GL2841" s="155"/>
      <c r="GM2841" s="155"/>
      <c r="GN2841" s="155"/>
      <c r="GO2841" s="155"/>
      <c r="GP2841" s="155"/>
      <c r="GQ2841" s="155"/>
      <c r="GR2841" s="155"/>
      <c r="GS2841" s="155"/>
      <c r="GT2841" s="155"/>
      <c r="GU2841" s="155"/>
      <c r="GV2841" s="155"/>
      <c r="GW2841" s="155"/>
      <c r="GX2841" s="155"/>
      <c r="GY2841" s="155"/>
      <c r="GZ2841" s="155"/>
      <c r="HA2841" s="155"/>
      <c r="HB2841" s="155"/>
      <c r="HC2841" s="155"/>
      <c r="HD2841" s="155"/>
      <c r="HE2841" s="155"/>
    </row>
    <row r="2842" spans="2:213" s="156" customFormat="1" hidden="1">
      <c r="B2842" s="155"/>
      <c r="C2842" s="155"/>
      <c r="D2842" s="155"/>
      <c r="E2842" s="155"/>
      <c r="F2842" s="155"/>
      <c r="G2842" s="155"/>
      <c r="H2842" s="155"/>
      <c r="I2842" s="155"/>
      <c r="J2842" s="155"/>
      <c r="K2842" s="155"/>
      <c r="L2842" s="155"/>
      <c r="M2842" s="155"/>
      <c r="N2842" s="155"/>
      <c r="O2842" s="155"/>
      <c r="P2842" s="155"/>
      <c r="Q2842" s="155"/>
      <c r="R2842" s="155"/>
      <c r="S2842" s="155"/>
      <c r="T2842" s="155"/>
      <c r="U2842" s="155"/>
      <c r="V2842" s="155"/>
      <c r="W2842" s="155"/>
      <c r="GL2842" s="155"/>
      <c r="GM2842" s="155"/>
      <c r="GN2842" s="155"/>
      <c r="GO2842" s="155"/>
      <c r="GP2842" s="155"/>
      <c r="GQ2842" s="155"/>
      <c r="GR2842" s="155"/>
      <c r="GS2842" s="155"/>
      <c r="GT2842" s="155"/>
      <c r="GU2842" s="155"/>
      <c r="GV2842" s="155"/>
      <c r="GW2842" s="155"/>
      <c r="GX2842" s="155"/>
      <c r="GY2842" s="155"/>
      <c r="GZ2842" s="155"/>
      <c r="HA2842" s="155"/>
      <c r="HB2842" s="155"/>
      <c r="HC2842" s="155"/>
      <c r="HD2842" s="155"/>
      <c r="HE2842" s="155"/>
    </row>
    <row r="2843" spans="2:213" s="156" customFormat="1" hidden="1">
      <c r="B2843" s="155"/>
      <c r="C2843" s="155"/>
      <c r="D2843" s="155"/>
      <c r="E2843" s="155"/>
      <c r="F2843" s="155"/>
      <c r="G2843" s="155"/>
      <c r="H2843" s="155"/>
      <c r="I2843" s="155"/>
      <c r="J2843" s="155"/>
      <c r="K2843" s="155"/>
      <c r="L2843" s="155"/>
      <c r="M2843" s="155"/>
      <c r="N2843" s="155"/>
      <c r="O2843" s="155"/>
      <c r="P2843" s="155"/>
      <c r="Q2843" s="155"/>
      <c r="R2843" s="155"/>
      <c r="S2843" s="155"/>
      <c r="T2843" s="155"/>
      <c r="U2843" s="155"/>
      <c r="V2843" s="155"/>
      <c r="W2843" s="155"/>
      <c r="GL2843" s="155"/>
      <c r="GM2843" s="155"/>
      <c r="GN2843" s="155"/>
      <c r="GO2843" s="155"/>
      <c r="GP2843" s="155"/>
      <c r="GQ2843" s="155"/>
      <c r="GR2843" s="155"/>
      <c r="GS2843" s="155"/>
      <c r="GT2843" s="155"/>
      <c r="GU2843" s="155"/>
      <c r="GV2843" s="155"/>
      <c r="GW2843" s="155"/>
      <c r="GX2843" s="155"/>
      <c r="GY2843" s="155"/>
      <c r="GZ2843" s="155"/>
      <c r="HA2843" s="155"/>
      <c r="HB2843" s="155"/>
      <c r="HC2843" s="155"/>
      <c r="HD2843" s="155"/>
      <c r="HE2843" s="155"/>
    </row>
    <row r="2844" spans="2:213" s="156" customFormat="1" hidden="1">
      <c r="B2844" s="155"/>
      <c r="C2844" s="155"/>
      <c r="D2844" s="155"/>
      <c r="E2844" s="155"/>
      <c r="F2844" s="155"/>
      <c r="G2844" s="155"/>
      <c r="H2844" s="155"/>
      <c r="I2844" s="155"/>
      <c r="J2844" s="155"/>
      <c r="K2844" s="155"/>
      <c r="L2844" s="155"/>
      <c r="M2844" s="155"/>
      <c r="N2844" s="155"/>
      <c r="O2844" s="155"/>
      <c r="P2844" s="155"/>
      <c r="Q2844" s="155"/>
      <c r="R2844" s="155"/>
      <c r="S2844" s="155"/>
      <c r="T2844" s="155"/>
      <c r="U2844" s="155"/>
      <c r="V2844" s="155"/>
      <c r="W2844" s="155"/>
      <c r="GL2844" s="155"/>
      <c r="GM2844" s="155"/>
      <c r="GN2844" s="155"/>
      <c r="GO2844" s="155"/>
      <c r="GP2844" s="155"/>
      <c r="GQ2844" s="155"/>
      <c r="GR2844" s="155"/>
      <c r="GS2844" s="155"/>
      <c r="GT2844" s="155"/>
      <c r="GU2844" s="155"/>
      <c r="GV2844" s="155"/>
      <c r="GW2844" s="155"/>
      <c r="GX2844" s="155"/>
      <c r="GY2844" s="155"/>
      <c r="GZ2844" s="155"/>
      <c r="HA2844" s="155"/>
      <c r="HB2844" s="155"/>
      <c r="HC2844" s="155"/>
      <c r="HD2844" s="155"/>
      <c r="HE2844" s="155"/>
    </row>
    <row r="2845" spans="2:213" s="156" customFormat="1" hidden="1">
      <c r="B2845" s="155"/>
      <c r="C2845" s="155"/>
      <c r="D2845" s="155"/>
      <c r="E2845" s="155"/>
      <c r="F2845" s="155"/>
      <c r="G2845" s="155"/>
      <c r="H2845" s="155"/>
      <c r="I2845" s="155"/>
      <c r="J2845" s="155"/>
      <c r="K2845" s="155"/>
      <c r="L2845" s="155"/>
      <c r="M2845" s="155"/>
      <c r="N2845" s="155"/>
      <c r="O2845" s="155"/>
      <c r="P2845" s="155"/>
      <c r="Q2845" s="155"/>
      <c r="R2845" s="155"/>
      <c r="S2845" s="155"/>
      <c r="T2845" s="155"/>
      <c r="U2845" s="155"/>
      <c r="V2845" s="155"/>
      <c r="W2845" s="155"/>
      <c r="GL2845" s="155"/>
      <c r="GM2845" s="155"/>
      <c r="GN2845" s="155"/>
      <c r="GO2845" s="155"/>
      <c r="GP2845" s="155"/>
      <c r="GQ2845" s="155"/>
      <c r="GR2845" s="155"/>
      <c r="GS2845" s="155"/>
      <c r="GT2845" s="155"/>
      <c r="GU2845" s="155"/>
      <c r="GV2845" s="155"/>
      <c r="GW2845" s="155"/>
      <c r="GX2845" s="155"/>
      <c r="GY2845" s="155"/>
      <c r="GZ2845" s="155"/>
      <c r="HA2845" s="155"/>
      <c r="HB2845" s="155"/>
      <c r="HC2845" s="155"/>
      <c r="HD2845" s="155"/>
      <c r="HE2845" s="155"/>
    </row>
    <row r="2846" spans="2:213" s="156" customFormat="1" hidden="1">
      <c r="B2846" s="155"/>
      <c r="C2846" s="155"/>
      <c r="D2846" s="155"/>
      <c r="E2846" s="155"/>
      <c r="F2846" s="155"/>
      <c r="G2846" s="155"/>
      <c r="H2846" s="155"/>
      <c r="I2846" s="155"/>
      <c r="J2846" s="155"/>
      <c r="K2846" s="155"/>
      <c r="L2846" s="155"/>
      <c r="M2846" s="155"/>
      <c r="N2846" s="155"/>
      <c r="O2846" s="155"/>
      <c r="P2846" s="155"/>
      <c r="Q2846" s="155"/>
      <c r="R2846" s="155"/>
      <c r="S2846" s="155"/>
      <c r="T2846" s="155"/>
      <c r="U2846" s="155"/>
      <c r="V2846" s="155"/>
      <c r="W2846" s="155"/>
      <c r="GL2846" s="155"/>
      <c r="GM2846" s="155"/>
      <c r="GN2846" s="155"/>
      <c r="GO2846" s="155"/>
      <c r="GP2846" s="155"/>
      <c r="GQ2846" s="155"/>
      <c r="GR2846" s="155"/>
      <c r="GS2846" s="155"/>
      <c r="GT2846" s="155"/>
      <c r="GU2846" s="155"/>
      <c r="GV2846" s="155"/>
      <c r="GW2846" s="155"/>
      <c r="GX2846" s="155"/>
      <c r="GY2846" s="155"/>
      <c r="GZ2846" s="155"/>
      <c r="HA2846" s="155"/>
      <c r="HB2846" s="155"/>
      <c r="HC2846" s="155"/>
      <c r="HD2846" s="155"/>
      <c r="HE2846" s="155"/>
    </row>
    <row r="2847" spans="2:213" s="156" customFormat="1" hidden="1">
      <c r="B2847" s="155"/>
      <c r="C2847" s="155"/>
      <c r="D2847" s="155"/>
      <c r="E2847" s="155"/>
      <c r="F2847" s="155"/>
      <c r="G2847" s="155"/>
      <c r="H2847" s="155"/>
      <c r="I2847" s="155"/>
      <c r="J2847" s="155"/>
      <c r="K2847" s="155"/>
      <c r="L2847" s="155"/>
      <c r="M2847" s="155"/>
      <c r="N2847" s="155"/>
      <c r="O2847" s="155"/>
      <c r="P2847" s="155"/>
      <c r="Q2847" s="155"/>
      <c r="R2847" s="155"/>
      <c r="S2847" s="155"/>
      <c r="T2847" s="155"/>
      <c r="U2847" s="155"/>
      <c r="V2847" s="155"/>
      <c r="W2847" s="155"/>
      <c r="GL2847" s="155"/>
      <c r="GM2847" s="155"/>
      <c r="GN2847" s="155"/>
      <c r="GO2847" s="155"/>
      <c r="GP2847" s="155"/>
      <c r="GQ2847" s="155"/>
      <c r="GR2847" s="155"/>
      <c r="GS2847" s="155"/>
      <c r="GT2847" s="155"/>
      <c r="GU2847" s="155"/>
      <c r="GV2847" s="155"/>
      <c r="GW2847" s="155"/>
      <c r="GX2847" s="155"/>
      <c r="GY2847" s="155"/>
      <c r="GZ2847" s="155"/>
      <c r="HA2847" s="155"/>
      <c r="HB2847" s="155"/>
      <c r="HC2847" s="155"/>
      <c r="HD2847" s="155"/>
      <c r="HE2847" s="155"/>
    </row>
    <row r="2848" spans="2:213" s="156" customFormat="1" hidden="1">
      <c r="B2848" s="155"/>
      <c r="C2848" s="155"/>
      <c r="D2848" s="155"/>
      <c r="E2848" s="155"/>
      <c r="F2848" s="155"/>
      <c r="G2848" s="155"/>
      <c r="H2848" s="155"/>
      <c r="I2848" s="155"/>
      <c r="J2848" s="155"/>
      <c r="K2848" s="155"/>
      <c r="L2848" s="155"/>
      <c r="M2848" s="155"/>
      <c r="N2848" s="155"/>
      <c r="O2848" s="155"/>
      <c r="P2848" s="155"/>
      <c r="Q2848" s="155"/>
      <c r="R2848" s="155"/>
      <c r="S2848" s="155"/>
      <c r="T2848" s="155"/>
      <c r="U2848" s="155"/>
      <c r="V2848" s="155"/>
      <c r="W2848" s="155"/>
      <c r="GL2848" s="155"/>
      <c r="GM2848" s="155"/>
      <c r="GN2848" s="155"/>
      <c r="GO2848" s="155"/>
      <c r="GP2848" s="155"/>
      <c r="GQ2848" s="155"/>
      <c r="GR2848" s="155"/>
      <c r="GS2848" s="155"/>
      <c r="GT2848" s="155"/>
      <c r="GU2848" s="155"/>
      <c r="GV2848" s="155"/>
      <c r="GW2848" s="155"/>
      <c r="GX2848" s="155"/>
      <c r="GY2848" s="155"/>
      <c r="GZ2848" s="155"/>
      <c r="HA2848" s="155"/>
      <c r="HB2848" s="155"/>
      <c r="HC2848" s="155"/>
      <c r="HD2848" s="155"/>
      <c r="HE2848" s="155"/>
    </row>
    <row r="2849" spans="2:213" s="156" customFormat="1" hidden="1">
      <c r="B2849" s="155"/>
      <c r="C2849" s="155"/>
      <c r="D2849" s="155"/>
      <c r="E2849" s="155"/>
      <c r="F2849" s="155"/>
      <c r="G2849" s="155"/>
      <c r="H2849" s="155"/>
      <c r="I2849" s="155"/>
      <c r="J2849" s="155"/>
      <c r="K2849" s="155"/>
      <c r="L2849" s="155"/>
      <c r="M2849" s="155"/>
      <c r="N2849" s="155"/>
      <c r="O2849" s="155"/>
      <c r="P2849" s="155"/>
      <c r="Q2849" s="155"/>
      <c r="R2849" s="155"/>
      <c r="S2849" s="155"/>
      <c r="T2849" s="155"/>
      <c r="U2849" s="155"/>
      <c r="V2849" s="155"/>
      <c r="W2849" s="155"/>
      <c r="GL2849" s="155"/>
      <c r="GM2849" s="155"/>
      <c r="GN2849" s="155"/>
      <c r="GO2849" s="155"/>
      <c r="GP2849" s="155"/>
      <c r="GQ2849" s="155"/>
      <c r="GR2849" s="155"/>
      <c r="GS2849" s="155"/>
      <c r="GT2849" s="155"/>
      <c r="GU2849" s="155"/>
      <c r="GV2849" s="155"/>
      <c r="GW2849" s="155"/>
      <c r="GX2849" s="155"/>
      <c r="GY2849" s="155"/>
      <c r="GZ2849" s="155"/>
      <c r="HA2849" s="155"/>
      <c r="HB2849" s="155"/>
      <c r="HC2849" s="155"/>
      <c r="HD2849" s="155"/>
      <c r="HE2849" s="155"/>
    </row>
    <row r="2850" spans="2:213" s="156" customFormat="1" hidden="1">
      <c r="B2850" s="155"/>
      <c r="C2850" s="155"/>
      <c r="D2850" s="155"/>
      <c r="E2850" s="155"/>
      <c r="F2850" s="155"/>
      <c r="G2850" s="155"/>
      <c r="H2850" s="155"/>
      <c r="I2850" s="155"/>
      <c r="J2850" s="155"/>
      <c r="K2850" s="155"/>
      <c r="L2850" s="155"/>
      <c r="M2850" s="155"/>
      <c r="N2850" s="155"/>
      <c r="O2850" s="155"/>
      <c r="P2850" s="155"/>
      <c r="Q2850" s="155"/>
      <c r="R2850" s="155"/>
      <c r="S2850" s="155"/>
      <c r="T2850" s="155"/>
      <c r="U2850" s="155"/>
      <c r="V2850" s="155"/>
      <c r="W2850" s="155"/>
      <c r="GL2850" s="155"/>
      <c r="GM2850" s="155"/>
      <c r="GN2850" s="155"/>
      <c r="GO2850" s="155"/>
      <c r="GP2850" s="155"/>
      <c r="GQ2850" s="155"/>
      <c r="GR2850" s="155"/>
      <c r="GS2850" s="155"/>
      <c r="GT2850" s="155"/>
      <c r="GU2850" s="155"/>
      <c r="GV2850" s="155"/>
      <c r="GW2850" s="155"/>
      <c r="GX2850" s="155"/>
      <c r="GY2850" s="155"/>
      <c r="GZ2850" s="155"/>
      <c r="HA2850" s="155"/>
      <c r="HB2850" s="155"/>
      <c r="HC2850" s="155"/>
      <c r="HD2850" s="155"/>
      <c r="HE2850" s="155"/>
    </row>
    <row r="2851" spans="2:213" s="156" customFormat="1" hidden="1">
      <c r="B2851" s="155"/>
      <c r="C2851" s="155"/>
      <c r="D2851" s="155"/>
      <c r="E2851" s="155"/>
      <c r="F2851" s="155"/>
      <c r="G2851" s="155"/>
      <c r="H2851" s="155"/>
      <c r="I2851" s="155"/>
      <c r="J2851" s="155"/>
      <c r="K2851" s="155"/>
      <c r="L2851" s="155"/>
      <c r="M2851" s="155"/>
      <c r="N2851" s="155"/>
      <c r="O2851" s="155"/>
      <c r="P2851" s="155"/>
      <c r="Q2851" s="155"/>
      <c r="R2851" s="155"/>
      <c r="S2851" s="155"/>
      <c r="T2851" s="155"/>
      <c r="U2851" s="155"/>
      <c r="V2851" s="155"/>
      <c r="W2851" s="155"/>
      <c r="GL2851" s="155"/>
      <c r="GM2851" s="155"/>
      <c r="GN2851" s="155"/>
      <c r="GO2851" s="155"/>
      <c r="GP2851" s="155"/>
      <c r="GQ2851" s="155"/>
      <c r="GR2851" s="155"/>
      <c r="GS2851" s="155"/>
      <c r="GT2851" s="155"/>
      <c r="GU2851" s="155"/>
      <c r="GV2851" s="155"/>
      <c r="GW2851" s="155"/>
      <c r="GX2851" s="155"/>
      <c r="GY2851" s="155"/>
      <c r="GZ2851" s="155"/>
      <c r="HA2851" s="155"/>
      <c r="HB2851" s="155"/>
      <c r="HC2851" s="155"/>
      <c r="HD2851" s="155"/>
      <c r="HE2851" s="155"/>
    </row>
    <row r="2852" spans="2:213" s="156" customFormat="1" hidden="1">
      <c r="B2852" s="155"/>
      <c r="C2852" s="155"/>
      <c r="D2852" s="155"/>
      <c r="E2852" s="155"/>
      <c r="F2852" s="155"/>
      <c r="G2852" s="155"/>
      <c r="H2852" s="155"/>
      <c r="I2852" s="155"/>
      <c r="J2852" s="155"/>
      <c r="K2852" s="155"/>
      <c r="L2852" s="155"/>
      <c r="M2852" s="155"/>
      <c r="N2852" s="155"/>
      <c r="O2852" s="155"/>
      <c r="P2852" s="155"/>
      <c r="Q2852" s="155"/>
      <c r="R2852" s="155"/>
      <c r="S2852" s="155"/>
      <c r="T2852" s="155"/>
      <c r="U2852" s="155"/>
      <c r="V2852" s="155"/>
      <c r="W2852" s="155"/>
      <c r="GL2852" s="155"/>
      <c r="GM2852" s="155"/>
      <c r="GN2852" s="155"/>
      <c r="GO2852" s="155"/>
      <c r="GP2852" s="155"/>
      <c r="GQ2852" s="155"/>
      <c r="GR2852" s="155"/>
      <c r="GS2852" s="155"/>
      <c r="GT2852" s="155"/>
      <c r="GU2852" s="155"/>
      <c r="GV2852" s="155"/>
      <c r="GW2852" s="155"/>
      <c r="GX2852" s="155"/>
      <c r="GY2852" s="155"/>
      <c r="GZ2852" s="155"/>
      <c r="HA2852" s="155"/>
      <c r="HB2852" s="155"/>
      <c r="HC2852" s="155"/>
      <c r="HD2852" s="155"/>
      <c r="HE2852" s="155"/>
    </row>
    <row r="2853" spans="2:213" s="156" customFormat="1" hidden="1">
      <c r="B2853" s="155"/>
      <c r="C2853" s="155"/>
      <c r="D2853" s="155"/>
      <c r="E2853" s="155"/>
      <c r="F2853" s="155"/>
      <c r="G2853" s="155"/>
      <c r="H2853" s="155"/>
      <c r="I2853" s="155"/>
      <c r="J2853" s="155"/>
      <c r="K2853" s="155"/>
      <c r="L2853" s="155"/>
      <c r="M2853" s="155"/>
      <c r="N2853" s="155"/>
      <c r="O2853" s="155"/>
      <c r="P2853" s="155"/>
      <c r="Q2853" s="155"/>
      <c r="R2853" s="155"/>
      <c r="S2853" s="155"/>
      <c r="T2853" s="155"/>
      <c r="U2853" s="155"/>
      <c r="V2853" s="155"/>
      <c r="W2853" s="155"/>
      <c r="GL2853" s="155"/>
      <c r="GM2853" s="155"/>
      <c r="GN2853" s="155"/>
      <c r="GO2853" s="155"/>
      <c r="GP2853" s="155"/>
      <c r="GQ2853" s="155"/>
      <c r="GR2853" s="155"/>
      <c r="GS2853" s="155"/>
      <c r="GT2853" s="155"/>
      <c r="GU2853" s="155"/>
      <c r="GV2853" s="155"/>
      <c r="GW2853" s="155"/>
      <c r="GX2853" s="155"/>
      <c r="GY2853" s="155"/>
      <c r="GZ2853" s="155"/>
      <c r="HA2853" s="155"/>
      <c r="HB2853" s="155"/>
      <c r="HC2853" s="155"/>
      <c r="HD2853" s="155"/>
      <c r="HE2853" s="155"/>
    </row>
    <row r="2854" spans="2:213" s="156" customFormat="1" hidden="1">
      <c r="B2854" s="155"/>
      <c r="C2854" s="155"/>
      <c r="D2854" s="155"/>
      <c r="E2854" s="155"/>
      <c r="F2854" s="155"/>
      <c r="G2854" s="155"/>
      <c r="H2854" s="155"/>
      <c r="I2854" s="155"/>
      <c r="J2854" s="155"/>
      <c r="K2854" s="155"/>
      <c r="L2854" s="155"/>
      <c r="M2854" s="155"/>
      <c r="N2854" s="155"/>
      <c r="O2854" s="155"/>
      <c r="P2854" s="155"/>
      <c r="Q2854" s="155"/>
      <c r="R2854" s="155"/>
      <c r="S2854" s="155"/>
      <c r="T2854" s="155"/>
      <c r="U2854" s="155"/>
      <c r="V2854" s="155"/>
      <c r="W2854" s="155"/>
      <c r="GL2854" s="155"/>
      <c r="GM2854" s="155"/>
      <c r="GN2854" s="155"/>
      <c r="GO2854" s="155"/>
      <c r="GP2854" s="155"/>
      <c r="GQ2854" s="155"/>
      <c r="GR2854" s="155"/>
      <c r="GS2854" s="155"/>
      <c r="GT2854" s="155"/>
      <c r="GU2854" s="155"/>
      <c r="GV2854" s="155"/>
      <c r="GW2854" s="155"/>
      <c r="GX2854" s="155"/>
      <c r="GY2854" s="155"/>
      <c r="GZ2854" s="155"/>
      <c r="HA2854" s="155"/>
      <c r="HB2854" s="155"/>
      <c r="HC2854" s="155"/>
      <c r="HD2854" s="155"/>
      <c r="HE2854" s="155"/>
    </row>
    <row r="2855" spans="2:213" s="156" customFormat="1" hidden="1">
      <c r="B2855" s="155"/>
      <c r="C2855" s="155"/>
      <c r="D2855" s="155"/>
      <c r="E2855" s="155"/>
      <c r="F2855" s="155"/>
      <c r="G2855" s="155"/>
      <c r="H2855" s="155"/>
      <c r="I2855" s="155"/>
      <c r="J2855" s="155"/>
      <c r="K2855" s="155"/>
      <c r="L2855" s="155"/>
      <c r="M2855" s="155"/>
      <c r="N2855" s="155"/>
      <c r="O2855" s="155"/>
      <c r="P2855" s="155"/>
      <c r="Q2855" s="155"/>
      <c r="R2855" s="155"/>
      <c r="S2855" s="155"/>
      <c r="T2855" s="155"/>
      <c r="U2855" s="155"/>
      <c r="V2855" s="155"/>
      <c r="W2855" s="155"/>
      <c r="GL2855" s="155"/>
      <c r="GM2855" s="155"/>
      <c r="GN2855" s="155"/>
      <c r="GO2855" s="155"/>
      <c r="GP2855" s="155"/>
      <c r="GQ2855" s="155"/>
      <c r="GR2855" s="155"/>
      <c r="GS2855" s="155"/>
      <c r="GT2855" s="155"/>
      <c r="GU2855" s="155"/>
      <c r="GV2855" s="155"/>
      <c r="GW2855" s="155"/>
      <c r="GX2855" s="155"/>
      <c r="GY2855" s="155"/>
      <c r="GZ2855" s="155"/>
      <c r="HA2855" s="155"/>
      <c r="HB2855" s="155"/>
      <c r="HC2855" s="155"/>
      <c r="HD2855" s="155"/>
      <c r="HE2855" s="155"/>
    </row>
    <row r="2856" spans="2:213" s="156" customFormat="1" hidden="1">
      <c r="B2856" s="155"/>
      <c r="C2856" s="155"/>
      <c r="D2856" s="155"/>
      <c r="E2856" s="155"/>
      <c r="F2856" s="155"/>
      <c r="G2856" s="155"/>
      <c r="H2856" s="155"/>
      <c r="I2856" s="155"/>
      <c r="J2856" s="155"/>
      <c r="K2856" s="155"/>
      <c r="L2856" s="155"/>
      <c r="M2856" s="155"/>
      <c r="N2856" s="155"/>
      <c r="O2856" s="155"/>
      <c r="P2856" s="155"/>
      <c r="Q2856" s="155"/>
      <c r="R2856" s="155"/>
      <c r="S2856" s="155"/>
      <c r="T2856" s="155"/>
      <c r="U2856" s="155"/>
      <c r="V2856" s="155"/>
      <c r="W2856" s="155"/>
      <c r="GL2856" s="155"/>
      <c r="GM2856" s="155"/>
      <c r="GN2856" s="155"/>
      <c r="GO2856" s="155"/>
      <c r="GP2856" s="155"/>
      <c r="GQ2856" s="155"/>
      <c r="GR2856" s="155"/>
      <c r="GS2856" s="155"/>
      <c r="GT2856" s="155"/>
      <c r="GU2856" s="155"/>
      <c r="GV2856" s="155"/>
      <c r="GW2856" s="155"/>
      <c r="GX2856" s="155"/>
      <c r="GY2856" s="155"/>
      <c r="GZ2856" s="155"/>
      <c r="HA2856" s="155"/>
      <c r="HB2856" s="155"/>
      <c r="HC2856" s="155"/>
      <c r="HD2856" s="155"/>
      <c r="HE2856" s="155"/>
    </row>
    <row r="2857" spans="2:213" s="156" customFormat="1" hidden="1">
      <c r="B2857" s="155"/>
      <c r="C2857" s="155"/>
      <c r="D2857" s="155"/>
      <c r="E2857" s="155"/>
      <c r="F2857" s="155"/>
      <c r="G2857" s="155"/>
      <c r="H2857" s="155"/>
      <c r="I2857" s="155"/>
      <c r="J2857" s="155"/>
      <c r="K2857" s="155"/>
      <c r="L2857" s="155"/>
      <c r="M2857" s="155"/>
      <c r="N2857" s="155"/>
      <c r="O2857" s="155"/>
      <c r="P2857" s="155"/>
      <c r="Q2857" s="155"/>
      <c r="R2857" s="155"/>
      <c r="S2857" s="155"/>
      <c r="T2857" s="155"/>
      <c r="U2857" s="155"/>
      <c r="V2857" s="155"/>
      <c r="W2857" s="155"/>
      <c r="GL2857" s="155"/>
      <c r="GM2857" s="155"/>
      <c r="GN2857" s="155"/>
      <c r="GO2857" s="155"/>
      <c r="GP2857" s="155"/>
      <c r="GQ2857" s="155"/>
      <c r="GR2857" s="155"/>
      <c r="GS2857" s="155"/>
      <c r="GT2857" s="155"/>
      <c r="GU2857" s="155"/>
      <c r="GV2857" s="155"/>
      <c r="GW2857" s="155"/>
      <c r="GX2857" s="155"/>
      <c r="GY2857" s="155"/>
      <c r="GZ2857" s="155"/>
      <c r="HA2857" s="155"/>
      <c r="HB2857" s="155"/>
      <c r="HC2857" s="155"/>
      <c r="HD2857" s="155"/>
      <c r="HE2857" s="155"/>
    </row>
    <row r="2858" spans="2:213" s="156" customFormat="1" hidden="1">
      <c r="B2858" s="155"/>
      <c r="C2858" s="155"/>
      <c r="D2858" s="155"/>
      <c r="E2858" s="155"/>
      <c r="F2858" s="155"/>
      <c r="G2858" s="155"/>
      <c r="H2858" s="155"/>
      <c r="I2858" s="155"/>
      <c r="J2858" s="155"/>
      <c r="K2858" s="155"/>
      <c r="L2858" s="155"/>
      <c r="M2858" s="155"/>
      <c r="N2858" s="155"/>
      <c r="O2858" s="155"/>
      <c r="P2858" s="155"/>
      <c r="Q2858" s="155"/>
      <c r="R2858" s="155"/>
      <c r="S2858" s="155"/>
      <c r="T2858" s="155"/>
      <c r="U2858" s="155"/>
      <c r="V2858" s="155"/>
      <c r="W2858" s="155"/>
      <c r="GL2858" s="155"/>
      <c r="GM2858" s="155"/>
      <c r="GN2858" s="155"/>
      <c r="GO2858" s="155"/>
      <c r="GP2858" s="155"/>
      <c r="GQ2858" s="155"/>
      <c r="GR2858" s="155"/>
      <c r="GS2858" s="155"/>
      <c r="GT2858" s="155"/>
      <c r="GU2858" s="155"/>
      <c r="GV2858" s="155"/>
      <c r="GW2858" s="155"/>
      <c r="GX2858" s="155"/>
      <c r="GY2858" s="155"/>
      <c r="GZ2858" s="155"/>
      <c r="HA2858" s="155"/>
      <c r="HB2858" s="155"/>
      <c r="HC2858" s="155"/>
      <c r="HD2858" s="155"/>
      <c r="HE2858" s="155"/>
    </row>
    <row r="2859" spans="2:213" s="156" customFormat="1" hidden="1">
      <c r="B2859" s="155"/>
      <c r="C2859" s="155"/>
      <c r="D2859" s="155"/>
      <c r="E2859" s="155"/>
      <c r="F2859" s="155"/>
      <c r="G2859" s="155"/>
      <c r="H2859" s="155"/>
      <c r="I2859" s="155"/>
      <c r="J2859" s="155"/>
      <c r="K2859" s="155"/>
      <c r="L2859" s="155"/>
      <c r="M2859" s="155"/>
      <c r="N2859" s="155"/>
      <c r="O2859" s="155"/>
      <c r="P2859" s="155"/>
      <c r="Q2859" s="155"/>
      <c r="R2859" s="155"/>
      <c r="S2859" s="155"/>
      <c r="T2859" s="155"/>
      <c r="U2859" s="155"/>
      <c r="V2859" s="155"/>
      <c r="W2859" s="155"/>
      <c r="GL2859" s="155"/>
      <c r="GM2859" s="155"/>
      <c r="GN2859" s="155"/>
      <c r="GO2859" s="155"/>
      <c r="GP2859" s="155"/>
      <c r="GQ2859" s="155"/>
      <c r="GR2859" s="155"/>
      <c r="GS2859" s="155"/>
      <c r="GT2859" s="155"/>
      <c r="GU2859" s="155"/>
      <c r="GV2859" s="155"/>
      <c r="GW2859" s="155"/>
      <c r="GX2859" s="155"/>
      <c r="GY2859" s="155"/>
      <c r="GZ2859" s="155"/>
      <c r="HA2859" s="155"/>
      <c r="HB2859" s="155"/>
      <c r="HC2859" s="155"/>
      <c r="HD2859" s="155"/>
      <c r="HE2859" s="155"/>
    </row>
    <row r="2860" spans="2:213" s="156" customFormat="1" hidden="1">
      <c r="B2860" s="155"/>
      <c r="C2860" s="155"/>
      <c r="D2860" s="155"/>
      <c r="E2860" s="155"/>
      <c r="F2860" s="155"/>
      <c r="G2860" s="155"/>
      <c r="H2860" s="155"/>
      <c r="I2860" s="155"/>
      <c r="J2860" s="155"/>
      <c r="K2860" s="155"/>
      <c r="L2860" s="155"/>
      <c r="M2860" s="155"/>
      <c r="N2860" s="155"/>
      <c r="O2860" s="155"/>
      <c r="P2860" s="155"/>
      <c r="Q2860" s="155"/>
      <c r="R2860" s="155"/>
      <c r="S2860" s="155"/>
      <c r="T2860" s="155"/>
      <c r="U2860" s="155"/>
      <c r="V2860" s="155"/>
      <c r="W2860" s="155"/>
      <c r="GL2860" s="155"/>
      <c r="GM2860" s="155"/>
      <c r="GN2860" s="155"/>
      <c r="GO2860" s="155"/>
      <c r="GP2860" s="155"/>
      <c r="GQ2860" s="155"/>
      <c r="GR2860" s="155"/>
      <c r="GS2860" s="155"/>
      <c r="GT2860" s="155"/>
      <c r="GU2860" s="155"/>
      <c r="GV2860" s="155"/>
      <c r="GW2860" s="155"/>
      <c r="GX2860" s="155"/>
      <c r="GY2860" s="155"/>
      <c r="GZ2860" s="155"/>
      <c r="HA2860" s="155"/>
      <c r="HB2860" s="155"/>
      <c r="HC2860" s="155"/>
      <c r="HD2860" s="155"/>
      <c r="HE2860" s="155"/>
    </row>
    <row r="2861" spans="2:213" s="156" customFormat="1" hidden="1">
      <c r="B2861" s="155"/>
      <c r="C2861" s="155"/>
      <c r="D2861" s="155"/>
      <c r="E2861" s="155"/>
      <c r="F2861" s="155"/>
      <c r="G2861" s="155"/>
      <c r="H2861" s="155"/>
      <c r="I2861" s="155"/>
      <c r="J2861" s="155"/>
      <c r="K2861" s="155"/>
      <c r="L2861" s="155"/>
      <c r="M2861" s="155"/>
      <c r="N2861" s="155"/>
      <c r="O2861" s="155"/>
      <c r="P2861" s="155"/>
      <c r="Q2861" s="155"/>
      <c r="R2861" s="155"/>
      <c r="S2861" s="155"/>
      <c r="T2861" s="155"/>
      <c r="U2861" s="155"/>
      <c r="V2861" s="155"/>
      <c r="W2861" s="155"/>
      <c r="GL2861" s="155"/>
      <c r="GM2861" s="155"/>
      <c r="GN2861" s="155"/>
      <c r="GO2861" s="155"/>
      <c r="GP2861" s="155"/>
      <c r="GQ2861" s="155"/>
      <c r="GR2861" s="155"/>
      <c r="GS2861" s="155"/>
      <c r="GT2861" s="155"/>
      <c r="GU2861" s="155"/>
      <c r="GV2861" s="155"/>
      <c r="GW2861" s="155"/>
      <c r="GX2861" s="155"/>
      <c r="GY2861" s="155"/>
      <c r="GZ2861" s="155"/>
      <c r="HA2861" s="155"/>
      <c r="HB2861" s="155"/>
      <c r="HC2861" s="155"/>
      <c r="HD2861" s="155"/>
      <c r="HE2861" s="155"/>
    </row>
    <row r="2862" spans="2:213" s="156" customFormat="1" hidden="1">
      <c r="B2862" s="155"/>
      <c r="C2862" s="155"/>
      <c r="D2862" s="155"/>
      <c r="E2862" s="155"/>
      <c r="F2862" s="155"/>
      <c r="G2862" s="155"/>
      <c r="H2862" s="155"/>
      <c r="I2862" s="155"/>
      <c r="J2862" s="155"/>
      <c r="K2862" s="155"/>
      <c r="L2862" s="155"/>
      <c r="M2862" s="155"/>
      <c r="N2862" s="155"/>
      <c r="O2862" s="155"/>
      <c r="P2862" s="155"/>
      <c r="Q2862" s="155"/>
      <c r="R2862" s="155"/>
      <c r="S2862" s="155"/>
      <c r="T2862" s="155"/>
      <c r="U2862" s="155"/>
      <c r="V2862" s="155"/>
      <c r="W2862" s="155"/>
      <c r="GL2862" s="155"/>
      <c r="GM2862" s="155"/>
      <c r="GN2862" s="155"/>
      <c r="GO2862" s="155"/>
      <c r="GP2862" s="155"/>
      <c r="GQ2862" s="155"/>
      <c r="GR2862" s="155"/>
      <c r="GS2862" s="155"/>
      <c r="GT2862" s="155"/>
      <c r="GU2862" s="155"/>
      <c r="GV2862" s="155"/>
      <c r="GW2862" s="155"/>
      <c r="GX2862" s="155"/>
      <c r="GY2862" s="155"/>
      <c r="GZ2862" s="155"/>
      <c r="HA2862" s="155"/>
      <c r="HB2862" s="155"/>
      <c r="HC2862" s="155"/>
      <c r="HD2862" s="155"/>
      <c r="HE2862" s="155"/>
    </row>
    <row r="2863" spans="2:213" s="156" customFormat="1" hidden="1">
      <c r="B2863" s="155"/>
      <c r="C2863" s="155"/>
      <c r="D2863" s="155"/>
      <c r="E2863" s="155"/>
      <c r="F2863" s="155"/>
      <c r="G2863" s="155"/>
      <c r="H2863" s="155"/>
      <c r="I2863" s="155"/>
      <c r="J2863" s="155"/>
      <c r="K2863" s="155"/>
      <c r="L2863" s="155"/>
      <c r="M2863" s="155"/>
      <c r="N2863" s="155"/>
      <c r="O2863" s="155"/>
      <c r="P2863" s="155"/>
      <c r="Q2863" s="155"/>
      <c r="R2863" s="155"/>
      <c r="S2863" s="155"/>
      <c r="T2863" s="155"/>
      <c r="U2863" s="155"/>
      <c r="V2863" s="155"/>
      <c r="W2863" s="155"/>
      <c r="GL2863" s="155"/>
      <c r="GM2863" s="155"/>
      <c r="GN2863" s="155"/>
      <c r="GO2863" s="155"/>
      <c r="GP2863" s="155"/>
      <c r="GQ2863" s="155"/>
      <c r="GR2863" s="155"/>
      <c r="GS2863" s="155"/>
      <c r="GT2863" s="155"/>
      <c r="GU2863" s="155"/>
      <c r="GV2863" s="155"/>
      <c r="GW2863" s="155"/>
      <c r="GX2863" s="155"/>
      <c r="GY2863" s="155"/>
      <c r="GZ2863" s="155"/>
      <c r="HA2863" s="155"/>
      <c r="HB2863" s="155"/>
      <c r="HC2863" s="155"/>
      <c r="HD2863" s="155"/>
      <c r="HE2863" s="155"/>
    </row>
    <row r="2864" spans="2:213" s="156" customFormat="1" hidden="1">
      <c r="B2864" s="155"/>
      <c r="C2864" s="155"/>
      <c r="D2864" s="155"/>
      <c r="E2864" s="155"/>
      <c r="F2864" s="155"/>
      <c r="G2864" s="155"/>
      <c r="H2864" s="155"/>
      <c r="I2864" s="155"/>
      <c r="J2864" s="155"/>
      <c r="K2864" s="155"/>
      <c r="L2864" s="155"/>
      <c r="M2864" s="155"/>
      <c r="N2864" s="155"/>
      <c r="O2864" s="155"/>
      <c r="P2864" s="155"/>
      <c r="Q2864" s="155"/>
      <c r="R2864" s="155"/>
      <c r="S2864" s="155"/>
      <c r="T2864" s="155"/>
      <c r="U2864" s="155"/>
      <c r="V2864" s="155"/>
      <c r="W2864" s="155"/>
      <c r="GL2864" s="155"/>
      <c r="GM2864" s="155"/>
      <c r="GN2864" s="155"/>
      <c r="GO2864" s="155"/>
      <c r="GP2864" s="155"/>
      <c r="GQ2864" s="155"/>
      <c r="GR2864" s="155"/>
      <c r="GS2864" s="155"/>
      <c r="GT2864" s="155"/>
      <c r="GU2864" s="155"/>
      <c r="GV2864" s="155"/>
      <c r="GW2864" s="155"/>
      <c r="GX2864" s="155"/>
      <c r="GY2864" s="155"/>
      <c r="GZ2864" s="155"/>
      <c r="HA2864" s="155"/>
      <c r="HB2864" s="155"/>
      <c r="HC2864" s="155"/>
      <c r="HD2864" s="155"/>
      <c r="HE2864" s="155"/>
    </row>
    <row r="2865" spans="2:213" s="156" customFormat="1" hidden="1">
      <c r="B2865" s="155"/>
      <c r="C2865" s="155"/>
      <c r="D2865" s="155"/>
      <c r="E2865" s="155"/>
      <c r="F2865" s="155"/>
      <c r="G2865" s="155"/>
      <c r="H2865" s="155"/>
      <c r="I2865" s="155"/>
      <c r="J2865" s="155"/>
      <c r="K2865" s="155"/>
      <c r="L2865" s="155"/>
      <c r="M2865" s="155"/>
      <c r="N2865" s="155"/>
      <c r="O2865" s="155"/>
      <c r="P2865" s="155"/>
      <c r="Q2865" s="155"/>
      <c r="R2865" s="155"/>
      <c r="S2865" s="155"/>
      <c r="T2865" s="155"/>
      <c r="U2865" s="155"/>
      <c r="V2865" s="155"/>
      <c r="W2865" s="155"/>
      <c r="GL2865" s="155"/>
      <c r="GM2865" s="155"/>
      <c r="GN2865" s="155"/>
      <c r="GO2865" s="155"/>
      <c r="GP2865" s="155"/>
      <c r="GQ2865" s="155"/>
      <c r="GR2865" s="155"/>
      <c r="GS2865" s="155"/>
      <c r="GT2865" s="155"/>
      <c r="GU2865" s="155"/>
      <c r="GV2865" s="155"/>
      <c r="GW2865" s="155"/>
      <c r="GX2865" s="155"/>
      <c r="GY2865" s="155"/>
      <c r="GZ2865" s="155"/>
      <c r="HA2865" s="155"/>
      <c r="HB2865" s="155"/>
      <c r="HC2865" s="155"/>
      <c r="HD2865" s="155"/>
      <c r="HE2865" s="155"/>
    </row>
    <row r="2866" spans="2:213" s="156" customFormat="1" hidden="1">
      <c r="B2866" s="155"/>
      <c r="C2866" s="155"/>
      <c r="D2866" s="155"/>
      <c r="E2866" s="155"/>
      <c r="F2866" s="155"/>
      <c r="G2866" s="155"/>
      <c r="H2866" s="155"/>
      <c r="I2866" s="155"/>
      <c r="J2866" s="155"/>
      <c r="K2866" s="155"/>
      <c r="L2866" s="155"/>
      <c r="M2866" s="155"/>
      <c r="N2866" s="155"/>
      <c r="O2866" s="155"/>
      <c r="P2866" s="155"/>
      <c r="Q2866" s="155"/>
      <c r="R2866" s="155"/>
      <c r="S2866" s="155"/>
      <c r="T2866" s="155"/>
      <c r="U2866" s="155"/>
      <c r="V2866" s="155"/>
      <c r="W2866" s="155"/>
      <c r="GL2866" s="155"/>
      <c r="GM2866" s="155"/>
      <c r="GN2866" s="155"/>
      <c r="GO2866" s="155"/>
      <c r="GP2866" s="155"/>
      <c r="GQ2866" s="155"/>
      <c r="GR2866" s="155"/>
      <c r="GS2866" s="155"/>
      <c r="GT2866" s="155"/>
      <c r="GU2866" s="155"/>
      <c r="GV2866" s="155"/>
      <c r="GW2866" s="155"/>
      <c r="GX2866" s="155"/>
      <c r="GY2866" s="155"/>
      <c r="GZ2866" s="155"/>
      <c r="HA2866" s="155"/>
      <c r="HB2866" s="155"/>
      <c r="HC2866" s="155"/>
      <c r="HD2866" s="155"/>
      <c r="HE2866" s="155"/>
    </row>
    <row r="2867" spans="2:213" s="156" customFormat="1" hidden="1">
      <c r="B2867" s="155"/>
      <c r="C2867" s="155"/>
      <c r="D2867" s="155"/>
      <c r="E2867" s="155"/>
      <c r="F2867" s="155"/>
      <c r="G2867" s="155"/>
      <c r="H2867" s="155"/>
      <c r="I2867" s="155"/>
      <c r="J2867" s="155"/>
      <c r="K2867" s="155"/>
      <c r="L2867" s="155"/>
      <c r="M2867" s="155"/>
      <c r="N2867" s="155"/>
      <c r="O2867" s="155"/>
      <c r="P2867" s="155"/>
      <c r="Q2867" s="155"/>
      <c r="R2867" s="155"/>
      <c r="S2867" s="155"/>
      <c r="T2867" s="155"/>
      <c r="U2867" s="155"/>
      <c r="V2867" s="155"/>
      <c r="W2867" s="155"/>
      <c r="GL2867" s="155"/>
      <c r="GM2867" s="155"/>
      <c r="GN2867" s="155"/>
      <c r="GO2867" s="155"/>
      <c r="GP2867" s="155"/>
      <c r="GQ2867" s="155"/>
      <c r="GR2867" s="155"/>
      <c r="GS2867" s="155"/>
      <c r="GT2867" s="155"/>
      <c r="GU2867" s="155"/>
      <c r="GV2867" s="155"/>
      <c r="GW2867" s="155"/>
      <c r="GX2867" s="155"/>
      <c r="GY2867" s="155"/>
      <c r="GZ2867" s="155"/>
      <c r="HA2867" s="155"/>
      <c r="HB2867" s="155"/>
      <c r="HC2867" s="155"/>
      <c r="HD2867" s="155"/>
      <c r="HE2867" s="155"/>
    </row>
    <row r="2868" spans="2:213" s="156" customFormat="1" hidden="1">
      <c r="B2868" s="155"/>
      <c r="C2868" s="155"/>
      <c r="D2868" s="155"/>
      <c r="E2868" s="155"/>
      <c r="F2868" s="155"/>
      <c r="G2868" s="155"/>
      <c r="H2868" s="155"/>
      <c r="I2868" s="155"/>
      <c r="J2868" s="155"/>
      <c r="K2868" s="155"/>
      <c r="L2868" s="155"/>
      <c r="M2868" s="155"/>
      <c r="N2868" s="155"/>
      <c r="O2868" s="155"/>
      <c r="P2868" s="155"/>
      <c r="Q2868" s="155"/>
      <c r="R2868" s="155"/>
      <c r="S2868" s="155"/>
      <c r="T2868" s="155"/>
      <c r="U2868" s="155"/>
      <c r="V2868" s="155"/>
      <c r="W2868" s="155"/>
      <c r="GL2868" s="155"/>
      <c r="GM2868" s="155"/>
      <c r="GN2868" s="155"/>
      <c r="GO2868" s="155"/>
      <c r="GP2868" s="155"/>
      <c r="GQ2868" s="155"/>
      <c r="GR2868" s="155"/>
      <c r="GS2868" s="155"/>
      <c r="GT2868" s="155"/>
      <c r="GU2868" s="155"/>
      <c r="GV2868" s="155"/>
      <c r="GW2868" s="155"/>
      <c r="GX2868" s="155"/>
      <c r="GY2868" s="155"/>
      <c r="GZ2868" s="155"/>
      <c r="HA2868" s="155"/>
      <c r="HB2868" s="155"/>
      <c r="HC2868" s="155"/>
      <c r="HD2868" s="155"/>
      <c r="HE2868" s="155"/>
    </row>
    <row r="2869" spans="2:213" s="156" customFormat="1" hidden="1">
      <c r="B2869" s="155"/>
      <c r="C2869" s="155"/>
      <c r="D2869" s="155"/>
      <c r="E2869" s="155"/>
      <c r="F2869" s="155"/>
      <c r="G2869" s="155"/>
      <c r="H2869" s="155"/>
      <c r="I2869" s="155"/>
      <c r="J2869" s="155"/>
      <c r="K2869" s="155"/>
      <c r="L2869" s="155"/>
      <c r="M2869" s="155"/>
      <c r="N2869" s="155"/>
      <c r="O2869" s="155"/>
      <c r="P2869" s="155"/>
      <c r="Q2869" s="155"/>
      <c r="R2869" s="155"/>
      <c r="S2869" s="155"/>
      <c r="T2869" s="155"/>
      <c r="U2869" s="155"/>
      <c r="V2869" s="155"/>
      <c r="W2869" s="155"/>
      <c r="GL2869" s="155"/>
      <c r="GM2869" s="155"/>
      <c r="GN2869" s="155"/>
      <c r="GO2869" s="155"/>
      <c r="GP2869" s="155"/>
      <c r="GQ2869" s="155"/>
      <c r="GR2869" s="155"/>
      <c r="GS2869" s="155"/>
      <c r="GT2869" s="155"/>
      <c r="GU2869" s="155"/>
      <c r="GV2869" s="155"/>
      <c r="GW2869" s="155"/>
      <c r="GX2869" s="155"/>
      <c r="GY2869" s="155"/>
      <c r="GZ2869" s="155"/>
      <c r="HA2869" s="155"/>
      <c r="HB2869" s="155"/>
      <c r="HC2869" s="155"/>
      <c r="HD2869" s="155"/>
      <c r="HE2869" s="155"/>
    </row>
    <row r="2870" spans="2:213" s="156" customFormat="1" hidden="1">
      <c r="B2870" s="155"/>
      <c r="C2870" s="155"/>
      <c r="D2870" s="155"/>
      <c r="E2870" s="155"/>
      <c r="F2870" s="155"/>
      <c r="G2870" s="155"/>
      <c r="H2870" s="155"/>
      <c r="I2870" s="155"/>
      <c r="J2870" s="155"/>
      <c r="K2870" s="155"/>
      <c r="L2870" s="155"/>
      <c r="M2870" s="155"/>
      <c r="N2870" s="155"/>
      <c r="O2870" s="155"/>
      <c r="P2870" s="155"/>
      <c r="Q2870" s="155"/>
      <c r="R2870" s="155"/>
      <c r="S2870" s="155"/>
      <c r="T2870" s="155"/>
      <c r="U2870" s="155"/>
      <c r="V2870" s="155"/>
      <c r="W2870" s="155"/>
      <c r="GL2870" s="155"/>
      <c r="GM2870" s="155"/>
      <c r="GN2870" s="155"/>
      <c r="GO2870" s="155"/>
      <c r="GP2870" s="155"/>
      <c r="GQ2870" s="155"/>
      <c r="GR2870" s="155"/>
      <c r="GS2870" s="155"/>
      <c r="GT2870" s="155"/>
      <c r="GU2870" s="155"/>
      <c r="GV2870" s="155"/>
      <c r="GW2870" s="155"/>
      <c r="GX2870" s="155"/>
      <c r="GY2870" s="155"/>
      <c r="GZ2870" s="155"/>
      <c r="HA2870" s="155"/>
      <c r="HB2870" s="155"/>
      <c r="HC2870" s="155"/>
      <c r="HD2870" s="155"/>
      <c r="HE2870" s="155"/>
    </row>
    <row r="2871" spans="2:213" s="156" customFormat="1" hidden="1">
      <c r="B2871" s="155"/>
      <c r="C2871" s="155"/>
      <c r="D2871" s="155"/>
      <c r="E2871" s="155"/>
      <c r="F2871" s="155"/>
      <c r="G2871" s="155"/>
      <c r="H2871" s="155"/>
      <c r="I2871" s="155"/>
      <c r="J2871" s="155"/>
      <c r="K2871" s="155"/>
      <c r="L2871" s="155"/>
      <c r="M2871" s="155"/>
      <c r="N2871" s="155"/>
      <c r="O2871" s="155"/>
      <c r="P2871" s="155"/>
      <c r="Q2871" s="155"/>
      <c r="R2871" s="155"/>
      <c r="S2871" s="155"/>
      <c r="T2871" s="155"/>
      <c r="U2871" s="155"/>
      <c r="V2871" s="155"/>
      <c r="W2871" s="155"/>
      <c r="GL2871" s="155"/>
      <c r="GM2871" s="155"/>
      <c r="GN2871" s="155"/>
      <c r="GO2871" s="155"/>
      <c r="GP2871" s="155"/>
      <c r="GQ2871" s="155"/>
      <c r="GR2871" s="155"/>
      <c r="GS2871" s="155"/>
      <c r="GT2871" s="155"/>
      <c r="GU2871" s="155"/>
      <c r="GV2871" s="155"/>
      <c r="GW2871" s="155"/>
      <c r="GX2871" s="155"/>
      <c r="GY2871" s="155"/>
      <c r="GZ2871" s="155"/>
      <c r="HA2871" s="155"/>
      <c r="HB2871" s="155"/>
      <c r="HC2871" s="155"/>
      <c r="HD2871" s="155"/>
      <c r="HE2871" s="155"/>
    </row>
    <row r="2872" spans="2:213" s="156" customFormat="1" hidden="1">
      <c r="B2872" s="155"/>
      <c r="C2872" s="155"/>
      <c r="D2872" s="155"/>
      <c r="E2872" s="155"/>
      <c r="F2872" s="155"/>
      <c r="G2872" s="155"/>
      <c r="H2872" s="155"/>
      <c r="I2872" s="155"/>
      <c r="J2872" s="155"/>
      <c r="K2872" s="155"/>
      <c r="L2872" s="155"/>
      <c r="M2872" s="155"/>
      <c r="N2872" s="155"/>
      <c r="O2872" s="155"/>
      <c r="P2872" s="155"/>
      <c r="Q2872" s="155"/>
      <c r="R2872" s="155"/>
      <c r="S2872" s="155"/>
      <c r="T2872" s="155"/>
      <c r="U2872" s="155"/>
      <c r="V2872" s="155"/>
      <c r="W2872" s="155"/>
      <c r="GL2872" s="155"/>
      <c r="GM2872" s="155"/>
      <c r="GN2872" s="155"/>
      <c r="GO2872" s="155"/>
      <c r="GP2872" s="155"/>
      <c r="GQ2872" s="155"/>
      <c r="GR2872" s="155"/>
      <c r="GS2872" s="155"/>
      <c r="GT2872" s="155"/>
      <c r="GU2872" s="155"/>
      <c r="GV2872" s="155"/>
      <c r="GW2872" s="155"/>
      <c r="GX2872" s="155"/>
      <c r="GY2872" s="155"/>
      <c r="GZ2872" s="155"/>
      <c r="HA2872" s="155"/>
      <c r="HB2872" s="155"/>
      <c r="HC2872" s="155"/>
      <c r="HD2872" s="155"/>
      <c r="HE2872" s="155"/>
    </row>
    <row r="2873" spans="2:213" s="156" customFormat="1" hidden="1">
      <c r="B2873" s="155"/>
      <c r="C2873" s="155"/>
      <c r="D2873" s="155"/>
      <c r="E2873" s="155"/>
      <c r="F2873" s="155"/>
      <c r="G2873" s="155"/>
      <c r="H2873" s="155"/>
      <c r="I2873" s="155"/>
      <c r="J2873" s="155"/>
      <c r="K2873" s="155"/>
      <c r="L2873" s="155"/>
      <c r="M2873" s="155"/>
      <c r="N2873" s="155"/>
      <c r="O2873" s="155"/>
      <c r="P2873" s="155"/>
      <c r="Q2873" s="155"/>
      <c r="R2873" s="155"/>
      <c r="S2873" s="155"/>
      <c r="T2873" s="155"/>
      <c r="U2873" s="155"/>
      <c r="V2873" s="155"/>
      <c r="W2873" s="155"/>
      <c r="GL2873" s="155"/>
      <c r="GM2873" s="155"/>
      <c r="GN2873" s="155"/>
      <c r="GO2873" s="155"/>
      <c r="GP2873" s="155"/>
      <c r="GQ2873" s="155"/>
      <c r="GR2873" s="155"/>
      <c r="GS2873" s="155"/>
      <c r="GT2873" s="155"/>
      <c r="GU2873" s="155"/>
      <c r="GV2873" s="155"/>
      <c r="GW2873" s="155"/>
      <c r="GX2873" s="155"/>
      <c r="GY2873" s="155"/>
      <c r="GZ2873" s="155"/>
      <c r="HA2873" s="155"/>
      <c r="HB2873" s="155"/>
      <c r="HC2873" s="155"/>
      <c r="HD2873" s="155"/>
      <c r="HE2873" s="155"/>
    </row>
    <row r="2874" spans="2:213" s="156" customFormat="1" hidden="1">
      <c r="B2874" s="155"/>
      <c r="C2874" s="155"/>
      <c r="D2874" s="155"/>
      <c r="E2874" s="155"/>
      <c r="F2874" s="155"/>
      <c r="G2874" s="155"/>
      <c r="H2874" s="155"/>
      <c r="I2874" s="155"/>
      <c r="J2874" s="155"/>
      <c r="K2874" s="155"/>
      <c r="L2874" s="155"/>
      <c r="M2874" s="155"/>
      <c r="N2874" s="155"/>
      <c r="O2874" s="155"/>
      <c r="P2874" s="155"/>
      <c r="Q2874" s="155"/>
      <c r="R2874" s="155"/>
      <c r="S2874" s="155"/>
      <c r="T2874" s="155"/>
      <c r="U2874" s="155"/>
      <c r="V2874" s="155"/>
      <c r="W2874" s="155"/>
      <c r="GL2874" s="155"/>
      <c r="GM2874" s="155"/>
      <c r="GN2874" s="155"/>
      <c r="GO2874" s="155"/>
      <c r="GP2874" s="155"/>
      <c r="GQ2874" s="155"/>
      <c r="GR2874" s="155"/>
      <c r="GS2874" s="155"/>
      <c r="GT2874" s="155"/>
      <c r="GU2874" s="155"/>
      <c r="GV2874" s="155"/>
      <c r="GW2874" s="155"/>
      <c r="GX2874" s="155"/>
      <c r="GY2874" s="155"/>
      <c r="GZ2874" s="155"/>
      <c r="HA2874" s="155"/>
      <c r="HB2874" s="155"/>
      <c r="HC2874" s="155"/>
      <c r="HD2874" s="155"/>
      <c r="HE2874" s="155"/>
    </row>
    <row r="2875" spans="2:213" s="156" customFormat="1" hidden="1">
      <c r="B2875" s="155"/>
      <c r="C2875" s="155"/>
      <c r="D2875" s="155"/>
      <c r="E2875" s="155"/>
      <c r="F2875" s="155"/>
      <c r="G2875" s="155"/>
      <c r="H2875" s="155"/>
      <c r="I2875" s="155"/>
      <c r="J2875" s="155"/>
      <c r="K2875" s="155"/>
      <c r="L2875" s="155"/>
      <c r="M2875" s="155"/>
      <c r="N2875" s="155"/>
      <c r="O2875" s="155"/>
      <c r="P2875" s="155"/>
      <c r="Q2875" s="155"/>
      <c r="R2875" s="155"/>
      <c r="S2875" s="155"/>
      <c r="T2875" s="155"/>
      <c r="U2875" s="155"/>
      <c r="V2875" s="155"/>
      <c r="W2875" s="155"/>
      <c r="GL2875" s="155"/>
      <c r="GM2875" s="155"/>
      <c r="GN2875" s="155"/>
      <c r="GO2875" s="155"/>
      <c r="GP2875" s="155"/>
      <c r="GQ2875" s="155"/>
      <c r="GR2875" s="155"/>
      <c r="GS2875" s="155"/>
      <c r="GT2875" s="155"/>
      <c r="GU2875" s="155"/>
      <c r="GV2875" s="155"/>
      <c r="GW2875" s="155"/>
      <c r="GX2875" s="155"/>
      <c r="GY2875" s="155"/>
      <c r="GZ2875" s="155"/>
      <c r="HA2875" s="155"/>
      <c r="HB2875" s="155"/>
      <c r="HC2875" s="155"/>
      <c r="HD2875" s="155"/>
      <c r="HE2875" s="155"/>
    </row>
    <row r="2876" spans="2:213" s="156" customFormat="1" hidden="1">
      <c r="B2876" s="155"/>
      <c r="C2876" s="155"/>
      <c r="D2876" s="155"/>
      <c r="E2876" s="155"/>
      <c r="F2876" s="155"/>
      <c r="G2876" s="155"/>
      <c r="H2876" s="155"/>
      <c r="I2876" s="155"/>
      <c r="J2876" s="155"/>
      <c r="K2876" s="155"/>
      <c r="L2876" s="155"/>
      <c r="M2876" s="155"/>
      <c r="N2876" s="155"/>
      <c r="O2876" s="155"/>
      <c r="P2876" s="155"/>
      <c r="Q2876" s="155"/>
      <c r="R2876" s="155"/>
      <c r="S2876" s="155"/>
      <c r="T2876" s="155"/>
      <c r="U2876" s="155"/>
      <c r="V2876" s="155"/>
      <c r="W2876" s="155"/>
      <c r="GL2876" s="155"/>
      <c r="GM2876" s="155"/>
      <c r="GN2876" s="155"/>
      <c r="GO2876" s="155"/>
      <c r="GP2876" s="155"/>
      <c r="GQ2876" s="155"/>
      <c r="GR2876" s="155"/>
      <c r="GS2876" s="155"/>
      <c r="GT2876" s="155"/>
      <c r="GU2876" s="155"/>
      <c r="GV2876" s="155"/>
      <c r="GW2876" s="155"/>
      <c r="GX2876" s="155"/>
      <c r="GY2876" s="155"/>
      <c r="GZ2876" s="155"/>
      <c r="HA2876" s="155"/>
      <c r="HB2876" s="155"/>
      <c r="HC2876" s="155"/>
      <c r="HD2876" s="155"/>
      <c r="HE2876" s="155"/>
    </row>
    <row r="2877" spans="2:213" s="156" customFormat="1" hidden="1">
      <c r="B2877" s="155"/>
      <c r="C2877" s="155"/>
      <c r="D2877" s="155"/>
      <c r="E2877" s="155"/>
      <c r="F2877" s="155"/>
      <c r="G2877" s="155"/>
      <c r="H2877" s="155"/>
      <c r="I2877" s="155"/>
      <c r="J2877" s="155"/>
      <c r="K2877" s="155"/>
      <c r="L2877" s="155"/>
      <c r="M2877" s="155"/>
      <c r="N2877" s="155"/>
      <c r="O2877" s="155"/>
      <c r="P2877" s="155"/>
      <c r="Q2877" s="155"/>
      <c r="R2877" s="155"/>
      <c r="S2877" s="155"/>
      <c r="T2877" s="155"/>
      <c r="U2877" s="155"/>
      <c r="V2877" s="155"/>
      <c r="W2877" s="155"/>
      <c r="GL2877" s="155"/>
      <c r="GM2877" s="155"/>
      <c r="GN2877" s="155"/>
      <c r="GO2877" s="155"/>
      <c r="GP2877" s="155"/>
      <c r="GQ2877" s="155"/>
      <c r="GR2877" s="155"/>
      <c r="GS2877" s="155"/>
      <c r="GT2877" s="155"/>
      <c r="GU2877" s="155"/>
      <c r="GV2877" s="155"/>
      <c r="GW2877" s="155"/>
      <c r="GX2877" s="155"/>
      <c r="GY2877" s="155"/>
      <c r="GZ2877" s="155"/>
      <c r="HA2877" s="155"/>
      <c r="HB2877" s="155"/>
      <c r="HC2877" s="155"/>
      <c r="HD2877" s="155"/>
      <c r="HE2877" s="155"/>
    </row>
    <row r="2878" spans="2:213" s="156" customFormat="1" hidden="1">
      <c r="B2878" s="155"/>
      <c r="C2878" s="155"/>
      <c r="D2878" s="155"/>
      <c r="E2878" s="155"/>
      <c r="F2878" s="155"/>
      <c r="G2878" s="155"/>
      <c r="H2878" s="155"/>
      <c r="I2878" s="155"/>
      <c r="J2878" s="155"/>
      <c r="K2878" s="155"/>
      <c r="L2878" s="155"/>
      <c r="M2878" s="155"/>
      <c r="N2878" s="155"/>
      <c r="O2878" s="155"/>
      <c r="P2878" s="155"/>
      <c r="Q2878" s="155"/>
      <c r="R2878" s="155"/>
      <c r="S2878" s="155"/>
      <c r="T2878" s="155"/>
      <c r="U2878" s="155"/>
      <c r="V2878" s="155"/>
      <c r="W2878" s="155"/>
      <c r="GL2878" s="155"/>
      <c r="GM2878" s="155"/>
      <c r="GN2878" s="155"/>
      <c r="GO2878" s="155"/>
      <c r="GP2878" s="155"/>
      <c r="GQ2878" s="155"/>
      <c r="GR2878" s="155"/>
      <c r="GS2878" s="155"/>
      <c r="GT2878" s="155"/>
      <c r="GU2878" s="155"/>
      <c r="GV2878" s="155"/>
      <c r="GW2878" s="155"/>
      <c r="GX2878" s="155"/>
      <c r="GY2878" s="155"/>
      <c r="GZ2878" s="155"/>
      <c r="HA2878" s="155"/>
      <c r="HB2878" s="155"/>
      <c r="HC2878" s="155"/>
      <c r="HD2878" s="155"/>
      <c r="HE2878" s="155"/>
    </row>
    <row r="2879" spans="2:213" s="156" customFormat="1" hidden="1">
      <c r="B2879" s="155"/>
      <c r="C2879" s="155"/>
      <c r="D2879" s="155"/>
      <c r="E2879" s="155"/>
      <c r="F2879" s="155"/>
      <c r="G2879" s="155"/>
      <c r="H2879" s="155"/>
      <c r="I2879" s="155"/>
      <c r="J2879" s="155"/>
      <c r="K2879" s="155"/>
      <c r="L2879" s="155"/>
      <c r="M2879" s="155"/>
      <c r="N2879" s="155"/>
      <c r="O2879" s="155"/>
      <c r="P2879" s="155"/>
      <c r="Q2879" s="155"/>
      <c r="R2879" s="155"/>
      <c r="S2879" s="155"/>
      <c r="T2879" s="155"/>
      <c r="U2879" s="155"/>
      <c r="V2879" s="155"/>
      <c r="W2879" s="155"/>
      <c r="GL2879" s="155"/>
      <c r="GM2879" s="155"/>
      <c r="GN2879" s="155"/>
      <c r="GO2879" s="155"/>
      <c r="GP2879" s="155"/>
      <c r="GQ2879" s="155"/>
      <c r="GR2879" s="155"/>
      <c r="GS2879" s="155"/>
      <c r="GT2879" s="155"/>
      <c r="GU2879" s="155"/>
      <c r="GV2879" s="155"/>
      <c r="GW2879" s="155"/>
      <c r="GX2879" s="155"/>
      <c r="GY2879" s="155"/>
      <c r="GZ2879" s="155"/>
      <c r="HA2879" s="155"/>
      <c r="HB2879" s="155"/>
      <c r="HC2879" s="155"/>
      <c r="HD2879" s="155"/>
      <c r="HE2879" s="155"/>
    </row>
    <row r="2880" spans="2:213" s="156" customFormat="1" hidden="1">
      <c r="B2880" s="155"/>
      <c r="C2880" s="155"/>
      <c r="D2880" s="155"/>
      <c r="E2880" s="155"/>
      <c r="F2880" s="155"/>
      <c r="G2880" s="155"/>
      <c r="H2880" s="155"/>
      <c r="I2880" s="155"/>
      <c r="J2880" s="155"/>
      <c r="K2880" s="155"/>
      <c r="L2880" s="155"/>
      <c r="M2880" s="155"/>
      <c r="N2880" s="155"/>
      <c r="O2880" s="155"/>
      <c r="P2880" s="155"/>
      <c r="Q2880" s="155"/>
      <c r="R2880" s="155"/>
      <c r="S2880" s="155"/>
      <c r="T2880" s="155"/>
      <c r="U2880" s="155"/>
      <c r="V2880" s="155"/>
      <c r="W2880" s="155"/>
      <c r="GL2880" s="155"/>
      <c r="GM2880" s="155"/>
      <c r="GN2880" s="155"/>
      <c r="GO2880" s="155"/>
      <c r="GP2880" s="155"/>
      <c r="GQ2880" s="155"/>
      <c r="GR2880" s="155"/>
      <c r="GS2880" s="155"/>
      <c r="GT2880" s="155"/>
      <c r="GU2880" s="155"/>
      <c r="GV2880" s="155"/>
      <c r="GW2880" s="155"/>
      <c r="GX2880" s="155"/>
      <c r="GY2880" s="155"/>
      <c r="GZ2880" s="155"/>
      <c r="HA2880" s="155"/>
      <c r="HB2880" s="155"/>
      <c r="HC2880" s="155"/>
      <c r="HD2880" s="155"/>
      <c r="HE2880" s="155"/>
    </row>
    <row r="2881" spans="2:213" s="156" customFormat="1" hidden="1">
      <c r="B2881" s="155"/>
      <c r="C2881" s="155"/>
      <c r="D2881" s="155"/>
      <c r="E2881" s="155"/>
      <c r="F2881" s="155"/>
      <c r="G2881" s="155"/>
      <c r="H2881" s="155"/>
      <c r="I2881" s="155"/>
      <c r="J2881" s="155"/>
      <c r="K2881" s="155"/>
      <c r="L2881" s="155"/>
      <c r="M2881" s="155"/>
      <c r="N2881" s="155"/>
      <c r="O2881" s="155"/>
      <c r="P2881" s="155"/>
      <c r="Q2881" s="155"/>
      <c r="R2881" s="155"/>
      <c r="S2881" s="155"/>
      <c r="T2881" s="155"/>
      <c r="U2881" s="155"/>
      <c r="V2881" s="155"/>
      <c r="W2881" s="155"/>
      <c r="GL2881" s="155"/>
      <c r="GM2881" s="155"/>
      <c r="GN2881" s="155"/>
      <c r="GO2881" s="155"/>
      <c r="GP2881" s="155"/>
      <c r="GQ2881" s="155"/>
      <c r="GR2881" s="155"/>
      <c r="GS2881" s="155"/>
      <c r="GT2881" s="155"/>
      <c r="GU2881" s="155"/>
      <c r="GV2881" s="155"/>
      <c r="GW2881" s="155"/>
      <c r="GX2881" s="155"/>
      <c r="GY2881" s="155"/>
      <c r="GZ2881" s="155"/>
      <c r="HA2881" s="155"/>
      <c r="HB2881" s="155"/>
      <c r="HC2881" s="155"/>
      <c r="HD2881" s="155"/>
      <c r="HE2881" s="155"/>
    </row>
    <row r="2882" spans="2:213" s="156" customFormat="1" hidden="1">
      <c r="B2882" s="155"/>
      <c r="C2882" s="155"/>
      <c r="D2882" s="155"/>
      <c r="E2882" s="155"/>
      <c r="F2882" s="155"/>
      <c r="G2882" s="155"/>
      <c r="H2882" s="155"/>
      <c r="I2882" s="155"/>
      <c r="J2882" s="155"/>
      <c r="K2882" s="155"/>
      <c r="L2882" s="155"/>
      <c r="M2882" s="155"/>
      <c r="N2882" s="155"/>
      <c r="O2882" s="155"/>
      <c r="P2882" s="155"/>
      <c r="Q2882" s="155"/>
      <c r="R2882" s="155"/>
      <c r="S2882" s="155"/>
      <c r="T2882" s="155"/>
      <c r="U2882" s="155"/>
      <c r="V2882" s="155"/>
      <c r="W2882" s="155"/>
      <c r="GL2882" s="155"/>
      <c r="GM2882" s="155"/>
      <c r="GN2882" s="155"/>
      <c r="GO2882" s="155"/>
      <c r="GP2882" s="155"/>
      <c r="GQ2882" s="155"/>
      <c r="GR2882" s="155"/>
      <c r="GS2882" s="155"/>
      <c r="GT2882" s="155"/>
      <c r="GU2882" s="155"/>
      <c r="GV2882" s="155"/>
      <c r="GW2882" s="155"/>
      <c r="GX2882" s="155"/>
      <c r="GY2882" s="155"/>
      <c r="GZ2882" s="155"/>
      <c r="HA2882" s="155"/>
      <c r="HB2882" s="155"/>
      <c r="HC2882" s="155"/>
      <c r="HD2882" s="155"/>
      <c r="HE2882" s="155"/>
    </row>
    <row r="2883" spans="2:213" s="156" customFormat="1" hidden="1">
      <c r="B2883" s="155"/>
      <c r="C2883" s="155"/>
      <c r="D2883" s="155"/>
      <c r="E2883" s="155"/>
      <c r="F2883" s="155"/>
      <c r="G2883" s="155"/>
      <c r="H2883" s="155"/>
      <c r="I2883" s="155"/>
      <c r="J2883" s="155"/>
      <c r="K2883" s="155"/>
      <c r="L2883" s="155"/>
      <c r="M2883" s="155"/>
      <c r="N2883" s="155"/>
      <c r="O2883" s="155"/>
      <c r="P2883" s="155"/>
      <c r="Q2883" s="155"/>
      <c r="R2883" s="155"/>
      <c r="S2883" s="155"/>
      <c r="T2883" s="155"/>
      <c r="U2883" s="155"/>
      <c r="V2883" s="155"/>
      <c r="W2883" s="155"/>
      <c r="GL2883" s="155"/>
      <c r="GM2883" s="155"/>
      <c r="GN2883" s="155"/>
      <c r="GO2883" s="155"/>
      <c r="GP2883" s="155"/>
      <c r="GQ2883" s="155"/>
      <c r="GR2883" s="155"/>
      <c r="GS2883" s="155"/>
      <c r="GT2883" s="155"/>
      <c r="GU2883" s="155"/>
      <c r="GV2883" s="155"/>
      <c r="GW2883" s="155"/>
      <c r="GX2883" s="155"/>
      <c r="GY2883" s="155"/>
      <c r="GZ2883" s="155"/>
      <c r="HA2883" s="155"/>
      <c r="HB2883" s="155"/>
      <c r="HC2883" s="155"/>
      <c r="HD2883" s="155"/>
      <c r="HE2883" s="155"/>
    </row>
    <row r="2884" spans="2:213" s="156" customFormat="1" hidden="1">
      <c r="B2884" s="155"/>
      <c r="C2884" s="155"/>
      <c r="D2884" s="155"/>
      <c r="E2884" s="155"/>
      <c r="F2884" s="155"/>
      <c r="G2884" s="155"/>
      <c r="H2884" s="155"/>
      <c r="I2884" s="155"/>
      <c r="J2884" s="155"/>
      <c r="K2884" s="155"/>
      <c r="L2884" s="155"/>
      <c r="M2884" s="155"/>
      <c r="N2884" s="155"/>
      <c r="O2884" s="155"/>
      <c r="P2884" s="155"/>
      <c r="Q2884" s="155"/>
      <c r="R2884" s="155"/>
      <c r="S2884" s="155"/>
      <c r="T2884" s="155"/>
      <c r="U2884" s="155"/>
      <c r="V2884" s="155"/>
      <c r="W2884" s="155"/>
      <c r="GL2884" s="155"/>
      <c r="GM2884" s="155"/>
      <c r="GN2884" s="155"/>
      <c r="GO2884" s="155"/>
      <c r="GP2884" s="155"/>
      <c r="GQ2884" s="155"/>
      <c r="GR2884" s="155"/>
      <c r="GS2884" s="155"/>
      <c r="GT2884" s="155"/>
      <c r="GU2884" s="155"/>
      <c r="GV2884" s="155"/>
      <c r="GW2884" s="155"/>
      <c r="GX2884" s="155"/>
      <c r="GY2884" s="155"/>
      <c r="GZ2884" s="155"/>
      <c r="HA2884" s="155"/>
      <c r="HB2884" s="155"/>
      <c r="HC2884" s="155"/>
      <c r="HD2884" s="155"/>
      <c r="HE2884" s="155"/>
    </row>
    <row r="2885" spans="2:213" s="156" customFormat="1" hidden="1">
      <c r="B2885" s="155"/>
      <c r="C2885" s="155"/>
      <c r="D2885" s="155"/>
      <c r="E2885" s="155"/>
      <c r="F2885" s="155"/>
      <c r="G2885" s="155"/>
      <c r="H2885" s="155"/>
      <c r="I2885" s="155"/>
      <c r="J2885" s="155"/>
      <c r="K2885" s="155"/>
      <c r="L2885" s="155"/>
      <c r="M2885" s="155"/>
      <c r="N2885" s="155"/>
      <c r="O2885" s="155"/>
      <c r="P2885" s="155"/>
      <c r="Q2885" s="155"/>
      <c r="R2885" s="155"/>
      <c r="S2885" s="155"/>
      <c r="T2885" s="155"/>
      <c r="U2885" s="155"/>
      <c r="V2885" s="155"/>
      <c r="W2885" s="155"/>
      <c r="GL2885" s="155"/>
      <c r="GM2885" s="155"/>
      <c r="GN2885" s="155"/>
      <c r="GO2885" s="155"/>
      <c r="GP2885" s="155"/>
      <c r="GQ2885" s="155"/>
      <c r="GR2885" s="155"/>
      <c r="GS2885" s="155"/>
      <c r="GT2885" s="155"/>
      <c r="GU2885" s="155"/>
      <c r="GV2885" s="155"/>
      <c r="GW2885" s="155"/>
      <c r="GX2885" s="155"/>
      <c r="GY2885" s="155"/>
      <c r="GZ2885" s="155"/>
      <c r="HA2885" s="155"/>
      <c r="HB2885" s="155"/>
      <c r="HC2885" s="155"/>
      <c r="HD2885" s="155"/>
      <c r="HE2885" s="155"/>
    </row>
    <row r="2886" spans="2:213" s="156" customFormat="1" hidden="1">
      <c r="B2886" s="155"/>
      <c r="C2886" s="155"/>
      <c r="D2886" s="155"/>
      <c r="E2886" s="155"/>
      <c r="F2886" s="155"/>
      <c r="G2886" s="155"/>
      <c r="H2886" s="155"/>
      <c r="I2886" s="155"/>
      <c r="J2886" s="155"/>
      <c r="K2886" s="155"/>
      <c r="L2886" s="155"/>
      <c r="M2886" s="155"/>
      <c r="N2886" s="155"/>
      <c r="O2886" s="155"/>
      <c r="P2886" s="155"/>
      <c r="Q2886" s="155"/>
      <c r="R2886" s="155"/>
      <c r="S2886" s="155"/>
      <c r="T2886" s="155"/>
      <c r="U2886" s="155"/>
      <c r="V2886" s="155"/>
      <c r="W2886" s="155"/>
      <c r="GL2886" s="155"/>
      <c r="GM2886" s="155"/>
      <c r="GN2886" s="155"/>
      <c r="GO2886" s="155"/>
      <c r="GP2886" s="155"/>
      <c r="GQ2886" s="155"/>
      <c r="GR2886" s="155"/>
      <c r="GS2886" s="155"/>
      <c r="GT2886" s="155"/>
      <c r="GU2886" s="155"/>
      <c r="GV2886" s="155"/>
      <c r="GW2886" s="155"/>
      <c r="GX2886" s="155"/>
      <c r="GY2886" s="155"/>
      <c r="GZ2886" s="155"/>
      <c r="HA2886" s="155"/>
      <c r="HB2886" s="155"/>
      <c r="HC2886" s="155"/>
      <c r="HD2886" s="155"/>
      <c r="HE2886" s="155"/>
    </row>
    <row r="2887" spans="2:213" s="156" customFormat="1" hidden="1">
      <c r="B2887" s="155"/>
      <c r="C2887" s="155"/>
      <c r="D2887" s="155"/>
      <c r="E2887" s="155"/>
      <c r="F2887" s="155"/>
      <c r="G2887" s="155"/>
      <c r="H2887" s="155"/>
      <c r="I2887" s="155"/>
      <c r="J2887" s="155"/>
      <c r="K2887" s="155"/>
      <c r="L2887" s="155"/>
      <c r="M2887" s="155"/>
      <c r="N2887" s="155"/>
      <c r="O2887" s="155"/>
      <c r="P2887" s="155"/>
      <c r="Q2887" s="155"/>
      <c r="R2887" s="155"/>
      <c r="S2887" s="155"/>
      <c r="T2887" s="155"/>
      <c r="U2887" s="155"/>
      <c r="V2887" s="155"/>
      <c r="W2887" s="155"/>
      <c r="GL2887" s="155"/>
      <c r="GM2887" s="155"/>
      <c r="GN2887" s="155"/>
      <c r="GO2887" s="155"/>
      <c r="GP2887" s="155"/>
      <c r="GQ2887" s="155"/>
      <c r="GR2887" s="155"/>
      <c r="GS2887" s="155"/>
      <c r="GT2887" s="155"/>
      <c r="GU2887" s="155"/>
      <c r="GV2887" s="155"/>
      <c r="GW2887" s="155"/>
      <c r="GX2887" s="155"/>
      <c r="GY2887" s="155"/>
      <c r="GZ2887" s="155"/>
      <c r="HA2887" s="155"/>
      <c r="HB2887" s="155"/>
      <c r="HC2887" s="155"/>
      <c r="HD2887" s="155"/>
      <c r="HE2887" s="155"/>
    </row>
    <row r="2888" spans="2:213" s="156" customFormat="1" hidden="1">
      <c r="B2888" s="155"/>
      <c r="C2888" s="155"/>
      <c r="D2888" s="155"/>
      <c r="E2888" s="155"/>
      <c r="F2888" s="155"/>
      <c r="G2888" s="155"/>
      <c r="H2888" s="155"/>
      <c r="I2888" s="155"/>
      <c r="J2888" s="155"/>
      <c r="K2888" s="155"/>
      <c r="L2888" s="155"/>
      <c r="M2888" s="155"/>
      <c r="N2888" s="155"/>
      <c r="O2888" s="155"/>
      <c r="P2888" s="155"/>
      <c r="Q2888" s="155"/>
      <c r="R2888" s="155"/>
      <c r="S2888" s="155"/>
      <c r="T2888" s="155"/>
      <c r="U2888" s="155"/>
      <c r="V2888" s="155"/>
      <c r="W2888" s="155"/>
      <c r="GL2888" s="155"/>
      <c r="GM2888" s="155"/>
      <c r="GN2888" s="155"/>
      <c r="GO2888" s="155"/>
      <c r="GP2888" s="155"/>
      <c r="GQ2888" s="155"/>
      <c r="GR2888" s="155"/>
      <c r="GS2888" s="155"/>
      <c r="GT2888" s="155"/>
      <c r="GU2888" s="155"/>
      <c r="GV2888" s="155"/>
      <c r="GW2888" s="155"/>
      <c r="GX2888" s="155"/>
      <c r="GY2888" s="155"/>
      <c r="GZ2888" s="155"/>
      <c r="HA2888" s="155"/>
      <c r="HB2888" s="155"/>
      <c r="HC2888" s="155"/>
      <c r="HD2888" s="155"/>
      <c r="HE2888" s="155"/>
    </row>
    <row r="2889" spans="2:213" s="156" customFormat="1" hidden="1">
      <c r="B2889" s="155"/>
      <c r="C2889" s="155"/>
      <c r="D2889" s="155"/>
      <c r="E2889" s="155"/>
      <c r="F2889" s="155"/>
      <c r="G2889" s="155"/>
      <c r="H2889" s="155"/>
      <c r="I2889" s="155"/>
      <c r="J2889" s="155"/>
      <c r="K2889" s="155"/>
      <c r="L2889" s="155"/>
      <c r="M2889" s="155"/>
      <c r="N2889" s="155"/>
      <c r="O2889" s="155"/>
      <c r="P2889" s="155"/>
      <c r="Q2889" s="155"/>
      <c r="R2889" s="155"/>
      <c r="S2889" s="155"/>
      <c r="T2889" s="155"/>
      <c r="U2889" s="155"/>
      <c r="V2889" s="155"/>
      <c r="W2889" s="155"/>
      <c r="GL2889" s="155"/>
      <c r="GM2889" s="155"/>
      <c r="GN2889" s="155"/>
      <c r="GO2889" s="155"/>
      <c r="GP2889" s="155"/>
      <c r="GQ2889" s="155"/>
      <c r="GR2889" s="155"/>
      <c r="GS2889" s="155"/>
      <c r="GT2889" s="155"/>
      <c r="GU2889" s="155"/>
      <c r="GV2889" s="155"/>
      <c r="GW2889" s="155"/>
      <c r="GX2889" s="155"/>
      <c r="GY2889" s="155"/>
      <c r="GZ2889" s="155"/>
      <c r="HA2889" s="155"/>
      <c r="HB2889" s="155"/>
      <c r="HC2889" s="155"/>
      <c r="HD2889" s="155"/>
      <c r="HE2889" s="155"/>
    </row>
    <row r="2890" spans="2:213" s="156" customFormat="1" hidden="1">
      <c r="B2890" s="155"/>
      <c r="C2890" s="155"/>
      <c r="D2890" s="155"/>
      <c r="E2890" s="155"/>
      <c r="F2890" s="155"/>
      <c r="G2890" s="155"/>
      <c r="H2890" s="155"/>
      <c r="I2890" s="155"/>
      <c r="J2890" s="155"/>
      <c r="K2890" s="155"/>
      <c r="L2890" s="155"/>
      <c r="M2890" s="155"/>
      <c r="N2890" s="155"/>
      <c r="O2890" s="155"/>
      <c r="P2890" s="155"/>
      <c r="Q2890" s="155"/>
      <c r="R2890" s="155"/>
      <c r="S2890" s="155"/>
      <c r="T2890" s="155"/>
      <c r="U2890" s="155"/>
      <c r="V2890" s="155"/>
      <c r="W2890" s="155"/>
      <c r="GL2890" s="155"/>
      <c r="GM2890" s="155"/>
      <c r="GN2890" s="155"/>
      <c r="GO2890" s="155"/>
      <c r="GP2890" s="155"/>
      <c r="GQ2890" s="155"/>
      <c r="GR2890" s="155"/>
      <c r="GS2890" s="155"/>
      <c r="GT2890" s="155"/>
      <c r="GU2890" s="155"/>
      <c r="GV2890" s="155"/>
      <c r="GW2890" s="155"/>
      <c r="GX2890" s="155"/>
      <c r="GY2890" s="155"/>
      <c r="GZ2890" s="155"/>
      <c r="HA2890" s="155"/>
      <c r="HB2890" s="155"/>
      <c r="HC2890" s="155"/>
      <c r="HD2890" s="155"/>
      <c r="HE2890" s="155"/>
    </row>
    <row r="2891" spans="2:213" s="156" customFormat="1" hidden="1">
      <c r="B2891" s="155"/>
      <c r="C2891" s="155"/>
      <c r="D2891" s="155"/>
      <c r="E2891" s="155"/>
      <c r="F2891" s="155"/>
      <c r="G2891" s="155"/>
      <c r="H2891" s="155"/>
      <c r="I2891" s="155"/>
      <c r="J2891" s="155"/>
      <c r="K2891" s="155"/>
      <c r="L2891" s="155"/>
      <c r="M2891" s="155"/>
      <c r="N2891" s="155"/>
      <c r="O2891" s="155"/>
      <c r="P2891" s="155"/>
      <c r="Q2891" s="155"/>
      <c r="R2891" s="155"/>
      <c r="S2891" s="155"/>
      <c r="T2891" s="155"/>
      <c r="U2891" s="155"/>
      <c r="V2891" s="155"/>
      <c r="W2891" s="155"/>
      <c r="GL2891" s="155"/>
      <c r="GM2891" s="155"/>
      <c r="GN2891" s="155"/>
      <c r="GO2891" s="155"/>
      <c r="GP2891" s="155"/>
      <c r="GQ2891" s="155"/>
      <c r="GR2891" s="155"/>
      <c r="GS2891" s="155"/>
      <c r="GT2891" s="155"/>
      <c r="GU2891" s="155"/>
      <c r="GV2891" s="155"/>
      <c r="GW2891" s="155"/>
      <c r="GX2891" s="155"/>
      <c r="GY2891" s="155"/>
      <c r="GZ2891" s="155"/>
      <c r="HA2891" s="155"/>
      <c r="HB2891" s="155"/>
      <c r="HC2891" s="155"/>
      <c r="HD2891" s="155"/>
      <c r="HE2891" s="155"/>
    </row>
    <row r="2892" spans="2:213" s="156" customFormat="1" hidden="1">
      <c r="B2892" s="155"/>
      <c r="C2892" s="155"/>
      <c r="D2892" s="155"/>
      <c r="E2892" s="155"/>
      <c r="F2892" s="155"/>
      <c r="G2892" s="155"/>
      <c r="H2892" s="155"/>
      <c r="I2892" s="155"/>
      <c r="J2892" s="155"/>
      <c r="K2892" s="155"/>
      <c r="L2892" s="155"/>
      <c r="M2892" s="155"/>
      <c r="N2892" s="155"/>
      <c r="O2892" s="155"/>
      <c r="P2892" s="155"/>
      <c r="Q2892" s="155"/>
      <c r="R2892" s="155"/>
      <c r="S2892" s="155"/>
      <c r="T2892" s="155"/>
      <c r="U2892" s="155"/>
      <c r="V2892" s="155"/>
      <c r="W2892" s="155"/>
      <c r="GL2892" s="155"/>
      <c r="GM2892" s="155"/>
      <c r="GN2892" s="155"/>
      <c r="GO2892" s="155"/>
      <c r="GP2892" s="155"/>
      <c r="GQ2892" s="155"/>
      <c r="GR2892" s="155"/>
      <c r="GS2892" s="155"/>
      <c r="GT2892" s="155"/>
      <c r="GU2892" s="155"/>
      <c r="GV2892" s="155"/>
      <c r="GW2892" s="155"/>
      <c r="GX2892" s="155"/>
      <c r="GY2892" s="155"/>
      <c r="GZ2892" s="155"/>
      <c r="HA2892" s="155"/>
      <c r="HB2892" s="155"/>
      <c r="HC2892" s="155"/>
      <c r="HD2892" s="155"/>
      <c r="HE2892" s="155"/>
    </row>
    <row r="2893" spans="2:213" s="156" customFormat="1" hidden="1">
      <c r="B2893" s="155"/>
      <c r="C2893" s="155"/>
      <c r="D2893" s="155"/>
      <c r="E2893" s="155"/>
      <c r="F2893" s="155"/>
      <c r="G2893" s="155"/>
      <c r="H2893" s="155"/>
      <c r="I2893" s="155"/>
      <c r="J2893" s="155"/>
      <c r="K2893" s="155"/>
      <c r="L2893" s="155"/>
      <c r="M2893" s="155"/>
      <c r="N2893" s="155"/>
      <c r="O2893" s="155"/>
      <c r="P2893" s="155"/>
      <c r="Q2893" s="155"/>
      <c r="R2893" s="155"/>
      <c r="S2893" s="155"/>
      <c r="T2893" s="155"/>
      <c r="U2893" s="155"/>
      <c r="V2893" s="155"/>
      <c r="W2893" s="155"/>
      <c r="GL2893" s="155"/>
      <c r="GM2893" s="155"/>
      <c r="GN2893" s="155"/>
      <c r="GO2893" s="155"/>
      <c r="GP2893" s="155"/>
      <c r="GQ2893" s="155"/>
      <c r="GR2893" s="155"/>
      <c r="GS2893" s="155"/>
      <c r="GT2893" s="155"/>
      <c r="GU2893" s="155"/>
      <c r="GV2893" s="155"/>
      <c r="GW2893" s="155"/>
      <c r="GX2893" s="155"/>
      <c r="GY2893" s="155"/>
      <c r="GZ2893" s="155"/>
      <c r="HA2893" s="155"/>
      <c r="HB2893" s="155"/>
      <c r="HC2893" s="155"/>
      <c r="HD2893" s="155"/>
      <c r="HE2893" s="155"/>
    </row>
    <row r="2894" spans="2:213" s="156" customFormat="1" hidden="1">
      <c r="B2894" s="155"/>
      <c r="C2894" s="155"/>
      <c r="D2894" s="155"/>
      <c r="E2894" s="155"/>
      <c r="F2894" s="155"/>
      <c r="G2894" s="155"/>
      <c r="H2894" s="155"/>
      <c r="I2894" s="155"/>
      <c r="J2894" s="155"/>
      <c r="K2894" s="155"/>
      <c r="L2894" s="155"/>
      <c r="M2894" s="155"/>
      <c r="N2894" s="155"/>
      <c r="O2894" s="155"/>
      <c r="P2894" s="155"/>
      <c r="Q2894" s="155"/>
      <c r="R2894" s="155"/>
      <c r="S2894" s="155"/>
      <c r="T2894" s="155"/>
      <c r="U2894" s="155"/>
      <c r="V2894" s="155"/>
      <c r="W2894" s="155"/>
      <c r="GL2894" s="155"/>
      <c r="GM2894" s="155"/>
      <c r="GN2894" s="155"/>
      <c r="GO2894" s="155"/>
      <c r="GP2894" s="155"/>
      <c r="GQ2894" s="155"/>
      <c r="GR2894" s="155"/>
      <c r="GS2894" s="155"/>
      <c r="GT2894" s="155"/>
      <c r="GU2894" s="155"/>
      <c r="GV2894" s="155"/>
      <c r="GW2894" s="155"/>
      <c r="GX2894" s="155"/>
      <c r="GY2894" s="155"/>
      <c r="GZ2894" s="155"/>
      <c r="HA2894" s="155"/>
      <c r="HB2894" s="155"/>
      <c r="HC2894" s="155"/>
      <c r="HD2894" s="155"/>
      <c r="HE2894" s="155"/>
    </row>
    <row r="2895" spans="2:213" s="156" customFormat="1" hidden="1">
      <c r="B2895" s="155"/>
      <c r="C2895" s="155"/>
      <c r="D2895" s="155"/>
      <c r="E2895" s="155"/>
      <c r="F2895" s="155"/>
      <c r="G2895" s="155"/>
      <c r="H2895" s="155"/>
      <c r="I2895" s="155"/>
      <c r="J2895" s="155"/>
      <c r="K2895" s="155"/>
      <c r="L2895" s="155"/>
      <c r="M2895" s="155"/>
      <c r="N2895" s="155"/>
      <c r="O2895" s="155"/>
      <c r="P2895" s="155"/>
      <c r="Q2895" s="155"/>
      <c r="R2895" s="155"/>
      <c r="S2895" s="155"/>
      <c r="T2895" s="155"/>
      <c r="U2895" s="155"/>
      <c r="V2895" s="155"/>
      <c r="W2895" s="155"/>
      <c r="GL2895" s="155"/>
      <c r="GM2895" s="155"/>
      <c r="GN2895" s="155"/>
      <c r="GO2895" s="155"/>
      <c r="GP2895" s="155"/>
      <c r="GQ2895" s="155"/>
      <c r="GR2895" s="155"/>
      <c r="GS2895" s="155"/>
      <c r="GT2895" s="155"/>
      <c r="GU2895" s="155"/>
      <c r="GV2895" s="155"/>
      <c r="GW2895" s="155"/>
      <c r="GX2895" s="155"/>
      <c r="GY2895" s="155"/>
      <c r="GZ2895" s="155"/>
      <c r="HA2895" s="155"/>
      <c r="HB2895" s="155"/>
      <c r="HC2895" s="155"/>
      <c r="HD2895" s="155"/>
      <c r="HE2895" s="155"/>
    </row>
    <row r="2896" spans="2:213" s="156" customFormat="1" hidden="1">
      <c r="B2896" s="155"/>
      <c r="C2896" s="155"/>
      <c r="D2896" s="155"/>
      <c r="E2896" s="155"/>
      <c r="F2896" s="155"/>
      <c r="G2896" s="155"/>
      <c r="H2896" s="155"/>
      <c r="I2896" s="155"/>
      <c r="J2896" s="155"/>
      <c r="K2896" s="155"/>
      <c r="L2896" s="155"/>
      <c r="M2896" s="155"/>
      <c r="N2896" s="155"/>
      <c r="O2896" s="155"/>
      <c r="P2896" s="155"/>
      <c r="Q2896" s="155"/>
      <c r="R2896" s="155"/>
      <c r="S2896" s="155"/>
      <c r="T2896" s="155"/>
      <c r="U2896" s="155"/>
      <c r="V2896" s="155"/>
      <c r="W2896" s="155"/>
      <c r="GL2896" s="155"/>
      <c r="GM2896" s="155"/>
      <c r="GN2896" s="155"/>
      <c r="GO2896" s="155"/>
      <c r="GP2896" s="155"/>
      <c r="GQ2896" s="155"/>
      <c r="GR2896" s="155"/>
      <c r="GS2896" s="155"/>
      <c r="GT2896" s="155"/>
      <c r="GU2896" s="155"/>
      <c r="GV2896" s="155"/>
      <c r="GW2896" s="155"/>
      <c r="GX2896" s="155"/>
      <c r="GY2896" s="155"/>
      <c r="GZ2896" s="155"/>
      <c r="HA2896" s="155"/>
      <c r="HB2896" s="155"/>
      <c r="HC2896" s="155"/>
      <c r="HD2896" s="155"/>
      <c r="HE2896" s="155"/>
    </row>
    <row r="2897" spans="2:213" s="156" customFormat="1" hidden="1">
      <c r="B2897" s="155"/>
      <c r="C2897" s="155"/>
      <c r="D2897" s="155"/>
      <c r="E2897" s="155"/>
      <c r="F2897" s="155"/>
      <c r="G2897" s="155"/>
      <c r="H2897" s="155"/>
      <c r="I2897" s="155"/>
      <c r="J2897" s="155"/>
      <c r="K2897" s="155"/>
      <c r="L2897" s="155"/>
      <c r="M2897" s="155"/>
      <c r="N2897" s="155"/>
      <c r="O2897" s="155"/>
      <c r="P2897" s="155"/>
      <c r="Q2897" s="155"/>
      <c r="R2897" s="155"/>
      <c r="S2897" s="155"/>
      <c r="T2897" s="155"/>
      <c r="U2897" s="155"/>
      <c r="V2897" s="155"/>
      <c r="W2897" s="155"/>
      <c r="GL2897" s="155"/>
      <c r="GM2897" s="155"/>
      <c r="GN2897" s="155"/>
      <c r="GO2897" s="155"/>
      <c r="GP2897" s="155"/>
      <c r="GQ2897" s="155"/>
      <c r="GR2897" s="155"/>
      <c r="GS2897" s="155"/>
      <c r="GT2897" s="155"/>
      <c r="GU2897" s="155"/>
      <c r="GV2897" s="155"/>
      <c r="GW2897" s="155"/>
      <c r="GX2897" s="155"/>
      <c r="GY2897" s="155"/>
      <c r="GZ2897" s="155"/>
      <c r="HA2897" s="155"/>
      <c r="HB2897" s="155"/>
      <c r="HC2897" s="155"/>
      <c r="HD2897" s="155"/>
      <c r="HE2897" s="155"/>
    </row>
    <row r="2898" spans="2:213" s="156" customFormat="1" hidden="1">
      <c r="B2898" s="155"/>
      <c r="C2898" s="155"/>
      <c r="D2898" s="155"/>
      <c r="E2898" s="155"/>
      <c r="F2898" s="155"/>
      <c r="G2898" s="155"/>
      <c r="H2898" s="155"/>
      <c r="I2898" s="155"/>
      <c r="J2898" s="155"/>
      <c r="K2898" s="155"/>
      <c r="L2898" s="155"/>
      <c r="M2898" s="155"/>
      <c r="N2898" s="155"/>
      <c r="O2898" s="155"/>
      <c r="P2898" s="155"/>
      <c r="Q2898" s="155"/>
      <c r="R2898" s="155"/>
      <c r="S2898" s="155"/>
      <c r="T2898" s="155"/>
      <c r="U2898" s="155"/>
      <c r="V2898" s="155"/>
      <c r="W2898" s="155"/>
      <c r="GL2898" s="155"/>
      <c r="GM2898" s="155"/>
      <c r="GN2898" s="155"/>
      <c r="GO2898" s="155"/>
      <c r="GP2898" s="155"/>
      <c r="GQ2898" s="155"/>
      <c r="GR2898" s="155"/>
      <c r="GS2898" s="155"/>
      <c r="GT2898" s="155"/>
      <c r="GU2898" s="155"/>
      <c r="GV2898" s="155"/>
      <c r="GW2898" s="155"/>
      <c r="GX2898" s="155"/>
      <c r="GY2898" s="155"/>
      <c r="GZ2898" s="155"/>
      <c r="HA2898" s="155"/>
      <c r="HB2898" s="155"/>
      <c r="HC2898" s="155"/>
      <c r="HD2898" s="155"/>
      <c r="HE2898" s="155"/>
    </row>
    <row r="2899" spans="2:213" s="156" customFormat="1" hidden="1">
      <c r="B2899" s="155"/>
      <c r="C2899" s="155"/>
      <c r="D2899" s="155"/>
      <c r="E2899" s="155"/>
      <c r="F2899" s="155"/>
      <c r="G2899" s="155"/>
      <c r="H2899" s="155"/>
      <c r="I2899" s="155"/>
      <c r="J2899" s="155"/>
      <c r="K2899" s="155"/>
      <c r="L2899" s="155"/>
      <c r="M2899" s="155"/>
      <c r="N2899" s="155"/>
      <c r="O2899" s="155"/>
      <c r="P2899" s="155"/>
      <c r="Q2899" s="155"/>
      <c r="R2899" s="155"/>
      <c r="S2899" s="155"/>
      <c r="T2899" s="155"/>
      <c r="U2899" s="155"/>
      <c r="V2899" s="155"/>
      <c r="W2899" s="155"/>
      <c r="GL2899" s="155"/>
      <c r="GM2899" s="155"/>
      <c r="GN2899" s="155"/>
      <c r="GO2899" s="155"/>
      <c r="GP2899" s="155"/>
      <c r="GQ2899" s="155"/>
      <c r="GR2899" s="155"/>
      <c r="GS2899" s="155"/>
      <c r="GT2899" s="155"/>
      <c r="GU2899" s="155"/>
      <c r="GV2899" s="155"/>
      <c r="GW2899" s="155"/>
      <c r="GX2899" s="155"/>
      <c r="GY2899" s="155"/>
      <c r="GZ2899" s="155"/>
      <c r="HA2899" s="155"/>
      <c r="HB2899" s="155"/>
      <c r="HC2899" s="155"/>
      <c r="HD2899" s="155"/>
      <c r="HE2899" s="155"/>
    </row>
    <row r="2900" spans="2:213" s="156" customFormat="1" hidden="1">
      <c r="B2900" s="155"/>
      <c r="C2900" s="155"/>
      <c r="D2900" s="155"/>
      <c r="E2900" s="155"/>
      <c r="F2900" s="155"/>
      <c r="G2900" s="155"/>
      <c r="H2900" s="155"/>
      <c r="I2900" s="155"/>
      <c r="J2900" s="155"/>
      <c r="K2900" s="155"/>
      <c r="L2900" s="155"/>
      <c r="M2900" s="155"/>
      <c r="N2900" s="155"/>
      <c r="O2900" s="155"/>
      <c r="P2900" s="155"/>
      <c r="Q2900" s="155"/>
      <c r="R2900" s="155"/>
      <c r="S2900" s="155"/>
      <c r="T2900" s="155"/>
      <c r="U2900" s="155"/>
      <c r="V2900" s="155"/>
      <c r="W2900" s="155"/>
      <c r="GL2900" s="155"/>
      <c r="GM2900" s="155"/>
      <c r="GN2900" s="155"/>
      <c r="GO2900" s="155"/>
      <c r="GP2900" s="155"/>
      <c r="GQ2900" s="155"/>
      <c r="GR2900" s="155"/>
      <c r="GS2900" s="155"/>
      <c r="GT2900" s="155"/>
      <c r="GU2900" s="155"/>
      <c r="GV2900" s="155"/>
      <c r="GW2900" s="155"/>
      <c r="GX2900" s="155"/>
      <c r="GY2900" s="155"/>
      <c r="GZ2900" s="155"/>
      <c r="HA2900" s="155"/>
      <c r="HB2900" s="155"/>
      <c r="HC2900" s="155"/>
      <c r="HD2900" s="155"/>
      <c r="HE2900" s="155"/>
    </row>
    <row r="2901" spans="2:213" s="156" customFormat="1" hidden="1">
      <c r="B2901" s="155"/>
      <c r="C2901" s="155"/>
      <c r="D2901" s="155"/>
      <c r="E2901" s="155"/>
      <c r="F2901" s="155"/>
      <c r="G2901" s="155"/>
      <c r="H2901" s="155"/>
      <c r="I2901" s="155"/>
      <c r="J2901" s="155"/>
      <c r="K2901" s="155"/>
      <c r="L2901" s="155"/>
      <c r="M2901" s="155"/>
      <c r="N2901" s="155"/>
      <c r="O2901" s="155"/>
      <c r="P2901" s="155"/>
      <c r="Q2901" s="155"/>
      <c r="R2901" s="155"/>
      <c r="S2901" s="155"/>
      <c r="T2901" s="155"/>
      <c r="U2901" s="155"/>
      <c r="V2901" s="155"/>
      <c r="W2901" s="155"/>
      <c r="GL2901" s="155"/>
      <c r="GM2901" s="155"/>
      <c r="GN2901" s="155"/>
      <c r="GO2901" s="155"/>
      <c r="GP2901" s="155"/>
      <c r="GQ2901" s="155"/>
      <c r="GR2901" s="155"/>
      <c r="GS2901" s="155"/>
      <c r="GT2901" s="155"/>
      <c r="GU2901" s="155"/>
      <c r="GV2901" s="155"/>
      <c r="GW2901" s="155"/>
      <c r="GX2901" s="155"/>
      <c r="GY2901" s="155"/>
      <c r="GZ2901" s="155"/>
      <c r="HA2901" s="155"/>
      <c r="HB2901" s="155"/>
      <c r="HC2901" s="155"/>
      <c r="HD2901" s="155"/>
      <c r="HE2901" s="155"/>
    </row>
    <row r="2902" spans="2:213" s="156" customFormat="1" hidden="1">
      <c r="B2902" s="155"/>
      <c r="C2902" s="155"/>
      <c r="D2902" s="155"/>
      <c r="E2902" s="155"/>
      <c r="F2902" s="155"/>
      <c r="G2902" s="155"/>
      <c r="H2902" s="155"/>
      <c r="I2902" s="155"/>
      <c r="J2902" s="155"/>
      <c r="K2902" s="155"/>
      <c r="L2902" s="155"/>
      <c r="M2902" s="155"/>
      <c r="N2902" s="155"/>
      <c r="O2902" s="155"/>
      <c r="P2902" s="155"/>
      <c r="Q2902" s="155"/>
      <c r="R2902" s="155"/>
      <c r="S2902" s="155"/>
      <c r="T2902" s="155"/>
      <c r="U2902" s="155"/>
      <c r="V2902" s="155"/>
      <c r="W2902" s="155"/>
      <c r="GL2902" s="155"/>
      <c r="GM2902" s="155"/>
      <c r="GN2902" s="155"/>
      <c r="GO2902" s="155"/>
      <c r="GP2902" s="155"/>
      <c r="GQ2902" s="155"/>
      <c r="GR2902" s="155"/>
      <c r="GS2902" s="155"/>
      <c r="GT2902" s="155"/>
      <c r="GU2902" s="155"/>
      <c r="GV2902" s="155"/>
      <c r="GW2902" s="155"/>
      <c r="GX2902" s="155"/>
      <c r="GY2902" s="155"/>
      <c r="GZ2902" s="155"/>
      <c r="HA2902" s="155"/>
      <c r="HB2902" s="155"/>
      <c r="HC2902" s="155"/>
      <c r="HD2902" s="155"/>
      <c r="HE2902" s="155"/>
    </row>
    <row r="2903" spans="2:213" s="156" customFormat="1" hidden="1">
      <c r="B2903" s="155"/>
      <c r="C2903" s="155"/>
      <c r="D2903" s="155"/>
      <c r="E2903" s="155"/>
      <c r="F2903" s="155"/>
      <c r="G2903" s="155"/>
      <c r="H2903" s="155"/>
      <c r="I2903" s="155"/>
      <c r="J2903" s="155"/>
      <c r="K2903" s="155"/>
      <c r="L2903" s="155"/>
      <c r="M2903" s="155"/>
      <c r="N2903" s="155"/>
      <c r="O2903" s="155"/>
      <c r="P2903" s="155"/>
      <c r="Q2903" s="155"/>
      <c r="R2903" s="155"/>
      <c r="S2903" s="155"/>
      <c r="T2903" s="155"/>
      <c r="U2903" s="155"/>
      <c r="V2903" s="155"/>
      <c r="W2903" s="155"/>
      <c r="GL2903" s="155"/>
      <c r="GM2903" s="155"/>
      <c r="GN2903" s="155"/>
      <c r="GO2903" s="155"/>
      <c r="GP2903" s="155"/>
      <c r="GQ2903" s="155"/>
      <c r="GR2903" s="155"/>
      <c r="GS2903" s="155"/>
      <c r="GT2903" s="155"/>
      <c r="GU2903" s="155"/>
      <c r="GV2903" s="155"/>
      <c r="GW2903" s="155"/>
      <c r="GX2903" s="155"/>
      <c r="GY2903" s="155"/>
      <c r="GZ2903" s="155"/>
      <c r="HA2903" s="155"/>
      <c r="HB2903" s="155"/>
      <c r="HC2903" s="155"/>
      <c r="HD2903" s="155"/>
      <c r="HE2903" s="155"/>
    </row>
    <row r="2904" spans="2:213" s="156" customFormat="1" hidden="1">
      <c r="B2904" s="155"/>
      <c r="C2904" s="155"/>
      <c r="D2904" s="155"/>
      <c r="E2904" s="155"/>
      <c r="F2904" s="155"/>
      <c r="G2904" s="155"/>
      <c r="H2904" s="155"/>
      <c r="I2904" s="155"/>
      <c r="J2904" s="155"/>
      <c r="K2904" s="155"/>
      <c r="L2904" s="155"/>
      <c r="M2904" s="155"/>
      <c r="N2904" s="155"/>
      <c r="O2904" s="155"/>
      <c r="P2904" s="155"/>
      <c r="Q2904" s="155"/>
      <c r="R2904" s="155"/>
      <c r="S2904" s="155"/>
      <c r="T2904" s="155"/>
      <c r="U2904" s="155"/>
      <c r="V2904" s="155"/>
      <c r="W2904" s="155"/>
      <c r="GL2904" s="155"/>
      <c r="GM2904" s="155"/>
      <c r="GN2904" s="155"/>
      <c r="GO2904" s="155"/>
      <c r="GP2904" s="155"/>
      <c r="GQ2904" s="155"/>
      <c r="GR2904" s="155"/>
      <c r="GS2904" s="155"/>
      <c r="GT2904" s="155"/>
      <c r="GU2904" s="155"/>
      <c r="GV2904" s="155"/>
      <c r="GW2904" s="155"/>
      <c r="GX2904" s="155"/>
      <c r="GY2904" s="155"/>
      <c r="GZ2904" s="155"/>
      <c r="HA2904" s="155"/>
      <c r="HB2904" s="155"/>
      <c r="HC2904" s="155"/>
      <c r="HD2904" s="155"/>
      <c r="HE2904" s="155"/>
    </row>
    <row r="2905" spans="2:213" s="156" customFormat="1" hidden="1">
      <c r="B2905" s="155"/>
      <c r="C2905" s="155"/>
      <c r="D2905" s="155"/>
      <c r="E2905" s="155"/>
      <c r="F2905" s="155"/>
      <c r="G2905" s="155"/>
      <c r="H2905" s="155"/>
      <c r="I2905" s="155"/>
      <c r="J2905" s="155"/>
      <c r="K2905" s="155"/>
      <c r="L2905" s="155"/>
      <c r="M2905" s="155"/>
      <c r="N2905" s="155"/>
      <c r="O2905" s="155"/>
      <c r="P2905" s="155"/>
      <c r="Q2905" s="155"/>
      <c r="R2905" s="155"/>
      <c r="S2905" s="155"/>
      <c r="T2905" s="155"/>
      <c r="U2905" s="155"/>
      <c r="V2905" s="155"/>
      <c r="W2905" s="155"/>
      <c r="GL2905" s="155"/>
      <c r="GM2905" s="155"/>
      <c r="GN2905" s="155"/>
      <c r="GO2905" s="155"/>
      <c r="GP2905" s="155"/>
      <c r="GQ2905" s="155"/>
      <c r="GR2905" s="155"/>
      <c r="GS2905" s="155"/>
      <c r="GT2905" s="155"/>
      <c r="GU2905" s="155"/>
      <c r="GV2905" s="155"/>
      <c r="GW2905" s="155"/>
      <c r="GX2905" s="155"/>
      <c r="GY2905" s="155"/>
      <c r="GZ2905" s="155"/>
      <c r="HA2905" s="155"/>
      <c r="HB2905" s="155"/>
      <c r="HC2905" s="155"/>
      <c r="HD2905" s="155"/>
      <c r="HE2905" s="155"/>
    </row>
    <row r="2906" spans="2:213" s="156" customFormat="1" hidden="1">
      <c r="B2906" s="155"/>
      <c r="C2906" s="155"/>
      <c r="D2906" s="155"/>
      <c r="E2906" s="155"/>
      <c r="F2906" s="155"/>
      <c r="G2906" s="155"/>
      <c r="H2906" s="155"/>
      <c r="I2906" s="155"/>
      <c r="J2906" s="155"/>
      <c r="K2906" s="155"/>
      <c r="L2906" s="155"/>
      <c r="M2906" s="155"/>
      <c r="N2906" s="155"/>
      <c r="O2906" s="155"/>
      <c r="P2906" s="155"/>
      <c r="Q2906" s="155"/>
      <c r="R2906" s="155"/>
      <c r="S2906" s="155"/>
      <c r="T2906" s="155"/>
      <c r="U2906" s="155"/>
      <c r="V2906" s="155"/>
      <c r="W2906" s="155"/>
      <c r="GL2906" s="155"/>
      <c r="GM2906" s="155"/>
      <c r="GN2906" s="155"/>
      <c r="GO2906" s="155"/>
      <c r="GP2906" s="155"/>
      <c r="GQ2906" s="155"/>
      <c r="GR2906" s="155"/>
      <c r="GS2906" s="155"/>
      <c r="GT2906" s="155"/>
      <c r="GU2906" s="155"/>
      <c r="GV2906" s="155"/>
      <c r="GW2906" s="155"/>
      <c r="GX2906" s="155"/>
      <c r="GY2906" s="155"/>
      <c r="GZ2906" s="155"/>
      <c r="HA2906" s="155"/>
      <c r="HB2906" s="155"/>
      <c r="HC2906" s="155"/>
      <c r="HD2906" s="155"/>
      <c r="HE2906" s="155"/>
    </row>
    <row r="2907" spans="2:213" s="156" customFormat="1" hidden="1">
      <c r="B2907" s="155"/>
      <c r="C2907" s="155"/>
      <c r="D2907" s="155"/>
      <c r="E2907" s="155"/>
      <c r="F2907" s="155"/>
      <c r="G2907" s="155"/>
      <c r="H2907" s="155"/>
      <c r="I2907" s="155"/>
      <c r="J2907" s="155"/>
      <c r="K2907" s="155"/>
      <c r="L2907" s="155"/>
      <c r="M2907" s="155"/>
      <c r="N2907" s="155"/>
      <c r="O2907" s="155"/>
      <c r="P2907" s="155"/>
      <c r="Q2907" s="155"/>
      <c r="R2907" s="155"/>
      <c r="S2907" s="155"/>
      <c r="T2907" s="155"/>
      <c r="U2907" s="155"/>
      <c r="V2907" s="155"/>
      <c r="W2907" s="155"/>
      <c r="GL2907" s="155"/>
      <c r="GM2907" s="155"/>
      <c r="GN2907" s="155"/>
      <c r="GO2907" s="155"/>
      <c r="GP2907" s="155"/>
      <c r="GQ2907" s="155"/>
      <c r="GR2907" s="155"/>
      <c r="GS2907" s="155"/>
      <c r="GT2907" s="155"/>
      <c r="GU2907" s="155"/>
      <c r="GV2907" s="155"/>
      <c r="GW2907" s="155"/>
      <c r="GX2907" s="155"/>
      <c r="GY2907" s="155"/>
      <c r="GZ2907" s="155"/>
      <c r="HA2907" s="155"/>
      <c r="HB2907" s="155"/>
      <c r="HC2907" s="155"/>
      <c r="HD2907" s="155"/>
      <c r="HE2907" s="155"/>
    </row>
    <row r="2908" spans="2:213" s="156" customFormat="1" hidden="1">
      <c r="B2908" s="155"/>
      <c r="C2908" s="155"/>
      <c r="D2908" s="155"/>
      <c r="E2908" s="155"/>
      <c r="F2908" s="155"/>
      <c r="G2908" s="155"/>
      <c r="H2908" s="155"/>
      <c r="I2908" s="155"/>
      <c r="J2908" s="155"/>
      <c r="K2908" s="155"/>
      <c r="L2908" s="155"/>
      <c r="M2908" s="155"/>
      <c r="N2908" s="155"/>
      <c r="O2908" s="155"/>
      <c r="P2908" s="155"/>
      <c r="Q2908" s="155"/>
      <c r="R2908" s="155"/>
      <c r="S2908" s="155"/>
      <c r="T2908" s="155"/>
      <c r="U2908" s="155"/>
      <c r="V2908" s="155"/>
      <c r="W2908" s="155"/>
      <c r="GL2908" s="155"/>
      <c r="GM2908" s="155"/>
      <c r="GN2908" s="155"/>
      <c r="GO2908" s="155"/>
      <c r="GP2908" s="155"/>
      <c r="GQ2908" s="155"/>
      <c r="GR2908" s="155"/>
      <c r="GS2908" s="155"/>
      <c r="GT2908" s="155"/>
      <c r="GU2908" s="155"/>
      <c r="GV2908" s="155"/>
      <c r="GW2908" s="155"/>
      <c r="GX2908" s="155"/>
      <c r="GY2908" s="155"/>
      <c r="GZ2908" s="155"/>
      <c r="HA2908" s="155"/>
      <c r="HB2908" s="155"/>
      <c r="HC2908" s="155"/>
      <c r="HD2908" s="155"/>
      <c r="HE2908" s="155"/>
    </row>
    <row r="2909" spans="2:213" s="156" customFormat="1" hidden="1">
      <c r="B2909" s="155"/>
      <c r="C2909" s="155"/>
      <c r="D2909" s="155"/>
      <c r="E2909" s="155"/>
      <c r="F2909" s="155"/>
      <c r="G2909" s="155"/>
      <c r="H2909" s="155"/>
      <c r="I2909" s="155"/>
      <c r="J2909" s="155"/>
      <c r="K2909" s="155"/>
      <c r="L2909" s="155"/>
      <c r="M2909" s="155"/>
      <c r="N2909" s="155"/>
      <c r="O2909" s="155"/>
      <c r="P2909" s="155"/>
      <c r="Q2909" s="155"/>
      <c r="R2909" s="155"/>
      <c r="S2909" s="155"/>
      <c r="T2909" s="155"/>
      <c r="U2909" s="155"/>
      <c r="V2909" s="155"/>
      <c r="W2909" s="155"/>
      <c r="GL2909" s="155"/>
      <c r="GM2909" s="155"/>
      <c r="GN2909" s="155"/>
      <c r="GO2909" s="155"/>
      <c r="GP2909" s="155"/>
      <c r="GQ2909" s="155"/>
      <c r="GR2909" s="155"/>
      <c r="GS2909" s="155"/>
      <c r="GT2909" s="155"/>
      <c r="GU2909" s="155"/>
      <c r="GV2909" s="155"/>
      <c r="GW2909" s="155"/>
      <c r="GX2909" s="155"/>
      <c r="GY2909" s="155"/>
      <c r="GZ2909" s="155"/>
      <c r="HA2909" s="155"/>
      <c r="HB2909" s="155"/>
      <c r="HC2909" s="155"/>
      <c r="HD2909" s="155"/>
      <c r="HE2909" s="155"/>
    </row>
    <row r="2910" spans="2:213" s="156" customFormat="1" hidden="1">
      <c r="B2910" s="155"/>
      <c r="C2910" s="155"/>
      <c r="D2910" s="155"/>
      <c r="E2910" s="155"/>
      <c r="F2910" s="155"/>
      <c r="G2910" s="155"/>
      <c r="H2910" s="155"/>
      <c r="I2910" s="155"/>
      <c r="J2910" s="155"/>
      <c r="K2910" s="155"/>
      <c r="L2910" s="155"/>
      <c r="M2910" s="155"/>
      <c r="N2910" s="155"/>
      <c r="O2910" s="155"/>
      <c r="P2910" s="155"/>
      <c r="Q2910" s="155"/>
      <c r="R2910" s="155"/>
      <c r="S2910" s="155"/>
      <c r="T2910" s="155"/>
      <c r="U2910" s="155"/>
      <c r="V2910" s="155"/>
      <c r="W2910" s="155"/>
      <c r="GL2910" s="155"/>
      <c r="GM2910" s="155"/>
      <c r="GN2910" s="155"/>
      <c r="GO2910" s="155"/>
      <c r="GP2910" s="155"/>
      <c r="GQ2910" s="155"/>
      <c r="GR2910" s="155"/>
      <c r="GS2910" s="155"/>
      <c r="GT2910" s="155"/>
      <c r="GU2910" s="155"/>
      <c r="GV2910" s="155"/>
      <c r="GW2910" s="155"/>
      <c r="GX2910" s="155"/>
      <c r="GY2910" s="155"/>
      <c r="GZ2910" s="155"/>
      <c r="HA2910" s="155"/>
      <c r="HB2910" s="155"/>
      <c r="HC2910" s="155"/>
      <c r="HD2910" s="155"/>
      <c r="HE2910" s="155"/>
    </row>
    <row r="2911" spans="2:213" s="156" customFormat="1" hidden="1">
      <c r="B2911" s="155"/>
      <c r="C2911" s="155"/>
      <c r="D2911" s="155"/>
      <c r="E2911" s="155"/>
      <c r="F2911" s="155"/>
      <c r="G2911" s="155"/>
      <c r="H2911" s="155"/>
      <c r="I2911" s="155"/>
      <c r="J2911" s="155"/>
      <c r="K2911" s="155"/>
      <c r="L2911" s="155"/>
      <c r="M2911" s="155"/>
      <c r="N2911" s="155"/>
      <c r="O2911" s="155"/>
      <c r="P2911" s="155"/>
      <c r="Q2911" s="155"/>
      <c r="R2911" s="155"/>
      <c r="S2911" s="155"/>
      <c r="T2911" s="155"/>
      <c r="U2911" s="155"/>
      <c r="V2911" s="155"/>
      <c r="W2911" s="155"/>
      <c r="GL2911" s="155"/>
      <c r="GM2911" s="155"/>
      <c r="GN2911" s="155"/>
      <c r="GO2911" s="155"/>
      <c r="GP2911" s="155"/>
      <c r="GQ2911" s="155"/>
      <c r="GR2911" s="155"/>
      <c r="GS2911" s="155"/>
      <c r="GT2911" s="155"/>
      <c r="GU2911" s="155"/>
      <c r="GV2911" s="155"/>
      <c r="GW2911" s="155"/>
      <c r="GX2911" s="155"/>
      <c r="GY2911" s="155"/>
      <c r="GZ2911" s="155"/>
      <c r="HA2911" s="155"/>
      <c r="HB2911" s="155"/>
      <c r="HC2911" s="155"/>
      <c r="HD2911" s="155"/>
      <c r="HE2911" s="155"/>
    </row>
    <row r="2912" spans="2:213" s="156" customFormat="1" hidden="1">
      <c r="B2912" s="155"/>
      <c r="C2912" s="155"/>
      <c r="D2912" s="155"/>
      <c r="E2912" s="155"/>
      <c r="F2912" s="155"/>
      <c r="G2912" s="155"/>
      <c r="H2912" s="155"/>
      <c r="I2912" s="155"/>
      <c r="J2912" s="155"/>
      <c r="K2912" s="155"/>
      <c r="L2912" s="155"/>
      <c r="M2912" s="155"/>
      <c r="N2912" s="155"/>
      <c r="O2912" s="155"/>
      <c r="P2912" s="155"/>
      <c r="Q2912" s="155"/>
      <c r="R2912" s="155"/>
      <c r="S2912" s="155"/>
      <c r="T2912" s="155"/>
      <c r="U2912" s="155"/>
      <c r="V2912" s="155"/>
      <c r="W2912" s="155"/>
      <c r="GL2912" s="155"/>
      <c r="GM2912" s="155"/>
      <c r="GN2912" s="155"/>
      <c r="GO2912" s="155"/>
      <c r="GP2912" s="155"/>
      <c r="GQ2912" s="155"/>
      <c r="GR2912" s="155"/>
      <c r="GS2912" s="155"/>
      <c r="GT2912" s="155"/>
      <c r="GU2912" s="155"/>
      <c r="GV2912" s="155"/>
      <c r="GW2912" s="155"/>
      <c r="GX2912" s="155"/>
      <c r="GY2912" s="155"/>
      <c r="GZ2912" s="155"/>
      <c r="HA2912" s="155"/>
      <c r="HB2912" s="155"/>
      <c r="HC2912" s="155"/>
      <c r="HD2912" s="155"/>
      <c r="HE2912" s="155"/>
    </row>
    <row r="2913" spans="2:213" s="156" customFormat="1" hidden="1">
      <c r="B2913" s="155"/>
      <c r="C2913" s="155"/>
      <c r="D2913" s="155"/>
      <c r="E2913" s="155"/>
      <c r="F2913" s="155"/>
      <c r="G2913" s="155"/>
      <c r="H2913" s="155"/>
      <c r="I2913" s="155"/>
      <c r="J2913" s="155"/>
      <c r="K2913" s="155"/>
      <c r="L2913" s="155"/>
      <c r="M2913" s="155"/>
      <c r="N2913" s="155"/>
      <c r="O2913" s="155"/>
      <c r="P2913" s="155"/>
      <c r="Q2913" s="155"/>
      <c r="R2913" s="155"/>
      <c r="S2913" s="155"/>
      <c r="T2913" s="155"/>
      <c r="U2913" s="155"/>
      <c r="V2913" s="155"/>
      <c r="W2913" s="155"/>
      <c r="GL2913" s="155"/>
      <c r="GM2913" s="155"/>
      <c r="GN2913" s="155"/>
      <c r="GO2913" s="155"/>
      <c r="GP2913" s="155"/>
      <c r="GQ2913" s="155"/>
      <c r="GR2913" s="155"/>
      <c r="GS2913" s="155"/>
      <c r="GT2913" s="155"/>
      <c r="GU2913" s="155"/>
      <c r="GV2913" s="155"/>
      <c r="GW2913" s="155"/>
      <c r="GX2913" s="155"/>
      <c r="GY2913" s="155"/>
      <c r="GZ2913" s="155"/>
      <c r="HA2913" s="155"/>
      <c r="HB2913" s="155"/>
      <c r="HC2913" s="155"/>
      <c r="HD2913" s="155"/>
      <c r="HE2913" s="155"/>
    </row>
    <row r="2914" spans="2:213" s="156" customFormat="1" hidden="1">
      <c r="B2914" s="155"/>
      <c r="C2914" s="155"/>
      <c r="D2914" s="155"/>
      <c r="E2914" s="155"/>
      <c r="F2914" s="155"/>
      <c r="G2914" s="155"/>
      <c r="H2914" s="155"/>
      <c r="I2914" s="155"/>
      <c r="J2914" s="155"/>
      <c r="K2914" s="155"/>
      <c r="L2914" s="155"/>
      <c r="M2914" s="155"/>
      <c r="N2914" s="155"/>
      <c r="O2914" s="155"/>
      <c r="P2914" s="155"/>
      <c r="Q2914" s="155"/>
      <c r="R2914" s="155"/>
      <c r="S2914" s="155"/>
      <c r="T2914" s="155"/>
      <c r="U2914" s="155"/>
      <c r="V2914" s="155"/>
      <c r="W2914" s="155"/>
      <c r="GL2914" s="155"/>
      <c r="GM2914" s="155"/>
      <c r="GN2914" s="155"/>
      <c r="GO2914" s="155"/>
      <c r="GP2914" s="155"/>
      <c r="GQ2914" s="155"/>
      <c r="GR2914" s="155"/>
      <c r="GS2914" s="155"/>
      <c r="GT2914" s="155"/>
      <c r="GU2914" s="155"/>
      <c r="GV2914" s="155"/>
      <c r="GW2914" s="155"/>
      <c r="GX2914" s="155"/>
      <c r="GY2914" s="155"/>
      <c r="GZ2914" s="155"/>
      <c r="HA2914" s="155"/>
      <c r="HB2914" s="155"/>
      <c r="HC2914" s="155"/>
      <c r="HD2914" s="155"/>
      <c r="HE2914" s="155"/>
    </row>
    <row r="2915" spans="2:213" s="156" customFormat="1" hidden="1">
      <c r="B2915" s="155"/>
      <c r="C2915" s="155"/>
      <c r="D2915" s="155"/>
      <c r="E2915" s="155"/>
      <c r="F2915" s="155"/>
      <c r="G2915" s="155"/>
      <c r="H2915" s="155"/>
      <c r="I2915" s="155"/>
      <c r="J2915" s="155"/>
      <c r="K2915" s="155"/>
      <c r="L2915" s="155"/>
      <c r="M2915" s="155"/>
      <c r="N2915" s="155"/>
      <c r="O2915" s="155"/>
      <c r="P2915" s="155"/>
      <c r="Q2915" s="155"/>
      <c r="R2915" s="155"/>
      <c r="S2915" s="155"/>
      <c r="T2915" s="155"/>
      <c r="U2915" s="155"/>
      <c r="V2915" s="155"/>
      <c r="W2915" s="155"/>
      <c r="GL2915" s="155"/>
      <c r="GM2915" s="155"/>
      <c r="GN2915" s="155"/>
      <c r="GO2915" s="155"/>
      <c r="GP2915" s="155"/>
      <c r="GQ2915" s="155"/>
      <c r="GR2915" s="155"/>
      <c r="GS2915" s="155"/>
      <c r="GT2915" s="155"/>
      <c r="GU2915" s="155"/>
      <c r="GV2915" s="155"/>
      <c r="GW2915" s="155"/>
      <c r="GX2915" s="155"/>
      <c r="GY2915" s="155"/>
      <c r="GZ2915" s="155"/>
      <c r="HA2915" s="155"/>
      <c r="HB2915" s="155"/>
      <c r="HC2915" s="155"/>
      <c r="HD2915" s="155"/>
      <c r="HE2915" s="155"/>
    </row>
    <row r="2916" spans="2:213" s="156" customFormat="1" hidden="1">
      <c r="B2916" s="155"/>
      <c r="C2916" s="155"/>
      <c r="D2916" s="155"/>
      <c r="E2916" s="155"/>
      <c r="F2916" s="155"/>
      <c r="G2916" s="155"/>
      <c r="H2916" s="155"/>
      <c r="I2916" s="155"/>
      <c r="J2916" s="155"/>
      <c r="K2916" s="155"/>
      <c r="L2916" s="155"/>
      <c r="M2916" s="155"/>
      <c r="N2916" s="155"/>
      <c r="O2916" s="155"/>
      <c r="P2916" s="155"/>
      <c r="Q2916" s="155"/>
      <c r="R2916" s="155"/>
      <c r="S2916" s="155"/>
      <c r="T2916" s="155"/>
      <c r="U2916" s="155"/>
      <c r="V2916" s="155"/>
      <c r="W2916" s="155"/>
      <c r="GL2916" s="155"/>
      <c r="GM2916" s="155"/>
      <c r="GN2916" s="155"/>
      <c r="GO2916" s="155"/>
      <c r="GP2916" s="155"/>
      <c r="GQ2916" s="155"/>
      <c r="GR2916" s="155"/>
      <c r="GS2916" s="155"/>
      <c r="GT2916" s="155"/>
      <c r="GU2916" s="155"/>
      <c r="GV2916" s="155"/>
      <c r="GW2916" s="155"/>
      <c r="GX2916" s="155"/>
      <c r="GY2916" s="155"/>
      <c r="GZ2916" s="155"/>
      <c r="HA2916" s="155"/>
      <c r="HB2916" s="155"/>
      <c r="HC2916" s="155"/>
      <c r="HD2916" s="155"/>
      <c r="HE2916" s="155"/>
    </row>
    <row r="2917" spans="2:213" s="156" customFormat="1" hidden="1">
      <c r="B2917" s="155"/>
      <c r="C2917" s="155"/>
      <c r="D2917" s="155"/>
      <c r="E2917" s="155"/>
      <c r="F2917" s="155"/>
      <c r="G2917" s="155"/>
      <c r="H2917" s="155"/>
      <c r="I2917" s="155"/>
      <c r="J2917" s="155"/>
      <c r="K2917" s="155"/>
      <c r="L2917" s="155"/>
      <c r="M2917" s="155"/>
      <c r="N2917" s="155"/>
      <c r="O2917" s="155"/>
      <c r="P2917" s="155"/>
      <c r="Q2917" s="155"/>
      <c r="R2917" s="155"/>
      <c r="S2917" s="155"/>
      <c r="T2917" s="155"/>
      <c r="U2917" s="155"/>
      <c r="V2917" s="155"/>
      <c r="W2917" s="155"/>
      <c r="GL2917" s="155"/>
      <c r="GM2917" s="155"/>
      <c r="GN2917" s="155"/>
      <c r="GO2917" s="155"/>
      <c r="GP2917" s="155"/>
      <c r="GQ2917" s="155"/>
      <c r="GR2917" s="155"/>
      <c r="GS2917" s="155"/>
      <c r="GT2917" s="155"/>
      <c r="GU2917" s="155"/>
      <c r="GV2917" s="155"/>
      <c r="GW2917" s="155"/>
      <c r="GX2917" s="155"/>
      <c r="GY2917" s="155"/>
      <c r="GZ2917" s="155"/>
      <c r="HA2917" s="155"/>
      <c r="HB2917" s="155"/>
      <c r="HC2917" s="155"/>
      <c r="HD2917" s="155"/>
      <c r="HE2917" s="155"/>
    </row>
    <row r="2918" spans="2:213" s="156" customFormat="1" hidden="1">
      <c r="B2918" s="155"/>
      <c r="C2918" s="155"/>
      <c r="D2918" s="155"/>
      <c r="E2918" s="155"/>
      <c r="F2918" s="155"/>
      <c r="G2918" s="155"/>
      <c r="H2918" s="155"/>
      <c r="I2918" s="155"/>
      <c r="J2918" s="155"/>
      <c r="K2918" s="155"/>
      <c r="L2918" s="155"/>
      <c r="M2918" s="155"/>
      <c r="N2918" s="155"/>
      <c r="O2918" s="155"/>
      <c r="P2918" s="155"/>
      <c r="Q2918" s="155"/>
      <c r="R2918" s="155"/>
      <c r="S2918" s="155"/>
      <c r="T2918" s="155"/>
      <c r="U2918" s="155"/>
      <c r="V2918" s="155"/>
      <c r="W2918" s="155"/>
      <c r="GL2918" s="155"/>
      <c r="GM2918" s="155"/>
      <c r="GN2918" s="155"/>
      <c r="GO2918" s="155"/>
      <c r="GP2918" s="155"/>
      <c r="GQ2918" s="155"/>
      <c r="GR2918" s="155"/>
      <c r="GS2918" s="155"/>
      <c r="GT2918" s="155"/>
      <c r="GU2918" s="155"/>
      <c r="GV2918" s="155"/>
      <c r="GW2918" s="155"/>
      <c r="GX2918" s="155"/>
      <c r="GY2918" s="155"/>
      <c r="GZ2918" s="155"/>
      <c r="HA2918" s="155"/>
      <c r="HB2918" s="155"/>
      <c r="HC2918" s="155"/>
      <c r="HD2918" s="155"/>
      <c r="HE2918" s="155"/>
    </row>
    <row r="2919" spans="2:213" s="156" customFormat="1" hidden="1">
      <c r="B2919" s="155"/>
      <c r="C2919" s="155"/>
      <c r="D2919" s="155"/>
      <c r="E2919" s="155"/>
      <c r="F2919" s="155"/>
      <c r="G2919" s="155"/>
      <c r="H2919" s="155"/>
      <c r="I2919" s="155"/>
      <c r="J2919" s="155"/>
      <c r="K2919" s="155"/>
      <c r="L2919" s="155"/>
      <c r="M2919" s="155"/>
      <c r="N2919" s="155"/>
      <c r="O2919" s="155"/>
      <c r="P2919" s="155"/>
      <c r="Q2919" s="155"/>
      <c r="R2919" s="155"/>
      <c r="S2919" s="155"/>
      <c r="T2919" s="155"/>
      <c r="U2919" s="155"/>
      <c r="V2919" s="155"/>
      <c r="W2919" s="155"/>
      <c r="GL2919" s="155"/>
      <c r="GM2919" s="155"/>
      <c r="GN2919" s="155"/>
      <c r="GO2919" s="155"/>
      <c r="GP2919" s="155"/>
      <c r="GQ2919" s="155"/>
      <c r="GR2919" s="155"/>
      <c r="GS2919" s="155"/>
      <c r="GT2919" s="155"/>
      <c r="GU2919" s="155"/>
      <c r="GV2919" s="155"/>
      <c r="GW2919" s="155"/>
      <c r="GX2919" s="155"/>
      <c r="GY2919" s="155"/>
      <c r="GZ2919" s="155"/>
      <c r="HA2919" s="155"/>
      <c r="HB2919" s="155"/>
      <c r="HC2919" s="155"/>
      <c r="HD2919" s="155"/>
      <c r="HE2919" s="155"/>
    </row>
    <row r="2920" spans="2:213" s="156" customFormat="1" hidden="1">
      <c r="B2920" s="155"/>
      <c r="C2920" s="155"/>
      <c r="D2920" s="155"/>
      <c r="E2920" s="155"/>
      <c r="F2920" s="155"/>
      <c r="G2920" s="155"/>
      <c r="H2920" s="155"/>
      <c r="I2920" s="155"/>
      <c r="J2920" s="155"/>
      <c r="K2920" s="155"/>
      <c r="L2920" s="155"/>
      <c r="M2920" s="155"/>
      <c r="N2920" s="155"/>
      <c r="O2920" s="155"/>
      <c r="P2920" s="155"/>
      <c r="Q2920" s="155"/>
      <c r="R2920" s="155"/>
      <c r="S2920" s="155"/>
      <c r="T2920" s="155"/>
      <c r="U2920" s="155"/>
      <c r="V2920" s="155"/>
      <c r="W2920" s="155"/>
      <c r="GL2920" s="155"/>
      <c r="GM2920" s="155"/>
      <c r="GN2920" s="155"/>
      <c r="GO2920" s="155"/>
      <c r="GP2920" s="155"/>
      <c r="GQ2920" s="155"/>
      <c r="GR2920" s="155"/>
      <c r="GS2920" s="155"/>
      <c r="GT2920" s="155"/>
      <c r="GU2920" s="155"/>
      <c r="GV2920" s="155"/>
      <c r="GW2920" s="155"/>
      <c r="GX2920" s="155"/>
      <c r="GY2920" s="155"/>
      <c r="GZ2920" s="155"/>
      <c r="HA2920" s="155"/>
      <c r="HB2920" s="155"/>
      <c r="HC2920" s="155"/>
      <c r="HD2920" s="155"/>
      <c r="HE2920" s="155"/>
    </row>
    <row r="2921" spans="2:213" s="156" customFormat="1" hidden="1">
      <c r="B2921" s="155"/>
      <c r="C2921" s="155"/>
      <c r="D2921" s="155"/>
      <c r="E2921" s="155"/>
      <c r="F2921" s="155"/>
      <c r="G2921" s="155"/>
      <c r="H2921" s="155"/>
      <c r="I2921" s="155"/>
      <c r="J2921" s="155"/>
      <c r="K2921" s="155"/>
      <c r="L2921" s="155"/>
      <c r="M2921" s="155"/>
      <c r="N2921" s="155"/>
      <c r="O2921" s="155"/>
      <c r="P2921" s="155"/>
      <c r="Q2921" s="155"/>
      <c r="R2921" s="155"/>
      <c r="S2921" s="155"/>
      <c r="T2921" s="155"/>
      <c r="U2921" s="155"/>
      <c r="V2921" s="155"/>
      <c r="W2921" s="155"/>
      <c r="GL2921" s="155"/>
      <c r="GM2921" s="155"/>
      <c r="GN2921" s="155"/>
      <c r="GO2921" s="155"/>
      <c r="GP2921" s="155"/>
      <c r="GQ2921" s="155"/>
      <c r="GR2921" s="155"/>
      <c r="GS2921" s="155"/>
      <c r="GT2921" s="155"/>
      <c r="GU2921" s="155"/>
      <c r="GV2921" s="155"/>
      <c r="GW2921" s="155"/>
      <c r="GX2921" s="155"/>
      <c r="GY2921" s="155"/>
      <c r="GZ2921" s="155"/>
      <c r="HA2921" s="155"/>
      <c r="HB2921" s="155"/>
      <c r="HC2921" s="155"/>
      <c r="HD2921" s="155"/>
      <c r="HE2921" s="155"/>
    </row>
    <row r="2922" spans="2:213" s="156" customFormat="1" hidden="1">
      <c r="B2922" s="155"/>
      <c r="C2922" s="155"/>
      <c r="D2922" s="155"/>
      <c r="E2922" s="155"/>
      <c r="F2922" s="155"/>
      <c r="G2922" s="155"/>
      <c r="H2922" s="155"/>
      <c r="I2922" s="155"/>
      <c r="J2922" s="155"/>
      <c r="K2922" s="155"/>
      <c r="L2922" s="155"/>
      <c r="M2922" s="155"/>
      <c r="N2922" s="155"/>
      <c r="O2922" s="155"/>
      <c r="P2922" s="155"/>
      <c r="Q2922" s="155"/>
      <c r="R2922" s="155"/>
      <c r="S2922" s="155"/>
      <c r="T2922" s="155"/>
      <c r="U2922" s="155"/>
      <c r="V2922" s="155"/>
      <c r="W2922" s="155"/>
      <c r="GL2922" s="155"/>
      <c r="GM2922" s="155"/>
      <c r="GN2922" s="155"/>
      <c r="GO2922" s="155"/>
      <c r="GP2922" s="155"/>
      <c r="GQ2922" s="155"/>
      <c r="GR2922" s="155"/>
      <c r="GS2922" s="155"/>
      <c r="GT2922" s="155"/>
      <c r="GU2922" s="155"/>
      <c r="GV2922" s="155"/>
      <c r="GW2922" s="155"/>
      <c r="GX2922" s="155"/>
      <c r="GY2922" s="155"/>
      <c r="GZ2922" s="155"/>
      <c r="HA2922" s="155"/>
      <c r="HB2922" s="155"/>
      <c r="HC2922" s="155"/>
      <c r="HD2922" s="155"/>
      <c r="HE2922" s="155"/>
    </row>
    <row r="2923" spans="2:213" s="156" customFormat="1" hidden="1">
      <c r="B2923" s="155"/>
      <c r="C2923" s="155"/>
      <c r="D2923" s="155"/>
      <c r="E2923" s="155"/>
      <c r="F2923" s="155"/>
      <c r="G2923" s="155"/>
      <c r="H2923" s="155"/>
      <c r="I2923" s="155"/>
      <c r="J2923" s="155"/>
      <c r="K2923" s="155"/>
      <c r="L2923" s="155"/>
      <c r="M2923" s="155"/>
      <c r="N2923" s="155"/>
      <c r="O2923" s="155"/>
      <c r="P2923" s="155"/>
      <c r="Q2923" s="155"/>
      <c r="R2923" s="155"/>
      <c r="S2923" s="155"/>
      <c r="T2923" s="155"/>
      <c r="U2923" s="155"/>
      <c r="V2923" s="155"/>
      <c r="W2923" s="155"/>
      <c r="GL2923" s="155"/>
      <c r="GM2923" s="155"/>
      <c r="GN2923" s="155"/>
      <c r="GO2923" s="155"/>
      <c r="GP2923" s="155"/>
      <c r="GQ2923" s="155"/>
      <c r="GR2923" s="155"/>
      <c r="GS2923" s="155"/>
      <c r="GT2923" s="155"/>
      <c r="GU2923" s="155"/>
      <c r="GV2923" s="155"/>
      <c r="GW2923" s="155"/>
      <c r="GX2923" s="155"/>
      <c r="GY2923" s="155"/>
      <c r="GZ2923" s="155"/>
      <c r="HA2923" s="155"/>
      <c r="HB2923" s="155"/>
      <c r="HC2923" s="155"/>
      <c r="HD2923" s="155"/>
      <c r="HE2923" s="155"/>
    </row>
    <row r="2924" spans="2:213" s="156" customFormat="1" hidden="1">
      <c r="B2924" s="155"/>
      <c r="C2924" s="155"/>
      <c r="D2924" s="155"/>
      <c r="E2924" s="155"/>
      <c r="F2924" s="155"/>
      <c r="G2924" s="155"/>
      <c r="H2924" s="155"/>
      <c r="I2924" s="155"/>
      <c r="J2924" s="155"/>
      <c r="K2924" s="155"/>
      <c r="L2924" s="155"/>
      <c r="M2924" s="155"/>
      <c r="N2924" s="155"/>
      <c r="O2924" s="155"/>
      <c r="P2924" s="155"/>
      <c r="Q2924" s="155"/>
      <c r="R2924" s="155"/>
      <c r="S2924" s="155"/>
      <c r="T2924" s="155"/>
      <c r="U2924" s="155"/>
      <c r="V2924" s="155"/>
      <c r="W2924" s="155"/>
      <c r="GL2924" s="155"/>
      <c r="GM2924" s="155"/>
      <c r="GN2924" s="155"/>
      <c r="GO2924" s="155"/>
      <c r="GP2924" s="155"/>
      <c r="GQ2924" s="155"/>
      <c r="GR2924" s="155"/>
      <c r="GS2924" s="155"/>
      <c r="GT2924" s="155"/>
      <c r="GU2924" s="155"/>
      <c r="GV2924" s="155"/>
      <c r="GW2924" s="155"/>
      <c r="GX2924" s="155"/>
      <c r="GY2924" s="155"/>
      <c r="GZ2924" s="155"/>
      <c r="HA2924" s="155"/>
      <c r="HB2924" s="155"/>
      <c r="HC2924" s="155"/>
      <c r="HD2924" s="155"/>
      <c r="HE2924" s="155"/>
    </row>
    <row r="2925" spans="2:213" s="156" customFormat="1" hidden="1">
      <c r="B2925" s="155"/>
      <c r="C2925" s="155"/>
      <c r="D2925" s="155"/>
      <c r="E2925" s="155"/>
      <c r="F2925" s="155"/>
      <c r="G2925" s="155"/>
      <c r="H2925" s="155"/>
      <c r="I2925" s="155"/>
      <c r="J2925" s="155"/>
      <c r="K2925" s="155"/>
      <c r="L2925" s="155"/>
      <c r="M2925" s="155"/>
      <c r="N2925" s="155"/>
      <c r="O2925" s="155"/>
      <c r="P2925" s="155"/>
      <c r="Q2925" s="155"/>
      <c r="R2925" s="155"/>
      <c r="S2925" s="155"/>
      <c r="T2925" s="155"/>
      <c r="U2925" s="155"/>
      <c r="V2925" s="155"/>
      <c r="W2925" s="155"/>
      <c r="GL2925" s="155"/>
      <c r="GM2925" s="155"/>
      <c r="GN2925" s="155"/>
      <c r="GO2925" s="155"/>
      <c r="GP2925" s="155"/>
      <c r="GQ2925" s="155"/>
      <c r="GR2925" s="155"/>
      <c r="GS2925" s="155"/>
      <c r="GT2925" s="155"/>
      <c r="GU2925" s="155"/>
      <c r="GV2925" s="155"/>
      <c r="GW2925" s="155"/>
      <c r="GX2925" s="155"/>
      <c r="GY2925" s="155"/>
      <c r="GZ2925" s="155"/>
      <c r="HA2925" s="155"/>
      <c r="HB2925" s="155"/>
      <c r="HC2925" s="155"/>
      <c r="HD2925" s="155"/>
      <c r="HE2925" s="155"/>
    </row>
    <row r="2926" spans="2:213" s="156" customFormat="1" hidden="1">
      <c r="B2926" s="155"/>
      <c r="C2926" s="155"/>
      <c r="D2926" s="155"/>
      <c r="E2926" s="155"/>
      <c r="F2926" s="155"/>
      <c r="G2926" s="155"/>
      <c r="H2926" s="155"/>
      <c r="I2926" s="155"/>
      <c r="J2926" s="155"/>
      <c r="K2926" s="155"/>
      <c r="L2926" s="155"/>
      <c r="M2926" s="155"/>
      <c r="N2926" s="155"/>
      <c r="O2926" s="155"/>
      <c r="P2926" s="155"/>
      <c r="Q2926" s="155"/>
      <c r="R2926" s="155"/>
      <c r="S2926" s="155"/>
      <c r="T2926" s="155"/>
      <c r="U2926" s="155"/>
      <c r="V2926" s="155"/>
      <c r="W2926" s="155"/>
      <c r="GL2926" s="155"/>
      <c r="GM2926" s="155"/>
      <c r="GN2926" s="155"/>
      <c r="GO2926" s="155"/>
      <c r="GP2926" s="155"/>
      <c r="GQ2926" s="155"/>
      <c r="GR2926" s="155"/>
      <c r="GS2926" s="155"/>
      <c r="GT2926" s="155"/>
      <c r="GU2926" s="155"/>
      <c r="GV2926" s="155"/>
      <c r="GW2926" s="155"/>
      <c r="GX2926" s="155"/>
      <c r="GY2926" s="155"/>
      <c r="GZ2926" s="155"/>
      <c r="HA2926" s="155"/>
      <c r="HB2926" s="155"/>
      <c r="HC2926" s="155"/>
      <c r="HD2926" s="155"/>
      <c r="HE2926" s="155"/>
    </row>
    <row r="2927" spans="2:213" s="156" customFormat="1" hidden="1">
      <c r="B2927" s="155"/>
      <c r="C2927" s="155"/>
      <c r="D2927" s="155"/>
      <c r="E2927" s="155"/>
      <c r="F2927" s="155"/>
      <c r="G2927" s="155"/>
      <c r="H2927" s="155"/>
      <c r="I2927" s="155"/>
      <c r="J2927" s="155"/>
      <c r="K2927" s="155"/>
      <c r="L2927" s="155"/>
      <c r="M2927" s="155"/>
      <c r="N2927" s="155"/>
      <c r="O2927" s="155"/>
      <c r="P2927" s="155"/>
      <c r="Q2927" s="155"/>
      <c r="R2927" s="155"/>
      <c r="S2927" s="155"/>
      <c r="T2927" s="155"/>
      <c r="U2927" s="155"/>
      <c r="V2927" s="155"/>
      <c r="W2927" s="155"/>
      <c r="GL2927" s="155"/>
      <c r="GM2927" s="155"/>
      <c r="GN2927" s="155"/>
      <c r="GO2927" s="155"/>
      <c r="GP2927" s="155"/>
      <c r="GQ2927" s="155"/>
      <c r="GR2927" s="155"/>
      <c r="GS2927" s="155"/>
      <c r="GT2927" s="155"/>
      <c r="GU2927" s="155"/>
      <c r="GV2927" s="155"/>
      <c r="GW2927" s="155"/>
      <c r="GX2927" s="155"/>
      <c r="GY2927" s="155"/>
      <c r="GZ2927" s="155"/>
      <c r="HA2927" s="155"/>
      <c r="HB2927" s="155"/>
      <c r="HC2927" s="155"/>
      <c r="HD2927" s="155"/>
      <c r="HE2927" s="155"/>
    </row>
    <row r="2928" spans="2:213" s="156" customFormat="1" hidden="1">
      <c r="B2928" s="155"/>
      <c r="C2928" s="155"/>
      <c r="D2928" s="155"/>
      <c r="E2928" s="155"/>
      <c r="F2928" s="155"/>
      <c r="G2928" s="155"/>
      <c r="H2928" s="155"/>
      <c r="I2928" s="155"/>
      <c r="J2928" s="155"/>
      <c r="K2928" s="155"/>
      <c r="L2928" s="155"/>
      <c r="M2928" s="155"/>
      <c r="N2928" s="155"/>
      <c r="O2928" s="155"/>
      <c r="P2928" s="155"/>
      <c r="Q2928" s="155"/>
      <c r="R2928" s="155"/>
      <c r="S2928" s="155"/>
      <c r="T2928" s="155"/>
      <c r="U2928" s="155"/>
      <c r="V2928" s="155"/>
      <c r="W2928" s="155"/>
      <c r="GL2928" s="155"/>
      <c r="GM2928" s="155"/>
      <c r="GN2928" s="155"/>
      <c r="GO2928" s="155"/>
      <c r="GP2928" s="155"/>
      <c r="GQ2928" s="155"/>
      <c r="GR2928" s="155"/>
      <c r="GS2928" s="155"/>
      <c r="GT2928" s="155"/>
      <c r="GU2928" s="155"/>
      <c r="GV2928" s="155"/>
      <c r="GW2928" s="155"/>
      <c r="GX2928" s="155"/>
      <c r="GY2928" s="155"/>
      <c r="GZ2928" s="155"/>
      <c r="HA2928" s="155"/>
      <c r="HB2928" s="155"/>
      <c r="HC2928" s="155"/>
      <c r="HD2928" s="155"/>
      <c r="HE2928" s="155"/>
    </row>
    <row r="2929" spans="2:213" s="156" customFormat="1" hidden="1">
      <c r="B2929" s="155"/>
      <c r="C2929" s="155"/>
      <c r="D2929" s="155"/>
      <c r="E2929" s="155"/>
      <c r="F2929" s="155"/>
      <c r="G2929" s="155"/>
      <c r="H2929" s="155"/>
      <c r="I2929" s="155"/>
      <c r="J2929" s="155"/>
      <c r="K2929" s="155"/>
      <c r="L2929" s="155"/>
      <c r="M2929" s="155"/>
      <c r="N2929" s="155"/>
      <c r="O2929" s="155"/>
      <c r="P2929" s="155"/>
      <c r="Q2929" s="155"/>
      <c r="R2929" s="155"/>
      <c r="S2929" s="155"/>
      <c r="T2929" s="155"/>
      <c r="U2929" s="155"/>
      <c r="V2929" s="155"/>
      <c r="W2929" s="155"/>
      <c r="GL2929" s="155"/>
      <c r="GM2929" s="155"/>
      <c r="GN2929" s="155"/>
      <c r="GO2929" s="155"/>
      <c r="GP2929" s="155"/>
      <c r="GQ2929" s="155"/>
      <c r="GR2929" s="155"/>
      <c r="GS2929" s="155"/>
      <c r="GT2929" s="155"/>
      <c r="GU2929" s="155"/>
      <c r="GV2929" s="155"/>
      <c r="GW2929" s="155"/>
      <c r="GX2929" s="155"/>
      <c r="GY2929" s="155"/>
      <c r="GZ2929" s="155"/>
      <c r="HA2929" s="155"/>
      <c r="HB2929" s="155"/>
      <c r="HC2929" s="155"/>
      <c r="HD2929" s="155"/>
      <c r="HE2929" s="155"/>
    </row>
    <row r="2930" spans="2:213" s="156" customFormat="1" hidden="1">
      <c r="B2930" s="155"/>
      <c r="C2930" s="155"/>
      <c r="D2930" s="155"/>
      <c r="E2930" s="155"/>
      <c r="F2930" s="155"/>
      <c r="G2930" s="155"/>
      <c r="H2930" s="155"/>
      <c r="I2930" s="155"/>
      <c r="J2930" s="155"/>
      <c r="K2930" s="155"/>
      <c r="L2930" s="155"/>
      <c r="M2930" s="155"/>
      <c r="N2930" s="155"/>
      <c r="O2930" s="155"/>
      <c r="P2930" s="155"/>
      <c r="Q2930" s="155"/>
      <c r="R2930" s="155"/>
      <c r="S2930" s="155"/>
      <c r="T2930" s="155"/>
      <c r="U2930" s="155"/>
      <c r="V2930" s="155"/>
      <c r="W2930" s="155"/>
      <c r="GL2930" s="155"/>
      <c r="GM2930" s="155"/>
      <c r="GN2930" s="155"/>
      <c r="GO2930" s="155"/>
      <c r="GP2930" s="155"/>
      <c r="GQ2930" s="155"/>
      <c r="GR2930" s="155"/>
      <c r="GS2930" s="155"/>
      <c r="GT2930" s="155"/>
      <c r="GU2930" s="155"/>
      <c r="GV2930" s="155"/>
      <c r="GW2930" s="155"/>
      <c r="GX2930" s="155"/>
      <c r="GY2930" s="155"/>
      <c r="GZ2930" s="155"/>
      <c r="HA2930" s="155"/>
      <c r="HB2930" s="155"/>
      <c r="HC2930" s="155"/>
      <c r="HD2930" s="155"/>
      <c r="HE2930" s="155"/>
    </row>
    <row r="2931" spans="2:213" s="156" customFormat="1" hidden="1">
      <c r="B2931" s="155"/>
      <c r="C2931" s="155"/>
      <c r="D2931" s="155"/>
      <c r="E2931" s="155"/>
      <c r="F2931" s="155"/>
      <c r="G2931" s="155"/>
      <c r="H2931" s="155"/>
      <c r="I2931" s="155"/>
      <c r="J2931" s="155"/>
      <c r="K2931" s="155"/>
      <c r="L2931" s="155"/>
      <c r="M2931" s="155"/>
      <c r="N2931" s="155"/>
      <c r="O2931" s="155"/>
      <c r="P2931" s="155"/>
      <c r="Q2931" s="155"/>
      <c r="R2931" s="155"/>
      <c r="S2931" s="155"/>
      <c r="T2931" s="155"/>
      <c r="U2931" s="155"/>
      <c r="V2931" s="155"/>
      <c r="W2931" s="155"/>
      <c r="GL2931" s="155"/>
      <c r="GM2931" s="155"/>
      <c r="GN2931" s="155"/>
      <c r="GO2931" s="155"/>
      <c r="GP2931" s="155"/>
      <c r="GQ2931" s="155"/>
      <c r="GR2931" s="155"/>
      <c r="GS2931" s="155"/>
      <c r="GT2931" s="155"/>
      <c r="GU2931" s="155"/>
      <c r="GV2931" s="155"/>
      <c r="GW2931" s="155"/>
      <c r="GX2931" s="155"/>
      <c r="GY2931" s="155"/>
      <c r="GZ2931" s="155"/>
      <c r="HA2931" s="155"/>
      <c r="HB2931" s="155"/>
      <c r="HC2931" s="155"/>
      <c r="HD2931" s="155"/>
      <c r="HE2931" s="155"/>
    </row>
    <row r="2932" spans="2:213" s="156" customFormat="1" hidden="1">
      <c r="B2932" s="155"/>
      <c r="C2932" s="155"/>
      <c r="D2932" s="155"/>
      <c r="E2932" s="155"/>
      <c r="F2932" s="155"/>
      <c r="G2932" s="155"/>
      <c r="H2932" s="155"/>
      <c r="I2932" s="155"/>
      <c r="J2932" s="155"/>
      <c r="K2932" s="155"/>
      <c r="L2932" s="155"/>
      <c r="M2932" s="155"/>
      <c r="N2932" s="155"/>
      <c r="O2932" s="155"/>
      <c r="P2932" s="155"/>
      <c r="Q2932" s="155"/>
      <c r="R2932" s="155"/>
      <c r="S2932" s="155"/>
      <c r="T2932" s="155"/>
      <c r="U2932" s="155"/>
      <c r="V2932" s="155"/>
      <c r="W2932" s="155"/>
      <c r="GL2932" s="155"/>
      <c r="GM2932" s="155"/>
      <c r="GN2932" s="155"/>
      <c r="GO2932" s="155"/>
      <c r="GP2932" s="155"/>
      <c r="GQ2932" s="155"/>
      <c r="GR2932" s="155"/>
      <c r="GS2932" s="155"/>
      <c r="GT2932" s="155"/>
      <c r="GU2932" s="155"/>
      <c r="GV2932" s="155"/>
      <c r="GW2932" s="155"/>
      <c r="GX2932" s="155"/>
      <c r="GY2932" s="155"/>
      <c r="GZ2932" s="155"/>
      <c r="HA2932" s="155"/>
      <c r="HB2932" s="155"/>
      <c r="HC2932" s="155"/>
      <c r="HD2932" s="155"/>
      <c r="HE2932" s="155"/>
    </row>
    <row r="2933" spans="2:213" s="156" customFormat="1" hidden="1">
      <c r="B2933" s="155"/>
      <c r="C2933" s="155"/>
      <c r="D2933" s="155"/>
      <c r="E2933" s="155"/>
      <c r="F2933" s="155"/>
      <c r="G2933" s="155"/>
      <c r="H2933" s="155"/>
      <c r="I2933" s="155"/>
      <c r="J2933" s="155"/>
      <c r="K2933" s="155"/>
      <c r="L2933" s="155"/>
      <c r="M2933" s="155"/>
      <c r="N2933" s="155"/>
      <c r="O2933" s="155"/>
      <c r="P2933" s="155"/>
      <c r="Q2933" s="155"/>
      <c r="R2933" s="155"/>
      <c r="S2933" s="155"/>
      <c r="T2933" s="155"/>
      <c r="U2933" s="155"/>
      <c r="V2933" s="155"/>
      <c r="W2933" s="155"/>
      <c r="GL2933" s="155"/>
      <c r="GM2933" s="155"/>
      <c r="GN2933" s="155"/>
      <c r="GO2933" s="155"/>
      <c r="GP2933" s="155"/>
      <c r="GQ2933" s="155"/>
      <c r="GR2933" s="155"/>
      <c r="GS2933" s="155"/>
      <c r="GT2933" s="155"/>
      <c r="GU2933" s="155"/>
      <c r="GV2933" s="155"/>
      <c r="GW2933" s="155"/>
      <c r="GX2933" s="155"/>
      <c r="GY2933" s="155"/>
      <c r="GZ2933" s="155"/>
      <c r="HA2933" s="155"/>
      <c r="HB2933" s="155"/>
      <c r="HC2933" s="155"/>
      <c r="HD2933" s="155"/>
      <c r="HE2933" s="155"/>
    </row>
    <row r="2934" spans="2:213" s="156" customFormat="1" hidden="1">
      <c r="B2934" s="155"/>
      <c r="C2934" s="155"/>
      <c r="D2934" s="155"/>
      <c r="E2934" s="155"/>
      <c r="F2934" s="155"/>
      <c r="G2934" s="155"/>
      <c r="H2934" s="155"/>
      <c r="I2934" s="155"/>
      <c r="J2934" s="155"/>
      <c r="K2934" s="155"/>
      <c r="L2934" s="155"/>
      <c r="M2934" s="155"/>
      <c r="N2934" s="155"/>
      <c r="O2934" s="155"/>
      <c r="P2934" s="155"/>
      <c r="Q2934" s="155"/>
      <c r="R2934" s="155"/>
      <c r="S2934" s="155"/>
      <c r="T2934" s="155"/>
      <c r="U2934" s="155"/>
      <c r="V2934" s="155"/>
      <c r="W2934" s="155"/>
      <c r="GL2934" s="155"/>
      <c r="GM2934" s="155"/>
      <c r="GN2934" s="155"/>
      <c r="GO2934" s="155"/>
      <c r="GP2934" s="155"/>
      <c r="GQ2934" s="155"/>
      <c r="GR2934" s="155"/>
      <c r="GS2934" s="155"/>
      <c r="GT2934" s="155"/>
      <c r="GU2934" s="155"/>
      <c r="GV2934" s="155"/>
      <c r="GW2934" s="155"/>
      <c r="GX2934" s="155"/>
      <c r="GY2934" s="155"/>
      <c r="GZ2934" s="155"/>
      <c r="HA2934" s="155"/>
      <c r="HB2934" s="155"/>
      <c r="HC2934" s="155"/>
      <c r="HD2934" s="155"/>
      <c r="HE2934" s="155"/>
    </row>
    <row r="2935" spans="2:213" s="156" customFormat="1" hidden="1">
      <c r="B2935" s="155"/>
      <c r="C2935" s="155"/>
      <c r="D2935" s="155"/>
      <c r="E2935" s="155"/>
      <c r="F2935" s="155"/>
      <c r="G2935" s="155"/>
      <c r="H2935" s="155"/>
      <c r="I2935" s="155"/>
      <c r="J2935" s="155"/>
      <c r="K2935" s="155"/>
      <c r="L2935" s="155"/>
      <c r="M2935" s="155"/>
      <c r="N2935" s="155"/>
      <c r="O2935" s="155"/>
      <c r="P2935" s="155"/>
      <c r="Q2935" s="155"/>
      <c r="R2935" s="155"/>
      <c r="S2935" s="155"/>
      <c r="T2935" s="155"/>
      <c r="U2935" s="155"/>
      <c r="V2935" s="155"/>
      <c r="W2935" s="155"/>
      <c r="GL2935" s="155"/>
      <c r="GM2935" s="155"/>
      <c r="GN2935" s="155"/>
      <c r="GO2935" s="155"/>
      <c r="GP2935" s="155"/>
      <c r="GQ2935" s="155"/>
      <c r="GR2935" s="155"/>
      <c r="GS2935" s="155"/>
      <c r="GT2935" s="155"/>
      <c r="GU2935" s="155"/>
      <c r="GV2935" s="155"/>
      <c r="GW2935" s="155"/>
      <c r="GX2935" s="155"/>
      <c r="GY2935" s="155"/>
      <c r="GZ2935" s="155"/>
      <c r="HA2935" s="155"/>
      <c r="HB2935" s="155"/>
      <c r="HC2935" s="155"/>
      <c r="HD2935" s="155"/>
      <c r="HE2935" s="155"/>
    </row>
    <row r="2936" spans="2:213" s="156" customFormat="1" hidden="1">
      <c r="B2936" s="155"/>
      <c r="C2936" s="155"/>
      <c r="D2936" s="155"/>
      <c r="E2936" s="155"/>
      <c r="F2936" s="155"/>
      <c r="G2936" s="155"/>
      <c r="H2936" s="155"/>
      <c r="I2936" s="155"/>
      <c r="J2936" s="155"/>
      <c r="K2936" s="155"/>
      <c r="L2936" s="155"/>
      <c r="M2936" s="155"/>
      <c r="N2936" s="155"/>
      <c r="O2936" s="155"/>
      <c r="P2936" s="155"/>
      <c r="Q2936" s="155"/>
      <c r="R2936" s="155"/>
      <c r="S2936" s="155"/>
      <c r="T2936" s="155"/>
      <c r="U2936" s="155"/>
      <c r="V2936" s="155"/>
      <c r="W2936" s="155"/>
      <c r="GL2936" s="155"/>
      <c r="GM2936" s="155"/>
      <c r="GN2936" s="155"/>
      <c r="GO2936" s="155"/>
      <c r="GP2936" s="155"/>
      <c r="GQ2936" s="155"/>
      <c r="GR2936" s="155"/>
      <c r="GS2936" s="155"/>
      <c r="GT2936" s="155"/>
      <c r="GU2936" s="155"/>
      <c r="GV2936" s="155"/>
      <c r="GW2936" s="155"/>
      <c r="GX2936" s="155"/>
      <c r="GY2936" s="155"/>
      <c r="GZ2936" s="155"/>
      <c r="HA2936" s="155"/>
      <c r="HB2936" s="155"/>
      <c r="HC2936" s="155"/>
      <c r="HD2936" s="155"/>
      <c r="HE2936" s="155"/>
    </row>
    <row r="2937" spans="2:213" s="156" customFormat="1" hidden="1">
      <c r="B2937" s="155"/>
      <c r="C2937" s="155"/>
      <c r="D2937" s="155"/>
      <c r="E2937" s="155"/>
      <c r="F2937" s="155"/>
      <c r="G2937" s="155"/>
      <c r="H2937" s="155"/>
      <c r="I2937" s="155"/>
      <c r="J2937" s="155"/>
      <c r="K2937" s="155"/>
      <c r="L2937" s="155"/>
      <c r="M2937" s="155"/>
      <c r="N2937" s="155"/>
      <c r="O2937" s="155"/>
      <c r="P2937" s="155"/>
      <c r="Q2937" s="155"/>
      <c r="R2937" s="155"/>
      <c r="S2937" s="155"/>
      <c r="T2937" s="155"/>
      <c r="U2937" s="155"/>
      <c r="V2937" s="155"/>
      <c r="W2937" s="155"/>
      <c r="GL2937" s="155"/>
      <c r="GM2937" s="155"/>
      <c r="GN2937" s="155"/>
      <c r="GO2937" s="155"/>
      <c r="GP2937" s="155"/>
      <c r="GQ2937" s="155"/>
      <c r="GR2937" s="155"/>
      <c r="GS2937" s="155"/>
      <c r="GT2937" s="155"/>
      <c r="GU2937" s="155"/>
      <c r="GV2937" s="155"/>
      <c r="GW2937" s="155"/>
      <c r="GX2937" s="155"/>
      <c r="GY2937" s="155"/>
      <c r="GZ2937" s="155"/>
      <c r="HA2937" s="155"/>
      <c r="HB2937" s="155"/>
      <c r="HC2937" s="155"/>
      <c r="HD2937" s="155"/>
      <c r="HE2937" s="155"/>
    </row>
    <row r="2938" spans="2:213" s="156" customFormat="1" hidden="1">
      <c r="B2938" s="155"/>
      <c r="C2938" s="155"/>
      <c r="D2938" s="155"/>
      <c r="E2938" s="155"/>
      <c r="F2938" s="155"/>
      <c r="G2938" s="155"/>
      <c r="H2938" s="155"/>
      <c r="I2938" s="155"/>
      <c r="J2938" s="155"/>
      <c r="K2938" s="155"/>
      <c r="L2938" s="155"/>
      <c r="M2938" s="155"/>
      <c r="N2938" s="155"/>
      <c r="O2938" s="155"/>
      <c r="P2938" s="155"/>
      <c r="Q2938" s="155"/>
      <c r="R2938" s="155"/>
      <c r="S2938" s="155"/>
      <c r="T2938" s="155"/>
      <c r="U2938" s="155"/>
      <c r="V2938" s="155"/>
      <c r="W2938" s="155"/>
      <c r="GL2938" s="155"/>
      <c r="GM2938" s="155"/>
      <c r="GN2938" s="155"/>
      <c r="GO2938" s="155"/>
      <c r="GP2938" s="155"/>
      <c r="GQ2938" s="155"/>
      <c r="GR2938" s="155"/>
      <c r="GS2938" s="155"/>
      <c r="GT2938" s="155"/>
      <c r="GU2938" s="155"/>
      <c r="GV2938" s="155"/>
      <c r="GW2938" s="155"/>
      <c r="GX2938" s="155"/>
      <c r="GY2938" s="155"/>
      <c r="GZ2938" s="155"/>
      <c r="HA2938" s="155"/>
      <c r="HB2938" s="155"/>
      <c r="HC2938" s="155"/>
      <c r="HD2938" s="155"/>
      <c r="HE2938" s="155"/>
    </row>
    <row r="2939" spans="2:213" s="156" customFormat="1" hidden="1">
      <c r="B2939" s="155"/>
      <c r="C2939" s="155"/>
      <c r="D2939" s="155"/>
      <c r="E2939" s="155"/>
      <c r="F2939" s="155"/>
      <c r="G2939" s="155"/>
      <c r="H2939" s="155"/>
      <c r="I2939" s="155"/>
      <c r="J2939" s="155"/>
      <c r="K2939" s="155"/>
      <c r="L2939" s="155"/>
      <c r="M2939" s="155"/>
      <c r="N2939" s="155"/>
      <c r="O2939" s="155"/>
      <c r="P2939" s="155"/>
      <c r="Q2939" s="155"/>
      <c r="R2939" s="155"/>
      <c r="S2939" s="155"/>
      <c r="T2939" s="155"/>
      <c r="U2939" s="155"/>
      <c r="V2939" s="155"/>
      <c r="W2939" s="155"/>
      <c r="GL2939" s="155"/>
      <c r="GM2939" s="155"/>
      <c r="GN2939" s="155"/>
      <c r="GO2939" s="155"/>
      <c r="GP2939" s="155"/>
      <c r="GQ2939" s="155"/>
      <c r="GR2939" s="155"/>
      <c r="GS2939" s="155"/>
      <c r="GT2939" s="155"/>
      <c r="GU2939" s="155"/>
      <c r="GV2939" s="155"/>
      <c r="GW2939" s="155"/>
      <c r="GX2939" s="155"/>
      <c r="GY2939" s="155"/>
      <c r="GZ2939" s="155"/>
      <c r="HA2939" s="155"/>
      <c r="HB2939" s="155"/>
      <c r="HC2939" s="155"/>
      <c r="HD2939" s="155"/>
      <c r="HE2939" s="155"/>
    </row>
    <row r="2940" spans="2:213" s="156" customFormat="1" hidden="1">
      <c r="B2940" s="155"/>
      <c r="C2940" s="155"/>
      <c r="D2940" s="155"/>
      <c r="E2940" s="155"/>
      <c r="F2940" s="155"/>
      <c r="G2940" s="155"/>
      <c r="H2940" s="155"/>
      <c r="I2940" s="155"/>
      <c r="J2940" s="155"/>
      <c r="K2940" s="155"/>
      <c r="L2940" s="155"/>
      <c r="M2940" s="155"/>
      <c r="N2940" s="155"/>
      <c r="O2940" s="155"/>
      <c r="P2940" s="155"/>
      <c r="Q2940" s="155"/>
      <c r="R2940" s="155"/>
      <c r="S2940" s="155"/>
      <c r="T2940" s="155"/>
      <c r="U2940" s="155"/>
      <c r="V2940" s="155"/>
      <c r="W2940" s="155"/>
      <c r="GL2940" s="155"/>
      <c r="GM2940" s="155"/>
      <c r="GN2940" s="155"/>
      <c r="GO2940" s="155"/>
      <c r="GP2940" s="155"/>
      <c r="GQ2940" s="155"/>
      <c r="GR2940" s="155"/>
      <c r="GS2940" s="155"/>
      <c r="GT2940" s="155"/>
      <c r="GU2940" s="155"/>
      <c r="GV2940" s="155"/>
      <c r="GW2940" s="155"/>
      <c r="GX2940" s="155"/>
      <c r="GY2940" s="155"/>
      <c r="GZ2940" s="155"/>
      <c r="HA2940" s="155"/>
      <c r="HB2940" s="155"/>
      <c r="HC2940" s="155"/>
      <c r="HD2940" s="155"/>
      <c r="HE2940" s="155"/>
    </row>
    <row r="2941" spans="2:213" s="156" customFormat="1" hidden="1">
      <c r="B2941" s="155"/>
      <c r="C2941" s="155"/>
      <c r="D2941" s="155"/>
      <c r="E2941" s="155"/>
      <c r="F2941" s="155"/>
      <c r="G2941" s="155"/>
      <c r="H2941" s="155"/>
      <c r="I2941" s="155"/>
      <c r="J2941" s="155"/>
      <c r="K2941" s="155"/>
      <c r="L2941" s="155"/>
      <c r="M2941" s="155"/>
      <c r="N2941" s="155"/>
      <c r="O2941" s="155"/>
      <c r="P2941" s="155"/>
      <c r="Q2941" s="155"/>
      <c r="R2941" s="155"/>
      <c r="S2941" s="155"/>
      <c r="T2941" s="155"/>
      <c r="U2941" s="155"/>
      <c r="V2941" s="155"/>
      <c r="W2941" s="155"/>
      <c r="GL2941" s="155"/>
      <c r="GM2941" s="155"/>
      <c r="GN2941" s="155"/>
      <c r="GO2941" s="155"/>
      <c r="GP2941" s="155"/>
      <c r="GQ2941" s="155"/>
      <c r="GR2941" s="155"/>
      <c r="GS2941" s="155"/>
      <c r="GT2941" s="155"/>
      <c r="GU2941" s="155"/>
      <c r="GV2941" s="155"/>
      <c r="GW2941" s="155"/>
      <c r="GX2941" s="155"/>
      <c r="GY2941" s="155"/>
      <c r="GZ2941" s="155"/>
      <c r="HA2941" s="155"/>
      <c r="HB2941" s="155"/>
      <c r="HC2941" s="155"/>
      <c r="HD2941" s="155"/>
      <c r="HE2941" s="155"/>
    </row>
    <row r="2942" spans="2:213" s="156" customFormat="1" hidden="1">
      <c r="B2942" s="155"/>
      <c r="C2942" s="155"/>
      <c r="D2942" s="155"/>
      <c r="E2942" s="155"/>
      <c r="F2942" s="155"/>
      <c r="G2942" s="155"/>
      <c r="H2942" s="155"/>
      <c r="I2942" s="155"/>
      <c r="J2942" s="155"/>
      <c r="K2942" s="155"/>
      <c r="L2942" s="155"/>
      <c r="M2942" s="155"/>
      <c r="N2942" s="155"/>
      <c r="O2942" s="155"/>
      <c r="P2942" s="155"/>
      <c r="Q2942" s="155"/>
      <c r="R2942" s="155"/>
      <c r="S2942" s="155"/>
      <c r="T2942" s="155"/>
      <c r="U2942" s="155"/>
      <c r="V2942" s="155"/>
      <c r="W2942" s="155"/>
      <c r="GL2942" s="155"/>
      <c r="GM2942" s="155"/>
      <c r="GN2942" s="155"/>
      <c r="GO2942" s="155"/>
      <c r="GP2942" s="155"/>
      <c r="GQ2942" s="155"/>
      <c r="GR2942" s="155"/>
      <c r="GS2942" s="155"/>
      <c r="GT2942" s="155"/>
      <c r="GU2942" s="155"/>
      <c r="GV2942" s="155"/>
      <c r="GW2942" s="155"/>
      <c r="GX2942" s="155"/>
      <c r="GY2942" s="155"/>
      <c r="GZ2942" s="155"/>
      <c r="HA2942" s="155"/>
      <c r="HB2942" s="155"/>
      <c r="HC2942" s="155"/>
      <c r="HD2942" s="155"/>
      <c r="HE2942" s="155"/>
    </row>
    <row r="2943" spans="2:213" s="156" customFormat="1" hidden="1">
      <c r="B2943" s="155"/>
      <c r="C2943" s="155"/>
      <c r="D2943" s="155"/>
      <c r="E2943" s="155"/>
      <c r="F2943" s="155"/>
      <c r="G2943" s="155"/>
      <c r="H2943" s="155"/>
      <c r="I2943" s="155"/>
      <c r="J2943" s="155"/>
      <c r="K2943" s="155"/>
      <c r="L2943" s="155"/>
      <c r="M2943" s="155"/>
      <c r="N2943" s="155"/>
      <c r="O2943" s="155"/>
      <c r="P2943" s="155"/>
      <c r="Q2943" s="155"/>
      <c r="R2943" s="155"/>
      <c r="S2943" s="155"/>
      <c r="T2943" s="155"/>
      <c r="U2943" s="155"/>
      <c r="V2943" s="155"/>
      <c r="W2943" s="155"/>
      <c r="GL2943" s="155"/>
      <c r="GM2943" s="155"/>
      <c r="GN2943" s="155"/>
      <c r="GO2943" s="155"/>
      <c r="GP2943" s="155"/>
      <c r="GQ2943" s="155"/>
      <c r="GR2943" s="155"/>
      <c r="GS2943" s="155"/>
      <c r="GT2943" s="155"/>
      <c r="GU2943" s="155"/>
      <c r="GV2943" s="155"/>
      <c r="GW2943" s="155"/>
      <c r="GX2943" s="155"/>
      <c r="GY2943" s="155"/>
      <c r="GZ2943" s="155"/>
      <c r="HA2943" s="155"/>
      <c r="HB2943" s="155"/>
      <c r="HC2943" s="155"/>
      <c r="HD2943" s="155"/>
      <c r="HE2943" s="155"/>
    </row>
    <row r="2944" spans="2:213" s="156" customFormat="1" hidden="1">
      <c r="B2944" s="155"/>
      <c r="C2944" s="155"/>
      <c r="D2944" s="155"/>
      <c r="E2944" s="155"/>
      <c r="F2944" s="155"/>
      <c r="G2944" s="155"/>
      <c r="H2944" s="155"/>
      <c r="I2944" s="155"/>
      <c r="J2944" s="155"/>
      <c r="K2944" s="155"/>
      <c r="L2944" s="155"/>
      <c r="M2944" s="155"/>
      <c r="N2944" s="155"/>
      <c r="O2944" s="155"/>
      <c r="P2944" s="155"/>
      <c r="Q2944" s="155"/>
      <c r="R2944" s="155"/>
      <c r="S2944" s="155"/>
      <c r="T2944" s="155"/>
      <c r="U2944" s="155"/>
      <c r="V2944" s="155"/>
      <c r="W2944" s="155"/>
      <c r="GL2944" s="155"/>
      <c r="GM2944" s="155"/>
      <c r="GN2944" s="155"/>
      <c r="GO2944" s="155"/>
      <c r="GP2944" s="155"/>
      <c r="GQ2944" s="155"/>
      <c r="GR2944" s="155"/>
      <c r="GS2944" s="155"/>
      <c r="GT2944" s="155"/>
      <c r="GU2944" s="155"/>
      <c r="GV2944" s="155"/>
      <c r="GW2944" s="155"/>
      <c r="GX2944" s="155"/>
      <c r="GY2944" s="155"/>
      <c r="GZ2944" s="155"/>
      <c r="HA2944" s="155"/>
      <c r="HB2944" s="155"/>
      <c r="HC2944" s="155"/>
      <c r="HD2944" s="155"/>
      <c r="HE2944" s="155"/>
    </row>
    <row r="2945" spans="2:213" s="156" customFormat="1" hidden="1">
      <c r="B2945" s="155"/>
      <c r="C2945" s="155"/>
      <c r="D2945" s="155"/>
      <c r="E2945" s="155"/>
      <c r="F2945" s="155"/>
      <c r="G2945" s="155"/>
      <c r="H2945" s="155"/>
      <c r="I2945" s="155"/>
      <c r="J2945" s="155"/>
      <c r="K2945" s="155"/>
      <c r="L2945" s="155"/>
      <c r="M2945" s="155"/>
      <c r="N2945" s="155"/>
      <c r="O2945" s="155"/>
      <c r="P2945" s="155"/>
      <c r="Q2945" s="155"/>
      <c r="R2945" s="155"/>
      <c r="S2945" s="155"/>
      <c r="T2945" s="155"/>
      <c r="U2945" s="155"/>
      <c r="V2945" s="155"/>
      <c r="W2945" s="155"/>
      <c r="GL2945" s="155"/>
      <c r="GM2945" s="155"/>
      <c r="GN2945" s="155"/>
      <c r="GO2945" s="155"/>
      <c r="GP2945" s="155"/>
      <c r="GQ2945" s="155"/>
      <c r="GR2945" s="155"/>
      <c r="GS2945" s="155"/>
      <c r="GT2945" s="155"/>
      <c r="GU2945" s="155"/>
      <c r="GV2945" s="155"/>
      <c r="GW2945" s="155"/>
      <c r="GX2945" s="155"/>
      <c r="GY2945" s="155"/>
      <c r="GZ2945" s="155"/>
      <c r="HA2945" s="155"/>
      <c r="HB2945" s="155"/>
      <c r="HC2945" s="155"/>
      <c r="HD2945" s="155"/>
      <c r="HE2945" s="155"/>
    </row>
    <row r="2946" spans="2:213" s="156" customFormat="1" hidden="1">
      <c r="B2946" s="155"/>
      <c r="C2946" s="155"/>
      <c r="D2946" s="155"/>
      <c r="E2946" s="155"/>
      <c r="F2946" s="155"/>
      <c r="G2946" s="155"/>
      <c r="H2946" s="155"/>
      <c r="I2946" s="155"/>
      <c r="J2946" s="155"/>
      <c r="K2946" s="155"/>
      <c r="L2946" s="155"/>
      <c r="M2946" s="155"/>
      <c r="N2946" s="155"/>
      <c r="O2946" s="155"/>
      <c r="P2946" s="155"/>
      <c r="Q2946" s="155"/>
      <c r="R2946" s="155"/>
      <c r="S2946" s="155"/>
      <c r="T2946" s="155"/>
      <c r="U2946" s="155"/>
      <c r="V2946" s="155"/>
      <c r="W2946" s="155"/>
      <c r="GL2946" s="155"/>
      <c r="GM2946" s="155"/>
      <c r="GN2946" s="155"/>
      <c r="GO2946" s="155"/>
      <c r="GP2946" s="155"/>
      <c r="GQ2946" s="155"/>
      <c r="GR2946" s="155"/>
      <c r="GS2946" s="155"/>
      <c r="GT2946" s="155"/>
      <c r="GU2946" s="155"/>
      <c r="GV2946" s="155"/>
      <c r="GW2946" s="155"/>
      <c r="GX2946" s="155"/>
      <c r="GY2946" s="155"/>
      <c r="GZ2946" s="155"/>
      <c r="HA2946" s="155"/>
      <c r="HB2946" s="155"/>
      <c r="HC2946" s="155"/>
      <c r="HD2946" s="155"/>
      <c r="HE2946" s="155"/>
    </row>
    <row r="2947" spans="2:213" s="156" customFormat="1" hidden="1">
      <c r="B2947" s="155"/>
      <c r="C2947" s="155"/>
      <c r="D2947" s="155"/>
      <c r="E2947" s="155"/>
      <c r="F2947" s="155"/>
      <c r="G2947" s="155"/>
      <c r="H2947" s="155"/>
      <c r="I2947" s="155"/>
      <c r="J2947" s="155"/>
      <c r="K2947" s="155"/>
      <c r="L2947" s="155"/>
      <c r="M2947" s="155"/>
      <c r="N2947" s="155"/>
      <c r="O2947" s="155"/>
      <c r="P2947" s="155"/>
      <c r="Q2947" s="155"/>
      <c r="R2947" s="155"/>
      <c r="S2947" s="155"/>
      <c r="T2947" s="155"/>
      <c r="U2947" s="155"/>
      <c r="V2947" s="155"/>
      <c r="W2947" s="155"/>
      <c r="GL2947" s="155"/>
      <c r="GM2947" s="155"/>
      <c r="GN2947" s="155"/>
      <c r="GO2947" s="155"/>
      <c r="GP2947" s="155"/>
      <c r="GQ2947" s="155"/>
      <c r="GR2947" s="155"/>
      <c r="GS2947" s="155"/>
      <c r="GT2947" s="155"/>
      <c r="GU2947" s="155"/>
      <c r="GV2947" s="155"/>
      <c r="GW2947" s="155"/>
      <c r="GX2947" s="155"/>
      <c r="GY2947" s="155"/>
      <c r="GZ2947" s="155"/>
      <c r="HA2947" s="155"/>
      <c r="HB2947" s="155"/>
      <c r="HC2947" s="155"/>
      <c r="HD2947" s="155"/>
      <c r="HE2947" s="155"/>
    </row>
    <row r="2948" spans="2:213" s="156" customFormat="1" hidden="1">
      <c r="B2948" s="155"/>
      <c r="C2948" s="155"/>
      <c r="D2948" s="155"/>
      <c r="E2948" s="155"/>
      <c r="F2948" s="155"/>
      <c r="G2948" s="155"/>
      <c r="H2948" s="155"/>
      <c r="I2948" s="155"/>
      <c r="J2948" s="155"/>
      <c r="K2948" s="155"/>
      <c r="L2948" s="155"/>
      <c r="M2948" s="155"/>
      <c r="N2948" s="155"/>
      <c r="O2948" s="155"/>
      <c r="P2948" s="155"/>
      <c r="Q2948" s="155"/>
      <c r="R2948" s="155"/>
      <c r="S2948" s="155"/>
      <c r="T2948" s="155"/>
      <c r="U2948" s="155"/>
      <c r="V2948" s="155"/>
      <c r="W2948" s="155"/>
      <c r="GL2948" s="155"/>
      <c r="GM2948" s="155"/>
      <c r="GN2948" s="155"/>
      <c r="GO2948" s="155"/>
      <c r="GP2948" s="155"/>
      <c r="GQ2948" s="155"/>
      <c r="GR2948" s="155"/>
      <c r="GS2948" s="155"/>
      <c r="GT2948" s="155"/>
      <c r="GU2948" s="155"/>
      <c r="GV2948" s="155"/>
      <c r="GW2948" s="155"/>
      <c r="GX2948" s="155"/>
      <c r="GY2948" s="155"/>
      <c r="GZ2948" s="155"/>
      <c r="HA2948" s="155"/>
      <c r="HB2948" s="155"/>
      <c r="HC2948" s="155"/>
      <c r="HD2948" s="155"/>
      <c r="HE2948" s="155"/>
    </row>
    <row r="2949" spans="2:213" s="156" customFormat="1" hidden="1">
      <c r="B2949" s="155"/>
      <c r="C2949" s="155"/>
      <c r="D2949" s="155"/>
      <c r="E2949" s="155"/>
      <c r="F2949" s="155"/>
      <c r="G2949" s="155"/>
      <c r="H2949" s="155"/>
      <c r="I2949" s="155"/>
      <c r="J2949" s="155"/>
      <c r="K2949" s="155"/>
      <c r="L2949" s="155"/>
      <c r="M2949" s="155"/>
      <c r="N2949" s="155"/>
      <c r="O2949" s="155"/>
      <c r="P2949" s="155"/>
      <c r="Q2949" s="155"/>
      <c r="R2949" s="155"/>
      <c r="S2949" s="155"/>
      <c r="T2949" s="155"/>
      <c r="U2949" s="155"/>
      <c r="V2949" s="155"/>
      <c r="W2949" s="155"/>
      <c r="GL2949" s="155"/>
      <c r="GM2949" s="155"/>
      <c r="GN2949" s="155"/>
      <c r="GO2949" s="155"/>
      <c r="GP2949" s="155"/>
      <c r="GQ2949" s="155"/>
      <c r="GR2949" s="155"/>
      <c r="GS2949" s="155"/>
      <c r="GT2949" s="155"/>
      <c r="GU2949" s="155"/>
      <c r="GV2949" s="155"/>
      <c r="GW2949" s="155"/>
      <c r="GX2949" s="155"/>
      <c r="GY2949" s="155"/>
      <c r="GZ2949" s="155"/>
      <c r="HA2949" s="155"/>
      <c r="HB2949" s="155"/>
      <c r="HC2949" s="155"/>
      <c r="HD2949" s="155"/>
      <c r="HE2949" s="155"/>
    </row>
    <row r="2950" spans="2:213" s="156" customFormat="1" hidden="1">
      <c r="B2950" s="155"/>
      <c r="C2950" s="155"/>
      <c r="D2950" s="155"/>
      <c r="E2950" s="155"/>
      <c r="F2950" s="155"/>
      <c r="G2950" s="155"/>
      <c r="H2950" s="155"/>
      <c r="I2950" s="155"/>
      <c r="J2950" s="155"/>
      <c r="K2950" s="155"/>
      <c r="L2950" s="155"/>
      <c r="M2950" s="155"/>
      <c r="N2950" s="155"/>
      <c r="O2950" s="155"/>
      <c r="P2950" s="155"/>
      <c r="Q2950" s="155"/>
      <c r="R2950" s="155"/>
      <c r="S2950" s="155"/>
      <c r="T2950" s="155"/>
      <c r="U2950" s="155"/>
      <c r="V2950" s="155"/>
      <c r="W2950" s="155"/>
      <c r="GL2950" s="155"/>
      <c r="GM2950" s="155"/>
      <c r="GN2950" s="155"/>
      <c r="GO2950" s="155"/>
      <c r="GP2950" s="155"/>
      <c r="GQ2950" s="155"/>
      <c r="GR2950" s="155"/>
      <c r="GS2950" s="155"/>
      <c r="GT2950" s="155"/>
      <c r="GU2950" s="155"/>
      <c r="GV2950" s="155"/>
      <c r="GW2950" s="155"/>
      <c r="GX2950" s="155"/>
      <c r="GY2950" s="155"/>
      <c r="GZ2950" s="155"/>
      <c r="HA2950" s="155"/>
      <c r="HB2950" s="155"/>
      <c r="HC2950" s="155"/>
      <c r="HD2950" s="155"/>
      <c r="HE2950" s="155"/>
    </row>
    <row r="2951" spans="2:213" s="156" customFormat="1" hidden="1">
      <c r="B2951" s="155"/>
      <c r="C2951" s="155"/>
      <c r="D2951" s="155"/>
      <c r="E2951" s="155"/>
      <c r="F2951" s="155"/>
      <c r="G2951" s="155"/>
      <c r="H2951" s="155"/>
      <c r="I2951" s="155"/>
      <c r="J2951" s="155"/>
      <c r="K2951" s="155"/>
      <c r="L2951" s="155"/>
      <c r="M2951" s="155"/>
      <c r="N2951" s="155"/>
      <c r="O2951" s="155"/>
      <c r="P2951" s="155"/>
      <c r="Q2951" s="155"/>
      <c r="R2951" s="155"/>
      <c r="S2951" s="155"/>
      <c r="T2951" s="155"/>
      <c r="U2951" s="155"/>
      <c r="V2951" s="155"/>
      <c r="W2951" s="155"/>
      <c r="GL2951" s="155"/>
      <c r="GM2951" s="155"/>
      <c r="GN2951" s="155"/>
      <c r="GO2951" s="155"/>
      <c r="GP2951" s="155"/>
      <c r="GQ2951" s="155"/>
      <c r="GR2951" s="155"/>
      <c r="GS2951" s="155"/>
      <c r="GT2951" s="155"/>
      <c r="GU2951" s="155"/>
      <c r="GV2951" s="155"/>
      <c r="GW2951" s="155"/>
      <c r="GX2951" s="155"/>
      <c r="GY2951" s="155"/>
      <c r="GZ2951" s="155"/>
      <c r="HA2951" s="155"/>
      <c r="HB2951" s="155"/>
      <c r="HC2951" s="155"/>
      <c r="HD2951" s="155"/>
      <c r="HE2951" s="155"/>
    </row>
    <row r="2952" spans="2:213" s="156" customFormat="1" hidden="1">
      <c r="B2952" s="155"/>
      <c r="C2952" s="155"/>
      <c r="D2952" s="155"/>
      <c r="E2952" s="155"/>
      <c r="F2952" s="155"/>
      <c r="G2952" s="155"/>
      <c r="H2952" s="155"/>
      <c r="I2952" s="155"/>
      <c r="J2952" s="155"/>
      <c r="K2952" s="155"/>
      <c r="L2952" s="155"/>
      <c r="M2952" s="155"/>
      <c r="N2952" s="155"/>
      <c r="O2952" s="155"/>
      <c r="P2952" s="155"/>
      <c r="Q2952" s="155"/>
      <c r="R2952" s="155"/>
      <c r="S2952" s="155"/>
      <c r="T2952" s="155"/>
      <c r="U2952" s="155"/>
      <c r="V2952" s="155"/>
      <c r="W2952" s="155"/>
      <c r="GL2952" s="155"/>
      <c r="GM2952" s="155"/>
      <c r="GN2952" s="155"/>
      <c r="GO2952" s="155"/>
      <c r="GP2952" s="155"/>
      <c r="GQ2952" s="155"/>
      <c r="GR2952" s="155"/>
      <c r="GS2952" s="155"/>
      <c r="GT2952" s="155"/>
      <c r="GU2952" s="155"/>
      <c r="GV2952" s="155"/>
      <c r="GW2952" s="155"/>
      <c r="GX2952" s="155"/>
      <c r="GY2952" s="155"/>
      <c r="GZ2952" s="155"/>
      <c r="HA2952" s="155"/>
      <c r="HB2952" s="155"/>
      <c r="HC2952" s="155"/>
      <c r="HD2952" s="155"/>
      <c r="HE2952" s="155"/>
    </row>
    <row r="2953" spans="2:213" s="156" customFormat="1" hidden="1">
      <c r="B2953" s="155"/>
      <c r="C2953" s="155"/>
      <c r="D2953" s="155"/>
      <c r="E2953" s="155"/>
      <c r="F2953" s="155"/>
      <c r="G2953" s="155"/>
      <c r="H2953" s="155"/>
      <c r="I2953" s="155"/>
      <c r="J2953" s="155"/>
      <c r="K2953" s="155"/>
      <c r="L2953" s="155"/>
      <c r="M2953" s="155"/>
      <c r="N2953" s="155"/>
      <c r="O2953" s="155"/>
      <c r="P2953" s="155"/>
      <c r="Q2953" s="155"/>
      <c r="R2953" s="155"/>
      <c r="S2953" s="155"/>
      <c r="T2953" s="155"/>
      <c r="U2953" s="155"/>
      <c r="V2953" s="155"/>
      <c r="W2953" s="155"/>
      <c r="GL2953" s="155"/>
      <c r="GM2953" s="155"/>
      <c r="GN2953" s="155"/>
      <c r="GO2953" s="155"/>
      <c r="GP2953" s="155"/>
      <c r="GQ2953" s="155"/>
      <c r="GR2953" s="155"/>
      <c r="GS2953" s="155"/>
      <c r="GT2953" s="155"/>
      <c r="GU2953" s="155"/>
      <c r="GV2953" s="155"/>
      <c r="GW2953" s="155"/>
      <c r="GX2953" s="155"/>
      <c r="GY2953" s="155"/>
      <c r="GZ2953" s="155"/>
      <c r="HA2953" s="155"/>
      <c r="HB2953" s="155"/>
      <c r="HC2953" s="155"/>
      <c r="HD2953" s="155"/>
      <c r="HE2953" s="155"/>
    </row>
    <row r="2954" spans="2:213" s="156" customFormat="1" hidden="1">
      <c r="B2954" s="155"/>
      <c r="C2954" s="155"/>
      <c r="D2954" s="155"/>
      <c r="E2954" s="155"/>
      <c r="F2954" s="155"/>
      <c r="G2954" s="155"/>
      <c r="H2954" s="155"/>
      <c r="I2954" s="155"/>
      <c r="J2954" s="155"/>
      <c r="K2954" s="155"/>
      <c r="L2954" s="155"/>
      <c r="M2954" s="155"/>
      <c r="N2954" s="155"/>
      <c r="O2954" s="155"/>
      <c r="P2954" s="155"/>
      <c r="Q2954" s="155"/>
      <c r="R2954" s="155"/>
      <c r="S2954" s="155"/>
      <c r="T2954" s="155"/>
      <c r="U2954" s="155"/>
      <c r="V2954" s="155"/>
      <c r="W2954" s="155"/>
      <c r="GL2954" s="155"/>
      <c r="GM2954" s="155"/>
      <c r="GN2954" s="155"/>
      <c r="GO2954" s="155"/>
      <c r="GP2954" s="155"/>
      <c r="GQ2954" s="155"/>
      <c r="GR2954" s="155"/>
      <c r="GS2954" s="155"/>
      <c r="GT2954" s="155"/>
      <c r="GU2954" s="155"/>
      <c r="GV2954" s="155"/>
      <c r="GW2954" s="155"/>
      <c r="GX2954" s="155"/>
      <c r="GY2954" s="155"/>
      <c r="GZ2954" s="155"/>
      <c r="HA2954" s="155"/>
      <c r="HB2954" s="155"/>
      <c r="HC2954" s="155"/>
      <c r="HD2954" s="155"/>
      <c r="HE2954" s="155"/>
    </row>
    <row r="2955" spans="2:213" s="156" customFormat="1" hidden="1">
      <c r="B2955" s="155"/>
      <c r="C2955" s="155"/>
      <c r="D2955" s="155"/>
      <c r="E2955" s="155"/>
      <c r="F2955" s="155"/>
      <c r="G2955" s="155"/>
      <c r="H2955" s="155"/>
      <c r="I2955" s="155"/>
      <c r="J2955" s="155"/>
      <c r="K2955" s="155"/>
      <c r="L2955" s="155"/>
      <c r="M2955" s="155"/>
      <c r="N2955" s="155"/>
      <c r="O2955" s="155"/>
      <c r="P2955" s="155"/>
      <c r="Q2955" s="155"/>
      <c r="R2955" s="155"/>
      <c r="S2955" s="155"/>
      <c r="T2955" s="155"/>
      <c r="U2955" s="155"/>
      <c r="V2955" s="155"/>
      <c r="W2955" s="155"/>
      <c r="GL2955" s="155"/>
      <c r="GM2955" s="155"/>
      <c r="GN2955" s="155"/>
      <c r="GO2955" s="155"/>
      <c r="GP2955" s="155"/>
      <c r="GQ2955" s="155"/>
      <c r="GR2955" s="155"/>
      <c r="GS2955" s="155"/>
      <c r="GT2955" s="155"/>
      <c r="GU2955" s="155"/>
      <c r="GV2955" s="155"/>
      <c r="GW2955" s="155"/>
      <c r="GX2955" s="155"/>
      <c r="GY2955" s="155"/>
      <c r="GZ2955" s="155"/>
      <c r="HA2955" s="155"/>
      <c r="HB2955" s="155"/>
      <c r="HC2955" s="155"/>
      <c r="HD2955" s="155"/>
      <c r="HE2955" s="155"/>
    </row>
    <row r="2956" spans="2:213" s="156" customFormat="1" hidden="1">
      <c r="B2956" s="155"/>
      <c r="C2956" s="155"/>
      <c r="D2956" s="155"/>
      <c r="E2956" s="155"/>
      <c r="F2956" s="155"/>
      <c r="G2956" s="155"/>
      <c r="H2956" s="155"/>
      <c r="I2956" s="155"/>
      <c r="J2956" s="155"/>
      <c r="K2956" s="155"/>
      <c r="L2956" s="155"/>
      <c r="M2956" s="155"/>
      <c r="N2956" s="155"/>
      <c r="O2956" s="155"/>
      <c r="P2956" s="155"/>
      <c r="Q2956" s="155"/>
      <c r="R2956" s="155"/>
      <c r="S2956" s="155"/>
      <c r="T2956" s="155"/>
      <c r="U2956" s="155"/>
      <c r="V2956" s="155"/>
      <c r="W2956" s="155"/>
      <c r="GL2956" s="155"/>
      <c r="GM2956" s="155"/>
      <c r="GN2956" s="155"/>
      <c r="GO2956" s="155"/>
      <c r="GP2956" s="155"/>
      <c r="GQ2956" s="155"/>
      <c r="GR2956" s="155"/>
      <c r="GS2956" s="155"/>
      <c r="GT2956" s="155"/>
      <c r="GU2956" s="155"/>
      <c r="GV2956" s="155"/>
      <c r="GW2956" s="155"/>
      <c r="GX2956" s="155"/>
      <c r="GY2956" s="155"/>
      <c r="GZ2956" s="155"/>
      <c r="HA2956" s="155"/>
      <c r="HB2956" s="155"/>
      <c r="HC2956" s="155"/>
      <c r="HD2956" s="155"/>
      <c r="HE2956" s="155"/>
    </row>
    <row r="2957" spans="2:213" s="156" customFormat="1" hidden="1">
      <c r="B2957" s="155"/>
      <c r="C2957" s="155"/>
      <c r="D2957" s="155"/>
      <c r="E2957" s="155"/>
      <c r="F2957" s="155"/>
      <c r="G2957" s="155"/>
      <c r="H2957" s="155"/>
      <c r="I2957" s="155"/>
      <c r="J2957" s="155"/>
      <c r="K2957" s="155"/>
      <c r="L2957" s="155"/>
      <c r="M2957" s="155"/>
      <c r="N2957" s="155"/>
      <c r="O2957" s="155"/>
      <c r="P2957" s="155"/>
      <c r="Q2957" s="155"/>
      <c r="R2957" s="155"/>
      <c r="S2957" s="155"/>
      <c r="T2957" s="155"/>
      <c r="U2957" s="155"/>
      <c r="V2957" s="155"/>
      <c r="W2957" s="155"/>
      <c r="GL2957" s="155"/>
      <c r="GM2957" s="155"/>
      <c r="GN2957" s="155"/>
      <c r="GO2957" s="155"/>
      <c r="GP2957" s="155"/>
      <c r="GQ2957" s="155"/>
      <c r="GR2957" s="155"/>
      <c r="GS2957" s="155"/>
      <c r="GT2957" s="155"/>
      <c r="GU2957" s="155"/>
      <c r="GV2957" s="155"/>
      <c r="GW2957" s="155"/>
      <c r="GX2957" s="155"/>
      <c r="GY2957" s="155"/>
      <c r="GZ2957" s="155"/>
      <c r="HA2957" s="155"/>
      <c r="HB2957" s="155"/>
      <c r="HC2957" s="155"/>
      <c r="HD2957" s="155"/>
      <c r="HE2957" s="155"/>
    </row>
    <row r="2958" spans="2:213" s="156" customFormat="1" hidden="1">
      <c r="B2958" s="155"/>
      <c r="C2958" s="155"/>
      <c r="D2958" s="155"/>
      <c r="E2958" s="155"/>
      <c r="F2958" s="155"/>
      <c r="G2958" s="155"/>
      <c r="H2958" s="155"/>
      <c r="I2958" s="155"/>
      <c r="J2958" s="155"/>
      <c r="K2958" s="155"/>
      <c r="L2958" s="155"/>
      <c r="M2958" s="155"/>
      <c r="N2958" s="155"/>
      <c r="O2958" s="155"/>
      <c r="P2958" s="155"/>
      <c r="Q2958" s="155"/>
      <c r="R2958" s="155"/>
      <c r="S2958" s="155"/>
      <c r="T2958" s="155"/>
      <c r="U2958" s="155"/>
      <c r="V2958" s="155"/>
      <c r="W2958" s="155"/>
      <c r="GL2958" s="155"/>
      <c r="GM2958" s="155"/>
      <c r="GN2958" s="155"/>
      <c r="GO2958" s="155"/>
      <c r="GP2958" s="155"/>
      <c r="GQ2958" s="155"/>
      <c r="GR2958" s="155"/>
      <c r="GS2958" s="155"/>
      <c r="GT2958" s="155"/>
      <c r="GU2958" s="155"/>
      <c r="GV2958" s="155"/>
      <c r="GW2958" s="155"/>
      <c r="GX2958" s="155"/>
      <c r="GY2958" s="155"/>
      <c r="GZ2958" s="155"/>
      <c r="HA2958" s="155"/>
      <c r="HB2958" s="155"/>
      <c r="HC2958" s="155"/>
      <c r="HD2958" s="155"/>
      <c r="HE2958" s="155"/>
    </row>
    <row r="2959" spans="2:213" s="156" customFormat="1" hidden="1">
      <c r="B2959" s="155"/>
      <c r="C2959" s="155"/>
      <c r="D2959" s="155"/>
      <c r="E2959" s="155"/>
      <c r="F2959" s="155"/>
      <c r="G2959" s="155"/>
      <c r="H2959" s="155"/>
      <c r="I2959" s="155"/>
      <c r="J2959" s="155"/>
      <c r="K2959" s="155"/>
      <c r="L2959" s="155"/>
      <c r="M2959" s="155"/>
      <c r="N2959" s="155"/>
      <c r="O2959" s="155"/>
      <c r="P2959" s="155"/>
      <c r="Q2959" s="155"/>
      <c r="R2959" s="155"/>
      <c r="S2959" s="155"/>
      <c r="T2959" s="155"/>
      <c r="U2959" s="155"/>
      <c r="V2959" s="155"/>
      <c r="W2959" s="155"/>
      <c r="GL2959" s="155"/>
      <c r="GM2959" s="155"/>
      <c r="GN2959" s="155"/>
      <c r="GO2959" s="155"/>
      <c r="GP2959" s="155"/>
      <c r="GQ2959" s="155"/>
      <c r="GR2959" s="155"/>
      <c r="GS2959" s="155"/>
      <c r="GT2959" s="155"/>
      <c r="GU2959" s="155"/>
      <c r="GV2959" s="155"/>
      <c r="GW2959" s="155"/>
      <c r="GX2959" s="155"/>
      <c r="GY2959" s="155"/>
      <c r="GZ2959" s="155"/>
      <c r="HA2959" s="155"/>
      <c r="HB2959" s="155"/>
      <c r="HC2959" s="155"/>
      <c r="HD2959" s="155"/>
      <c r="HE2959" s="155"/>
    </row>
    <row r="2960" spans="2:213" s="156" customFormat="1" hidden="1">
      <c r="B2960" s="155"/>
      <c r="C2960" s="155"/>
      <c r="D2960" s="155"/>
      <c r="E2960" s="155"/>
      <c r="F2960" s="155"/>
      <c r="G2960" s="155"/>
      <c r="H2960" s="155"/>
      <c r="I2960" s="155"/>
      <c r="J2960" s="155"/>
      <c r="K2960" s="155"/>
      <c r="L2960" s="155"/>
      <c r="M2960" s="155"/>
      <c r="N2960" s="155"/>
      <c r="O2960" s="155"/>
      <c r="P2960" s="155"/>
      <c r="Q2960" s="155"/>
      <c r="R2960" s="155"/>
      <c r="S2960" s="155"/>
      <c r="T2960" s="155"/>
      <c r="U2960" s="155"/>
      <c r="V2960" s="155"/>
      <c r="W2960" s="155"/>
      <c r="GL2960" s="155"/>
      <c r="GM2960" s="155"/>
      <c r="GN2960" s="155"/>
      <c r="GO2960" s="155"/>
      <c r="GP2960" s="155"/>
      <c r="GQ2960" s="155"/>
      <c r="GR2960" s="155"/>
      <c r="GS2960" s="155"/>
      <c r="GT2960" s="155"/>
      <c r="GU2960" s="155"/>
      <c r="GV2960" s="155"/>
      <c r="GW2960" s="155"/>
      <c r="GX2960" s="155"/>
      <c r="GY2960" s="155"/>
      <c r="GZ2960" s="155"/>
      <c r="HA2960" s="155"/>
      <c r="HB2960" s="155"/>
      <c r="HC2960" s="155"/>
      <c r="HD2960" s="155"/>
      <c r="HE2960" s="155"/>
    </row>
    <row r="2961" spans="2:213" s="156" customFormat="1" hidden="1">
      <c r="B2961" s="155"/>
      <c r="C2961" s="155"/>
      <c r="D2961" s="155"/>
      <c r="E2961" s="155"/>
      <c r="F2961" s="155"/>
      <c r="G2961" s="155"/>
      <c r="H2961" s="155"/>
      <c r="I2961" s="155"/>
      <c r="J2961" s="155"/>
      <c r="K2961" s="155"/>
      <c r="L2961" s="155"/>
      <c r="M2961" s="155"/>
      <c r="N2961" s="155"/>
      <c r="O2961" s="155"/>
      <c r="P2961" s="155"/>
      <c r="Q2961" s="155"/>
      <c r="R2961" s="155"/>
      <c r="S2961" s="155"/>
      <c r="T2961" s="155"/>
      <c r="U2961" s="155"/>
      <c r="V2961" s="155"/>
      <c r="W2961" s="155"/>
      <c r="GL2961" s="155"/>
      <c r="GM2961" s="155"/>
      <c r="GN2961" s="155"/>
      <c r="GO2961" s="155"/>
      <c r="GP2961" s="155"/>
      <c r="GQ2961" s="155"/>
      <c r="GR2961" s="155"/>
      <c r="GS2961" s="155"/>
      <c r="GT2961" s="155"/>
      <c r="GU2961" s="155"/>
      <c r="GV2961" s="155"/>
      <c r="GW2961" s="155"/>
      <c r="GX2961" s="155"/>
      <c r="GY2961" s="155"/>
      <c r="GZ2961" s="155"/>
      <c r="HA2961" s="155"/>
      <c r="HB2961" s="155"/>
      <c r="HC2961" s="155"/>
      <c r="HD2961" s="155"/>
      <c r="HE2961" s="155"/>
    </row>
    <row r="2962" spans="2:213" s="156" customFormat="1" hidden="1">
      <c r="B2962" s="155"/>
      <c r="C2962" s="155"/>
      <c r="D2962" s="155"/>
      <c r="E2962" s="155"/>
      <c r="F2962" s="155"/>
      <c r="G2962" s="155"/>
      <c r="H2962" s="155"/>
      <c r="I2962" s="155"/>
      <c r="J2962" s="155"/>
      <c r="K2962" s="155"/>
      <c r="L2962" s="155"/>
      <c r="M2962" s="155"/>
      <c r="N2962" s="155"/>
      <c r="O2962" s="155"/>
      <c r="P2962" s="155"/>
      <c r="Q2962" s="155"/>
      <c r="R2962" s="155"/>
      <c r="S2962" s="155"/>
      <c r="T2962" s="155"/>
      <c r="U2962" s="155"/>
      <c r="V2962" s="155"/>
      <c r="W2962" s="155"/>
      <c r="GL2962" s="155"/>
      <c r="GM2962" s="155"/>
      <c r="GN2962" s="155"/>
      <c r="GO2962" s="155"/>
      <c r="GP2962" s="155"/>
      <c r="GQ2962" s="155"/>
      <c r="GR2962" s="155"/>
      <c r="GS2962" s="155"/>
      <c r="GT2962" s="155"/>
      <c r="GU2962" s="155"/>
      <c r="GV2962" s="155"/>
      <c r="GW2962" s="155"/>
      <c r="GX2962" s="155"/>
      <c r="GY2962" s="155"/>
      <c r="GZ2962" s="155"/>
      <c r="HA2962" s="155"/>
      <c r="HB2962" s="155"/>
      <c r="HC2962" s="155"/>
      <c r="HD2962" s="155"/>
      <c r="HE2962" s="155"/>
    </row>
    <row r="2963" spans="2:213" s="156" customFormat="1" hidden="1">
      <c r="B2963" s="155"/>
      <c r="C2963" s="155"/>
      <c r="D2963" s="155"/>
      <c r="E2963" s="155"/>
      <c r="F2963" s="155"/>
      <c r="G2963" s="155"/>
      <c r="H2963" s="155"/>
      <c r="I2963" s="155"/>
      <c r="J2963" s="155"/>
      <c r="K2963" s="155"/>
      <c r="L2963" s="155"/>
      <c r="M2963" s="155"/>
      <c r="N2963" s="155"/>
      <c r="O2963" s="155"/>
      <c r="P2963" s="155"/>
      <c r="Q2963" s="155"/>
      <c r="R2963" s="155"/>
      <c r="S2963" s="155"/>
      <c r="T2963" s="155"/>
      <c r="U2963" s="155"/>
      <c r="V2963" s="155"/>
      <c r="W2963" s="155"/>
      <c r="GL2963" s="155"/>
      <c r="GM2963" s="155"/>
      <c r="GN2963" s="155"/>
      <c r="GO2963" s="155"/>
      <c r="GP2963" s="155"/>
      <c r="GQ2963" s="155"/>
      <c r="GR2963" s="155"/>
      <c r="GS2963" s="155"/>
      <c r="GT2963" s="155"/>
      <c r="GU2963" s="155"/>
      <c r="GV2963" s="155"/>
      <c r="GW2963" s="155"/>
      <c r="GX2963" s="155"/>
      <c r="GY2963" s="155"/>
      <c r="GZ2963" s="155"/>
      <c r="HA2963" s="155"/>
      <c r="HB2963" s="155"/>
      <c r="HC2963" s="155"/>
      <c r="HD2963" s="155"/>
      <c r="HE2963" s="155"/>
    </row>
    <row r="2964" spans="2:213" s="156" customFormat="1" hidden="1">
      <c r="B2964" s="155"/>
      <c r="C2964" s="155"/>
      <c r="D2964" s="155"/>
      <c r="E2964" s="155"/>
      <c r="F2964" s="155"/>
      <c r="G2964" s="155"/>
      <c r="H2964" s="155"/>
      <c r="I2964" s="155"/>
      <c r="J2964" s="155"/>
      <c r="K2964" s="155"/>
      <c r="L2964" s="155"/>
      <c r="M2964" s="155"/>
      <c r="N2964" s="155"/>
      <c r="O2964" s="155"/>
      <c r="P2964" s="155"/>
      <c r="Q2964" s="155"/>
      <c r="R2964" s="155"/>
      <c r="S2964" s="155"/>
      <c r="T2964" s="155"/>
      <c r="U2964" s="155"/>
      <c r="V2964" s="155"/>
      <c r="W2964" s="155"/>
      <c r="GL2964" s="155"/>
      <c r="GM2964" s="155"/>
      <c r="GN2964" s="155"/>
      <c r="GO2964" s="155"/>
      <c r="GP2964" s="155"/>
      <c r="GQ2964" s="155"/>
      <c r="GR2964" s="155"/>
      <c r="GS2964" s="155"/>
      <c r="GT2964" s="155"/>
      <c r="GU2964" s="155"/>
      <c r="GV2964" s="155"/>
      <c r="GW2964" s="155"/>
      <c r="GX2964" s="155"/>
      <c r="GY2964" s="155"/>
      <c r="GZ2964" s="155"/>
      <c r="HA2964" s="155"/>
      <c r="HB2964" s="155"/>
      <c r="HC2964" s="155"/>
      <c r="HD2964" s="155"/>
      <c r="HE2964" s="155"/>
    </row>
    <row r="2965" spans="2:213" s="156" customFormat="1" hidden="1">
      <c r="B2965" s="155"/>
      <c r="C2965" s="155"/>
      <c r="D2965" s="155"/>
      <c r="E2965" s="155"/>
      <c r="F2965" s="155"/>
      <c r="G2965" s="155"/>
      <c r="H2965" s="155"/>
      <c r="I2965" s="155"/>
      <c r="J2965" s="155"/>
      <c r="K2965" s="155"/>
      <c r="L2965" s="155"/>
      <c r="M2965" s="155"/>
      <c r="N2965" s="155"/>
      <c r="O2965" s="155"/>
      <c r="P2965" s="155"/>
      <c r="Q2965" s="155"/>
      <c r="R2965" s="155"/>
      <c r="S2965" s="155"/>
      <c r="T2965" s="155"/>
      <c r="U2965" s="155"/>
      <c r="V2965" s="155"/>
      <c r="W2965" s="155"/>
      <c r="GL2965" s="155"/>
      <c r="GM2965" s="155"/>
      <c r="GN2965" s="155"/>
      <c r="GO2965" s="155"/>
      <c r="GP2965" s="155"/>
      <c r="GQ2965" s="155"/>
      <c r="GR2965" s="155"/>
      <c r="GS2965" s="155"/>
      <c r="GT2965" s="155"/>
      <c r="GU2965" s="155"/>
      <c r="GV2965" s="155"/>
      <c r="GW2965" s="155"/>
      <c r="GX2965" s="155"/>
      <c r="GY2965" s="155"/>
      <c r="GZ2965" s="155"/>
      <c r="HA2965" s="155"/>
      <c r="HB2965" s="155"/>
      <c r="HC2965" s="155"/>
      <c r="HD2965" s="155"/>
      <c r="HE2965" s="155"/>
    </row>
    <row r="2966" spans="2:213" s="156" customFormat="1" hidden="1">
      <c r="B2966" s="155"/>
      <c r="C2966" s="155"/>
      <c r="D2966" s="155"/>
      <c r="E2966" s="155"/>
      <c r="F2966" s="155"/>
      <c r="G2966" s="155"/>
      <c r="H2966" s="155"/>
      <c r="I2966" s="155"/>
      <c r="J2966" s="155"/>
      <c r="K2966" s="155"/>
      <c r="L2966" s="155"/>
      <c r="M2966" s="155"/>
      <c r="N2966" s="155"/>
      <c r="O2966" s="155"/>
      <c r="P2966" s="155"/>
      <c r="Q2966" s="155"/>
      <c r="R2966" s="155"/>
      <c r="S2966" s="155"/>
      <c r="T2966" s="155"/>
      <c r="U2966" s="155"/>
      <c r="V2966" s="155"/>
      <c r="W2966" s="155"/>
      <c r="GL2966" s="155"/>
      <c r="GM2966" s="155"/>
      <c r="GN2966" s="155"/>
      <c r="GO2966" s="155"/>
      <c r="GP2966" s="155"/>
      <c r="GQ2966" s="155"/>
      <c r="GR2966" s="155"/>
      <c r="GS2966" s="155"/>
      <c r="GT2966" s="155"/>
      <c r="GU2966" s="155"/>
      <c r="GV2966" s="155"/>
      <c r="GW2966" s="155"/>
      <c r="GX2966" s="155"/>
      <c r="GY2966" s="155"/>
      <c r="GZ2966" s="155"/>
      <c r="HA2966" s="155"/>
      <c r="HB2966" s="155"/>
      <c r="HC2966" s="155"/>
      <c r="HD2966" s="155"/>
      <c r="HE2966" s="155"/>
    </row>
    <row r="2967" spans="2:213" s="156" customFormat="1" hidden="1">
      <c r="B2967" s="155"/>
      <c r="C2967" s="155"/>
      <c r="D2967" s="155"/>
      <c r="E2967" s="155"/>
      <c r="F2967" s="155"/>
      <c r="G2967" s="155"/>
      <c r="H2967" s="155"/>
      <c r="I2967" s="155"/>
      <c r="J2967" s="155"/>
      <c r="K2967" s="155"/>
      <c r="L2967" s="155"/>
      <c r="M2967" s="155"/>
      <c r="N2967" s="155"/>
      <c r="O2967" s="155"/>
      <c r="P2967" s="155"/>
      <c r="Q2967" s="155"/>
      <c r="R2967" s="155"/>
      <c r="S2967" s="155"/>
      <c r="T2967" s="155"/>
      <c r="U2967" s="155"/>
      <c r="V2967" s="155"/>
      <c r="W2967" s="155"/>
      <c r="GL2967" s="155"/>
      <c r="GM2967" s="155"/>
      <c r="GN2967" s="155"/>
      <c r="GO2967" s="155"/>
      <c r="GP2967" s="155"/>
      <c r="GQ2967" s="155"/>
      <c r="GR2967" s="155"/>
      <c r="GS2967" s="155"/>
      <c r="GT2967" s="155"/>
      <c r="GU2967" s="155"/>
      <c r="GV2967" s="155"/>
      <c r="GW2967" s="155"/>
      <c r="GX2967" s="155"/>
      <c r="GY2967" s="155"/>
      <c r="GZ2967" s="155"/>
      <c r="HA2967" s="155"/>
      <c r="HB2967" s="155"/>
      <c r="HC2967" s="155"/>
      <c r="HD2967" s="155"/>
      <c r="HE2967" s="155"/>
    </row>
    <row r="2968" spans="2:213" s="156" customFormat="1" hidden="1">
      <c r="B2968" s="155"/>
      <c r="C2968" s="155"/>
      <c r="D2968" s="155"/>
      <c r="E2968" s="155"/>
      <c r="F2968" s="155"/>
      <c r="G2968" s="155"/>
      <c r="H2968" s="155"/>
      <c r="I2968" s="155"/>
      <c r="J2968" s="155"/>
      <c r="K2968" s="155"/>
      <c r="L2968" s="155"/>
      <c r="M2968" s="155"/>
      <c r="N2968" s="155"/>
      <c r="O2968" s="155"/>
      <c r="P2968" s="155"/>
      <c r="Q2968" s="155"/>
      <c r="R2968" s="155"/>
      <c r="S2968" s="155"/>
      <c r="T2968" s="155"/>
      <c r="U2968" s="155"/>
      <c r="V2968" s="155"/>
      <c r="W2968" s="155"/>
      <c r="GL2968" s="155"/>
      <c r="GM2968" s="155"/>
      <c r="GN2968" s="155"/>
      <c r="GO2968" s="155"/>
      <c r="GP2968" s="155"/>
      <c r="GQ2968" s="155"/>
      <c r="GR2968" s="155"/>
      <c r="GS2968" s="155"/>
      <c r="GT2968" s="155"/>
      <c r="GU2968" s="155"/>
      <c r="GV2968" s="155"/>
      <c r="GW2968" s="155"/>
      <c r="GX2968" s="155"/>
      <c r="GY2968" s="155"/>
      <c r="GZ2968" s="155"/>
      <c r="HA2968" s="155"/>
      <c r="HB2968" s="155"/>
      <c r="HC2968" s="155"/>
      <c r="HD2968" s="155"/>
      <c r="HE2968" s="155"/>
    </row>
    <row r="2969" spans="2:213" s="156" customFormat="1" hidden="1">
      <c r="B2969" s="155"/>
      <c r="C2969" s="155"/>
      <c r="D2969" s="155"/>
      <c r="E2969" s="155"/>
      <c r="F2969" s="155"/>
      <c r="G2969" s="155"/>
      <c r="H2969" s="155"/>
      <c r="I2969" s="155"/>
      <c r="J2969" s="155"/>
      <c r="K2969" s="155"/>
      <c r="L2969" s="155"/>
      <c r="M2969" s="155"/>
      <c r="N2969" s="155"/>
      <c r="O2969" s="155"/>
      <c r="P2969" s="155"/>
      <c r="Q2969" s="155"/>
      <c r="R2969" s="155"/>
      <c r="S2969" s="155"/>
      <c r="T2969" s="155"/>
      <c r="U2969" s="155"/>
      <c r="V2969" s="155"/>
      <c r="W2969" s="155"/>
      <c r="GL2969" s="155"/>
      <c r="GM2969" s="155"/>
      <c r="GN2969" s="155"/>
      <c r="GO2969" s="155"/>
      <c r="GP2969" s="155"/>
      <c r="GQ2969" s="155"/>
      <c r="GR2969" s="155"/>
      <c r="GS2969" s="155"/>
      <c r="GT2969" s="155"/>
      <c r="GU2969" s="155"/>
      <c r="GV2969" s="155"/>
      <c r="GW2969" s="155"/>
      <c r="GX2969" s="155"/>
      <c r="GY2969" s="155"/>
      <c r="GZ2969" s="155"/>
      <c r="HA2969" s="155"/>
      <c r="HB2969" s="155"/>
      <c r="HC2969" s="155"/>
      <c r="HD2969" s="155"/>
      <c r="HE2969" s="155"/>
    </row>
    <row r="2970" spans="2:213" s="156" customFormat="1" hidden="1">
      <c r="B2970" s="155"/>
      <c r="C2970" s="155"/>
      <c r="D2970" s="155"/>
      <c r="E2970" s="155"/>
      <c r="F2970" s="155"/>
      <c r="G2970" s="155"/>
      <c r="H2970" s="155"/>
      <c r="I2970" s="155"/>
      <c r="J2970" s="155"/>
      <c r="K2970" s="155"/>
      <c r="L2970" s="155"/>
      <c r="M2970" s="155"/>
      <c r="N2970" s="155"/>
      <c r="O2970" s="155"/>
      <c r="P2970" s="155"/>
      <c r="Q2970" s="155"/>
      <c r="R2970" s="155"/>
      <c r="S2970" s="155"/>
      <c r="T2970" s="155"/>
      <c r="U2970" s="155"/>
      <c r="V2970" s="155"/>
      <c r="W2970" s="155"/>
      <c r="GL2970" s="155"/>
      <c r="GM2970" s="155"/>
      <c r="GN2970" s="155"/>
      <c r="GO2970" s="155"/>
      <c r="GP2970" s="155"/>
      <c r="GQ2970" s="155"/>
      <c r="GR2970" s="155"/>
      <c r="GS2970" s="155"/>
      <c r="GT2970" s="155"/>
      <c r="GU2970" s="155"/>
      <c r="GV2970" s="155"/>
      <c r="GW2970" s="155"/>
      <c r="GX2970" s="155"/>
      <c r="GY2970" s="155"/>
      <c r="GZ2970" s="155"/>
      <c r="HA2970" s="155"/>
      <c r="HB2970" s="155"/>
      <c r="HC2970" s="155"/>
      <c r="HD2970" s="155"/>
      <c r="HE2970" s="155"/>
    </row>
    <row r="2971" spans="2:213" s="156" customFormat="1" hidden="1">
      <c r="B2971" s="155"/>
      <c r="C2971" s="155"/>
      <c r="D2971" s="155"/>
      <c r="E2971" s="155"/>
      <c r="F2971" s="155"/>
      <c r="G2971" s="155"/>
      <c r="H2971" s="155"/>
      <c r="I2971" s="155"/>
      <c r="J2971" s="155"/>
      <c r="K2971" s="155"/>
      <c r="L2971" s="155"/>
      <c r="M2971" s="155"/>
      <c r="N2971" s="155"/>
      <c r="O2971" s="155"/>
      <c r="P2971" s="155"/>
      <c r="Q2971" s="155"/>
      <c r="R2971" s="155"/>
      <c r="S2971" s="155"/>
      <c r="T2971" s="155"/>
      <c r="U2971" s="155"/>
      <c r="V2971" s="155"/>
      <c r="W2971" s="155"/>
      <c r="GL2971" s="155"/>
      <c r="GM2971" s="155"/>
      <c r="GN2971" s="155"/>
      <c r="GO2971" s="155"/>
      <c r="GP2971" s="155"/>
      <c r="GQ2971" s="155"/>
      <c r="GR2971" s="155"/>
      <c r="GS2971" s="155"/>
      <c r="GT2971" s="155"/>
      <c r="GU2971" s="155"/>
      <c r="GV2971" s="155"/>
      <c r="GW2971" s="155"/>
      <c r="GX2971" s="155"/>
      <c r="GY2971" s="155"/>
      <c r="GZ2971" s="155"/>
      <c r="HA2971" s="155"/>
      <c r="HB2971" s="155"/>
      <c r="HC2971" s="155"/>
      <c r="HD2971" s="155"/>
      <c r="HE2971" s="155"/>
    </row>
    <row r="2972" spans="2:213" s="156" customFormat="1" hidden="1">
      <c r="B2972" s="155"/>
      <c r="C2972" s="155"/>
      <c r="D2972" s="155"/>
      <c r="E2972" s="155"/>
      <c r="F2972" s="155"/>
      <c r="G2972" s="155"/>
      <c r="H2972" s="155"/>
      <c r="I2972" s="155"/>
      <c r="J2972" s="155"/>
      <c r="K2972" s="155"/>
      <c r="L2972" s="155"/>
      <c r="M2972" s="155"/>
      <c r="N2972" s="155"/>
      <c r="O2972" s="155"/>
      <c r="P2972" s="155"/>
      <c r="Q2972" s="155"/>
      <c r="R2972" s="155"/>
      <c r="S2972" s="155"/>
      <c r="T2972" s="155"/>
      <c r="U2972" s="155"/>
      <c r="V2972" s="155"/>
      <c r="W2972" s="155"/>
      <c r="GL2972" s="155"/>
      <c r="GM2972" s="155"/>
      <c r="GN2972" s="155"/>
      <c r="GO2972" s="155"/>
      <c r="GP2972" s="155"/>
      <c r="GQ2972" s="155"/>
      <c r="GR2972" s="155"/>
      <c r="GS2972" s="155"/>
      <c r="GT2972" s="155"/>
      <c r="GU2972" s="155"/>
      <c r="GV2972" s="155"/>
      <c r="GW2972" s="155"/>
      <c r="GX2972" s="155"/>
      <c r="GY2972" s="155"/>
      <c r="GZ2972" s="155"/>
      <c r="HA2972" s="155"/>
      <c r="HB2972" s="155"/>
      <c r="HC2972" s="155"/>
      <c r="HD2972" s="155"/>
      <c r="HE2972" s="155"/>
    </row>
    <row r="2973" spans="2:213" s="156" customFormat="1" hidden="1">
      <c r="B2973" s="155"/>
      <c r="C2973" s="155"/>
      <c r="D2973" s="155"/>
      <c r="E2973" s="155"/>
      <c r="F2973" s="155"/>
      <c r="G2973" s="155"/>
      <c r="H2973" s="155"/>
      <c r="I2973" s="155"/>
      <c r="J2973" s="155"/>
      <c r="K2973" s="155"/>
      <c r="L2973" s="155"/>
      <c r="M2973" s="155"/>
      <c r="N2973" s="155"/>
      <c r="O2973" s="155"/>
      <c r="P2973" s="155"/>
      <c r="Q2973" s="155"/>
      <c r="R2973" s="155"/>
      <c r="S2973" s="155"/>
      <c r="T2973" s="155"/>
      <c r="U2973" s="155"/>
      <c r="V2973" s="155"/>
      <c r="W2973" s="155"/>
      <c r="GL2973" s="155"/>
      <c r="GM2973" s="155"/>
      <c r="GN2973" s="155"/>
      <c r="GO2973" s="155"/>
      <c r="GP2973" s="155"/>
      <c r="GQ2973" s="155"/>
      <c r="GR2973" s="155"/>
      <c r="GS2973" s="155"/>
      <c r="GT2973" s="155"/>
      <c r="GU2973" s="155"/>
      <c r="GV2973" s="155"/>
      <c r="GW2973" s="155"/>
      <c r="GX2973" s="155"/>
      <c r="GY2973" s="155"/>
      <c r="GZ2973" s="155"/>
      <c r="HA2973" s="155"/>
      <c r="HB2973" s="155"/>
      <c r="HC2973" s="155"/>
      <c r="HD2973" s="155"/>
      <c r="HE2973" s="155"/>
    </row>
    <row r="2974" spans="2:213" s="156" customFormat="1" hidden="1">
      <c r="B2974" s="155"/>
      <c r="C2974" s="155"/>
      <c r="D2974" s="155"/>
      <c r="E2974" s="155"/>
      <c r="F2974" s="155"/>
      <c r="G2974" s="155"/>
      <c r="H2974" s="155"/>
      <c r="I2974" s="155"/>
      <c r="J2974" s="155"/>
      <c r="K2974" s="155"/>
      <c r="L2974" s="155"/>
      <c r="M2974" s="155"/>
      <c r="N2974" s="155"/>
      <c r="O2974" s="155"/>
      <c r="P2974" s="155"/>
      <c r="Q2974" s="155"/>
      <c r="R2974" s="155"/>
      <c r="S2974" s="155"/>
      <c r="T2974" s="155"/>
      <c r="U2974" s="155"/>
      <c r="V2974" s="155"/>
      <c r="W2974" s="155"/>
      <c r="GL2974" s="155"/>
      <c r="GM2974" s="155"/>
      <c r="GN2974" s="155"/>
      <c r="GO2974" s="155"/>
      <c r="GP2974" s="155"/>
      <c r="GQ2974" s="155"/>
      <c r="GR2974" s="155"/>
      <c r="GS2974" s="155"/>
      <c r="GT2974" s="155"/>
      <c r="GU2974" s="155"/>
      <c r="GV2974" s="155"/>
      <c r="GW2974" s="155"/>
      <c r="GX2974" s="155"/>
      <c r="GY2974" s="155"/>
      <c r="GZ2974" s="155"/>
      <c r="HA2974" s="155"/>
      <c r="HB2974" s="155"/>
      <c r="HC2974" s="155"/>
      <c r="HD2974" s="155"/>
      <c r="HE2974" s="155"/>
    </row>
    <row r="2975" spans="2:213" s="156" customFormat="1" hidden="1">
      <c r="B2975" s="155"/>
      <c r="C2975" s="155"/>
      <c r="D2975" s="155"/>
      <c r="E2975" s="155"/>
      <c r="F2975" s="155"/>
      <c r="G2975" s="155"/>
      <c r="H2975" s="155"/>
      <c r="I2975" s="155"/>
      <c r="J2975" s="155"/>
      <c r="K2975" s="155"/>
      <c r="L2975" s="155"/>
      <c r="M2975" s="155"/>
      <c r="N2975" s="155"/>
      <c r="O2975" s="155"/>
      <c r="P2975" s="155"/>
      <c r="Q2975" s="155"/>
      <c r="R2975" s="155"/>
      <c r="S2975" s="155"/>
      <c r="T2975" s="155"/>
      <c r="U2975" s="155"/>
      <c r="V2975" s="155"/>
      <c r="W2975" s="155"/>
      <c r="GL2975" s="155"/>
      <c r="GM2975" s="155"/>
      <c r="GN2975" s="155"/>
      <c r="GO2975" s="155"/>
      <c r="GP2975" s="155"/>
      <c r="GQ2975" s="155"/>
      <c r="GR2975" s="155"/>
      <c r="GS2975" s="155"/>
      <c r="GT2975" s="155"/>
      <c r="GU2975" s="155"/>
      <c r="GV2975" s="155"/>
      <c r="GW2975" s="155"/>
      <c r="GX2975" s="155"/>
      <c r="GY2975" s="155"/>
      <c r="GZ2975" s="155"/>
      <c r="HA2975" s="155"/>
      <c r="HB2975" s="155"/>
      <c r="HC2975" s="155"/>
      <c r="HD2975" s="155"/>
      <c r="HE2975" s="155"/>
    </row>
    <row r="2976" spans="2:213" s="156" customFormat="1" hidden="1">
      <c r="B2976" s="155"/>
      <c r="C2976" s="155"/>
      <c r="D2976" s="155"/>
      <c r="E2976" s="155"/>
      <c r="F2976" s="155"/>
      <c r="G2976" s="155"/>
      <c r="H2976" s="155"/>
      <c r="I2976" s="155"/>
      <c r="J2976" s="155"/>
      <c r="K2976" s="155"/>
      <c r="L2976" s="155"/>
      <c r="M2976" s="155"/>
      <c r="N2976" s="155"/>
      <c r="O2976" s="155"/>
      <c r="P2976" s="155"/>
      <c r="Q2976" s="155"/>
      <c r="R2976" s="155"/>
      <c r="S2976" s="155"/>
      <c r="T2976" s="155"/>
      <c r="U2976" s="155"/>
      <c r="V2976" s="155"/>
      <c r="W2976" s="155"/>
      <c r="GL2976" s="155"/>
      <c r="GM2976" s="155"/>
      <c r="GN2976" s="155"/>
      <c r="GO2976" s="155"/>
      <c r="GP2976" s="155"/>
      <c r="GQ2976" s="155"/>
      <c r="GR2976" s="155"/>
      <c r="GS2976" s="155"/>
      <c r="GT2976" s="155"/>
      <c r="GU2976" s="155"/>
      <c r="GV2976" s="155"/>
      <c r="GW2976" s="155"/>
      <c r="GX2976" s="155"/>
      <c r="GY2976" s="155"/>
      <c r="GZ2976" s="155"/>
      <c r="HA2976" s="155"/>
      <c r="HB2976" s="155"/>
      <c r="HC2976" s="155"/>
      <c r="HD2976" s="155"/>
      <c r="HE2976" s="155"/>
    </row>
    <row r="2977" spans="2:213" s="156" customFormat="1" hidden="1">
      <c r="B2977" s="155"/>
      <c r="C2977" s="155"/>
      <c r="D2977" s="155"/>
      <c r="E2977" s="155"/>
      <c r="F2977" s="155"/>
      <c r="G2977" s="155"/>
      <c r="H2977" s="155"/>
      <c r="I2977" s="155"/>
      <c r="J2977" s="155"/>
      <c r="K2977" s="155"/>
      <c r="L2977" s="155"/>
      <c r="M2977" s="155"/>
      <c r="N2977" s="155"/>
      <c r="O2977" s="155"/>
      <c r="P2977" s="155"/>
      <c r="Q2977" s="155"/>
      <c r="R2977" s="155"/>
      <c r="S2977" s="155"/>
      <c r="T2977" s="155"/>
      <c r="U2977" s="155"/>
      <c r="V2977" s="155"/>
      <c r="W2977" s="155"/>
      <c r="GL2977" s="155"/>
      <c r="GM2977" s="155"/>
      <c r="GN2977" s="155"/>
      <c r="GO2977" s="155"/>
      <c r="GP2977" s="155"/>
      <c r="GQ2977" s="155"/>
      <c r="GR2977" s="155"/>
      <c r="GS2977" s="155"/>
      <c r="GT2977" s="155"/>
      <c r="GU2977" s="155"/>
      <c r="GV2977" s="155"/>
      <c r="GW2977" s="155"/>
      <c r="GX2977" s="155"/>
      <c r="GY2977" s="155"/>
      <c r="GZ2977" s="155"/>
      <c r="HA2977" s="155"/>
      <c r="HB2977" s="155"/>
      <c r="HC2977" s="155"/>
      <c r="HD2977" s="155"/>
      <c r="HE2977" s="155"/>
    </row>
    <row r="2978" spans="2:213" s="156" customFormat="1" hidden="1">
      <c r="B2978" s="155"/>
      <c r="C2978" s="155"/>
      <c r="D2978" s="155"/>
      <c r="E2978" s="155"/>
      <c r="F2978" s="155"/>
      <c r="G2978" s="155"/>
      <c r="H2978" s="155"/>
      <c r="I2978" s="155"/>
      <c r="J2978" s="155"/>
      <c r="K2978" s="155"/>
      <c r="L2978" s="155"/>
      <c r="M2978" s="155"/>
      <c r="N2978" s="155"/>
      <c r="O2978" s="155"/>
      <c r="P2978" s="155"/>
      <c r="Q2978" s="155"/>
      <c r="R2978" s="155"/>
      <c r="S2978" s="155"/>
      <c r="T2978" s="155"/>
      <c r="U2978" s="155"/>
      <c r="V2978" s="155"/>
      <c r="W2978" s="155"/>
      <c r="GL2978" s="155"/>
      <c r="GM2978" s="155"/>
      <c r="GN2978" s="155"/>
      <c r="GO2978" s="155"/>
      <c r="GP2978" s="155"/>
      <c r="GQ2978" s="155"/>
      <c r="GR2978" s="155"/>
      <c r="GS2978" s="155"/>
      <c r="GT2978" s="155"/>
      <c r="GU2978" s="155"/>
      <c r="GV2978" s="155"/>
      <c r="GW2978" s="155"/>
      <c r="GX2978" s="155"/>
      <c r="GY2978" s="155"/>
      <c r="GZ2978" s="155"/>
      <c r="HA2978" s="155"/>
      <c r="HB2978" s="155"/>
      <c r="HC2978" s="155"/>
      <c r="HD2978" s="155"/>
      <c r="HE2978" s="155"/>
    </row>
    <row r="2979" spans="2:213" s="156" customFormat="1" hidden="1">
      <c r="B2979" s="155"/>
      <c r="C2979" s="155"/>
      <c r="D2979" s="155"/>
      <c r="E2979" s="155"/>
      <c r="F2979" s="155"/>
      <c r="G2979" s="155"/>
      <c r="H2979" s="155"/>
      <c r="I2979" s="155"/>
      <c r="J2979" s="155"/>
      <c r="K2979" s="155"/>
      <c r="L2979" s="155"/>
      <c r="M2979" s="155"/>
      <c r="N2979" s="155"/>
      <c r="O2979" s="155"/>
      <c r="P2979" s="155"/>
      <c r="Q2979" s="155"/>
      <c r="R2979" s="155"/>
      <c r="S2979" s="155"/>
      <c r="T2979" s="155"/>
      <c r="U2979" s="155"/>
      <c r="V2979" s="155"/>
      <c r="W2979" s="155"/>
      <c r="GL2979" s="155"/>
      <c r="GM2979" s="155"/>
      <c r="GN2979" s="155"/>
      <c r="GO2979" s="155"/>
      <c r="GP2979" s="155"/>
      <c r="GQ2979" s="155"/>
      <c r="GR2979" s="155"/>
      <c r="GS2979" s="155"/>
      <c r="GT2979" s="155"/>
      <c r="GU2979" s="155"/>
      <c r="GV2979" s="155"/>
      <c r="GW2979" s="155"/>
      <c r="GX2979" s="155"/>
      <c r="GY2979" s="155"/>
      <c r="GZ2979" s="155"/>
      <c r="HA2979" s="155"/>
      <c r="HB2979" s="155"/>
      <c r="HC2979" s="155"/>
      <c r="HD2979" s="155"/>
      <c r="HE2979" s="155"/>
    </row>
    <row r="2980" spans="2:213" s="156" customFormat="1" hidden="1">
      <c r="B2980" s="155"/>
      <c r="C2980" s="155"/>
      <c r="D2980" s="155"/>
      <c r="E2980" s="155"/>
      <c r="F2980" s="155"/>
      <c r="G2980" s="155"/>
      <c r="H2980" s="155"/>
      <c r="I2980" s="155"/>
      <c r="J2980" s="155"/>
      <c r="K2980" s="155"/>
      <c r="L2980" s="155"/>
      <c r="M2980" s="155"/>
      <c r="N2980" s="155"/>
      <c r="O2980" s="155"/>
      <c r="P2980" s="155"/>
      <c r="Q2980" s="155"/>
      <c r="R2980" s="155"/>
      <c r="S2980" s="155"/>
      <c r="T2980" s="155"/>
      <c r="U2980" s="155"/>
      <c r="V2980" s="155"/>
      <c r="W2980" s="155"/>
      <c r="GL2980" s="155"/>
      <c r="GM2980" s="155"/>
      <c r="GN2980" s="155"/>
      <c r="GO2980" s="155"/>
      <c r="GP2980" s="155"/>
      <c r="GQ2980" s="155"/>
      <c r="GR2980" s="155"/>
      <c r="GS2980" s="155"/>
      <c r="GT2980" s="155"/>
      <c r="GU2980" s="155"/>
      <c r="GV2980" s="155"/>
      <c r="GW2980" s="155"/>
      <c r="GX2980" s="155"/>
      <c r="GY2980" s="155"/>
      <c r="GZ2980" s="155"/>
      <c r="HA2980" s="155"/>
      <c r="HB2980" s="155"/>
      <c r="HC2980" s="155"/>
      <c r="HD2980" s="155"/>
      <c r="HE2980" s="155"/>
    </row>
    <row r="2981" spans="2:213" s="156" customFormat="1" hidden="1">
      <c r="B2981" s="155"/>
      <c r="C2981" s="155"/>
      <c r="D2981" s="155"/>
      <c r="E2981" s="155"/>
      <c r="F2981" s="155"/>
      <c r="G2981" s="155"/>
      <c r="H2981" s="155"/>
      <c r="I2981" s="155"/>
      <c r="J2981" s="155"/>
      <c r="K2981" s="155"/>
      <c r="L2981" s="155"/>
      <c r="M2981" s="155"/>
      <c r="N2981" s="155"/>
      <c r="O2981" s="155"/>
      <c r="P2981" s="155"/>
      <c r="Q2981" s="155"/>
      <c r="R2981" s="155"/>
      <c r="S2981" s="155"/>
      <c r="T2981" s="155"/>
      <c r="U2981" s="155"/>
      <c r="V2981" s="155"/>
      <c r="W2981" s="155"/>
      <c r="GL2981" s="155"/>
      <c r="GM2981" s="155"/>
      <c r="GN2981" s="155"/>
      <c r="GO2981" s="155"/>
      <c r="GP2981" s="155"/>
      <c r="GQ2981" s="155"/>
      <c r="GR2981" s="155"/>
      <c r="GS2981" s="155"/>
      <c r="GT2981" s="155"/>
      <c r="GU2981" s="155"/>
      <c r="GV2981" s="155"/>
      <c r="GW2981" s="155"/>
      <c r="GX2981" s="155"/>
      <c r="GY2981" s="155"/>
      <c r="GZ2981" s="155"/>
      <c r="HA2981" s="155"/>
      <c r="HB2981" s="155"/>
      <c r="HC2981" s="155"/>
      <c r="HD2981" s="155"/>
      <c r="HE2981" s="155"/>
    </row>
    <row r="2982" spans="2:213" s="156" customFormat="1" hidden="1">
      <c r="B2982" s="155"/>
      <c r="C2982" s="155"/>
      <c r="D2982" s="155"/>
      <c r="E2982" s="155"/>
      <c r="F2982" s="155"/>
      <c r="G2982" s="155"/>
      <c r="H2982" s="155"/>
      <c r="I2982" s="155"/>
      <c r="J2982" s="155"/>
      <c r="K2982" s="155"/>
      <c r="L2982" s="155"/>
      <c r="M2982" s="155"/>
      <c r="N2982" s="155"/>
      <c r="O2982" s="155"/>
      <c r="P2982" s="155"/>
      <c r="Q2982" s="155"/>
      <c r="R2982" s="155"/>
      <c r="S2982" s="155"/>
      <c r="T2982" s="155"/>
      <c r="U2982" s="155"/>
      <c r="V2982" s="155"/>
      <c r="W2982" s="155"/>
      <c r="GL2982" s="155"/>
      <c r="GM2982" s="155"/>
      <c r="GN2982" s="155"/>
      <c r="GO2982" s="155"/>
      <c r="GP2982" s="155"/>
      <c r="GQ2982" s="155"/>
      <c r="GR2982" s="155"/>
      <c r="GS2982" s="155"/>
      <c r="GT2982" s="155"/>
      <c r="GU2982" s="155"/>
      <c r="GV2982" s="155"/>
      <c r="GW2982" s="155"/>
      <c r="GX2982" s="155"/>
      <c r="GY2982" s="155"/>
      <c r="GZ2982" s="155"/>
      <c r="HA2982" s="155"/>
      <c r="HB2982" s="155"/>
      <c r="HC2982" s="155"/>
      <c r="HD2982" s="155"/>
      <c r="HE2982" s="155"/>
    </row>
    <row r="2983" spans="2:213" s="156" customFormat="1" hidden="1">
      <c r="B2983" s="155"/>
      <c r="C2983" s="155"/>
      <c r="D2983" s="155"/>
      <c r="E2983" s="155"/>
      <c r="F2983" s="155"/>
      <c r="G2983" s="155"/>
      <c r="H2983" s="155"/>
      <c r="I2983" s="155"/>
      <c r="J2983" s="155"/>
      <c r="K2983" s="155"/>
      <c r="L2983" s="155"/>
      <c r="M2983" s="155"/>
      <c r="N2983" s="155"/>
      <c r="O2983" s="155"/>
      <c r="P2983" s="155"/>
      <c r="Q2983" s="155"/>
      <c r="R2983" s="155"/>
      <c r="S2983" s="155"/>
      <c r="T2983" s="155"/>
      <c r="U2983" s="155"/>
      <c r="V2983" s="155"/>
      <c r="W2983" s="155"/>
      <c r="GL2983" s="155"/>
      <c r="GM2983" s="155"/>
      <c r="GN2983" s="155"/>
      <c r="GO2983" s="155"/>
      <c r="GP2983" s="155"/>
      <c r="GQ2983" s="155"/>
      <c r="GR2983" s="155"/>
      <c r="GS2983" s="155"/>
      <c r="GT2983" s="155"/>
      <c r="GU2983" s="155"/>
      <c r="GV2983" s="155"/>
      <c r="GW2983" s="155"/>
      <c r="GX2983" s="155"/>
      <c r="GY2983" s="155"/>
      <c r="GZ2983" s="155"/>
      <c r="HA2983" s="155"/>
      <c r="HB2983" s="155"/>
      <c r="HC2983" s="155"/>
      <c r="HD2983" s="155"/>
      <c r="HE2983" s="155"/>
    </row>
    <row r="2984" spans="2:213" s="156" customFormat="1" hidden="1">
      <c r="B2984" s="155"/>
      <c r="C2984" s="155"/>
      <c r="D2984" s="155"/>
      <c r="E2984" s="155"/>
      <c r="F2984" s="155"/>
      <c r="G2984" s="155"/>
      <c r="H2984" s="155"/>
      <c r="I2984" s="155"/>
      <c r="J2984" s="155"/>
      <c r="K2984" s="155"/>
      <c r="L2984" s="155"/>
      <c r="M2984" s="155"/>
      <c r="N2984" s="155"/>
      <c r="O2984" s="155"/>
      <c r="P2984" s="155"/>
      <c r="Q2984" s="155"/>
      <c r="R2984" s="155"/>
      <c r="S2984" s="155"/>
      <c r="T2984" s="155"/>
      <c r="U2984" s="155"/>
      <c r="V2984" s="155"/>
      <c r="W2984" s="155"/>
      <c r="GL2984" s="155"/>
      <c r="GM2984" s="155"/>
      <c r="GN2984" s="155"/>
      <c r="GO2984" s="155"/>
      <c r="GP2984" s="155"/>
      <c r="GQ2984" s="155"/>
      <c r="GR2984" s="155"/>
      <c r="GS2984" s="155"/>
      <c r="GT2984" s="155"/>
      <c r="GU2984" s="155"/>
      <c r="GV2984" s="155"/>
      <c r="GW2984" s="155"/>
      <c r="GX2984" s="155"/>
      <c r="GY2984" s="155"/>
      <c r="GZ2984" s="155"/>
      <c r="HA2984" s="155"/>
      <c r="HB2984" s="155"/>
      <c r="HC2984" s="155"/>
      <c r="HD2984" s="155"/>
      <c r="HE2984" s="155"/>
    </row>
    <row r="2985" spans="2:213" s="156" customFormat="1" hidden="1">
      <c r="B2985" s="155"/>
      <c r="C2985" s="155"/>
      <c r="D2985" s="155"/>
      <c r="E2985" s="155"/>
      <c r="F2985" s="155"/>
      <c r="G2985" s="155"/>
      <c r="H2985" s="155"/>
      <c r="I2985" s="155"/>
      <c r="J2985" s="155"/>
      <c r="K2985" s="155"/>
      <c r="L2985" s="155"/>
      <c r="M2985" s="155"/>
      <c r="N2985" s="155"/>
      <c r="O2985" s="155"/>
      <c r="P2985" s="155"/>
      <c r="Q2985" s="155"/>
      <c r="R2985" s="155"/>
      <c r="S2985" s="155"/>
      <c r="T2985" s="155"/>
      <c r="U2985" s="155"/>
      <c r="V2985" s="155"/>
      <c r="W2985" s="155"/>
      <c r="GL2985" s="155"/>
      <c r="GM2985" s="155"/>
      <c r="GN2985" s="155"/>
      <c r="GO2985" s="155"/>
      <c r="GP2985" s="155"/>
      <c r="GQ2985" s="155"/>
      <c r="GR2985" s="155"/>
      <c r="GS2985" s="155"/>
      <c r="GT2985" s="155"/>
      <c r="GU2985" s="155"/>
      <c r="GV2985" s="155"/>
      <c r="GW2985" s="155"/>
      <c r="GX2985" s="155"/>
      <c r="GY2985" s="155"/>
      <c r="GZ2985" s="155"/>
      <c r="HA2985" s="155"/>
      <c r="HB2985" s="155"/>
      <c r="HC2985" s="155"/>
      <c r="HD2985" s="155"/>
      <c r="HE2985" s="155"/>
    </row>
    <row r="2986" spans="2:213" s="156" customFormat="1" hidden="1">
      <c r="B2986" s="155"/>
      <c r="C2986" s="155"/>
      <c r="D2986" s="155"/>
      <c r="E2986" s="155"/>
      <c r="F2986" s="155"/>
      <c r="G2986" s="155"/>
      <c r="H2986" s="155"/>
      <c r="I2986" s="155"/>
      <c r="J2986" s="155"/>
      <c r="K2986" s="155"/>
      <c r="L2986" s="155"/>
      <c r="M2986" s="155"/>
      <c r="N2986" s="155"/>
      <c r="O2986" s="155"/>
      <c r="P2986" s="155"/>
      <c r="Q2986" s="155"/>
      <c r="R2986" s="155"/>
      <c r="S2986" s="155"/>
      <c r="T2986" s="155"/>
      <c r="U2986" s="155"/>
      <c r="V2986" s="155"/>
      <c r="W2986" s="155"/>
      <c r="GL2986" s="155"/>
      <c r="GM2986" s="155"/>
      <c r="GN2986" s="155"/>
      <c r="GO2986" s="155"/>
      <c r="GP2986" s="155"/>
      <c r="GQ2986" s="155"/>
      <c r="GR2986" s="155"/>
      <c r="GS2986" s="155"/>
      <c r="GT2986" s="155"/>
      <c r="GU2986" s="155"/>
      <c r="GV2986" s="155"/>
      <c r="GW2986" s="155"/>
      <c r="GX2986" s="155"/>
      <c r="GY2986" s="155"/>
      <c r="GZ2986" s="155"/>
      <c r="HA2986" s="155"/>
      <c r="HB2986" s="155"/>
      <c r="HC2986" s="155"/>
      <c r="HD2986" s="155"/>
      <c r="HE2986" s="155"/>
    </row>
    <row r="2987" spans="2:213" s="156" customFormat="1" hidden="1">
      <c r="B2987" s="155"/>
      <c r="C2987" s="155"/>
      <c r="D2987" s="155"/>
      <c r="E2987" s="155"/>
      <c r="F2987" s="155"/>
      <c r="G2987" s="155"/>
      <c r="H2987" s="155"/>
      <c r="I2987" s="155"/>
      <c r="J2987" s="155"/>
      <c r="K2987" s="155"/>
      <c r="L2987" s="155"/>
      <c r="M2987" s="155"/>
      <c r="N2987" s="155"/>
      <c r="O2987" s="155"/>
      <c r="P2987" s="155"/>
      <c r="Q2987" s="155"/>
      <c r="R2987" s="155"/>
      <c r="S2987" s="155"/>
      <c r="T2987" s="155"/>
      <c r="U2987" s="155"/>
      <c r="V2987" s="155"/>
      <c r="W2987" s="155"/>
      <c r="GL2987" s="155"/>
      <c r="GM2987" s="155"/>
      <c r="GN2987" s="155"/>
      <c r="GO2987" s="155"/>
      <c r="GP2987" s="155"/>
      <c r="GQ2987" s="155"/>
      <c r="GR2987" s="155"/>
      <c r="GS2987" s="155"/>
      <c r="GT2987" s="155"/>
      <c r="GU2987" s="155"/>
      <c r="GV2987" s="155"/>
      <c r="GW2987" s="155"/>
      <c r="GX2987" s="155"/>
      <c r="GY2987" s="155"/>
      <c r="GZ2987" s="155"/>
      <c r="HA2987" s="155"/>
      <c r="HB2987" s="155"/>
      <c r="HC2987" s="155"/>
      <c r="HD2987" s="155"/>
      <c r="HE2987" s="155"/>
    </row>
    <row r="2988" spans="2:213" s="156" customFormat="1" hidden="1">
      <c r="B2988" s="155"/>
      <c r="C2988" s="155"/>
      <c r="D2988" s="155"/>
      <c r="E2988" s="155"/>
      <c r="F2988" s="155"/>
      <c r="G2988" s="155"/>
      <c r="H2988" s="155"/>
      <c r="I2988" s="155"/>
      <c r="J2988" s="155"/>
      <c r="K2988" s="155"/>
      <c r="L2988" s="155"/>
      <c r="M2988" s="155"/>
      <c r="N2988" s="155"/>
      <c r="O2988" s="155"/>
      <c r="P2988" s="155"/>
      <c r="Q2988" s="155"/>
      <c r="R2988" s="155"/>
      <c r="S2988" s="155"/>
      <c r="T2988" s="155"/>
      <c r="U2988" s="155"/>
      <c r="V2988" s="155"/>
      <c r="W2988" s="155"/>
      <c r="GL2988" s="155"/>
      <c r="GM2988" s="155"/>
      <c r="GN2988" s="155"/>
      <c r="GO2988" s="155"/>
      <c r="GP2988" s="155"/>
      <c r="GQ2988" s="155"/>
      <c r="GR2988" s="155"/>
      <c r="GS2988" s="155"/>
      <c r="GT2988" s="155"/>
      <c r="GU2988" s="155"/>
      <c r="GV2988" s="155"/>
      <c r="GW2988" s="155"/>
      <c r="GX2988" s="155"/>
      <c r="GY2988" s="155"/>
      <c r="GZ2988" s="155"/>
      <c r="HA2988" s="155"/>
      <c r="HB2988" s="155"/>
      <c r="HC2988" s="155"/>
      <c r="HD2988" s="155"/>
      <c r="HE2988" s="155"/>
    </row>
    <row r="2989" spans="2:213" s="156" customFormat="1" hidden="1">
      <c r="B2989" s="155"/>
      <c r="C2989" s="155"/>
      <c r="D2989" s="155"/>
      <c r="E2989" s="155"/>
      <c r="F2989" s="155"/>
      <c r="G2989" s="155"/>
      <c r="H2989" s="155"/>
      <c r="I2989" s="155"/>
      <c r="J2989" s="155"/>
      <c r="K2989" s="155"/>
      <c r="L2989" s="155"/>
      <c r="M2989" s="155"/>
      <c r="N2989" s="155"/>
      <c r="O2989" s="155"/>
      <c r="P2989" s="155"/>
      <c r="Q2989" s="155"/>
      <c r="R2989" s="155"/>
      <c r="S2989" s="155"/>
      <c r="T2989" s="155"/>
      <c r="U2989" s="155"/>
      <c r="V2989" s="155"/>
      <c r="W2989" s="155"/>
      <c r="GL2989" s="155"/>
      <c r="GM2989" s="155"/>
      <c r="GN2989" s="155"/>
      <c r="GO2989" s="155"/>
      <c r="GP2989" s="155"/>
      <c r="GQ2989" s="155"/>
      <c r="GR2989" s="155"/>
      <c r="GS2989" s="155"/>
      <c r="GT2989" s="155"/>
      <c r="GU2989" s="155"/>
      <c r="GV2989" s="155"/>
      <c r="GW2989" s="155"/>
      <c r="GX2989" s="155"/>
      <c r="GY2989" s="155"/>
      <c r="GZ2989" s="155"/>
      <c r="HA2989" s="155"/>
      <c r="HB2989" s="155"/>
      <c r="HC2989" s="155"/>
      <c r="HD2989" s="155"/>
      <c r="HE2989" s="155"/>
    </row>
    <row r="2990" spans="2:213" s="156" customFormat="1" hidden="1">
      <c r="B2990" s="155"/>
      <c r="C2990" s="155"/>
      <c r="D2990" s="155"/>
      <c r="E2990" s="155"/>
      <c r="F2990" s="155"/>
      <c r="G2990" s="155"/>
      <c r="H2990" s="155"/>
      <c r="I2990" s="155"/>
      <c r="J2990" s="155"/>
      <c r="K2990" s="155"/>
      <c r="L2990" s="155"/>
      <c r="M2990" s="155"/>
      <c r="N2990" s="155"/>
      <c r="O2990" s="155"/>
      <c r="P2990" s="155"/>
      <c r="Q2990" s="155"/>
      <c r="R2990" s="155"/>
      <c r="S2990" s="155"/>
      <c r="T2990" s="155"/>
      <c r="U2990" s="155"/>
      <c r="V2990" s="155"/>
      <c r="W2990" s="155"/>
      <c r="GL2990" s="155"/>
      <c r="GM2990" s="155"/>
      <c r="GN2990" s="155"/>
      <c r="GO2990" s="155"/>
      <c r="GP2990" s="155"/>
      <c r="GQ2990" s="155"/>
      <c r="GR2990" s="155"/>
      <c r="GS2990" s="155"/>
      <c r="GT2990" s="155"/>
      <c r="GU2990" s="155"/>
      <c r="GV2990" s="155"/>
      <c r="GW2990" s="155"/>
      <c r="GX2990" s="155"/>
      <c r="GY2990" s="155"/>
      <c r="GZ2990" s="155"/>
      <c r="HA2990" s="155"/>
      <c r="HB2990" s="155"/>
      <c r="HC2990" s="155"/>
      <c r="HD2990" s="155"/>
      <c r="HE2990" s="155"/>
    </row>
    <row r="2991" spans="2:213" s="156" customFormat="1" hidden="1">
      <c r="B2991" s="155"/>
      <c r="C2991" s="155"/>
      <c r="D2991" s="155"/>
      <c r="E2991" s="155"/>
      <c r="F2991" s="155"/>
      <c r="G2991" s="155"/>
      <c r="H2991" s="155"/>
      <c r="I2991" s="155"/>
      <c r="J2991" s="155"/>
      <c r="K2991" s="155"/>
      <c r="L2991" s="155"/>
      <c r="M2991" s="155"/>
      <c r="N2991" s="155"/>
      <c r="O2991" s="155"/>
      <c r="P2991" s="155"/>
      <c r="Q2991" s="155"/>
      <c r="R2991" s="155"/>
      <c r="S2991" s="155"/>
      <c r="T2991" s="155"/>
      <c r="U2991" s="155"/>
      <c r="V2991" s="155"/>
      <c r="W2991" s="155"/>
      <c r="GL2991" s="155"/>
      <c r="GM2991" s="155"/>
      <c r="GN2991" s="155"/>
      <c r="GO2991" s="155"/>
      <c r="GP2991" s="155"/>
      <c r="GQ2991" s="155"/>
      <c r="GR2991" s="155"/>
      <c r="GS2991" s="155"/>
      <c r="GT2991" s="155"/>
      <c r="GU2991" s="155"/>
      <c r="GV2991" s="155"/>
      <c r="GW2991" s="155"/>
      <c r="GX2991" s="155"/>
      <c r="GY2991" s="155"/>
      <c r="GZ2991" s="155"/>
      <c r="HA2991" s="155"/>
      <c r="HB2991" s="155"/>
      <c r="HC2991" s="155"/>
      <c r="HD2991" s="155"/>
      <c r="HE2991" s="155"/>
    </row>
    <row r="2992" spans="2:213" s="156" customFormat="1" hidden="1">
      <c r="B2992" s="155"/>
      <c r="C2992" s="155"/>
      <c r="D2992" s="155"/>
      <c r="E2992" s="155"/>
      <c r="F2992" s="155"/>
      <c r="G2992" s="155"/>
      <c r="H2992" s="155"/>
      <c r="I2992" s="155"/>
      <c r="J2992" s="155"/>
      <c r="K2992" s="155"/>
      <c r="L2992" s="155"/>
      <c r="M2992" s="155"/>
      <c r="N2992" s="155"/>
      <c r="O2992" s="155"/>
      <c r="P2992" s="155"/>
      <c r="Q2992" s="155"/>
      <c r="R2992" s="155"/>
      <c r="S2992" s="155"/>
      <c r="T2992" s="155"/>
      <c r="U2992" s="155"/>
      <c r="V2992" s="155"/>
      <c r="W2992" s="155"/>
      <c r="GL2992" s="155"/>
      <c r="GM2992" s="155"/>
      <c r="GN2992" s="155"/>
      <c r="GO2992" s="155"/>
      <c r="GP2992" s="155"/>
      <c r="GQ2992" s="155"/>
      <c r="GR2992" s="155"/>
      <c r="GS2992" s="155"/>
      <c r="GT2992" s="155"/>
      <c r="GU2992" s="155"/>
      <c r="GV2992" s="155"/>
      <c r="GW2992" s="155"/>
      <c r="GX2992" s="155"/>
      <c r="GY2992" s="155"/>
      <c r="GZ2992" s="155"/>
      <c r="HA2992" s="155"/>
      <c r="HB2992" s="155"/>
      <c r="HC2992" s="155"/>
      <c r="HD2992" s="155"/>
      <c r="HE2992" s="155"/>
    </row>
    <row r="2993" spans="2:213" s="156" customFormat="1" hidden="1">
      <c r="B2993" s="155"/>
      <c r="C2993" s="155"/>
      <c r="D2993" s="155"/>
      <c r="E2993" s="155"/>
      <c r="F2993" s="155"/>
      <c r="G2993" s="155"/>
      <c r="H2993" s="155"/>
      <c r="I2993" s="155"/>
      <c r="J2993" s="155"/>
      <c r="K2993" s="155"/>
      <c r="L2993" s="155"/>
      <c r="M2993" s="155"/>
      <c r="N2993" s="155"/>
      <c r="O2993" s="155"/>
      <c r="P2993" s="155"/>
      <c r="Q2993" s="155"/>
      <c r="R2993" s="155"/>
      <c r="S2993" s="155"/>
      <c r="T2993" s="155"/>
      <c r="U2993" s="155"/>
      <c r="V2993" s="155"/>
      <c r="W2993" s="155"/>
      <c r="GL2993" s="155"/>
      <c r="GM2993" s="155"/>
      <c r="GN2993" s="155"/>
      <c r="GO2993" s="155"/>
      <c r="GP2993" s="155"/>
      <c r="GQ2993" s="155"/>
      <c r="GR2993" s="155"/>
      <c r="GS2993" s="155"/>
      <c r="GT2993" s="155"/>
      <c r="GU2993" s="155"/>
      <c r="GV2993" s="155"/>
      <c r="GW2993" s="155"/>
      <c r="GX2993" s="155"/>
      <c r="GY2993" s="155"/>
      <c r="GZ2993" s="155"/>
      <c r="HA2993" s="155"/>
      <c r="HB2993" s="155"/>
      <c r="HC2993" s="155"/>
      <c r="HD2993" s="155"/>
      <c r="HE2993" s="155"/>
    </row>
    <row r="2994" spans="2:213" s="156" customFormat="1" hidden="1">
      <c r="B2994" s="155"/>
      <c r="C2994" s="155"/>
      <c r="D2994" s="155"/>
      <c r="E2994" s="155"/>
      <c r="F2994" s="155"/>
      <c r="G2994" s="155"/>
      <c r="H2994" s="155"/>
      <c r="I2994" s="155"/>
      <c r="J2994" s="155"/>
      <c r="K2994" s="155"/>
      <c r="L2994" s="155"/>
      <c r="M2994" s="155"/>
      <c r="N2994" s="155"/>
      <c r="O2994" s="155"/>
      <c r="P2994" s="155"/>
      <c r="Q2994" s="155"/>
      <c r="R2994" s="155"/>
      <c r="S2994" s="155"/>
      <c r="T2994" s="155"/>
      <c r="U2994" s="155"/>
      <c r="V2994" s="155"/>
      <c r="W2994" s="155"/>
      <c r="GL2994" s="155"/>
      <c r="GM2994" s="155"/>
      <c r="GN2994" s="155"/>
      <c r="GO2994" s="155"/>
      <c r="GP2994" s="155"/>
      <c r="GQ2994" s="155"/>
      <c r="GR2994" s="155"/>
      <c r="GS2994" s="155"/>
      <c r="GT2994" s="155"/>
      <c r="GU2994" s="155"/>
      <c r="GV2994" s="155"/>
      <c r="GW2994" s="155"/>
      <c r="GX2994" s="155"/>
      <c r="GY2994" s="155"/>
      <c r="GZ2994" s="155"/>
      <c r="HA2994" s="155"/>
      <c r="HB2994" s="155"/>
      <c r="HC2994" s="155"/>
      <c r="HD2994" s="155"/>
      <c r="HE2994" s="155"/>
    </row>
    <row r="2995" spans="2:213" s="156" customFormat="1" hidden="1">
      <c r="B2995" s="155"/>
      <c r="C2995" s="155"/>
      <c r="D2995" s="155"/>
      <c r="E2995" s="155"/>
      <c r="F2995" s="155"/>
      <c r="G2995" s="155"/>
      <c r="H2995" s="155"/>
      <c r="I2995" s="155"/>
      <c r="J2995" s="155"/>
      <c r="K2995" s="155"/>
      <c r="L2995" s="155"/>
      <c r="M2995" s="155"/>
      <c r="N2995" s="155"/>
      <c r="O2995" s="155"/>
      <c r="P2995" s="155"/>
      <c r="Q2995" s="155"/>
      <c r="R2995" s="155"/>
      <c r="S2995" s="155"/>
      <c r="T2995" s="155"/>
      <c r="U2995" s="155"/>
      <c r="V2995" s="155"/>
      <c r="W2995" s="155"/>
      <c r="GL2995" s="155"/>
      <c r="GM2995" s="155"/>
      <c r="GN2995" s="155"/>
      <c r="GO2995" s="155"/>
      <c r="GP2995" s="155"/>
      <c r="GQ2995" s="155"/>
      <c r="GR2995" s="155"/>
      <c r="GS2995" s="155"/>
      <c r="GT2995" s="155"/>
      <c r="GU2995" s="155"/>
      <c r="GV2995" s="155"/>
      <c r="GW2995" s="155"/>
      <c r="GX2995" s="155"/>
      <c r="GY2995" s="155"/>
      <c r="GZ2995" s="155"/>
      <c r="HA2995" s="155"/>
      <c r="HB2995" s="155"/>
      <c r="HC2995" s="155"/>
      <c r="HD2995" s="155"/>
      <c r="HE2995" s="155"/>
    </row>
    <row r="2996" spans="2:213" s="156" customFormat="1" hidden="1">
      <c r="B2996" s="155"/>
      <c r="C2996" s="155"/>
      <c r="D2996" s="155"/>
      <c r="E2996" s="155"/>
      <c r="F2996" s="155"/>
      <c r="G2996" s="155"/>
      <c r="H2996" s="155"/>
      <c r="I2996" s="155"/>
      <c r="J2996" s="155"/>
      <c r="K2996" s="155"/>
      <c r="L2996" s="155"/>
      <c r="M2996" s="155"/>
      <c r="N2996" s="155"/>
      <c r="O2996" s="155"/>
      <c r="P2996" s="155"/>
      <c r="Q2996" s="155"/>
      <c r="R2996" s="155"/>
      <c r="S2996" s="155"/>
      <c r="T2996" s="155"/>
      <c r="U2996" s="155"/>
      <c r="V2996" s="155"/>
      <c r="W2996" s="155"/>
      <c r="GL2996" s="155"/>
      <c r="GM2996" s="155"/>
      <c r="GN2996" s="155"/>
      <c r="GO2996" s="155"/>
      <c r="GP2996" s="155"/>
      <c r="GQ2996" s="155"/>
      <c r="GR2996" s="155"/>
      <c r="GS2996" s="155"/>
      <c r="GT2996" s="155"/>
      <c r="GU2996" s="155"/>
      <c r="GV2996" s="155"/>
      <c r="GW2996" s="155"/>
      <c r="GX2996" s="155"/>
      <c r="GY2996" s="155"/>
      <c r="GZ2996" s="155"/>
      <c r="HA2996" s="155"/>
      <c r="HB2996" s="155"/>
      <c r="HC2996" s="155"/>
      <c r="HD2996" s="155"/>
      <c r="HE2996" s="155"/>
    </row>
    <row r="2997" spans="2:213" s="156" customFormat="1" hidden="1">
      <c r="B2997" s="155"/>
      <c r="C2997" s="155"/>
      <c r="D2997" s="155"/>
      <c r="E2997" s="155"/>
      <c r="F2997" s="155"/>
      <c r="G2997" s="155"/>
      <c r="H2997" s="155"/>
      <c r="I2997" s="155"/>
      <c r="J2997" s="155"/>
      <c r="K2997" s="155"/>
      <c r="L2997" s="155"/>
      <c r="M2997" s="155"/>
      <c r="N2997" s="155"/>
      <c r="O2997" s="155"/>
      <c r="P2997" s="155"/>
      <c r="Q2997" s="155"/>
      <c r="R2997" s="155"/>
      <c r="S2997" s="155"/>
      <c r="T2997" s="155"/>
      <c r="U2997" s="155"/>
      <c r="V2997" s="155"/>
      <c r="W2997" s="155"/>
      <c r="GL2997" s="155"/>
      <c r="GM2997" s="155"/>
      <c r="GN2997" s="155"/>
      <c r="GO2997" s="155"/>
      <c r="GP2997" s="155"/>
      <c r="GQ2997" s="155"/>
      <c r="GR2997" s="155"/>
      <c r="GS2997" s="155"/>
      <c r="GT2997" s="155"/>
      <c r="GU2997" s="155"/>
      <c r="GV2997" s="155"/>
      <c r="GW2997" s="155"/>
      <c r="GX2997" s="155"/>
      <c r="GY2997" s="155"/>
      <c r="GZ2997" s="155"/>
      <c r="HA2997" s="155"/>
      <c r="HB2997" s="155"/>
      <c r="HC2997" s="155"/>
      <c r="HD2997" s="155"/>
      <c r="HE2997" s="155"/>
    </row>
    <row r="2998" spans="2:213" s="156" customFormat="1" hidden="1">
      <c r="B2998" s="155"/>
      <c r="C2998" s="155"/>
      <c r="D2998" s="155"/>
      <c r="E2998" s="155"/>
      <c r="F2998" s="155"/>
      <c r="G2998" s="155"/>
      <c r="H2998" s="155"/>
      <c r="I2998" s="155"/>
      <c r="J2998" s="155"/>
      <c r="K2998" s="155"/>
      <c r="L2998" s="155"/>
      <c r="M2998" s="155"/>
      <c r="N2998" s="155"/>
      <c r="O2998" s="155"/>
      <c r="P2998" s="155"/>
      <c r="Q2998" s="155"/>
      <c r="R2998" s="155"/>
      <c r="S2998" s="155"/>
      <c r="T2998" s="155"/>
      <c r="U2998" s="155"/>
      <c r="V2998" s="155"/>
      <c r="W2998" s="155"/>
      <c r="GL2998" s="155"/>
      <c r="GM2998" s="155"/>
      <c r="GN2998" s="155"/>
      <c r="GO2998" s="155"/>
      <c r="GP2998" s="155"/>
      <c r="GQ2998" s="155"/>
      <c r="GR2998" s="155"/>
      <c r="GS2998" s="155"/>
      <c r="GT2998" s="155"/>
      <c r="GU2998" s="155"/>
      <c r="GV2998" s="155"/>
      <c r="GW2998" s="155"/>
      <c r="GX2998" s="155"/>
      <c r="GY2998" s="155"/>
      <c r="GZ2998" s="155"/>
      <c r="HA2998" s="155"/>
      <c r="HB2998" s="155"/>
      <c r="HC2998" s="155"/>
      <c r="HD2998" s="155"/>
      <c r="HE2998" s="155"/>
    </row>
    <row r="2999" spans="2:213" s="156" customFormat="1" hidden="1">
      <c r="B2999" s="155"/>
      <c r="C2999" s="155"/>
      <c r="D2999" s="155"/>
      <c r="E2999" s="155"/>
      <c r="F2999" s="155"/>
      <c r="G2999" s="155"/>
      <c r="H2999" s="155"/>
      <c r="I2999" s="155"/>
      <c r="J2999" s="155"/>
      <c r="K2999" s="155"/>
      <c r="L2999" s="155"/>
      <c r="M2999" s="155"/>
      <c r="N2999" s="155"/>
      <c r="O2999" s="155"/>
      <c r="P2999" s="155"/>
      <c r="Q2999" s="155"/>
      <c r="R2999" s="155"/>
      <c r="S2999" s="155"/>
      <c r="T2999" s="155"/>
      <c r="U2999" s="155"/>
      <c r="V2999" s="155"/>
      <c r="W2999" s="155"/>
      <c r="GL2999" s="155"/>
      <c r="GM2999" s="155"/>
      <c r="GN2999" s="155"/>
      <c r="GO2999" s="155"/>
      <c r="GP2999" s="155"/>
      <c r="GQ2999" s="155"/>
      <c r="GR2999" s="155"/>
      <c r="GS2999" s="155"/>
      <c r="GT2999" s="155"/>
      <c r="GU2999" s="155"/>
      <c r="GV2999" s="155"/>
      <c r="GW2999" s="155"/>
      <c r="GX2999" s="155"/>
      <c r="GY2999" s="155"/>
      <c r="GZ2999" s="155"/>
      <c r="HA2999" s="155"/>
      <c r="HB2999" s="155"/>
      <c r="HC2999" s="155"/>
      <c r="HD2999" s="155"/>
      <c r="HE2999" s="155"/>
    </row>
    <row r="3000" spans="2:213" s="156" customFormat="1" hidden="1">
      <c r="B3000" s="155"/>
      <c r="C3000" s="155"/>
      <c r="D3000" s="155"/>
      <c r="E3000" s="155"/>
      <c r="F3000" s="155"/>
      <c r="G3000" s="155"/>
      <c r="H3000" s="155"/>
      <c r="I3000" s="155"/>
      <c r="J3000" s="155"/>
      <c r="K3000" s="155"/>
      <c r="L3000" s="155"/>
      <c r="M3000" s="155"/>
      <c r="N3000" s="155"/>
      <c r="O3000" s="155"/>
      <c r="P3000" s="155"/>
      <c r="Q3000" s="155"/>
      <c r="R3000" s="155"/>
      <c r="S3000" s="155"/>
      <c r="T3000" s="155"/>
      <c r="U3000" s="155"/>
      <c r="V3000" s="155"/>
      <c r="W3000" s="155"/>
      <c r="GL3000" s="155"/>
      <c r="GM3000" s="155"/>
      <c r="GN3000" s="155"/>
      <c r="GO3000" s="155"/>
      <c r="GP3000" s="155"/>
      <c r="GQ3000" s="155"/>
      <c r="GR3000" s="155"/>
      <c r="GS3000" s="155"/>
      <c r="GT3000" s="155"/>
      <c r="GU3000" s="155"/>
      <c r="GV3000" s="155"/>
      <c r="GW3000" s="155"/>
      <c r="GX3000" s="155"/>
      <c r="GY3000" s="155"/>
      <c r="GZ3000" s="155"/>
      <c r="HA3000" s="155"/>
      <c r="HB3000" s="155"/>
      <c r="HC3000" s="155"/>
      <c r="HD3000" s="155"/>
      <c r="HE3000" s="155"/>
    </row>
    <row r="3001" spans="2:213" s="156" customFormat="1" hidden="1">
      <c r="B3001" s="155"/>
      <c r="C3001" s="155"/>
      <c r="D3001" s="155"/>
      <c r="E3001" s="155"/>
      <c r="F3001" s="155"/>
      <c r="G3001" s="155"/>
      <c r="H3001" s="155"/>
      <c r="I3001" s="155"/>
      <c r="J3001" s="155"/>
      <c r="K3001" s="155"/>
      <c r="L3001" s="155"/>
      <c r="M3001" s="155"/>
      <c r="N3001" s="155"/>
      <c r="O3001" s="155"/>
      <c r="P3001" s="155"/>
      <c r="Q3001" s="155"/>
      <c r="R3001" s="155"/>
      <c r="S3001" s="155"/>
      <c r="T3001" s="155"/>
      <c r="U3001" s="155"/>
      <c r="V3001" s="155"/>
      <c r="W3001" s="155"/>
      <c r="GL3001" s="155"/>
      <c r="GM3001" s="155"/>
      <c r="GN3001" s="155"/>
      <c r="GO3001" s="155"/>
      <c r="GP3001" s="155"/>
      <c r="GQ3001" s="155"/>
      <c r="GR3001" s="155"/>
      <c r="GS3001" s="155"/>
      <c r="GT3001" s="155"/>
      <c r="GU3001" s="155"/>
      <c r="GV3001" s="155"/>
      <c r="GW3001" s="155"/>
      <c r="GX3001" s="155"/>
      <c r="GY3001" s="155"/>
      <c r="GZ3001" s="155"/>
      <c r="HA3001" s="155"/>
      <c r="HB3001" s="155"/>
      <c r="HC3001" s="155"/>
      <c r="HD3001" s="155"/>
      <c r="HE3001" s="155"/>
    </row>
    <row r="3002" spans="2:213" s="156" customFormat="1" hidden="1">
      <c r="B3002" s="155"/>
      <c r="C3002" s="155"/>
      <c r="D3002" s="155"/>
      <c r="E3002" s="155"/>
      <c r="F3002" s="155"/>
      <c r="G3002" s="155"/>
      <c r="H3002" s="155"/>
      <c r="I3002" s="155"/>
      <c r="J3002" s="155"/>
      <c r="K3002" s="155"/>
      <c r="L3002" s="155"/>
      <c r="M3002" s="155"/>
      <c r="N3002" s="155"/>
      <c r="O3002" s="155"/>
      <c r="P3002" s="155"/>
      <c r="Q3002" s="155"/>
      <c r="R3002" s="155"/>
      <c r="S3002" s="155"/>
      <c r="T3002" s="155"/>
      <c r="U3002" s="155"/>
      <c r="V3002" s="155"/>
      <c r="W3002" s="155"/>
      <c r="GL3002" s="155"/>
      <c r="GM3002" s="155"/>
      <c r="GN3002" s="155"/>
      <c r="GO3002" s="155"/>
      <c r="GP3002" s="155"/>
      <c r="GQ3002" s="155"/>
      <c r="GR3002" s="155"/>
      <c r="GS3002" s="155"/>
      <c r="GT3002" s="155"/>
      <c r="GU3002" s="155"/>
      <c r="GV3002" s="155"/>
      <c r="GW3002" s="155"/>
      <c r="GX3002" s="155"/>
      <c r="GY3002" s="155"/>
      <c r="GZ3002" s="155"/>
      <c r="HA3002" s="155"/>
      <c r="HB3002" s="155"/>
      <c r="HC3002" s="155"/>
      <c r="HD3002" s="155"/>
      <c r="HE3002" s="155"/>
    </row>
    <row r="3003" spans="2:213" s="156" customFormat="1" hidden="1">
      <c r="B3003" s="155"/>
      <c r="C3003" s="155"/>
      <c r="D3003" s="155"/>
      <c r="E3003" s="155"/>
      <c r="F3003" s="155"/>
      <c r="G3003" s="155"/>
      <c r="H3003" s="155"/>
      <c r="I3003" s="155"/>
      <c r="J3003" s="155"/>
      <c r="K3003" s="155"/>
      <c r="L3003" s="155"/>
      <c r="M3003" s="155"/>
      <c r="N3003" s="155"/>
      <c r="O3003" s="155"/>
      <c r="P3003" s="155"/>
      <c r="Q3003" s="155"/>
      <c r="R3003" s="155"/>
      <c r="S3003" s="155"/>
      <c r="T3003" s="155"/>
      <c r="U3003" s="155"/>
      <c r="V3003" s="155"/>
      <c r="W3003" s="155"/>
      <c r="GL3003" s="155"/>
      <c r="GM3003" s="155"/>
      <c r="GN3003" s="155"/>
      <c r="GO3003" s="155"/>
      <c r="GP3003" s="155"/>
      <c r="GQ3003" s="155"/>
      <c r="GR3003" s="155"/>
      <c r="GS3003" s="155"/>
      <c r="GT3003" s="155"/>
      <c r="GU3003" s="155"/>
      <c r="GV3003" s="155"/>
      <c r="GW3003" s="155"/>
      <c r="GX3003" s="155"/>
      <c r="GY3003" s="155"/>
      <c r="GZ3003" s="155"/>
      <c r="HA3003" s="155"/>
      <c r="HB3003" s="155"/>
      <c r="HC3003" s="155"/>
      <c r="HD3003" s="155"/>
      <c r="HE3003" s="155"/>
    </row>
    <row r="3004" spans="2:213" s="156" customFormat="1" hidden="1">
      <c r="B3004" s="155"/>
      <c r="C3004" s="155"/>
      <c r="D3004" s="155"/>
      <c r="E3004" s="155"/>
      <c r="F3004" s="155"/>
      <c r="G3004" s="155"/>
      <c r="H3004" s="155"/>
      <c r="I3004" s="155"/>
      <c r="J3004" s="155"/>
      <c r="K3004" s="155"/>
      <c r="L3004" s="155"/>
      <c r="M3004" s="155"/>
      <c r="N3004" s="155"/>
      <c r="O3004" s="155"/>
      <c r="P3004" s="155"/>
      <c r="Q3004" s="155"/>
      <c r="R3004" s="155"/>
      <c r="S3004" s="155"/>
      <c r="T3004" s="155"/>
      <c r="U3004" s="155"/>
      <c r="V3004" s="155"/>
      <c r="W3004" s="155"/>
      <c r="GL3004" s="155"/>
      <c r="GM3004" s="155"/>
      <c r="GN3004" s="155"/>
      <c r="GO3004" s="155"/>
      <c r="GP3004" s="155"/>
      <c r="GQ3004" s="155"/>
      <c r="GR3004" s="155"/>
      <c r="GS3004" s="155"/>
      <c r="GT3004" s="155"/>
      <c r="GU3004" s="155"/>
      <c r="GV3004" s="155"/>
      <c r="GW3004" s="155"/>
      <c r="GX3004" s="155"/>
      <c r="GY3004" s="155"/>
      <c r="GZ3004" s="155"/>
      <c r="HA3004" s="155"/>
      <c r="HB3004" s="155"/>
      <c r="HC3004" s="155"/>
      <c r="HD3004" s="155"/>
      <c r="HE3004" s="155"/>
    </row>
    <row r="3005" spans="2:213" s="156" customFormat="1" hidden="1">
      <c r="B3005" s="155"/>
      <c r="C3005" s="155"/>
      <c r="D3005" s="155"/>
      <c r="E3005" s="155"/>
      <c r="F3005" s="155"/>
      <c r="G3005" s="155"/>
      <c r="H3005" s="155"/>
      <c r="I3005" s="155"/>
      <c r="J3005" s="155"/>
      <c r="K3005" s="155"/>
      <c r="L3005" s="155"/>
      <c r="M3005" s="155"/>
      <c r="N3005" s="155"/>
      <c r="O3005" s="155"/>
      <c r="P3005" s="155"/>
      <c r="Q3005" s="155"/>
      <c r="R3005" s="155"/>
      <c r="S3005" s="155"/>
      <c r="T3005" s="155"/>
      <c r="U3005" s="155"/>
      <c r="V3005" s="155"/>
      <c r="W3005" s="155"/>
      <c r="GL3005" s="155"/>
      <c r="GM3005" s="155"/>
      <c r="GN3005" s="155"/>
      <c r="GO3005" s="155"/>
      <c r="GP3005" s="155"/>
      <c r="GQ3005" s="155"/>
      <c r="GR3005" s="155"/>
      <c r="GS3005" s="155"/>
      <c r="GT3005" s="155"/>
      <c r="GU3005" s="155"/>
      <c r="GV3005" s="155"/>
      <c r="GW3005" s="155"/>
      <c r="GX3005" s="155"/>
      <c r="GY3005" s="155"/>
      <c r="GZ3005" s="155"/>
      <c r="HA3005" s="155"/>
      <c r="HB3005" s="155"/>
      <c r="HC3005" s="155"/>
      <c r="HD3005" s="155"/>
      <c r="HE3005" s="155"/>
    </row>
    <row r="3006" spans="2:213" s="156" customFormat="1" hidden="1">
      <c r="B3006" s="155"/>
      <c r="C3006" s="155"/>
      <c r="D3006" s="155"/>
      <c r="E3006" s="155"/>
      <c r="F3006" s="155"/>
      <c r="G3006" s="155"/>
      <c r="H3006" s="155"/>
      <c r="I3006" s="155"/>
      <c r="J3006" s="155"/>
      <c r="K3006" s="155"/>
      <c r="L3006" s="155"/>
      <c r="M3006" s="155"/>
      <c r="N3006" s="155"/>
      <c r="O3006" s="155"/>
      <c r="P3006" s="155"/>
      <c r="Q3006" s="155"/>
      <c r="R3006" s="155"/>
      <c r="S3006" s="155"/>
      <c r="T3006" s="155"/>
      <c r="U3006" s="155"/>
      <c r="V3006" s="155"/>
      <c r="W3006" s="155"/>
      <c r="GL3006" s="155"/>
      <c r="GM3006" s="155"/>
      <c r="GN3006" s="155"/>
      <c r="GO3006" s="155"/>
      <c r="GP3006" s="155"/>
      <c r="GQ3006" s="155"/>
      <c r="GR3006" s="155"/>
      <c r="GS3006" s="155"/>
      <c r="GT3006" s="155"/>
      <c r="GU3006" s="155"/>
      <c r="GV3006" s="155"/>
      <c r="GW3006" s="155"/>
      <c r="GX3006" s="155"/>
      <c r="GY3006" s="155"/>
      <c r="GZ3006" s="155"/>
      <c r="HA3006" s="155"/>
      <c r="HB3006" s="155"/>
      <c r="HC3006" s="155"/>
      <c r="HD3006" s="155"/>
      <c r="HE3006" s="155"/>
    </row>
    <row r="3007" spans="2:213" s="156" customFormat="1" hidden="1">
      <c r="B3007" s="155"/>
      <c r="C3007" s="155"/>
      <c r="D3007" s="155"/>
      <c r="E3007" s="155"/>
      <c r="F3007" s="155"/>
      <c r="G3007" s="155"/>
      <c r="H3007" s="155"/>
      <c r="I3007" s="155"/>
      <c r="J3007" s="155"/>
      <c r="K3007" s="155"/>
      <c r="L3007" s="155"/>
      <c r="M3007" s="155"/>
      <c r="N3007" s="155"/>
      <c r="O3007" s="155"/>
      <c r="P3007" s="155"/>
      <c r="Q3007" s="155"/>
      <c r="R3007" s="155"/>
      <c r="S3007" s="155"/>
      <c r="T3007" s="155"/>
      <c r="U3007" s="155"/>
      <c r="V3007" s="155"/>
      <c r="W3007" s="155"/>
      <c r="GL3007" s="155"/>
      <c r="GM3007" s="155"/>
      <c r="GN3007" s="155"/>
      <c r="GO3007" s="155"/>
      <c r="GP3007" s="155"/>
      <c r="GQ3007" s="155"/>
      <c r="GR3007" s="155"/>
      <c r="GS3007" s="155"/>
      <c r="GT3007" s="155"/>
      <c r="GU3007" s="155"/>
      <c r="GV3007" s="155"/>
      <c r="GW3007" s="155"/>
      <c r="GX3007" s="155"/>
      <c r="GY3007" s="155"/>
      <c r="GZ3007" s="155"/>
      <c r="HA3007" s="155"/>
      <c r="HB3007" s="155"/>
      <c r="HC3007" s="155"/>
      <c r="HD3007" s="155"/>
      <c r="HE3007" s="155"/>
    </row>
    <row r="3008" spans="2:213" s="156" customFormat="1" hidden="1">
      <c r="B3008" s="155"/>
      <c r="C3008" s="155"/>
      <c r="D3008" s="155"/>
      <c r="E3008" s="155"/>
      <c r="F3008" s="155"/>
      <c r="G3008" s="155"/>
      <c r="H3008" s="155"/>
      <c r="I3008" s="155"/>
      <c r="J3008" s="155"/>
      <c r="K3008" s="155"/>
      <c r="L3008" s="155"/>
      <c r="M3008" s="155"/>
      <c r="N3008" s="155"/>
      <c r="O3008" s="155"/>
      <c r="P3008" s="155"/>
      <c r="Q3008" s="155"/>
      <c r="R3008" s="155"/>
      <c r="S3008" s="155"/>
      <c r="T3008" s="155"/>
      <c r="U3008" s="155"/>
      <c r="V3008" s="155"/>
      <c r="W3008" s="155"/>
      <c r="GL3008" s="155"/>
      <c r="GM3008" s="155"/>
      <c r="GN3008" s="155"/>
      <c r="GO3008" s="155"/>
      <c r="GP3008" s="155"/>
      <c r="GQ3008" s="155"/>
      <c r="GR3008" s="155"/>
      <c r="GS3008" s="155"/>
      <c r="GT3008" s="155"/>
      <c r="GU3008" s="155"/>
      <c r="GV3008" s="155"/>
      <c r="GW3008" s="155"/>
      <c r="GX3008" s="155"/>
      <c r="GY3008" s="155"/>
      <c r="GZ3008" s="155"/>
      <c r="HA3008" s="155"/>
      <c r="HB3008" s="155"/>
      <c r="HC3008" s="155"/>
      <c r="HD3008" s="155"/>
      <c r="HE3008" s="155"/>
    </row>
    <row r="3009" spans="2:213" s="156" customFormat="1" hidden="1">
      <c r="B3009" s="155"/>
      <c r="C3009" s="155"/>
      <c r="D3009" s="155"/>
      <c r="E3009" s="155"/>
      <c r="F3009" s="155"/>
      <c r="G3009" s="155"/>
      <c r="H3009" s="155"/>
      <c r="I3009" s="155"/>
      <c r="J3009" s="155"/>
      <c r="K3009" s="155"/>
      <c r="L3009" s="155"/>
      <c r="M3009" s="155"/>
      <c r="N3009" s="155"/>
      <c r="O3009" s="155"/>
      <c r="P3009" s="155"/>
      <c r="Q3009" s="155"/>
      <c r="R3009" s="155"/>
      <c r="S3009" s="155"/>
      <c r="T3009" s="155"/>
      <c r="U3009" s="155"/>
      <c r="V3009" s="155"/>
      <c r="W3009" s="155"/>
      <c r="GL3009" s="155"/>
      <c r="GM3009" s="155"/>
      <c r="GN3009" s="155"/>
      <c r="GO3009" s="155"/>
      <c r="GP3009" s="155"/>
      <c r="GQ3009" s="155"/>
      <c r="GR3009" s="155"/>
      <c r="GS3009" s="155"/>
      <c r="GT3009" s="155"/>
      <c r="GU3009" s="155"/>
      <c r="GV3009" s="155"/>
      <c r="GW3009" s="155"/>
      <c r="GX3009" s="155"/>
      <c r="GY3009" s="155"/>
      <c r="GZ3009" s="155"/>
      <c r="HA3009" s="155"/>
      <c r="HB3009" s="155"/>
      <c r="HC3009" s="155"/>
      <c r="HD3009" s="155"/>
      <c r="HE3009" s="155"/>
    </row>
    <row r="3010" spans="2:213" s="156" customFormat="1" hidden="1">
      <c r="B3010" s="155"/>
      <c r="C3010" s="155"/>
      <c r="D3010" s="155"/>
      <c r="E3010" s="155"/>
      <c r="F3010" s="155"/>
      <c r="G3010" s="155"/>
      <c r="H3010" s="155"/>
      <c r="I3010" s="155"/>
      <c r="J3010" s="155"/>
      <c r="K3010" s="155"/>
      <c r="L3010" s="155"/>
      <c r="M3010" s="155"/>
      <c r="N3010" s="155"/>
      <c r="O3010" s="155"/>
      <c r="P3010" s="155"/>
      <c r="Q3010" s="155"/>
      <c r="R3010" s="155"/>
      <c r="S3010" s="155"/>
      <c r="T3010" s="155"/>
      <c r="U3010" s="155"/>
      <c r="V3010" s="155"/>
      <c r="W3010" s="155"/>
      <c r="GL3010" s="155"/>
      <c r="GM3010" s="155"/>
      <c r="GN3010" s="155"/>
      <c r="GO3010" s="155"/>
      <c r="GP3010" s="155"/>
      <c r="GQ3010" s="155"/>
      <c r="GR3010" s="155"/>
      <c r="GS3010" s="155"/>
      <c r="GT3010" s="155"/>
      <c r="GU3010" s="155"/>
      <c r="GV3010" s="155"/>
      <c r="GW3010" s="155"/>
      <c r="GX3010" s="155"/>
      <c r="GY3010" s="155"/>
      <c r="GZ3010" s="155"/>
      <c r="HA3010" s="155"/>
      <c r="HB3010" s="155"/>
      <c r="HC3010" s="155"/>
      <c r="HD3010" s="155"/>
      <c r="HE3010" s="155"/>
    </row>
    <row r="3011" spans="2:213" s="156" customFormat="1" hidden="1">
      <c r="B3011" s="155"/>
      <c r="C3011" s="155"/>
      <c r="D3011" s="155"/>
      <c r="E3011" s="155"/>
      <c r="F3011" s="155"/>
      <c r="G3011" s="155"/>
      <c r="H3011" s="155"/>
      <c r="I3011" s="155"/>
      <c r="J3011" s="155"/>
      <c r="K3011" s="155"/>
      <c r="L3011" s="155"/>
      <c r="M3011" s="155"/>
      <c r="N3011" s="155"/>
      <c r="O3011" s="155"/>
      <c r="P3011" s="155"/>
      <c r="Q3011" s="155"/>
      <c r="R3011" s="155"/>
      <c r="S3011" s="155"/>
      <c r="T3011" s="155"/>
      <c r="U3011" s="155"/>
      <c r="V3011" s="155"/>
      <c r="W3011" s="155"/>
      <c r="GL3011" s="155"/>
      <c r="GM3011" s="155"/>
      <c r="GN3011" s="155"/>
      <c r="GO3011" s="155"/>
      <c r="GP3011" s="155"/>
      <c r="GQ3011" s="155"/>
      <c r="GR3011" s="155"/>
      <c r="GS3011" s="155"/>
      <c r="GT3011" s="155"/>
      <c r="GU3011" s="155"/>
      <c r="GV3011" s="155"/>
      <c r="GW3011" s="155"/>
      <c r="GX3011" s="155"/>
      <c r="GY3011" s="155"/>
      <c r="GZ3011" s="155"/>
      <c r="HA3011" s="155"/>
      <c r="HB3011" s="155"/>
      <c r="HC3011" s="155"/>
      <c r="HD3011" s="155"/>
      <c r="HE3011" s="155"/>
    </row>
    <row r="3012" spans="2:213" s="156" customFormat="1" hidden="1">
      <c r="B3012" s="155"/>
      <c r="C3012" s="155"/>
      <c r="D3012" s="155"/>
      <c r="E3012" s="155"/>
      <c r="F3012" s="155"/>
      <c r="G3012" s="155"/>
      <c r="H3012" s="155"/>
      <c r="I3012" s="155"/>
      <c r="J3012" s="155"/>
      <c r="K3012" s="155"/>
      <c r="L3012" s="155"/>
      <c r="M3012" s="155"/>
      <c r="N3012" s="155"/>
      <c r="O3012" s="155"/>
      <c r="P3012" s="155"/>
      <c r="Q3012" s="155"/>
      <c r="R3012" s="155"/>
      <c r="S3012" s="155"/>
      <c r="T3012" s="155"/>
      <c r="U3012" s="155"/>
      <c r="V3012" s="155"/>
      <c r="W3012" s="155"/>
      <c r="GL3012" s="155"/>
      <c r="GM3012" s="155"/>
      <c r="GN3012" s="155"/>
      <c r="GO3012" s="155"/>
      <c r="GP3012" s="155"/>
      <c r="GQ3012" s="155"/>
      <c r="GR3012" s="155"/>
      <c r="GS3012" s="155"/>
      <c r="GT3012" s="155"/>
      <c r="GU3012" s="155"/>
      <c r="GV3012" s="155"/>
      <c r="GW3012" s="155"/>
      <c r="GX3012" s="155"/>
      <c r="GY3012" s="155"/>
      <c r="GZ3012" s="155"/>
      <c r="HA3012" s="155"/>
      <c r="HB3012" s="155"/>
      <c r="HC3012" s="155"/>
      <c r="HD3012" s="155"/>
      <c r="HE3012" s="155"/>
    </row>
    <row r="3013" spans="2:213" s="156" customFormat="1" hidden="1">
      <c r="B3013" s="155"/>
      <c r="C3013" s="155"/>
      <c r="D3013" s="155"/>
      <c r="E3013" s="155"/>
      <c r="F3013" s="155"/>
      <c r="G3013" s="155"/>
      <c r="H3013" s="155"/>
      <c r="I3013" s="155"/>
      <c r="J3013" s="155"/>
      <c r="K3013" s="155"/>
      <c r="L3013" s="155"/>
      <c r="M3013" s="155"/>
      <c r="N3013" s="155"/>
      <c r="O3013" s="155"/>
      <c r="P3013" s="155"/>
      <c r="Q3013" s="155"/>
      <c r="R3013" s="155"/>
      <c r="S3013" s="155"/>
      <c r="T3013" s="155"/>
      <c r="U3013" s="155"/>
      <c r="V3013" s="155"/>
      <c r="W3013" s="155"/>
      <c r="GL3013" s="155"/>
      <c r="GM3013" s="155"/>
      <c r="GN3013" s="155"/>
      <c r="GO3013" s="155"/>
      <c r="GP3013" s="155"/>
      <c r="GQ3013" s="155"/>
      <c r="GR3013" s="155"/>
      <c r="GS3013" s="155"/>
      <c r="GT3013" s="155"/>
      <c r="GU3013" s="155"/>
      <c r="GV3013" s="155"/>
      <c r="GW3013" s="155"/>
      <c r="GX3013" s="155"/>
      <c r="GY3013" s="155"/>
      <c r="GZ3013" s="155"/>
      <c r="HA3013" s="155"/>
      <c r="HB3013" s="155"/>
      <c r="HC3013" s="155"/>
      <c r="HD3013" s="155"/>
      <c r="HE3013" s="155"/>
    </row>
    <row r="3014" spans="2:213" s="156" customFormat="1" hidden="1">
      <c r="B3014" s="155"/>
      <c r="C3014" s="155"/>
      <c r="D3014" s="155"/>
      <c r="E3014" s="155"/>
      <c r="F3014" s="155"/>
      <c r="G3014" s="155"/>
      <c r="H3014" s="155"/>
      <c r="I3014" s="155"/>
      <c r="J3014" s="155"/>
      <c r="K3014" s="155"/>
      <c r="L3014" s="155"/>
      <c r="M3014" s="155"/>
      <c r="N3014" s="155"/>
      <c r="O3014" s="155"/>
      <c r="P3014" s="155"/>
      <c r="Q3014" s="155"/>
      <c r="R3014" s="155"/>
      <c r="S3014" s="155"/>
      <c r="T3014" s="155"/>
      <c r="U3014" s="155"/>
      <c r="V3014" s="155"/>
      <c r="W3014" s="155"/>
      <c r="GL3014" s="155"/>
      <c r="GM3014" s="155"/>
      <c r="GN3014" s="155"/>
      <c r="GO3014" s="155"/>
      <c r="GP3014" s="155"/>
      <c r="GQ3014" s="155"/>
      <c r="GR3014" s="155"/>
      <c r="GS3014" s="155"/>
      <c r="GT3014" s="155"/>
      <c r="GU3014" s="155"/>
      <c r="GV3014" s="155"/>
      <c r="GW3014" s="155"/>
      <c r="GX3014" s="155"/>
      <c r="GY3014" s="155"/>
      <c r="GZ3014" s="155"/>
      <c r="HA3014" s="155"/>
      <c r="HB3014" s="155"/>
      <c r="HC3014" s="155"/>
      <c r="HD3014" s="155"/>
      <c r="HE3014" s="155"/>
    </row>
    <row r="3015" spans="2:213" s="156" customFormat="1" hidden="1">
      <c r="B3015" s="155"/>
      <c r="C3015" s="155"/>
      <c r="D3015" s="155"/>
      <c r="E3015" s="155"/>
      <c r="F3015" s="155"/>
      <c r="G3015" s="155"/>
      <c r="H3015" s="155"/>
      <c r="I3015" s="155"/>
      <c r="J3015" s="155"/>
      <c r="K3015" s="155"/>
      <c r="L3015" s="155"/>
      <c r="M3015" s="155"/>
      <c r="N3015" s="155"/>
      <c r="O3015" s="155"/>
      <c r="P3015" s="155"/>
      <c r="Q3015" s="155"/>
      <c r="R3015" s="155"/>
      <c r="S3015" s="155"/>
      <c r="T3015" s="155"/>
      <c r="U3015" s="155"/>
      <c r="V3015" s="155"/>
      <c r="W3015" s="155"/>
      <c r="GL3015" s="155"/>
      <c r="GM3015" s="155"/>
      <c r="GN3015" s="155"/>
      <c r="GO3015" s="155"/>
      <c r="GP3015" s="155"/>
      <c r="GQ3015" s="155"/>
      <c r="GR3015" s="155"/>
      <c r="GS3015" s="155"/>
      <c r="GT3015" s="155"/>
      <c r="GU3015" s="155"/>
      <c r="GV3015" s="155"/>
      <c r="GW3015" s="155"/>
      <c r="GX3015" s="155"/>
      <c r="GY3015" s="155"/>
      <c r="GZ3015" s="155"/>
      <c r="HA3015" s="155"/>
      <c r="HB3015" s="155"/>
      <c r="HC3015" s="155"/>
      <c r="HD3015" s="155"/>
      <c r="HE3015" s="155"/>
    </row>
    <row r="3016" spans="2:213" s="156" customFormat="1" hidden="1">
      <c r="B3016" s="155"/>
      <c r="C3016" s="155"/>
      <c r="D3016" s="155"/>
      <c r="E3016" s="155"/>
      <c r="F3016" s="155"/>
      <c r="G3016" s="155"/>
      <c r="H3016" s="155"/>
      <c r="I3016" s="155"/>
      <c r="J3016" s="155"/>
      <c r="K3016" s="155"/>
      <c r="L3016" s="155"/>
      <c r="M3016" s="155"/>
      <c r="N3016" s="155"/>
      <c r="O3016" s="155"/>
      <c r="P3016" s="155"/>
      <c r="Q3016" s="155"/>
      <c r="R3016" s="155"/>
      <c r="S3016" s="155"/>
      <c r="T3016" s="155"/>
      <c r="U3016" s="155"/>
      <c r="V3016" s="155"/>
      <c r="W3016" s="155"/>
      <c r="GL3016" s="155"/>
      <c r="GM3016" s="155"/>
      <c r="GN3016" s="155"/>
      <c r="GO3016" s="155"/>
      <c r="GP3016" s="155"/>
      <c r="GQ3016" s="155"/>
      <c r="GR3016" s="155"/>
      <c r="GS3016" s="155"/>
      <c r="GT3016" s="155"/>
      <c r="GU3016" s="155"/>
      <c r="GV3016" s="155"/>
      <c r="GW3016" s="155"/>
      <c r="GX3016" s="155"/>
      <c r="GY3016" s="155"/>
      <c r="GZ3016" s="155"/>
      <c r="HA3016" s="155"/>
      <c r="HB3016" s="155"/>
      <c r="HC3016" s="155"/>
      <c r="HD3016" s="155"/>
      <c r="HE3016" s="155"/>
    </row>
    <row r="3017" spans="2:213" s="156" customFormat="1" hidden="1">
      <c r="B3017" s="155"/>
      <c r="C3017" s="155"/>
      <c r="D3017" s="155"/>
      <c r="E3017" s="155"/>
      <c r="F3017" s="155"/>
      <c r="G3017" s="155"/>
      <c r="H3017" s="155"/>
      <c r="I3017" s="155"/>
      <c r="J3017" s="155"/>
      <c r="K3017" s="155"/>
      <c r="L3017" s="155"/>
      <c r="M3017" s="155"/>
      <c r="N3017" s="155"/>
      <c r="O3017" s="155"/>
      <c r="P3017" s="155"/>
      <c r="Q3017" s="155"/>
      <c r="R3017" s="155"/>
      <c r="S3017" s="155"/>
      <c r="T3017" s="155"/>
      <c r="U3017" s="155"/>
      <c r="V3017" s="155"/>
      <c r="W3017" s="155"/>
      <c r="GL3017" s="155"/>
      <c r="GM3017" s="155"/>
      <c r="GN3017" s="155"/>
      <c r="GO3017" s="155"/>
      <c r="GP3017" s="155"/>
      <c r="GQ3017" s="155"/>
      <c r="GR3017" s="155"/>
      <c r="GS3017" s="155"/>
      <c r="GT3017" s="155"/>
      <c r="GU3017" s="155"/>
      <c r="GV3017" s="155"/>
      <c r="GW3017" s="155"/>
      <c r="GX3017" s="155"/>
      <c r="GY3017" s="155"/>
      <c r="GZ3017" s="155"/>
      <c r="HA3017" s="155"/>
      <c r="HB3017" s="155"/>
      <c r="HC3017" s="155"/>
      <c r="HD3017" s="155"/>
      <c r="HE3017" s="155"/>
    </row>
    <row r="3018" spans="2:213" s="156" customFormat="1" hidden="1">
      <c r="B3018" s="155"/>
      <c r="C3018" s="155"/>
      <c r="D3018" s="155"/>
      <c r="E3018" s="155"/>
      <c r="F3018" s="155"/>
      <c r="G3018" s="155"/>
      <c r="H3018" s="155"/>
      <c r="I3018" s="155"/>
      <c r="J3018" s="155"/>
      <c r="K3018" s="155"/>
      <c r="L3018" s="155"/>
      <c r="M3018" s="155"/>
      <c r="N3018" s="155"/>
      <c r="O3018" s="155"/>
      <c r="P3018" s="155"/>
      <c r="Q3018" s="155"/>
      <c r="R3018" s="155"/>
      <c r="S3018" s="155"/>
      <c r="T3018" s="155"/>
      <c r="U3018" s="155"/>
      <c r="V3018" s="155"/>
      <c r="W3018" s="155"/>
      <c r="GL3018" s="155"/>
      <c r="GM3018" s="155"/>
      <c r="GN3018" s="155"/>
      <c r="GO3018" s="155"/>
      <c r="GP3018" s="155"/>
      <c r="GQ3018" s="155"/>
      <c r="GR3018" s="155"/>
      <c r="GS3018" s="155"/>
      <c r="GT3018" s="155"/>
      <c r="GU3018" s="155"/>
      <c r="GV3018" s="155"/>
      <c r="GW3018" s="155"/>
      <c r="GX3018" s="155"/>
      <c r="GY3018" s="155"/>
      <c r="GZ3018" s="155"/>
      <c r="HA3018" s="155"/>
      <c r="HB3018" s="155"/>
      <c r="HC3018" s="155"/>
      <c r="HD3018" s="155"/>
      <c r="HE3018" s="155"/>
    </row>
    <row r="3019" spans="2:213" s="156" customFormat="1" hidden="1">
      <c r="B3019" s="155"/>
      <c r="C3019" s="155"/>
      <c r="D3019" s="155"/>
      <c r="E3019" s="155"/>
      <c r="F3019" s="155"/>
      <c r="G3019" s="155"/>
      <c r="H3019" s="155"/>
      <c r="I3019" s="155"/>
      <c r="J3019" s="155"/>
      <c r="K3019" s="155"/>
      <c r="L3019" s="155"/>
      <c r="M3019" s="155"/>
      <c r="N3019" s="155"/>
      <c r="O3019" s="155"/>
      <c r="P3019" s="155"/>
      <c r="Q3019" s="155"/>
      <c r="R3019" s="155"/>
      <c r="S3019" s="155"/>
      <c r="T3019" s="155"/>
      <c r="U3019" s="155"/>
      <c r="V3019" s="155"/>
      <c r="W3019" s="155"/>
      <c r="GL3019" s="155"/>
      <c r="GM3019" s="155"/>
      <c r="GN3019" s="155"/>
      <c r="GO3019" s="155"/>
      <c r="GP3019" s="155"/>
      <c r="GQ3019" s="155"/>
      <c r="GR3019" s="155"/>
      <c r="GS3019" s="155"/>
      <c r="GT3019" s="155"/>
      <c r="GU3019" s="155"/>
      <c r="GV3019" s="155"/>
      <c r="GW3019" s="155"/>
      <c r="GX3019" s="155"/>
      <c r="GY3019" s="155"/>
      <c r="GZ3019" s="155"/>
      <c r="HA3019" s="155"/>
      <c r="HB3019" s="155"/>
      <c r="HC3019" s="155"/>
      <c r="HD3019" s="155"/>
      <c r="HE3019" s="155"/>
    </row>
    <row r="3020" spans="2:213" s="156" customFormat="1" hidden="1">
      <c r="B3020" s="155"/>
      <c r="C3020" s="155"/>
      <c r="D3020" s="155"/>
      <c r="E3020" s="155"/>
      <c r="F3020" s="155"/>
      <c r="G3020" s="155"/>
      <c r="H3020" s="155"/>
      <c r="I3020" s="155"/>
      <c r="J3020" s="155"/>
      <c r="K3020" s="155"/>
      <c r="L3020" s="155"/>
      <c r="M3020" s="155"/>
      <c r="N3020" s="155"/>
      <c r="O3020" s="155"/>
      <c r="P3020" s="155"/>
      <c r="Q3020" s="155"/>
      <c r="R3020" s="155"/>
      <c r="S3020" s="155"/>
      <c r="T3020" s="155"/>
      <c r="U3020" s="155"/>
      <c r="V3020" s="155"/>
      <c r="W3020" s="155"/>
      <c r="GL3020" s="155"/>
      <c r="GM3020" s="155"/>
      <c r="GN3020" s="155"/>
      <c r="GO3020" s="155"/>
      <c r="GP3020" s="155"/>
      <c r="GQ3020" s="155"/>
      <c r="GR3020" s="155"/>
      <c r="GS3020" s="155"/>
      <c r="GT3020" s="155"/>
      <c r="GU3020" s="155"/>
      <c r="GV3020" s="155"/>
      <c r="GW3020" s="155"/>
      <c r="GX3020" s="155"/>
      <c r="GY3020" s="155"/>
      <c r="GZ3020" s="155"/>
      <c r="HA3020" s="155"/>
      <c r="HB3020" s="155"/>
      <c r="HC3020" s="155"/>
      <c r="HD3020" s="155"/>
      <c r="HE3020" s="155"/>
    </row>
    <row r="3021" spans="2:213" s="156" customFormat="1" hidden="1">
      <c r="B3021" s="155"/>
      <c r="C3021" s="155"/>
      <c r="D3021" s="155"/>
      <c r="E3021" s="155"/>
      <c r="F3021" s="155"/>
      <c r="G3021" s="155"/>
      <c r="H3021" s="155"/>
      <c r="I3021" s="155"/>
      <c r="J3021" s="155"/>
      <c r="K3021" s="155"/>
      <c r="L3021" s="155"/>
      <c r="M3021" s="155"/>
      <c r="N3021" s="155"/>
      <c r="O3021" s="155"/>
      <c r="P3021" s="155"/>
      <c r="Q3021" s="155"/>
      <c r="R3021" s="155"/>
      <c r="S3021" s="155"/>
      <c r="T3021" s="155"/>
      <c r="U3021" s="155"/>
      <c r="V3021" s="155"/>
      <c r="W3021" s="155"/>
      <c r="GL3021" s="155"/>
      <c r="GM3021" s="155"/>
      <c r="GN3021" s="155"/>
      <c r="GO3021" s="155"/>
      <c r="GP3021" s="155"/>
      <c r="GQ3021" s="155"/>
      <c r="GR3021" s="155"/>
      <c r="GS3021" s="155"/>
      <c r="GT3021" s="155"/>
      <c r="GU3021" s="155"/>
      <c r="GV3021" s="155"/>
      <c r="GW3021" s="155"/>
      <c r="GX3021" s="155"/>
      <c r="GY3021" s="155"/>
      <c r="GZ3021" s="155"/>
      <c r="HA3021" s="155"/>
      <c r="HB3021" s="155"/>
      <c r="HC3021" s="155"/>
      <c r="HD3021" s="155"/>
      <c r="HE3021" s="155"/>
    </row>
    <row r="3022" spans="2:213" s="156" customFormat="1" hidden="1">
      <c r="B3022" s="155"/>
      <c r="C3022" s="155"/>
      <c r="D3022" s="155"/>
      <c r="E3022" s="155"/>
      <c r="F3022" s="155"/>
      <c r="G3022" s="155"/>
      <c r="H3022" s="155"/>
      <c r="I3022" s="155"/>
      <c r="J3022" s="155"/>
      <c r="K3022" s="155"/>
      <c r="L3022" s="155"/>
      <c r="M3022" s="155"/>
      <c r="N3022" s="155"/>
      <c r="O3022" s="155"/>
      <c r="P3022" s="155"/>
      <c r="Q3022" s="155"/>
      <c r="R3022" s="155"/>
      <c r="S3022" s="155"/>
      <c r="T3022" s="155"/>
      <c r="U3022" s="155"/>
      <c r="V3022" s="155"/>
      <c r="W3022" s="155"/>
      <c r="GL3022" s="155"/>
      <c r="GM3022" s="155"/>
      <c r="GN3022" s="155"/>
      <c r="GO3022" s="155"/>
      <c r="GP3022" s="155"/>
      <c r="GQ3022" s="155"/>
      <c r="GR3022" s="155"/>
      <c r="GS3022" s="155"/>
      <c r="GT3022" s="155"/>
      <c r="GU3022" s="155"/>
      <c r="GV3022" s="155"/>
      <c r="GW3022" s="155"/>
      <c r="GX3022" s="155"/>
      <c r="GY3022" s="155"/>
      <c r="GZ3022" s="155"/>
      <c r="HA3022" s="155"/>
      <c r="HB3022" s="155"/>
      <c r="HC3022" s="155"/>
      <c r="HD3022" s="155"/>
      <c r="HE3022" s="155"/>
    </row>
    <row r="3023" spans="2:213" s="156" customFormat="1" hidden="1">
      <c r="B3023" s="155"/>
      <c r="C3023" s="155"/>
      <c r="D3023" s="155"/>
      <c r="E3023" s="155"/>
      <c r="F3023" s="155"/>
      <c r="G3023" s="155"/>
      <c r="H3023" s="155"/>
      <c r="I3023" s="155"/>
      <c r="J3023" s="155"/>
      <c r="K3023" s="155"/>
      <c r="L3023" s="155"/>
      <c r="M3023" s="155"/>
      <c r="N3023" s="155"/>
      <c r="O3023" s="155"/>
      <c r="P3023" s="155"/>
      <c r="Q3023" s="155"/>
      <c r="R3023" s="155"/>
      <c r="S3023" s="155"/>
      <c r="T3023" s="155"/>
      <c r="U3023" s="155"/>
      <c r="V3023" s="155"/>
      <c r="W3023" s="155"/>
      <c r="GL3023" s="155"/>
      <c r="GM3023" s="155"/>
      <c r="GN3023" s="155"/>
      <c r="GO3023" s="155"/>
      <c r="GP3023" s="155"/>
      <c r="GQ3023" s="155"/>
      <c r="GR3023" s="155"/>
      <c r="GS3023" s="155"/>
      <c r="GT3023" s="155"/>
      <c r="GU3023" s="155"/>
      <c r="GV3023" s="155"/>
      <c r="GW3023" s="155"/>
      <c r="GX3023" s="155"/>
      <c r="GY3023" s="155"/>
      <c r="GZ3023" s="155"/>
      <c r="HA3023" s="155"/>
      <c r="HB3023" s="155"/>
      <c r="HC3023" s="155"/>
      <c r="HD3023" s="155"/>
      <c r="HE3023" s="155"/>
    </row>
    <row r="3024" spans="2:213" s="156" customFormat="1" hidden="1">
      <c r="B3024" s="155"/>
      <c r="C3024" s="155"/>
      <c r="D3024" s="155"/>
      <c r="E3024" s="155"/>
      <c r="F3024" s="155"/>
      <c r="G3024" s="155"/>
      <c r="H3024" s="155"/>
      <c r="I3024" s="155"/>
      <c r="J3024" s="155"/>
      <c r="K3024" s="155"/>
      <c r="L3024" s="155"/>
      <c r="M3024" s="155"/>
      <c r="N3024" s="155"/>
      <c r="O3024" s="155"/>
      <c r="P3024" s="155"/>
      <c r="Q3024" s="155"/>
      <c r="R3024" s="155"/>
      <c r="S3024" s="155"/>
      <c r="T3024" s="155"/>
      <c r="U3024" s="155"/>
      <c r="V3024" s="155"/>
      <c r="W3024" s="155"/>
      <c r="GL3024" s="155"/>
      <c r="GM3024" s="155"/>
      <c r="GN3024" s="155"/>
      <c r="GO3024" s="155"/>
      <c r="GP3024" s="155"/>
      <c r="GQ3024" s="155"/>
      <c r="GR3024" s="155"/>
      <c r="GS3024" s="155"/>
      <c r="GT3024" s="155"/>
      <c r="GU3024" s="155"/>
      <c r="GV3024" s="155"/>
      <c r="GW3024" s="155"/>
      <c r="GX3024" s="155"/>
      <c r="GY3024" s="155"/>
      <c r="GZ3024" s="155"/>
      <c r="HA3024" s="155"/>
      <c r="HB3024" s="155"/>
      <c r="HC3024" s="155"/>
      <c r="HD3024" s="155"/>
      <c r="HE3024" s="155"/>
    </row>
    <row r="3025" spans="2:213" s="156" customFormat="1" hidden="1">
      <c r="B3025" s="155"/>
      <c r="C3025" s="155"/>
      <c r="D3025" s="155"/>
      <c r="E3025" s="155"/>
      <c r="F3025" s="155"/>
      <c r="G3025" s="155"/>
      <c r="H3025" s="155"/>
      <c r="I3025" s="155"/>
      <c r="J3025" s="155"/>
      <c r="K3025" s="155"/>
      <c r="L3025" s="155"/>
      <c r="M3025" s="155"/>
      <c r="N3025" s="155"/>
      <c r="O3025" s="155"/>
      <c r="P3025" s="155"/>
      <c r="Q3025" s="155"/>
      <c r="R3025" s="155"/>
      <c r="S3025" s="155"/>
      <c r="T3025" s="155"/>
      <c r="U3025" s="155"/>
      <c r="V3025" s="155"/>
      <c r="W3025" s="155"/>
      <c r="GL3025" s="155"/>
      <c r="GM3025" s="155"/>
      <c r="GN3025" s="155"/>
      <c r="GO3025" s="155"/>
      <c r="GP3025" s="155"/>
      <c r="GQ3025" s="155"/>
      <c r="GR3025" s="155"/>
      <c r="GS3025" s="155"/>
      <c r="GT3025" s="155"/>
      <c r="GU3025" s="155"/>
      <c r="GV3025" s="155"/>
      <c r="GW3025" s="155"/>
      <c r="GX3025" s="155"/>
      <c r="GY3025" s="155"/>
      <c r="GZ3025" s="155"/>
      <c r="HA3025" s="155"/>
      <c r="HB3025" s="155"/>
      <c r="HC3025" s="155"/>
      <c r="HD3025" s="155"/>
      <c r="HE3025" s="155"/>
    </row>
    <row r="3026" spans="2:213" s="156" customFormat="1" hidden="1">
      <c r="B3026" s="155"/>
      <c r="C3026" s="155"/>
      <c r="D3026" s="155"/>
      <c r="E3026" s="155"/>
      <c r="F3026" s="155"/>
      <c r="G3026" s="155"/>
      <c r="H3026" s="155"/>
      <c r="I3026" s="155"/>
      <c r="J3026" s="155"/>
      <c r="K3026" s="155"/>
      <c r="L3026" s="155"/>
      <c r="M3026" s="155"/>
      <c r="N3026" s="155"/>
      <c r="O3026" s="155"/>
      <c r="P3026" s="155"/>
      <c r="Q3026" s="155"/>
      <c r="R3026" s="155"/>
      <c r="S3026" s="155"/>
      <c r="T3026" s="155"/>
      <c r="U3026" s="155"/>
      <c r="V3026" s="155"/>
      <c r="W3026" s="155"/>
      <c r="GL3026" s="155"/>
      <c r="GM3026" s="155"/>
      <c r="GN3026" s="155"/>
      <c r="GO3026" s="155"/>
      <c r="GP3026" s="155"/>
      <c r="GQ3026" s="155"/>
      <c r="GR3026" s="155"/>
      <c r="GS3026" s="155"/>
      <c r="GT3026" s="155"/>
      <c r="GU3026" s="155"/>
      <c r="GV3026" s="155"/>
      <c r="GW3026" s="155"/>
      <c r="GX3026" s="155"/>
      <c r="GY3026" s="155"/>
      <c r="GZ3026" s="155"/>
      <c r="HA3026" s="155"/>
      <c r="HB3026" s="155"/>
      <c r="HC3026" s="155"/>
      <c r="HD3026" s="155"/>
      <c r="HE3026" s="155"/>
    </row>
    <row r="3027" spans="2:213" s="156" customFormat="1" hidden="1">
      <c r="B3027" s="155"/>
      <c r="C3027" s="155"/>
      <c r="D3027" s="155"/>
      <c r="E3027" s="155"/>
      <c r="F3027" s="155"/>
      <c r="G3027" s="155"/>
      <c r="H3027" s="155"/>
      <c r="I3027" s="155"/>
      <c r="J3027" s="155"/>
      <c r="K3027" s="155"/>
      <c r="L3027" s="155"/>
      <c r="M3027" s="155"/>
      <c r="N3027" s="155"/>
      <c r="O3027" s="155"/>
      <c r="P3027" s="155"/>
      <c r="Q3027" s="155"/>
      <c r="R3027" s="155"/>
      <c r="S3027" s="155"/>
      <c r="T3027" s="155"/>
      <c r="U3027" s="155"/>
      <c r="V3027" s="155"/>
      <c r="W3027" s="155"/>
      <c r="GL3027" s="155"/>
      <c r="GM3027" s="155"/>
      <c r="GN3027" s="155"/>
      <c r="GO3027" s="155"/>
      <c r="GP3027" s="155"/>
      <c r="GQ3027" s="155"/>
      <c r="GR3027" s="155"/>
      <c r="GS3027" s="155"/>
      <c r="GT3027" s="155"/>
      <c r="GU3027" s="155"/>
      <c r="GV3027" s="155"/>
      <c r="GW3027" s="155"/>
      <c r="GX3027" s="155"/>
      <c r="GY3027" s="155"/>
      <c r="GZ3027" s="155"/>
      <c r="HA3027" s="155"/>
      <c r="HB3027" s="155"/>
      <c r="HC3027" s="155"/>
      <c r="HD3027" s="155"/>
      <c r="HE3027" s="155"/>
    </row>
    <row r="3028" spans="2:213" s="156" customFormat="1" hidden="1">
      <c r="B3028" s="155"/>
      <c r="C3028" s="155"/>
      <c r="D3028" s="155"/>
      <c r="E3028" s="155"/>
      <c r="F3028" s="155"/>
      <c r="G3028" s="155"/>
      <c r="H3028" s="155"/>
      <c r="I3028" s="155"/>
      <c r="J3028" s="155"/>
      <c r="K3028" s="155"/>
      <c r="L3028" s="155"/>
      <c r="M3028" s="155"/>
      <c r="N3028" s="155"/>
      <c r="O3028" s="155"/>
      <c r="P3028" s="155"/>
      <c r="Q3028" s="155"/>
      <c r="R3028" s="155"/>
      <c r="S3028" s="155"/>
      <c r="T3028" s="155"/>
      <c r="U3028" s="155"/>
      <c r="V3028" s="155"/>
      <c r="W3028" s="155"/>
      <c r="GL3028" s="155"/>
      <c r="GM3028" s="155"/>
      <c r="GN3028" s="155"/>
      <c r="GO3028" s="155"/>
      <c r="GP3028" s="155"/>
      <c r="GQ3028" s="155"/>
      <c r="GR3028" s="155"/>
      <c r="GS3028" s="155"/>
      <c r="GT3028" s="155"/>
      <c r="GU3028" s="155"/>
      <c r="GV3028" s="155"/>
      <c r="GW3028" s="155"/>
      <c r="GX3028" s="155"/>
      <c r="GY3028" s="155"/>
      <c r="GZ3028" s="155"/>
      <c r="HA3028" s="155"/>
      <c r="HB3028" s="155"/>
      <c r="HC3028" s="155"/>
      <c r="HD3028" s="155"/>
      <c r="HE3028" s="155"/>
    </row>
    <row r="3029" spans="2:213" s="156" customFormat="1" hidden="1">
      <c r="B3029" s="155"/>
      <c r="C3029" s="155"/>
      <c r="D3029" s="155"/>
      <c r="E3029" s="155"/>
      <c r="F3029" s="155"/>
      <c r="G3029" s="155"/>
      <c r="H3029" s="155"/>
      <c r="I3029" s="155"/>
      <c r="J3029" s="155"/>
      <c r="K3029" s="155"/>
      <c r="L3029" s="155"/>
      <c r="M3029" s="155"/>
      <c r="N3029" s="155"/>
      <c r="O3029" s="155"/>
      <c r="P3029" s="155"/>
      <c r="Q3029" s="155"/>
      <c r="R3029" s="155"/>
      <c r="S3029" s="155"/>
      <c r="T3029" s="155"/>
      <c r="U3029" s="155"/>
      <c r="V3029" s="155"/>
      <c r="W3029" s="155"/>
      <c r="GL3029" s="155"/>
      <c r="GM3029" s="155"/>
      <c r="GN3029" s="155"/>
      <c r="GO3029" s="155"/>
      <c r="GP3029" s="155"/>
      <c r="GQ3029" s="155"/>
      <c r="GR3029" s="155"/>
      <c r="GS3029" s="155"/>
      <c r="GT3029" s="155"/>
      <c r="GU3029" s="155"/>
      <c r="GV3029" s="155"/>
      <c r="GW3029" s="155"/>
      <c r="GX3029" s="155"/>
      <c r="GY3029" s="155"/>
      <c r="GZ3029" s="155"/>
      <c r="HA3029" s="155"/>
      <c r="HB3029" s="155"/>
      <c r="HC3029" s="155"/>
      <c r="HD3029" s="155"/>
      <c r="HE3029" s="155"/>
    </row>
    <row r="3030" spans="2:213" s="156" customFormat="1" hidden="1">
      <c r="B3030" s="155"/>
      <c r="C3030" s="155"/>
      <c r="D3030" s="155"/>
      <c r="E3030" s="155"/>
      <c r="F3030" s="155"/>
      <c r="G3030" s="155"/>
      <c r="H3030" s="155"/>
      <c r="I3030" s="155"/>
      <c r="J3030" s="155"/>
      <c r="K3030" s="155"/>
      <c r="L3030" s="155"/>
      <c r="M3030" s="155"/>
      <c r="N3030" s="155"/>
      <c r="O3030" s="155"/>
      <c r="P3030" s="155"/>
      <c r="Q3030" s="155"/>
      <c r="R3030" s="155"/>
      <c r="S3030" s="155"/>
      <c r="T3030" s="155"/>
      <c r="U3030" s="155"/>
      <c r="V3030" s="155"/>
      <c r="W3030" s="155"/>
      <c r="GL3030" s="155"/>
      <c r="GM3030" s="155"/>
      <c r="GN3030" s="155"/>
      <c r="GO3030" s="155"/>
      <c r="GP3030" s="155"/>
      <c r="GQ3030" s="155"/>
      <c r="GR3030" s="155"/>
      <c r="GS3030" s="155"/>
      <c r="GT3030" s="155"/>
      <c r="GU3030" s="155"/>
      <c r="GV3030" s="155"/>
      <c r="GW3030" s="155"/>
      <c r="GX3030" s="155"/>
      <c r="GY3030" s="155"/>
      <c r="GZ3030" s="155"/>
      <c r="HA3030" s="155"/>
      <c r="HB3030" s="155"/>
      <c r="HC3030" s="155"/>
      <c r="HD3030" s="155"/>
      <c r="HE3030" s="155"/>
    </row>
    <row r="3031" spans="2:213" s="156" customFormat="1" hidden="1">
      <c r="B3031" s="155"/>
      <c r="C3031" s="155"/>
      <c r="D3031" s="155"/>
      <c r="E3031" s="155"/>
      <c r="F3031" s="155"/>
      <c r="G3031" s="155"/>
      <c r="H3031" s="155"/>
      <c r="I3031" s="155"/>
      <c r="J3031" s="155"/>
      <c r="K3031" s="155"/>
      <c r="L3031" s="155"/>
      <c r="M3031" s="155"/>
      <c r="N3031" s="155"/>
      <c r="O3031" s="155"/>
      <c r="P3031" s="155"/>
      <c r="Q3031" s="155"/>
      <c r="R3031" s="155"/>
      <c r="S3031" s="155"/>
      <c r="T3031" s="155"/>
      <c r="U3031" s="155"/>
      <c r="V3031" s="155"/>
      <c r="W3031" s="155"/>
      <c r="GL3031" s="155"/>
      <c r="GM3031" s="155"/>
      <c r="GN3031" s="155"/>
      <c r="GO3031" s="155"/>
      <c r="GP3031" s="155"/>
      <c r="GQ3031" s="155"/>
      <c r="GR3031" s="155"/>
      <c r="GS3031" s="155"/>
      <c r="GT3031" s="155"/>
      <c r="GU3031" s="155"/>
      <c r="GV3031" s="155"/>
      <c r="GW3031" s="155"/>
      <c r="GX3031" s="155"/>
      <c r="GY3031" s="155"/>
      <c r="GZ3031" s="155"/>
      <c r="HA3031" s="155"/>
      <c r="HB3031" s="155"/>
      <c r="HC3031" s="155"/>
      <c r="HD3031" s="155"/>
      <c r="HE3031" s="155"/>
    </row>
    <row r="3032" spans="2:213" s="156" customFormat="1" hidden="1">
      <c r="B3032" s="155"/>
      <c r="C3032" s="155"/>
      <c r="D3032" s="155"/>
      <c r="E3032" s="155"/>
      <c r="F3032" s="155"/>
      <c r="G3032" s="155"/>
      <c r="H3032" s="155"/>
      <c r="I3032" s="155"/>
      <c r="J3032" s="155"/>
      <c r="K3032" s="155"/>
      <c r="L3032" s="155"/>
      <c r="M3032" s="155"/>
      <c r="N3032" s="155"/>
      <c r="O3032" s="155"/>
      <c r="P3032" s="155"/>
      <c r="Q3032" s="155"/>
      <c r="R3032" s="155"/>
      <c r="S3032" s="155"/>
      <c r="T3032" s="155"/>
      <c r="U3032" s="155"/>
      <c r="V3032" s="155"/>
      <c r="W3032" s="155"/>
      <c r="GL3032" s="155"/>
      <c r="GM3032" s="155"/>
      <c r="GN3032" s="155"/>
      <c r="GO3032" s="155"/>
      <c r="GP3032" s="155"/>
      <c r="GQ3032" s="155"/>
      <c r="GR3032" s="155"/>
      <c r="GS3032" s="155"/>
      <c r="GT3032" s="155"/>
      <c r="GU3032" s="155"/>
      <c r="GV3032" s="155"/>
      <c r="GW3032" s="155"/>
      <c r="GX3032" s="155"/>
      <c r="GY3032" s="155"/>
      <c r="GZ3032" s="155"/>
      <c r="HA3032" s="155"/>
      <c r="HB3032" s="155"/>
      <c r="HC3032" s="155"/>
      <c r="HD3032" s="155"/>
      <c r="HE3032" s="155"/>
    </row>
    <row r="3033" spans="2:213" s="156" customFormat="1" hidden="1">
      <c r="B3033" s="155"/>
      <c r="C3033" s="155"/>
      <c r="D3033" s="155"/>
      <c r="E3033" s="155"/>
      <c r="F3033" s="155"/>
      <c r="G3033" s="155"/>
      <c r="H3033" s="155"/>
      <c r="I3033" s="155"/>
      <c r="J3033" s="155"/>
      <c r="K3033" s="155"/>
      <c r="L3033" s="155"/>
      <c r="M3033" s="155"/>
      <c r="N3033" s="155"/>
      <c r="O3033" s="155"/>
      <c r="P3033" s="155"/>
      <c r="Q3033" s="155"/>
      <c r="R3033" s="155"/>
      <c r="S3033" s="155"/>
      <c r="T3033" s="155"/>
      <c r="U3033" s="155"/>
      <c r="V3033" s="155"/>
      <c r="W3033" s="155"/>
      <c r="GL3033" s="155"/>
      <c r="GM3033" s="155"/>
      <c r="GN3033" s="155"/>
      <c r="GO3033" s="155"/>
      <c r="GP3033" s="155"/>
      <c r="GQ3033" s="155"/>
      <c r="GR3033" s="155"/>
      <c r="GS3033" s="155"/>
      <c r="GT3033" s="155"/>
      <c r="GU3033" s="155"/>
      <c r="GV3033" s="155"/>
      <c r="GW3033" s="155"/>
      <c r="GX3033" s="155"/>
      <c r="GY3033" s="155"/>
      <c r="GZ3033" s="155"/>
      <c r="HA3033" s="155"/>
      <c r="HB3033" s="155"/>
      <c r="HC3033" s="155"/>
      <c r="HD3033" s="155"/>
      <c r="HE3033" s="155"/>
    </row>
    <row r="3034" spans="2:213" s="156" customFormat="1" hidden="1">
      <c r="B3034" s="155"/>
      <c r="C3034" s="155"/>
      <c r="D3034" s="155"/>
      <c r="E3034" s="155"/>
      <c r="F3034" s="155"/>
      <c r="G3034" s="155"/>
      <c r="H3034" s="155"/>
      <c r="I3034" s="155"/>
      <c r="J3034" s="155"/>
      <c r="K3034" s="155"/>
      <c r="L3034" s="155"/>
      <c r="M3034" s="155"/>
      <c r="N3034" s="155"/>
      <c r="O3034" s="155"/>
      <c r="P3034" s="155"/>
      <c r="Q3034" s="155"/>
      <c r="R3034" s="155"/>
      <c r="S3034" s="155"/>
      <c r="T3034" s="155"/>
      <c r="U3034" s="155"/>
      <c r="V3034" s="155"/>
      <c r="W3034" s="155"/>
      <c r="GL3034" s="155"/>
      <c r="GM3034" s="155"/>
      <c r="GN3034" s="155"/>
      <c r="GO3034" s="155"/>
      <c r="GP3034" s="155"/>
      <c r="GQ3034" s="155"/>
      <c r="GR3034" s="155"/>
      <c r="GS3034" s="155"/>
      <c r="GT3034" s="155"/>
      <c r="GU3034" s="155"/>
      <c r="GV3034" s="155"/>
      <c r="GW3034" s="155"/>
      <c r="GX3034" s="155"/>
      <c r="GY3034" s="155"/>
      <c r="GZ3034" s="155"/>
      <c r="HA3034" s="155"/>
      <c r="HB3034" s="155"/>
      <c r="HC3034" s="155"/>
      <c r="HD3034" s="155"/>
      <c r="HE3034" s="155"/>
    </row>
    <row r="3035" spans="2:213" s="156" customFormat="1" hidden="1">
      <c r="B3035" s="155"/>
      <c r="C3035" s="155"/>
      <c r="D3035" s="155"/>
      <c r="E3035" s="155"/>
      <c r="F3035" s="155"/>
      <c r="G3035" s="155"/>
      <c r="H3035" s="155"/>
      <c r="I3035" s="155"/>
      <c r="J3035" s="155"/>
      <c r="K3035" s="155"/>
      <c r="L3035" s="155"/>
      <c r="M3035" s="155"/>
      <c r="N3035" s="155"/>
      <c r="O3035" s="155"/>
      <c r="P3035" s="155"/>
      <c r="Q3035" s="155"/>
      <c r="R3035" s="155"/>
      <c r="S3035" s="155"/>
      <c r="T3035" s="155"/>
      <c r="U3035" s="155"/>
      <c r="V3035" s="155"/>
      <c r="W3035" s="155"/>
      <c r="GL3035" s="155"/>
      <c r="GM3035" s="155"/>
      <c r="GN3035" s="155"/>
      <c r="GO3035" s="155"/>
      <c r="GP3035" s="155"/>
      <c r="GQ3035" s="155"/>
      <c r="GR3035" s="155"/>
      <c r="GS3035" s="155"/>
      <c r="GT3035" s="155"/>
      <c r="GU3035" s="155"/>
      <c r="GV3035" s="155"/>
      <c r="GW3035" s="155"/>
      <c r="GX3035" s="155"/>
      <c r="GY3035" s="155"/>
      <c r="GZ3035" s="155"/>
      <c r="HA3035" s="155"/>
      <c r="HB3035" s="155"/>
      <c r="HC3035" s="155"/>
      <c r="HD3035" s="155"/>
      <c r="HE3035" s="155"/>
    </row>
    <row r="3036" spans="2:213" s="156" customFormat="1" hidden="1">
      <c r="B3036" s="155"/>
      <c r="C3036" s="155"/>
      <c r="D3036" s="155"/>
      <c r="E3036" s="155"/>
      <c r="F3036" s="155"/>
      <c r="G3036" s="155"/>
      <c r="H3036" s="155"/>
      <c r="I3036" s="155"/>
      <c r="J3036" s="155"/>
      <c r="K3036" s="155"/>
      <c r="L3036" s="155"/>
      <c r="M3036" s="155"/>
      <c r="N3036" s="155"/>
      <c r="O3036" s="155"/>
      <c r="P3036" s="155"/>
      <c r="Q3036" s="155"/>
      <c r="R3036" s="155"/>
      <c r="S3036" s="155"/>
      <c r="T3036" s="155"/>
      <c r="U3036" s="155"/>
      <c r="V3036" s="155"/>
      <c r="W3036" s="155"/>
      <c r="GL3036" s="155"/>
      <c r="GM3036" s="155"/>
      <c r="GN3036" s="155"/>
      <c r="GO3036" s="155"/>
      <c r="GP3036" s="155"/>
      <c r="GQ3036" s="155"/>
      <c r="GR3036" s="155"/>
      <c r="GS3036" s="155"/>
      <c r="GT3036" s="155"/>
      <c r="GU3036" s="155"/>
      <c r="GV3036" s="155"/>
      <c r="GW3036" s="155"/>
      <c r="GX3036" s="155"/>
      <c r="GY3036" s="155"/>
      <c r="GZ3036" s="155"/>
      <c r="HA3036" s="155"/>
      <c r="HB3036" s="155"/>
      <c r="HC3036" s="155"/>
      <c r="HD3036" s="155"/>
      <c r="HE3036" s="155"/>
    </row>
    <row r="3037" spans="2:213" s="156" customFormat="1" hidden="1">
      <c r="B3037" s="155"/>
      <c r="C3037" s="155"/>
      <c r="D3037" s="155"/>
      <c r="E3037" s="155"/>
      <c r="F3037" s="155"/>
      <c r="G3037" s="155"/>
      <c r="H3037" s="155"/>
      <c r="I3037" s="155"/>
      <c r="J3037" s="155"/>
      <c r="K3037" s="155"/>
      <c r="L3037" s="155"/>
      <c r="M3037" s="155"/>
      <c r="N3037" s="155"/>
      <c r="O3037" s="155"/>
      <c r="P3037" s="155"/>
      <c r="Q3037" s="155"/>
      <c r="R3037" s="155"/>
      <c r="S3037" s="155"/>
      <c r="T3037" s="155"/>
      <c r="U3037" s="155"/>
      <c r="V3037" s="155"/>
      <c r="W3037" s="155"/>
      <c r="GL3037" s="155"/>
      <c r="GM3037" s="155"/>
      <c r="GN3037" s="155"/>
      <c r="GO3037" s="155"/>
      <c r="GP3037" s="155"/>
      <c r="GQ3037" s="155"/>
      <c r="GR3037" s="155"/>
      <c r="GS3037" s="155"/>
      <c r="GT3037" s="155"/>
      <c r="GU3037" s="155"/>
      <c r="GV3037" s="155"/>
      <c r="GW3037" s="155"/>
      <c r="GX3037" s="155"/>
      <c r="GY3037" s="155"/>
      <c r="GZ3037" s="155"/>
      <c r="HA3037" s="155"/>
      <c r="HB3037" s="155"/>
      <c r="HC3037" s="155"/>
      <c r="HD3037" s="155"/>
      <c r="HE3037" s="155"/>
    </row>
    <row r="3038" spans="2:213" s="156" customFormat="1" hidden="1">
      <c r="B3038" s="155"/>
      <c r="C3038" s="155"/>
      <c r="D3038" s="155"/>
      <c r="E3038" s="155"/>
      <c r="F3038" s="155"/>
      <c r="G3038" s="155"/>
      <c r="H3038" s="155"/>
      <c r="I3038" s="155"/>
      <c r="J3038" s="155"/>
      <c r="K3038" s="155"/>
      <c r="L3038" s="155"/>
      <c r="M3038" s="155"/>
      <c r="N3038" s="155"/>
      <c r="O3038" s="155"/>
      <c r="P3038" s="155"/>
      <c r="Q3038" s="155"/>
      <c r="R3038" s="155"/>
      <c r="S3038" s="155"/>
      <c r="T3038" s="155"/>
      <c r="U3038" s="155"/>
      <c r="V3038" s="155"/>
      <c r="W3038" s="155"/>
      <c r="GL3038" s="155"/>
      <c r="GM3038" s="155"/>
      <c r="GN3038" s="155"/>
      <c r="GO3038" s="155"/>
      <c r="GP3038" s="155"/>
      <c r="GQ3038" s="155"/>
      <c r="GR3038" s="155"/>
      <c r="GS3038" s="155"/>
      <c r="GT3038" s="155"/>
      <c r="GU3038" s="155"/>
      <c r="GV3038" s="155"/>
      <c r="GW3038" s="155"/>
      <c r="GX3038" s="155"/>
      <c r="GY3038" s="155"/>
      <c r="GZ3038" s="155"/>
      <c r="HA3038" s="155"/>
      <c r="HB3038" s="155"/>
      <c r="HC3038" s="155"/>
      <c r="HD3038" s="155"/>
      <c r="HE3038" s="155"/>
    </row>
    <row r="3039" spans="2:213" s="156" customFormat="1" hidden="1">
      <c r="B3039" s="155"/>
      <c r="C3039" s="155"/>
      <c r="D3039" s="155"/>
      <c r="E3039" s="155"/>
      <c r="F3039" s="155"/>
      <c r="G3039" s="155"/>
      <c r="H3039" s="155"/>
      <c r="I3039" s="155"/>
      <c r="J3039" s="155"/>
      <c r="K3039" s="155"/>
      <c r="L3039" s="155"/>
      <c r="M3039" s="155"/>
      <c r="N3039" s="155"/>
      <c r="O3039" s="155"/>
      <c r="P3039" s="155"/>
      <c r="Q3039" s="155"/>
      <c r="R3039" s="155"/>
      <c r="S3039" s="155"/>
      <c r="T3039" s="155"/>
      <c r="U3039" s="155"/>
      <c r="V3039" s="155"/>
      <c r="W3039" s="155"/>
      <c r="GL3039" s="155"/>
      <c r="GM3039" s="155"/>
      <c r="GN3039" s="155"/>
      <c r="GO3039" s="155"/>
      <c r="GP3039" s="155"/>
      <c r="GQ3039" s="155"/>
      <c r="GR3039" s="155"/>
      <c r="GS3039" s="155"/>
      <c r="GT3039" s="155"/>
      <c r="GU3039" s="155"/>
      <c r="GV3039" s="155"/>
      <c r="GW3039" s="155"/>
      <c r="GX3039" s="155"/>
      <c r="GY3039" s="155"/>
      <c r="GZ3039" s="155"/>
      <c r="HA3039" s="155"/>
      <c r="HB3039" s="155"/>
      <c r="HC3039" s="155"/>
      <c r="HD3039" s="155"/>
      <c r="HE3039" s="155"/>
    </row>
    <row r="3040" spans="2:213" s="156" customFormat="1" hidden="1">
      <c r="B3040" s="155"/>
      <c r="C3040" s="155"/>
      <c r="D3040" s="155"/>
      <c r="E3040" s="155"/>
      <c r="F3040" s="155"/>
      <c r="G3040" s="155"/>
      <c r="H3040" s="155"/>
      <c r="I3040" s="155"/>
      <c r="J3040" s="155"/>
      <c r="K3040" s="155"/>
      <c r="L3040" s="155"/>
      <c r="M3040" s="155"/>
      <c r="N3040" s="155"/>
      <c r="O3040" s="155"/>
      <c r="P3040" s="155"/>
      <c r="Q3040" s="155"/>
      <c r="R3040" s="155"/>
      <c r="S3040" s="155"/>
      <c r="T3040" s="155"/>
      <c r="U3040" s="155"/>
      <c r="V3040" s="155"/>
      <c r="W3040" s="155"/>
      <c r="GL3040" s="155"/>
      <c r="GM3040" s="155"/>
      <c r="GN3040" s="155"/>
      <c r="GO3040" s="155"/>
      <c r="GP3040" s="155"/>
      <c r="GQ3040" s="155"/>
      <c r="GR3040" s="155"/>
      <c r="GS3040" s="155"/>
      <c r="GT3040" s="155"/>
      <c r="GU3040" s="155"/>
      <c r="GV3040" s="155"/>
      <c r="GW3040" s="155"/>
      <c r="GX3040" s="155"/>
      <c r="GY3040" s="155"/>
      <c r="GZ3040" s="155"/>
      <c r="HA3040" s="155"/>
      <c r="HB3040" s="155"/>
      <c r="HC3040" s="155"/>
      <c r="HD3040" s="155"/>
      <c r="HE3040" s="155"/>
    </row>
    <row r="3041" spans="2:213" s="156" customFormat="1" hidden="1">
      <c r="B3041" s="155"/>
      <c r="C3041" s="155"/>
      <c r="D3041" s="155"/>
      <c r="E3041" s="155"/>
      <c r="F3041" s="155"/>
      <c r="G3041" s="155"/>
      <c r="H3041" s="155"/>
      <c r="I3041" s="155"/>
      <c r="J3041" s="155"/>
      <c r="K3041" s="155"/>
      <c r="L3041" s="155"/>
      <c r="M3041" s="155"/>
      <c r="N3041" s="155"/>
      <c r="O3041" s="155"/>
      <c r="P3041" s="155"/>
      <c r="Q3041" s="155"/>
      <c r="R3041" s="155"/>
      <c r="S3041" s="155"/>
      <c r="T3041" s="155"/>
      <c r="U3041" s="155"/>
      <c r="V3041" s="155"/>
      <c r="W3041" s="155"/>
      <c r="GL3041" s="155"/>
      <c r="GM3041" s="155"/>
      <c r="GN3041" s="155"/>
      <c r="GO3041" s="155"/>
      <c r="GP3041" s="155"/>
      <c r="GQ3041" s="155"/>
      <c r="GR3041" s="155"/>
      <c r="GS3041" s="155"/>
      <c r="GT3041" s="155"/>
      <c r="GU3041" s="155"/>
      <c r="GV3041" s="155"/>
      <c r="GW3041" s="155"/>
      <c r="GX3041" s="155"/>
      <c r="GY3041" s="155"/>
      <c r="GZ3041" s="155"/>
      <c r="HA3041" s="155"/>
      <c r="HB3041" s="155"/>
      <c r="HC3041" s="155"/>
      <c r="HD3041" s="155"/>
      <c r="HE3041" s="155"/>
    </row>
    <row r="3042" spans="2:213" s="156" customFormat="1" hidden="1">
      <c r="B3042" s="155"/>
      <c r="C3042" s="155"/>
      <c r="D3042" s="155"/>
      <c r="E3042" s="155"/>
      <c r="F3042" s="155"/>
      <c r="G3042" s="155"/>
      <c r="H3042" s="155"/>
      <c r="I3042" s="155"/>
      <c r="J3042" s="155"/>
      <c r="K3042" s="155"/>
      <c r="L3042" s="155"/>
      <c r="M3042" s="155"/>
      <c r="N3042" s="155"/>
      <c r="O3042" s="155"/>
      <c r="P3042" s="155"/>
      <c r="Q3042" s="155"/>
      <c r="R3042" s="155"/>
      <c r="S3042" s="155"/>
      <c r="T3042" s="155"/>
      <c r="U3042" s="155"/>
      <c r="V3042" s="155"/>
      <c r="W3042" s="155"/>
      <c r="GL3042" s="155"/>
      <c r="GM3042" s="155"/>
      <c r="GN3042" s="155"/>
      <c r="GO3042" s="155"/>
      <c r="GP3042" s="155"/>
      <c r="GQ3042" s="155"/>
      <c r="GR3042" s="155"/>
      <c r="GS3042" s="155"/>
      <c r="GT3042" s="155"/>
      <c r="GU3042" s="155"/>
      <c r="GV3042" s="155"/>
      <c r="GW3042" s="155"/>
      <c r="GX3042" s="155"/>
      <c r="GY3042" s="155"/>
      <c r="GZ3042" s="155"/>
      <c r="HA3042" s="155"/>
      <c r="HB3042" s="155"/>
      <c r="HC3042" s="155"/>
      <c r="HD3042" s="155"/>
      <c r="HE3042" s="155"/>
    </row>
    <row r="3043" spans="2:213" s="156" customFormat="1" hidden="1">
      <c r="B3043" s="155"/>
      <c r="C3043" s="155"/>
      <c r="D3043" s="155"/>
      <c r="E3043" s="155"/>
      <c r="F3043" s="155"/>
      <c r="G3043" s="155"/>
      <c r="H3043" s="155"/>
      <c r="I3043" s="155"/>
      <c r="J3043" s="155"/>
      <c r="K3043" s="155"/>
      <c r="L3043" s="155"/>
      <c r="M3043" s="155"/>
      <c r="N3043" s="155"/>
      <c r="O3043" s="155"/>
      <c r="P3043" s="155"/>
      <c r="Q3043" s="155"/>
      <c r="R3043" s="155"/>
      <c r="S3043" s="155"/>
      <c r="T3043" s="155"/>
      <c r="U3043" s="155"/>
      <c r="V3043" s="155"/>
      <c r="W3043" s="155"/>
      <c r="GL3043" s="155"/>
      <c r="GM3043" s="155"/>
      <c r="GN3043" s="155"/>
      <c r="GO3043" s="155"/>
      <c r="GP3043" s="155"/>
      <c r="GQ3043" s="155"/>
      <c r="GR3043" s="155"/>
      <c r="GS3043" s="155"/>
      <c r="GT3043" s="155"/>
      <c r="GU3043" s="155"/>
      <c r="GV3043" s="155"/>
      <c r="GW3043" s="155"/>
      <c r="GX3043" s="155"/>
      <c r="GY3043" s="155"/>
      <c r="GZ3043" s="155"/>
      <c r="HA3043" s="155"/>
      <c r="HB3043" s="155"/>
      <c r="HC3043" s="155"/>
      <c r="HD3043" s="155"/>
      <c r="HE3043" s="155"/>
    </row>
    <row r="3044" spans="2:213" s="156" customFormat="1" hidden="1">
      <c r="B3044" s="155"/>
      <c r="C3044" s="155"/>
      <c r="D3044" s="155"/>
      <c r="E3044" s="155"/>
      <c r="F3044" s="155"/>
      <c r="G3044" s="155"/>
      <c r="H3044" s="155"/>
      <c r="I3044" s="155"/>
      <c r="J3044" s="155"/>
      <c r="K3044" s="155"/>
      <c r="L3044" s="155"/>
      <c r="M3044" s="155"/>
      <c r="N3044" s="155"/>
      <c r="O3044" s="155"/>
      <c r="P3044" s="155"/>
      <c r="Q3044" s="155"/>
      <c r="R3044" s="155"/>
      <c r="S3044" s="155"/>
      <c r="T3044" s="155"/>
      <c r="U3044" s="155"/>
      <c r="V3044" s="155"/>
      <c r="W3044" s="155"/>
      <c r="GL3044" s="155"/>
      <c r="GM3044" s="155"/>
      <c r="GN3044" s="155"/>
      <c r="GO3044" s="155"/>
      <c r="GP3044" s="155"/>
      <c r="GQ3044" s="155"/>
      <c r="GR3044" s="155"/>
      <c r="GS3044" s="155"/>
      <c r="GT3044" s="155"/>
      <c r="GU3044" s="155"/>
      <c r="GV3044" s="155"/>
      <c r="GW3044" s="155"/>
      <c r="GX3044" s="155"/>
      <c r="GY3044" s="155"/>
      <c r="GZ3044" s="155"/>
      <c r="HA3044" s="155"/>
      <c r="HB3044" s="155"/>
      <c r="HC3044" s="155"/>
      <c r="HD3044" s="155"/>
      <c r="HE3044" s="155"/>
    </row>
    <row r="3045" spans="2:213" s="156" customFormat="1" hidden="1">
      <c r="B3045" s="155"/>
      <c r="C3045" s="155"/>
      <c r="D3045" s="155"/>
      <c r="E3045" s="155"/>
      <c r="F3045" s="155"/>
      <c r="G3045" s="155"/>
      <c r="H3045" s="155"/>
      <c r="I3045" s="155"/>
      <c r="J3045" s="155"/>
      <c r="K3045" s="155"/>
      <c r="L3045" s="155"/>
      <c r="M3045" s="155"/>
      <c r="N3045" s="155"/>
      <c r="O3045" s="155"/>
      <c r="P3045" s="155"/>
      <c r="Q3045" s="155"/>
      <c r="R3045" s="155"/>
      <c r="S3045" s="155"/>
      <c r="T3045" s="155"/>
      <c r="U3045" s="155"/>
      <c r="V3045" s="155"/>
      <c r="W3045" s="155"/>
      <c r="GL3045" s="155"/>
      <c r="GM3045" s="155"/>
      <c r="GN3045" s="155"/>
      <c r="GO3045" s="155"/>
      <c r="GP3045" s="155"/>
      <c r="GQ3045" s="155"/>
      <c r="GR3045" s="155"/>
      <c r="GS3045" s="155"/>
      <c r="GT3045" s="155"/>
      <c r="GU3045" s="155"/>
      <c r="GV3045" s="155"/>
      <c r="GW3045" s="155"/>
      <c r="GX3045" s="155"/>
      <c r="GY3045" s="155"/>
      <c r="GZ3045" s="155"/>
      <c r="HA3045" s="155"/>
      <c r="HB3045" s="155"/>
      <c r="HC3045" s="155"/>
      <c r="HD3045" s="155"/>
      <c r="HE3045" s="155"/>
    </row>
    <row r="3046" spans="2:213" s="156" customFormat="1" hidden="1">
      <c r="B3046" s="155"/>
      <c r="C3046" s="155"/>
      <c r="D3046" s="155"/>
      <c r="E3046" s="155"/>
      <c r="F3046" s="155"/>
      <c r="G3046" s="155"/>
      <c r="H3046" s="155"/>
      <c r="I3046" s="155"/>
      <c r="J3046" s="155"/>
      <c r="K3046" s="155"/>
      <c r="L3046" s="155"/>
      <c r="M3046" s="155"/>
      <c r="N3046" s="155"/>
      <c r="O3046" s="155"/>
      <c r="P3046" s="155"/>
      <c r="Q3046" s="155"/>
      <c r="R3046" s="155"/>
      <c r="S3046" s="155"/>
      <c r="T3046" s="155"/>
      <c r="U3046" s="155"/>
      <c r="V3046" s="155"/>
      <c r="W3046" s="155"/>
      <c r="GL3046" s="155"/>
      <c r="GM3046" s="155"/>
      <c r="GN3046" s="155"/>
      <c r="GO3046" s="155"/>
      <c r="GP3046" s="155"/>
      <c r="GQ3046" s="155"/>
      <c r="GR3046" s="155"/>
      <c r="GS3046" s="155"/>
      <c r="GT3046" s="155"/>
      <c r="GU3046" s="155"/>
      <c r="GV3046" s="155"/>
      <c r="GW3046" s="155"/>
      <c r="GX3046" s="155"/>
      <c r="GY3046" s="155"/>
      <c r="GZ3046" s="155"/>
      <c r="HA3046" s="155"/>
      <c r="HB3046" s="155"/>
      <c r="HC3046" s="155"/>
      <c r="HD3046" s="155"/>
      <c r="HE3046" s="155"/>
    </row>
    <row r="3047" spans="2:213" s="156" customFormat="1" hidden="1">
      <c r="B3047" s="155"/>
      <c r="C3047" s="155"/>
      <c r="D3047" s="155"/>
      <c r="E3047" s="155"/>
      <c r="F3047" s="155"/>
      <c r="G3047" s="155"/>
      <c r="H3047" s="155"/>
      <c r="I3047" s="155"/>
      <c r="J3047" s="155"/>
      <c r="K3047" s="155"/>
      <c r="L3047" s="155"/>
      <c r="M3047" s="155"/>
      <c r="N3047" s="155"/>
      <c r="O3047" s="155"/>
      <c r="P3047" s="155"/>
      <c r="Q3047" s="155"/>
      <c r="R3047" s="155"/>
      <c r="S3047" s="155"/>
      <c r="T3047" s="155"/>
      <c r="U3047" s="155"/>
      <c r="V3047" s="155"/>
      <c r="W3047" s="155"/>
      <c r="GL3047" s="155"/>
      <c r="GM3047" s="155"/>
      <c r="GN3047" s="155"/>
      <c r="GO3047" s="155"/>
      <c r="GP3047" s="155"/>
      <c r="GQ3047" s="155"/>
      <c r="GR3047" s="155"/>
      <c r="GS3047" s="155"/>
      <c r="GT3047" s="155"/>
      <c r="GU3047" s="155"/>
      <c r="GV3047" s="155"/>
      <c r="GW3047" s="155"/>
      <c r="GX3047" s="155"/>
      <c r="GY3047" s="155"/>
      <c r="GZ3047" s="155"/>
      <c r="HA3047" s="155"/>
      <c r="HB3047" s="155"/>
      <c r="HC3047" s="155"/>
      <c r="HD3047" s="155"/>
      <c r="HE3047" s="155"/>
    </row>
    <row r="3048" spans="2:213" s="156" customFormat="1" hidden="1">
      <c r="B3048" s="155"/>
      <c r="C3048" s="155"/>
      <c r="D3048" s="155"/>
      <c r="E3048" s="155"/>
      <c r="F3048" s="155"/>
      <c r="G3048" s="155"/>
      <c r="H3048" s="155"/>
      <c r="I3048" s="155"/>
      <c r="J3048" s="155"/>
      <c r="K3048" s="155"/>
      <c r="L3048" s="155"/>
      <c r="M3048" s="155"/>
      <c r="N3048" s="155"/>
      <c r="O3048" s="155"/>
      <c r="P3048" s="155"/>
      <c r="Q3048" s="155"/>
      <c r="R3048" s="155"/>
      <c r="S3048" s="155"/>
      <c r="T3048" s="155"/>
      <c r="U3048" s="155"/>
      <c r="V3048" s="155"/>
      <c r="W3048" s="155"/>
      <c r="GL3048" s="155"/>
      <c r="GM3048" s="155"/>
      <c r="GN3048" s="155"/>
      <c r="GO3048" s="155"/>
      <c r="GP3048" s="155"/>
      <c r="GQ3048" s="155"/>
      <c r="GR3048" s="155"/>
      <c r="GS3048" s="155"/>
      <c r="GT3048" s="155"/>
      <c r="GU3048" s="155"/>
      <c r="GV3048" s="155"/>
      <c r="GW3048" s="155"/>
      <c r="GX3048" s="155"/>
      <c r="GY3048" s="155"/>
      <c r="GZ3048" s="155"/>
      <c r="HA3048" s="155"/>
      <c r="HB3048" s="155"/>
      <c r="HC3048" s="155"/>
      <c r="HD3048" s="155"/>
      <c r="HE3048" s="155"/>
    </row>
    <row r="3049" spans="2:213" s="156" customFormat="1" hidden="1">
      <c r="B3049" s="155"/>
      <c r="C3049" s="155"/>
      <c r="D3049" s="155"/>
      <c r="E3049" s="155"/>
      <c r="F3049" s="155"/>
      <c r="G3049" s="155"/>
      <c r="H3049" s="155"/>
      <c r="I3049" s="155"/>
      <c r="J3049" s="155"/>
      <c r="K3049" s="155"/>
      <c r="L3049" s="155"/>
      <c r="M3049" s="155"/>
      <c r="N3049" s="155"/>
      <c r="O3049" s="155"/>
      <c r="P3049" s="155"/>
      <c r="Q3049" s="155"/>
      <c r="R3049" s="155"/>
      <c r="S3049" s="155"/>
      <c r="T3049" s="155"/>
      <c r="U3049" s="155"/>
      <c r="V3049" s="155"/>
      <c r="W3049" s="155"/>
      <c r="GL3049" s="155"/>
      <c r="GM3049" s="155"/>
      <c r="GN3049" s="155"/>
      <c r="GO3049" s="155"/>
      <c r="GP3049" s="155"/>
      <c r="GQ3049" s="155"/>
      <c r="GR3049" s="155"/>
      <c r="GS3049" s="155"/>
      <c r="GT3049" s="155"/>
      <c r="GU3049" s="155"/>
      <c r="GV3049" s="155"/>
      <c r="GW3049" s="155"/>
      <c r="GX3049" s="155"/>
      <c r="GY3049" s="155"/>
      <c r="GZ3049" s="155"/>
      <c r="HA3049" s="155"/>
      <c r="HB3049" s="155"/>
      <c r="HC3049" s="155"/>
      <c r="HD3049" s="155"/>
      <c r="HE3049" s="155"/>
    </row>
    <row r="3050" spans="2:213" s="156" customFormat="1" hidden="1">
      <c r="B3050" s="155"/>
      <c r="C3050" s="155"/>
      <c r="D3050" s="155"/>
      <c r="E3050" s="155"/>
      <c r="F3050" s="155"/>
      <c r="G3050" s="155"/>
      <c r="H3050" s="155"/>
      <c r="I3050" s="155"/>
      <c r="J3050" s="155"/>
      <c r="K3050" s="155"/>
      <c r="L3050" s="155"/>
      <c r="M3050" s="155"/>
      <c r="N3050" s="155"/>
      <c r="O3050" s="155"/>
      <c r="P3050" s="155"/>
      <c r="Q3050" s="155"/>
      <c r="R3050" s="155"/>
      <c r="S3050" s="155"/>
      <c r="T3050" s="155"/>
      <c r="U3050" s="155"/>
      <c r="V3050" s="155"/>
      <c r="W3050" s="155"/>
      <c r="GL3050" s="155"/>
      <c r="GM3050" s="155"/>
      <c r="GN3050" s="155"/>
      <c r="GO3050" s="155"/>
      <c r="GP3050" s="155"/>
      <c r="GQ3050" s="155"/>
      <c r="GR3050" s="155"/>
      <c r="GS3050" s="155"/>
      <c r="GT3050" s="155"/>
      <c r="GU3050" s="155"/>
      <c r="GV3050" s="155"/>
      <c r="GW3050" s="155"/>
      <c r="GX3050" s="155"/>
      <c r="GY3050" s="155"/>
      <c r="GZ3050" s="155"/>
      <c r="HA3050" s="155"/>
      <c r="HB3050" s="155"/>
      <c r="HC3050" s="155"/>
      <c r="HD3050" s="155"/>
      <c r="HE3050" s="155"/>
    </row>
    <row r="3051" spans="2:213" s="156" customFormat="1" hidden="1">
      <c r="B3051" s="155"/>
      <c r="C3051" s="155"/>
      <c r="D3051" s="155"/>
      <c r="E3051" s="155"/>
      <c r="F3051" s="155"/>
      <c r="G3051" s="155"/>
      <c r="H3051" s="155"/>
      <c r="I3051" s="155"/>
      <c r="J3051" s="155"/>
      <c r="K3051" s="155"/>
      <c r="L3051" s="155"/>
      <c r="M3051" s="155"/>
      <c r="N3051" s="155"/>
      <c r="O3051" s="155"/>
      <c r="P3051" s="155"/>
      <c r="Q3051" s="155"/>
      <c r="R3051" s="155"/>
      <c r="S3051" s="155"/>
      <c r="T3051" s="155"/>
      <c r="U3051" s="155"/>
      <c r="V3051" s="155"/>
      <c r="W3051" s="155"/>
      <c r="GL3051" s="155"/>
      <c r="GM3051" s="155"/>
      <c r="GN3051" s="155"/>
      <c r="GO3051" s="155"/>
      <c r="GP3051" s="155"/>
      <c r="GQ3051" s="155"/>
      <c r="GR3051" s="155"/>
      <c r="GS3051" s="155"/>
      <c r="GT3051" s="155"/>
      <c r="GU3051" s="155"/>
      <c r="GV3051" s="155"/>
      <c r="GW3051" s="155"/>
      <c r="GX3051" s="155"/>
      <c r="GY3051" s="155"/>
      <c r="GZ3051" s="155"/>
      <c r="HA3051" s="155"/>
      <c r="HB3051" s="155"/>
      <c r="HC3051" s="155"/>
      <c r="HD3051" s="155"/>
      <c r="HE3051" s="155"/>
    </row>
    <row r="3052" spans="2:213" s="156" customFormat="1" hidden="1">
      <c r="B3052" s="155"/>
      <c r="C3052" s="155"/>
      <c r="D3052" s="155"/>
      <c r="E3052" s="155"/>
      <c r="F3052" s="155"/>
      <c r="G3052" s="155"/>
      <c r="H3052" s="155"/>
      <c r="I3052" s="155"/>
      <c r="J3052" s="155"/>
      <c r="K3052" s="155"/>
      <c r="L3052" s="155"/>
      <c r="M3052" s="155"/>
      <c r="N3052" s="155"/>
      <c r="O3052" s="155"/>
      <c r="P3052" s="155"/>
      <c r="Q3052" s="155"/>
      <c r="R3052" s="155"/>
      <c r="S3052" s="155"/>
      <c r="T3052" s="155"/>
      <c r="U3052" s="155"/>
      <c r="V3052" s="155"/>
      <c r="W3052" s="155"/>
      <c r="GL3052" s="155"/>
      <c r="GM3052" s="155"/>
      <c r="GN3052" s="155"/>
      <c r="GO3052" s="155"/>
      <c r="GP3052" s="155"/>
      <c r="GQ3052" s="155"/>
      <c r="GR3052" s="155"/>
      <c r="GS3052" s="155"/>
      <c r="GT3052" s="155"/>
      <c r="GU3052" s="155"/>
      <c r="GV3052" s="155"/>
      <c r="GW3052" s="155"/>
      <c r="GX3052" s="155"/>
      <c r="GY3052" s="155"/>
      <c r="GZ3052" s="155"/>
      <c r="HA3052" s="155"/>
      <c r="HB3052" s="155"/>
      <c r="HC3052" s="155"/>
      <c r="HD3052" s="155"/>
      <c r="HE3052" s="155"/>
    </row>
    <row r="3053" spans="2:213" s="156" customFormat="1" hidden="1">
      <c r="B3053" s="155"/>
      <c r="C3053" s="155"/>
      <c r="D3053" s="155"/>
      <c r="E3053" s="155"/>
      <c r="F3053" s="155"/>
      <c r="G3053" s="155"/>
      <c r="H3053" s="155"/>
      <c r="I3053" s="155"/>
      <c r="J3053" s="155"/>
      <c r="K3053" s="155"/>
      <c r="L3053" s="155"/>
      <c r="M3053" s="155"/>
      <c r="N3053" s="155"/>
      <c r="O3053" s="155"/>
      <c r="P3053" s="155"/>
      <c r="Q3053" s="155"/>
      <c r="R3053" s="155"/>
      <c r="S3053" s="155"/>
      <c r="T3053" s="155"/>
      <c r="U3053" s="155"/>
      <c r="V3053" s="155"/>
      <c r="W3053" s="155"/>
      <c r="GL3053" s="155"/>
      <c r="GM3053" s="155"/>
      <c r="GN3053" s="155"/>
      <c r="GO3053" s="155"/>
      <c r="GP3053" s="155"/>
      <c r="GQ3053" s="155"/>
      <c r="GR3053" s="155"/>
      <c r="GS3053" s="155"/>
      <c r="GT3053" s="155"/>
      <c r="GU3053" s="155"/>
      <c r="GV3053" s="155"/>
      <c r="GW3053" s="155"/>
      <c r="GX3053" s="155"/>
      <c r="GY3053" s="155"/>
      <c r="GZ3053" s="155"/>
      <c r="HA3053" s="155"/>
      <c r="HB3053" s="155"/>
      <c r="HC3053" s="155"/>
      <c r="HD3053" s="155"/>
      <c r="HE3053" s="155"/>
    </row>
    <row r="3054" spans="2:213" s="156" customFormat="1" hidden="1">
      <c r="B3054" s="155"/>
      <c r="C3054" s="155"/>
      <c r="D3054" s="155"/>
      <c r="E3054" s="155"/>
      <c r="F3054" s="155"/>
      <c r="G3054" s="155"/>
      <c r="H3054" s="155"/>
      <c r="I3054" s="155"/>
      <c r="J3054" s="155"/>
      <c r="K3054" s="155"/>
      <c r="L3054" s="155"/>
      <c r="M3054" s="155"/>
      <c r="N3054" s="155"/>
      <c r="O3054" s="155"/>
      <c r="P3054" s="155"/>
      <c r="Q3054" s="155"/>
      <c r="R3054" s="155"/>
      <c r="S3054" s="155"/>
      <c r="T3054" s="155"/>
      <c r="U3054" s="155"/>
      <c r="V3054" s="155"/>
      <c r="W3054" s="155"/>
      <c r="GL3054" s="155"/>
      <c r="GM3054" s="155"/>
      <c r="GN3054" s="155"/>
      <c r="GO3054" s="155"/>
      <c r="GP3054" s="155"/>
      <c r="GQ3054" s="155"/>
      <c r="GR3054" s="155"/>
      <c r="GS3054" s="155"/>
      <c r="GT3054" s="155"/>
      <c r="GU3054" s="155"/>
      <c r="GV3054" s="155"/>
      <c r="GW3054" s="155"/>
      <c r="GX3054" s="155"/>
      <c r="GY3054" s="155"/>
      <c r="GZ3054" s="155"/>
      <c r="HA3054" s="155"/>
      <c r="HB3054" s="155"/>
      <c r="HC3054" s="155"/>
      <c r="HD3054" s="155"/>
      <c r="HE3054" s="155"/>
    </row>
    <row r="3055" spans="2:213" s="156" customFormat="1" hidden="1">
      <c r="B3055" s="155"/>
      <c r="C3055" s="155"/>
      <c r="D3055" s="155"/>
      <c r="E3055" s="155"/>
      <c r="F3055" s="155"/>
      <c r="G3055" s="155"/>
      <c r="H3055" s="155"/>
      <c r="I3055" s="155"/>
      <c r="J3055" s="155"/>
      <c r="K3055" s="155"/>
      <c r="L3055" s="155"/>
      <c r="M3055" s="155"/>
      <c r="N3055" s="155"/>
      <c r="O3055" s="155"/>
      <c r="P3055" s="155"/>
      <c r="Q3055" s="155"/>
      <c r="R3055" s="155"/>
      <c r="S3055" s="155"/>
      <c r="T3055" s="155"/>
      <c r="U3055" s="155"/>
      <c r="V3055" s="155"/>
      <c r="W3055" s="155"/>
      <c r="GL3055" s="155"/>
      <c r="GM3055" s="155"/>
      <c r="GN3055" s="155"/>
      <c r="GO3055" s="155"/>
      <c r="GP3055" s="155"/>
      <c r="GQ3055" s="155"/>
      <c r="GR3055" s="155"/>
      <c r="GS3055" s="155"/>
      <c r="GT3055" s="155"/>
      <c r="GU3055" s="155"/>
      <c r="GV3055" s="155"/>
      <c r="GW3055" s="155"/>
      <c r="GX3055" s="155"/>
      <c r="GY3055" s="155"/>
      <c r="GZ3055" s="155"/>
      <c r="HA3055" s="155"/>
      <c r="HB3055" s="155"/>
      <c r="HC3055" s="155"/>
      <c r="HD3055" s="155"/>
      <c r="HE3055" s="155"/>
    </row>
    <row r="3056" spans="2:213" s="156" customFormat="1" hidden="1">
      <c r="B3056" s="155"/>
      <c r="C3056" s="155"/>
      <c r="D3056" s="155"/>
      <c r="E3056" s="155"/>
      <c r="F3056" s="155"/>
      <c r="G3056" s="155"/>
      <c r="H3056" s="155"/>
      <c r="I3056" s="155"/>
      <c r="J3056" s="155"/>
      <c r="K3056" s="155"/>
      <c r="L3056" s="155"/>
      <c r="M3056" s="155"/>
      <c r="N3056" s="155"/>
      <c r="O3056" s="155"/>
      <c r="P3056" s="155"/>
      <c r="Q3056" s="155"/>
      <c r="R3056" s="155"/>
      <c r="S3056" s="155"/>
      <c r="T3056" s="155"/>
      <c r="U3056" s="155"/>
      <c r="V3056" s="155"/>
      <c r="W3056" s="155"/>
      <c r="GL3056" s="155"/>
      <c r="GM3056" s="155"/>
      <c r="GN3056" s="155"/>
      <c r="GO3056" s="155"/>
      <c r="GP3056" s="155"/>
      <c r="GQ3056" s="155"/>
      <c r="GR3056" s="155"/>
      <c r="GS3056" s="155"/>
      <c r="GT3056" s="155"/>
      <c r="GU3056" s="155"/>
      <c r="GV3056" s="155"/>
      <c r="GW3056" s="155"/>
      <c r="GX3056" s="155"/>
      <c r="GY3056" s="155"/>
      <c r="GZ3056" s="155"/>
      <c r="HA3056" s="155"/>
      <c r="HB3056" s="155"/>
      <c r="HC3056" s="155"/>
      <c r="HD3056" s="155"/>
      <c r="HE3056" s="155"/>
    </row>
    <row r="3057" spans="2:213" s="156" customFormat="1" hidden="1">
      <c r="B3057" s="155"/>
      <c r="C3057" s="155"/>
      <c r="D3057" s="155"/>
      <c r="E3057" s="155"/>
      <c r="F3057" s="155"/>
      <c r="G3057" s="155"/>
      <c r="H3057" s="155"/>
      <c r="I3057" s="155"/>
      <c r="J3057" s="155"/>
      <c r="K3057" s="155"/>
      <c r="L3057" s="155"/>
      <c r="M3057" s="155"/>
      <c r="N3057" s="155"/>
      <c r="O3057" s="155"/>
      <c r="P3057" s="155"/>
      <c r="Q3057" s="155"/>
      <c r="R3057" s="155"/>
      <c r="S3057" s="155"/>
      <c r="T3057" s="155"/>
      <c r="U3057" s="155"/>
      <c r="V3057" s="155"/>
      <c r="W3057" s="155"/>
      <c r="GL3057" s="155"/>
      <c r="GM3057" s="155"/>
      <c r="GN3057" s="155"/>
      <c r="GO3057" s="155"/>
      <c r="GP3057" s="155"/>
      <c r="GQ3057" s="155"/>
      <c r="GR3057" s="155"/>
      <c r="GS3057" s="155"/>
      <c r="GT3057" s="155"/>
      <c r="GU3057" s="155"/>
      <c r="GV3057" s="155"/>
      <c r="GW3057" s="155"/>
      <c r="GX3057" s="155"/>
      <c r="GY3057" s="155"/>
      <c r="GZ3057" s="155"/>
      <c r="HA3057" s="155"/>
      <c r="HB3057" s="155"/>
      <c r="HC3057" s="155"/>
      <c r="HD3057" s="155"/>
      <c r="HE3057" s="155"/>
    </row>
    <row r="3058" spans="2:213" s="156" customFormat="1" hidden="1">
      <c r="B3058" s="155"/>
      <c r="C3058" s="155"/>
      <c r="D3058" s="155"/>
      <c r="E3058" s="155"/>
      <c r="F3058" s="155"/>
      <c r="G3058" s="155"/>
      <c r="H3058" s="155"/>
      <c r="I3058" s="155"/>
      <c r="J3058" s="155"/>
      <c r="K3058" s="155"/>
      <c r="L3058" s="155"/>
      <c r="M3058" s="155"/>
      <c r="N3058" s="155"/>
      <c r="O3058" s="155"/>
      <c r="P3058" s="155"/>
      <c r="Q3058" s="155"/>
      <c r="R3058" s="155"/>
      <c r="S3058" s="155"/>
      <c r="T3058" s="155"/>
      <c r="U3058" s="155"/>
      <c r="V3058" s="155"/>
      <c r="W3058" s="155"/>
      <c r="GL3058" s="155"/>
      <c r="GM3058" s="155"/>
      <c r="GN3058" s="155"/>
      <c r="GO3058" s="155"/>
      <c r="GP3058" s="155"/>
      <c r="GQ3058" s="155"/>
      <c r="GR3058" s="155"/>
      <c r="GS3058" s="155"/>
      <c r="GT3058" s="155"/>
      <c r="GU3058" s="155"/>
      <c r="GV3058" s="155"/>
      <c r="GW3058" s="155"/>
      <c r="GX3058" s="155"/>
      <c r="GY3058" s="155"/>
      <c r="GZ3058" s="155"/>
      <c r="HA3058" s="155"/>
      <c r="HB3058" s="155"/>
      <c r="HC3058" s="155"/>
      <c r="HD3058" s="155"/>
      <c r="HE3058" s="155"/>
    </row>
    <row r="3059" spans="2:213" s="156" customFormat="1" hidden="1">
      <c r="B3059" s="155"/>
      <c r="C3059" s="155"/>
      <c r="D3059" s="155"/>
      <c r="E3059" s="155"/>
      <c r="F3059" s="155"/>
      <c r="G3059" s="155"/>
      <c r="H3059" s="155"/>
      <c r="I3059" s="155"/>
      <c r="J3059" s="155"/>
      <c r="K3059" s="155"/>
      <c r="L3059" s="155"/>
      <c r="M3059" s="155"/>
      <c r="N3059" s="155"/>
      <c r="O3059" s="155"/>
      <c r="P3059" s="155"/>
      <c r="Q3059" s="155"/>
      <c r="R3059" s="155"/>
      <c r="S3059" s="155"/>
      <c r="T3059" s="155"/>
      <c r="U3059" s="155"/>
      <c r="V3059" s="155"/>
      <c r="W3059" s="155"/>
      <c r="GL3059" s="155"/>
      <c r="GM3059" s="155"/>
      <c r="GN3059" s="155"/>
      <c r="GO3059" s="155"/>
      <c r="GP3059" s="155"/>
      <c r="GQ3059" s="155"/>
      <c r="GR3059" s="155"/>
      <c r="GS3059" s="155"/>
      <c r="GT3059" s="155"/>
      <c r="GU3059" s="155"/>
      <c r="GV3059" s="155"/>
      <c r="GW3059" s="155"/>
      <c r="GX3059" s="155"/>
      <c r="GY3059" s="155"/>
      <c r="GZ3059" s="155"/>
      <c r="HA3059" s="155"/>
      <c r="HB3059" s="155"/>
      <c r="HC3059" s="155"/>
      <c r="HD3059" s="155"/>
      <c r="HE3059" s="155"/>
    </row>
    <row r="3060" spans="2:213" s="156" customFormat="1" hidden="1">
      <c r="B3060" s="155"/>
      <c r="C3060" s="155"/>
      <c r="D3060" s="155"/>
      <c r="E3060" s="155"/>
      <c r="F3060" s="155"/>
      <c r="G3060" s="155"/>
      <c r="H3060" s="155"/>
      <c r="I3060" s="155"/>
      <c r="J3060" s="155"/>
      <c r="K3060" s="155"/>
      <c r="L3060" s="155"/>
      <c r="M3060" s="155"/>
      <c r="N3060" s="155"/>
      <c r="O3060" s="155"/>
      <c r="P3060" s="155"/>
      <c r="Q3060" s="155"/>
      <c r="R3060" s="155"/>
      <c r="S3060" s="155"/>
      <c r="T3060" s="155"/>
      <c r="U3060" s="155"/>
      <c r="V3060" s="155"/>
      <c r="W3060" s="155"/>
      <c r="GL3060" s="155"/>
      <c r="GM3060" s="155"/>
      <c r="GN3060" s="155"/>
      <c r="GO3060" s="155"/>
      <c r="GP3060" s="155"/>
      <c r="GQ3060" s="155"/>
      <c r="GR3060" s="155"/>
      <c r="GS3060" s="155"/>
      <c r="GT3060" s="155"/>
      <c r="GU3060" s="155"/>
      <c r="GV3060" s="155"/>
      <c r="GW3060" s="155"/>
      <c r="GX3060" s="155"/>
      <c r="GY3060" s="155"/>
      <c r="GZ3060" s="155"/>
      <c r="HA3060" s="155"/>
      <c r="HB3060" s="155"/>
      <c r="HC3060" s="155"/>
      <c r="HD3060" s="155"/>
      <c r="HE3060" s="155"/>
    </row>
    <row r="3061" spans="2:213" s="156" customFormat="1" hidden="1">
      <c r="B3061" s="155"/>
      <c r="C3061" s="155"/>
      <c r="D3061" s="155"/>
      <c r="E3061" s="155"/>
      <c r="F3061" s="155"/>
      <c r="G3061" s="155"/>
      <c r="H3061" s="155"/>
      <c r="I3061" s="155"/>
      <c r="J3061" s="155"/>
      <c r="K3061" s="155"/>
      <c r="L3061" s="155"/>
      <c r="M3061" s="155"/>
      <c r="N3061" s="155"/>
      <c r="O3061" s="155"/>
      <c r="P3061" s="155"/>
      <c r="Q3061" s="155"/>
      <c r="R3061" s="155"/>
      <c r="S3061" s="155"/>
      <c r="T3061" s="155"/>
      <c r="U3061" s="155"/>
      <c r="V3061" s="155"/>
      <c r="W3061" s="155"/>
      <c r="GL3061" s="155"/>
      <c r="GM3061" s="155"/>
      <c r="GN3061" s="155"/>
      <c r="GO3061" s="155"/>
      <c r="GP3061" s="155"/>
      <c r="GQ3061" s="155"/>
      <c r="GR3061" s="155"/>
      <c r="GS3061" s="155"/>
      <c r="GT3061" s="155"/>
      <c r="GU3061" s="155"/>
      <c r="GV3061" s="155"/>
      <c r="GW3061" s="155"/>
      <c r="GX3061" s="155"/>
      <c r="GY3061" s="155"/>
      <c r="GZ3061" s="155"/>
      <c r="HA3061" s="155"/>
      <c r="HB3061" s="155"/>
      <c r="HC3061" s="155"/>
      <c r="HD3061" s="155"/>
      <c r="HE3061" s="155"/>
    </row>
    <row r="3062" spans="2:213" s="156" customFormat="1" hidden="1">
      <c r="B3062" s="155"/>
      <c r="C3062" s="155"/>
      <c r="D3062" s="155"/>
      <c r="E3062" s="155"/>
      <c r="F3062" s="155"/>
      <c r="G3062" s="155"/>
      <c r="H3062" s="155"/>
      <c r="I3062" s="155"/>
      <c r="J3062" s="155"/>
      <c r="K3062" s="155"/>
      <c r="L3062" s="155"/>
      <c r="M3062" s="155"/>
      <c r="N3062" s="155"/>
      <c r="O3062" s="155"/>
      <c r="P3062" s="155"/>
      <c r="Q3062" s="155"/>
      <c r="R3062" s="155"/>
      <c r="S3062" s="155"/>
      <c r="T3062" s="155"/>
      <c r="U3062" s="155"/>
      <c r="V3062" s="155"/>
      <c r="W3062" s="155"/>
      <c r="GL3062" s="155"/>
      <c r="GM3062" s="155"/>
      <c r="GN3062" s="155"/>
      <c r="GO3062" s="155"/>
      <c r="GP3062" s="155"/>
      <c r="GQ3062" s="155"/>
      <c r="GR3062" s="155"/>
      <c r="GS3062" s="155"/>
      <c r="GT3062" s="155"/>
      <c r="GU3062" s="155"/>
      <c r="GV3062" s="155"/>
      <c r="GW3062" s="155"/>
      <c r="GX3062" s="155"/>
      <c r="GY3062" s="155"/>
      <c r="GZ3062" s="155"/>
      <c r="HA3062" s="155"/>
      <c r="HB3062" s="155"/>
      <c r="HC3062" s="155"/>
      <c r="HD3062" s="155"/>
      <c r="HE3062" s="155"/>
    </row>
    <row r="3063" spans="2:213" s="156" customFormat="1" hidden="1">
      <c r="B3063" s="155"/>
      <c r="C3063" s="155"/>
      <c r="D3063" s="155"/>
      <c r="E3063" s="155"/>
      <c r="F3063" s="155"/>
      <c r="G3063" s="155"/>
      <c r="H3063" s="155"/>
      <c r="I3063" s="155"/>
      <c r="J3063" s="155"/>
      <c r="K3063" s="155"/>
      <c r="L3063" s="155"/>
      <c r="M3063" s="155"/>
      <c r="N3063" s="155"/>
      <c r="O3063" s="155"/>
      <c r="P3063" s="155"/>
      <c r="Q3063" s="155"/>
      <c r="R3063" s="155"/>
      <c r="S3063" s="155"/>
      <c r="T3063" s="155"/>
      <c r="U3063" s="155"/>
      <c r="V3063" s="155"/>
      <c r="W3063" s="155"/>
      <c r="GL3063" s="155"/>
      <c r="GM3063" s="155"/>
      <c r="GN3063" s="155"/>
      <c r="GO3063" s="155"/>
      <c r="GP3063" s="155"/>
      <c r="GQ3063" s="155"/>
      <c r="GR3063" s="155"/>
      <c r="GS3063" s="155"/>
      <c r="GT3063" s="155"/>
      <c r="GU3063" s="155"/>
      <c r="GV3063" s="155"/>
      <c r="GW3063" s="155"/>
      <c r="GX3063" s="155"/>
      <c r="GY3063" s="155"/>
      <c r="GZ3063" s="155"/>
      <c r="HA3063" s="155"/>
      <c r="HB3063" s="155"/>
      <c r="HC3063" s="155"/>
      <c r="HD3063" s="155"/>
      <c r="HE3063" s="155"/>
    </row>
    <row r="3064" spans="2:213" s="156" customFormat="1" hidden="1">
      <c r="B3064" s="155"/>
      <c r="C3064" s="155"/>
      <c r="D3064" s="155"/>
      <c r="E3064" s="155"/>
      <c r="F3064" s="155"/>
      <c r="G3064" s="155"/>
      <c r="H3064" s="155"/>
      <c r="I3064" s="155"/>
      <c r="J3064" s="155"/>
      <c r="K3064" s="155"/>
      <c r="L3064" s="155"/>
      <c r="M3064" s="155"/>
      <c r="N3064" s="155"/>
      <c r="O3064" s="155"/>
      <c r="P3064" s="155"/>
      <c r="Q3064" s="155"/>
      <c r="R3064" s="155"/>
      <c r="S3064" s="155"/>
      <c r="T3064" s="155"/>
      <c r="U3064" s="155"/>
      <c r="V3064" s="155"/>
      <c r="W3064" s="155"/>
      <c r="GL3064" s="155"/>
      <c r="GM3064" s="155"/>
      <c r="GN3064" s="155"/>
      <c r="GO3064" s="155"/>
      <c r="GP3064" s="155"/>
      <c r="GQ3064" s="155"/>
      <c r="GR3064" s="155"/>
      <c r="GS3064" s="155"/>
      <c r="GT3064" s="155"/>
      <c r="GU3064" s="155"/>
      <c r="GV3064" s="155"/>
      <c r="GW3064" s="155"/>
      <c r="GX3064" s="155"/>
      <c r="GY3064" s="155"/>
      <c r="GZ3064" s="155"/>
      <c r="HA3064" s="155"/>
      <c r="HB3064" s="155"/>
      <c r="HC3064" s="155"/>
      <c r="HD3064" s="155"/>
      <c r="HE3064" s="155"/>
    </row>
    <row r="3065" spans="2:213" s="156" customFormat="1" hidden="1">
      <c r="B3065" s="155"/>
      <c r="C3065" s="155"/>
      <c r="D3065" s="155"/>
      <c r="E3065" s="155"/>
      <c r="F3065" s="155"/>
      <c r="G3065" s="155"/>
      <c r="H3065" s="155"/>
      <c r="I3065" s="155"/>
      <c r="J3065" s="155"/>
      <c r="K3065" s="155"/>
      <c r="L3065" s="155"/>
      <c r="M3065" s="155"/>
      <c r="N3065" s="155"/>
      <c r="O3065" s="155"/>
      <c r="P3065" s="155"/>
      <c r="Q3065" s="155"/>
      <c r="R3065" s="155"/>
      <c r="S3065" s="155"/>
      <c r="T3065" s="155"/>
      <c r="U3065" s="155"/>
      <c r="V3065" s="155"/>
      <c r="W3065" s="155"/>
      <c r="GL3065" s="155"/>
      <c r="GM3065" s="155"/>
      <c r="GN3065" s="155"/>
      <c r="GO3065" s="155"/>
      <c r="GP3065" s="155"/>
      <c r="GQ3065" s="155"/>
      <c r="GR3065" s="155"/>
      <c r="GS3065" s="155"/>
      <c r="GT3065" s="155"/>
      <c r="GU3065" s="155"/>
      <c r="GV3065" s="155"/>
      <c r="GW3065" s="155"/>
      <c r="GX3065" s="155"/>
      <c r="GY3065" s="155"/>
      <c r="GZ3065" s="155"/>
      <c r="HA3065" s="155"/>
      <c r="HB3065" s="155"/>
      <c r="HC3065" s="155"/>
      <c r="HD3065" s="155"/>
      <c r="HE3065" s="155"/>
    </row>
    <row r="3066" spans="2:213" s="156" customFormat="1" hidden="1">
      <c r="B3066" s="155"/>
      <c r="C3066" s="155"/>
      <c r="D3066" s="155"/>
      <c r="E3066" s="155"/>
      <c r="F3066" s="155"/>
      <c r="G3066" s="155"/>
      <c r="H3066" s="155"/>
      <c r="I3066" s="155"/>
      <c r="J3066" s="155"/>
      <c r="K3066" s="155"/>
      <c r="L3066" s="155"/>
      <c r="M3066" s="155"/>
      <c r="N3066" s="155"/>
      <c r="O3066" s="155"/>
      <c r="P3066" s="155"/>
      <c r="Q3066" s="155"/>
      <c r="R3066" s="155"/>
      <c r="S3066" s="155"/>
      <c r="T3066" s="155"/>
      <c r="U3066" s="155"/>
      <c r="V3066" s="155"/>
      <c r="W3066" s="155"/>
      <c r="GL3066" s="155"/>
      <c r="GM3066" s="155"/>
      <c r="GN3066" s="155"/>
      <c r="GO3066" s="155"/>
      <c r="GP3066" s="155"/>
      <c r="GQ3066" s="155"/>
      <c r="GR3066" s="155"/>
      <c r="GS3066" s="155"/>
      <c r="GT3066" s="155"/>
      <c r="GU3066" s="155"/>
      <c r="GV3066" s="155"/>
      <c r="GW3066" s="155"/>
      <c r="GX3066" s="155"/>
      <c r="GY3066" s="155"/>
      <c r="GZ3066" s="155"/>
      <c r="HA3066" s="155"/>
      <c r="HB3066" s="155"/>
      <c r="HC3066" s="155"/>
      <c r="HD3066" s="155"/>
      <c r="HE3066" s="155"/>
    </row>
    <row r="3067" spans="2:213" s="156" customFormat="1" hidden="1">
      <c r="B3067" s="155"/>
      <c r="C3067" s="155"/>
      <c r="D3067" s="155"/>
      <c r="E3067" s="155"/>
      <c r="F3067" s="155"/>
      <c r="G3067" s="155"/>
      <c r="H3067" s="155"/>
      <c r="I3067" s="155"/>
      <c r="J3067" s="155"/>
      <c r="K3067" s="155"/>
      <c r="L3067" s="155"/>
      <c r="M3067" s="155"/>
      <c r="N3067" s="155"/>
      <c r="O3067" s="155"/>
      <c r="P3067" s="155"/>
      <c r="Q3067" s="155"/>
      <c r="R3067" s="155"/>
      <c r="S3067" s="155"/>
      <c r="T3067" s="155"/>
      <c r="U3067" s="155"/>
      <c r="V3067" s="155"/>
      <c r="W3067" s="155"/>
      <c r="GL3067" s="155"/>
      <c r="GM3067" s="155"/>
      <c r="GN3067" s="155"/>
      <c r="GO3067" s="155"/>
      <c r="GP3067" s="155"/>
      <c r="GQ3067" s="155"/>
      <c r="GR3067" s="155"/>
      <c r="GS3067" s="155"/>
      <c r="GT3067" s="155"/>
      <c r="GU3067" s="155"/>
      <c r="GV3067" s="155"/>
      <c r="GW3067" s="155"/>
      <c r="GX3067" s="155"/>
      <c r="GY3067" s="155"/>
      <c r="GZ3067" s="155"/>
      <c r="HA3067" s="155"/>
      <c r="HB3067" s="155"/>
      <c r="HC3067" s="155"/>
      <c r="HD3067" s="155"/>
      <c r="HE3067" s="155"/>
    </row>
    <row r="3068" spans="2:213" s="156" customFormat="1" hidden="1">
      <c r="B3068" s="155"/>
      <c r="C3068" s="155"/>
      <c r="D3068" s="155"/>
      <c r="E3068" s="155"/>
      <c r="F3068" s="155"/>
      <c r="G3068" s="155"/>
      <c r="H3068" s="155"/>
      <c r="I3068" s="155"/>
      <c r="J3068" s="155"/>
      <c r="K3068" s="155"/>
      <c r="L3068" s="155"/>
      <c r="M3068" s="155"/>
      <c r="N3068" s="155"/>
      <c r="O3068" s="155"/>
      <c r="P3068" s="155"/>
      <c r="Q3068" s="155"/>
      <c r="R3068" s="155"/>
      <c r="S3068" s="155"/>
      <c r="T3068" s="155"/>
      <c r="U3068" s="155"/>
      <c r="V3068" s="155"/>
      <c r="W3068" s="155"/>
      <c r="GL3068" s="155"/>
      <c r="GM3068" s="155"/>
      <c r="GN3068" s="155"/>
      <c r="GO3068" s="155"/>
      <c r="GP3068" s="155"/>
      <c r="GQ3068" s="155"/>
      <c r="GR3068" s="155"/>
      <c r="GS3068" s="155"/>
      <c r="GT3068" s="155"/>
      <c r="GU3068" s="155"/>
      <c r="GV3068" s="155"/>
      <c r="GW3068" s="155"/>
      <c r="GX3068" s="155"/>
      <c r="GY3068" s="155"/>
      <c r="GZ3068" s="155"/>
      <c r="HA3068" s="155"/>
      <c r="HB3068" s="155"/>
      <c r="HC3068" s="155"/>
      <c r="HD3068" s="155"/>
      <c r="HE3068" s="155"/>
    </row>
    <row r="3069" spans="2:213" s="156" customFormat="1" hidden="1">
      <c r="B3069" s="155"/>
      <c r="C3069" s="155"/>
      <c r="D3069" s="155"/>
      <c r="E3069" s="155"/>
      <c r="F3069" s="155"/>
      <c r="G3069" s="155"/>
      <c r="H3069" s="155"/>
      <c r="I3069" s="155"/>
      <c r="J3069" s="155"/>
      <c r="K3069" s="155"/>
      <c r="L3069" s="155"/>
      <c r="M3069" s="155"/>
      <c r="N3069" s="155"/>
      <c r="O3069" s="155"/>
      <c r="P3069" s="155"/>
      <c r="Q3069" s="155"/>
      <c r="R3069" s="155"/>
      <c r="S3069" s="155"/>
      <c r="T3069" s="155"/>
      <c r="U3069" s="155"/>
      <c r="V3069" s="155"/>
      <c r="W3069" s="155"/>
      <c r="GL3069" s="155"/>
      <c r="GM3069" s="155"/>
      <c r="GN3069" s="155"/>
      <c r="GO3069" s="155"/>
      <c r="GP3069" s="155"/>
      <c r="GQ3069" s="155"/>
      <c r="GR3069" s="155"/>
      <c r="GS3069" s="155"/>
      <c r="GT3069" s="155"/>
      <c r="GU3069" s="155"/>
      <c r="GV3069" s="155"/>
      <c r="GW3069" s="155"/>
      <c r="GX3069" s="155"/>
      <c r="GY3069" s="155"/>
      <c r="GZ3069" s="155"/>
      <c r="HA3069" s="155"/>
      <c r="HB3069" s="155"/>
      <c r="HC3069" s="155"/>
      <c r="HD3069" s="155"/>
      <c r="HE3069" s="155"/>
    </row>
    <row r="3070" spans="2:213" s="156" customFormat="1" hidden="1">
      <c r="B3070" s="155"/>
      <c r="C3070" s="155"/>
      <c r="D3070" s="155"/>
      <c r="E3070" s="155"/>
      <c r="F3070" s="155"/>
      <c r="G3070" s="155"/>
      <c r="H3070" s="155"/>
      <c r="I3070" s="155"/>
      <c r="J3070" s="155"/>
      <c r="K3070" s="155"/>
      <c r="L3070" s="155"/>
      <c r="M3070" s="155"/>
      <c r="N3070" s="155"/>
      <c r="O3070" s="155"/>
      <c r="P3070" s="155"/>
      <c r="Q3070" s="155"/>
      <c r="R3070" s="155"/>
      <c r="S3070" s="155"/>
      <c r="T3070" s="155"/>
      <c r="U3070" s="155"/>
      <c r="V3070" s="155"/>
      <c r="W3070" s="155"/>
      <c r="GL3070" s="155"/>
      <c r="GM3070" s="155"/>
      <c r="GN3070" s="155"/>
      <c r="GO3070" s="155"/>
      <c r="GP3070" s="155"/>
      <c r="GQ3070" s="155"/>
      <c r="GR3070" s="155"/>
      <c r="GS3070" s="155"/>
      <c r="GT3070" s="155"/>
      <c r="GU3070" s="155"/>
      <c r="GV3070" s="155"/>
      <c r="GW3070" s="155"/>
      <c r="GX3070" s="155"/>
      <c r="GY3070" s="155"/>
      <c r="GZ3070" s="155"/>
      <c r="HA3070" s="155"/>
      <c r="HB3070" s="155"/>
      <c r="HC3070" s="155"/>
      <c r="HD3070" s="155"/>
      <c r="HE3070" s="155"/>
    </row>
    <row r="3071" spans="2:213" s="156" customFormat="1" hidden="1">
      <c r="B3071" s="155"/>
      <c r="C3071" s="155"/>
      <c r="D3071" s="155"/>
      <c r="E3071" s="155"/>
      <c r="F3071" s="155"/>
      <c r="G3071" s="155"/>
      <c r="H3071" s="155"/>
      <c r="I3071" s="155"/>
      <c r="J3071" s="155"/>
      <c r="K3071" s="155"/>
      <c r="L3071" s="155"/>
      <c r="M3071" s="155"/>
      <c r="N3071" s="155"/>
      <c r="O3071" s="155"/>
      <c r="P3071" s="155"/>
      <c r="Q3071" s="155"/>
      <c r="R3071" s="155"/>
      <c r="S3071" s="155"/>
      <c r="T3071" s="155"/>
      <c r="U3071" s="155"/>
      <c r="V3071" s="155"/>
      <c r="W3071" s="155"/>
      <c r="GL3071" s="155"/>
      <c r="GM3071" s="155"/>
      <c r="GN3071" s="155"/>
      <c r="GO3071" s="155"/>
      <c r="GP3071" s="155"/>
      <c r="GQ3071" s="155"/>
      <c r="GR3071" s="155"/>
      <c r="GS3071" s="155"/>
      <c r="GT3071" s="155"/>
      <c r="GU3071" s="155"/>
      <c r="GV3071" s="155"/>
      <c r="GW3071" s="155"/>
      <c r="GX3071" s="155"/>
      <c r="GY3071" s="155"/>
      <c r="GZ3071" s="155"/>
      <c r="HA3071" s="155"/>
      <c r="HB3071" s="155"/>
      <c r="HC3071" s="155"/>
      <c r="HD3071" s="155"/>
      <c r="HE3071" s="155"/>
    </row>
    <row r="3072" spans="2:213" s="156" customFormat="1" hidden="1">
      <c r="B3072" s="155"/>
      <c r="C3072" s="155"/>
      <c r="D3072" s="155"/>
      <c r="E3072" s="155"/>
      <c r="F3072" s="155"/>
      <c r="G3072" s="155"/>
      <c r="H3072" s="155"/>
      <c r="I3072" s="155"/>
      <c r="J3072" s="155"/>
      <c r="K3072" s="155"/>
      <c r="L3072" s="155"/>
      <c r="M3072" s="155"/>
      <c r="N3072" s="155"/>
      <c r="O3072" s="155"/>
      <c r="P3072" s="155"/>
      <c r="Q3072" s="155"/>
      <c r="R3072" s="155"/>
      <c r="S3072" s="155"/>
      <c r="T3072" s="155"/>
      <c r="U3072" s="155"/>
      <c r="V3072" s="155"/>
      <c r="W3072" s="155"/>
      <c r="GL3072" s="155"/>
      <c r="GM3072" s="155"/>
      <c r="GN3072" s="155"/>
      <c r="GO3072" s="155"/>
      <c r="GP3072" s="155"/>
      <c r="GQ3072" s="155"/>
      <c r="GR3072" s="155"/>
      <c r="GS3072" s="155"/>
      <c r="GT3072" s="155"/>
      <c r="GU3072" s="155"/>
      <c r="GV3072" s="155"/>
      <c r="GW3072" s="155"/>
      <c r="GX3072" s="155"/>
      <c r="GY3072" s="155"/>
      <c r="GZ3072" s="155"/>
      <c r="HA3072" s="155"/>
      <c r="HB3072" s="155"/>
      <c r="HC3072" s="155"/>
      <c r="HD3072" s="155"/>
      <c r="HE3072" s="155"/>
    </row>
    <row r="3073" spans="2:213" s="156" customFormat="1" hidden="1">
      <c r="B3073" s="155"/>
      <c r="C3073" s="155"/>
      <c r="D3073" s="155"/>
      <c r="E3073" s="155"/>
      <c r="F3073" s="155"/>
      <c r="G3073" s="155"/>
      <c r="H3073" s="155"/>
      <c r="I3073" s="155"/>
      <c r="J3073" s="155"/>
      <c r="K3073" s="155"/>
      <c r="L3073" s="155"/>
      <c r="M3073" s="155"/>
      <c r="N3073" s="155"/>
      <c r="O3073" s="155"/>
      <c r="P3073" s="155"/>
      <c r="Q3073" s="155"/>
      <c r="R3073" s="155"/>
      <c r="S3073" s="155"/>
      <c r="T3073" s="155"/>
      <c r="U3073" s="155"/>
      <c r="V3073" s="155"/>
      <c r="W3073" s="155"/>
      <c r="GL3073" s="155"/>
      <c r="GM3073" s="155"/>
      <c r="GN3073" s="155"/>
      <c r="GO3073" s="155"/>
      <c r="GP3073" s="155"/>
      <c r="GQ3073" s="155"/>
      <c r="GR3073" s="155"/>
      <c r="GS3073" s="155"/>
      <c r="GT3073" s="155"/>
      <c r="GU3073" s="155"/>
      <c r="GV3073" s="155"/>
      <c r="GW3073" s="155"/>
      <c r="GX3073" s="155"/>
      <c r="GY3073" s="155"/>
      <c r="GZ3073" s="155"/>
      <c r="HA3073" s="155"/>
      <c r="HB3073" s="155"/>
      <c r="HC3073" s="155"/>
      <c r="HD3073" s="155"/>
      <c r="HE3073" s="155"/>
    </row>
    <row r="3074" spans="2:213" s="156" customFormat="1" hidden="1">
      <c r="B3074" s="155"/>
      <c r="C3074" s="155"/>
      <c r="D3074" s="155"/>
      <c r="E3074" s="155"/>
      <c r="F3074" s="155"/>
      <c r="G3074" s="155"/>
      <c r="H3074" s="155"/>
      <c r="I3074" s="155"/>
      <c r="J3074" s="155"/>
      <c r="K3074" s="155"/>
      <c r="L3074" s="155"/>
      <c r="M3074" s="155"/>
      <c r="N3074" s="155"/>
      <c r="O3074" s="155"/>
      <c r="P3074" s="155"/>
      <c r="Q3074" s="155"/>
      <c r="R3074" s="155"/>
      <c r="S3074" s="155"/>
      <c r="T3074" s="155"/>
      <c r="U3074" s="155"/>
      <c r="V3074" s="155"/>
      <c r="W3074" s="155"/>
      <c r="GL3074" s="155"/>
      <c r="GM3074" s="155"/>
      <c r="GN3074" s="155"/>
      <c r="GO3074" s="155"/>
      <c r="GP3074" s="155"/>
      <c r="GQ3074" s="155"/>
      <c r="GR3074" s="155"/>
      <c r="GS3074" s="155"/>
      <c r="GT3074" s="155"/>
      <c r="GU3074" s="155"/>
      <c r="GV3074" s="155"/>
      <c r="GW3074" s="155"/>
      <c r="GX3074" s="155"/>
      <c r="GY3074" s="155"/>
      <c r="GZ3074" s="155"/>
      <c r="HA3074" s="155"/>
      <c r="HB3074" s="155"/>
      <c r="HC3074" s="155"/>
      <c r="HD3074" s="155"/>
      <c r="HE3074" s="155"/>
    </row>
    <row r="3075" spans="2:213" s="156" customFormat="1" hidden="1">
      <c r="B3075" s="155"/>
      <c r="C3075" s="155"/>
      <c r="D3075" s="155"/>
      <c r="E3075" s="155"/>
      <c r="F3075" s="155"/>
      <c r="G3075" s="155"/>
      <c r="H3075" s="155"/>
      <c r="I3075" s="155"/>
      <c r="J3075" s="155"/>
      <c r="K3075" s="155"/>
      <c r="L3075" s="155"/>
      <c r="M3075" s="155"/>
      <c r="N3075" s="155"/>
      <c r="O3075" s="155"/>
      <c r="P3075" s="155"/>
      <c r="Q3075" s="155"/>
      <c r="R3075" s="155"/>
      <c r="S3075" s="155"/>
      <c r="T3075" s="155"/>
      <c r="U3075" s="155"/>
      <c r="V3075" s="155"/>
      <c r="W3075" s="155"/>
      <c r="GL3075" s="155"/>
      <c r="GM3075" s="155"/>
      <c r="GN3075" s="155"/>
      <c r="GO3075" s="155"/>
      <c r="GP3075" s="155"/>
      <c r="GQ3075" s="155"/>
      <c r="GR3075" s="155"/>
      <c r="GS3075" s="155"/>
      <c r="GT3075" s="155"/>
      <c r="GU3075" s="155"/>
      <c r="GV3075" s="155"/>
      <c r="GW3075" s="155"/>
      <c r="GX3075" s="155"/>
      <c r="GY3075" s="155"/>
      <c r="GZ3075" s="155"/>
      <c r="HA3075" s="155"/>
      <c r="HB3075" s="155"/>
      <c r="HC3075" s="155"/>
      <c r="HD3075" s="155"/>
      <c r="HE3075" s="155"/>
    </row>
    <row r="3076" spans="2:213" s="156" customFormat="1" hidden="1">
      <c r="B3076" s="155"/>
      <c r="C3076" s="155"/>
      <c r="D3076" s="155"/>
      <c r="E3076" s="155"/>
      <c r="F3076" s="155"/>
      <c r="G3076" s="155"/>
      <c r="H3076" s="155"/>
      <c r="I3076" s="155"/>
      <c r="J3076" s="155"/>
      <c r="K3076" s="155"/>
      <c r="L3076" s="155"/>
      <c r="M3076" s="155"/>
      <c r="N3076" s="155"/>
      <c r="O3076" s="155"/>
      <c r="P3076" s="155"/>
      <c r="Q3076" s="155"/>
      <c r="R3076" s="155"/>
      <c r="S3076" s="155"/>
      <c r="T3076" s="155"/>
      <c r="U3076" s="155"/>
      <c r="V3076" s="155"/>
      <c r="W3076" s="155"/>
      <c r="GL3076" s="155"/>
      <c r="GM3076" s="155"/>
      <c r="GN3076" s="155"/>
      <c r="GO3076" s="155"/>
      <c r="GP3076" s="155"/>
      <c r="GQ3076" s="155"/>
      <c r="GR3076" s="155"/>
      <c r="GS3076" s="155"/>
      <c r="GT3076" s="155"/>
      <c r="GU3076" s="155"/>
      <c r="GV3076" s="155"/>
      <c r="GW3076" s="155"/>
      <c r="GX3076" s="155"/>
      <c r="GY3076" s="155"/>
      <c r="GZ3076" s="155"/>
      <c r="HA3076" s="155"/>
      <c r="HB3076" s="155"/>
      <c r="HC3076" s="155"/>
      <c r="HD3076" s="155"/>
      <c r="HE3076" s="155"/>
    </row>
    <row r="3077" spans="2:213" s="156" customFormat="1" hidden="1">
      <c r="B3077" s="155"/>
      <c r="C3077" s="155"/>
      <c r="D3077" s="155"/>
      <c r="E3077" s="155"/>
      <c r="F3077" s="155"/>
      <c r="G3077" s="155"/>
      <c r="H3077" s="155"/>
      <c r="I3077" s="155"/>
      <c r="J3077" s="155"/>
      <c r="K3077" s="155"/>
      <c r="L3077" s="155"/>
      <c r="M3077" s="155"/>
      <c r="N3077" s="155"/>
      <c r="O3077" s="155"/>
      <c r="P3077" s="155"/>
      <c r="Q3077" s="155"/>
      <c r="R3077" s="155"/>
      <c r="S3077" s="155"/>
      <c r="T3077" s="155"/>
      <c r="U3077" s="155"/>
      <c r="V3077" s="155"/>
      <c r="W3077" s="155"/>
      <c r="GL3077" s="155"/>
      <c r="GM3077" s="155"/>
      <c r="GN3077" s="155"/>
      <c r="GO3077" s="155"/>
      <c r="GP3077" s="155"/>
      <c r="GQ3077" s="155"/>
      <c r="GR3077" s="155"/>
      <c r="GS3077" s="155"/>
      <c r="GT3077" s="155"/>
      <c r="GU3077" s="155"/>
      <c r="GV3077" s="155"/>
      <c r="GW3077" s="155"/>
      <c r="GX3077" s="155"/>
      <c r="GY3077" s="155"/>
      <c r="GZ3077" s="155"/>
      <c r="HA3077" s="155"/>
      <c r="HB3077" s="155"/>
      <c r="HC3077" s="155"/>
      <c r="HD3077" s="155"/>
      <c r="HE3077" s="155"/>
    </row>
    <row r="3078" spans="2:213" s="156" customFormat="1" hidden="1">
      <c r="B3078" s="155"/>
      <c r="C3078" s="155"/>
      <c r="D3078" s="155"/>
      <c r="E3078" s="155"/>
      <c r="F3078" s="155"/>
      <c r="G3078" s="155"/>
      <c r="H3078" s="155"/>
      <c r="I3078" s="155"/>
      <c r="J3078" s="155"/>
      <c r="K3078" s="155"/>
      <c r="L3078" s="155"/>
      <c r="M3078" s="155"/>
      <c r="N3078" s="155"/>
      <c r="O3078" s="155"/>
      <c r="P3078" s="155"/>
      <c r="Q3078" s="155"/>
      <c r="R3078" s="155"/>
      <c r="S3078" s="155"/>
      <c r="T3078" s="155"/>
      <c r="U3078" s="155"/>
      <c r="V3078" s="155"/>
      <c r="W3078" s="155"/>
      <c r="GL3078" s="155"/>
      <c r="GM3078" s="155"/>
      <c r="GN3078" s="155"/>
      <c r="GO3078" s="155"/>
      <c r="GP3078" s="155"/>
      <c r="GQ3078" s="155"/>
      <c r="GR3078" s="155"/>
      <c r="GS3078" s="155"/>
      <c r="GT3078" s="155"/>
      <c r="GU3078" s="155"/>
      <c r="GV3078" s="155"/>
      <c r="GW3078" s="155"/>
      <c r="GX3078" s="155"/>
      <c r="GY3078" s="155"/>
      <c r="GZ3078" s="155"/>
      <c r="HA3078" s="155"/>
      <c r="HB3078" s="155"/>
      <c r="HC3078" s="155"/>
      <c r="HD3078" s="155"/>
      <c r="HE3078" s="155"/>
    </row>
    <row r="3079" spans="2:213" s="156" customFormat="1" hidden="1">
      <c r="B3079" s="155"/>
      <c r="C3079" s="155"/>
      <c r="D3079" s="155"/>
      <c r="E3079" s="155"/>
      <c r="F3079" s="155"/>
      <c r="G3079" s="155"/>
      <c r="H3079" s="155"/>
      <c r="I3079" s="155"/>
      <c r="J3079" s="155"/>
      <c r="K3079" s="155"/>
      <c r="L3079" s="155"/>
      <c r="M3079" s="155"/>
      <c r="N3079" s="155"/>
      <c r="O3079" s="155"/>
      <c r="P3079" s="155"/>
      <c r="Q3079" s="155"/>
      <c r="R3079" s="155"/>
      <c r="S3079" s="155"/>
      <c r="T3079" s="155"/>
      <c r="U3079" s="155"/>
      <c r="V3079" s="155"/>
      <c r="W3079" s="155"/>
      <c r="GL3079" s="155"/>
      <c r="GM3079" s="155"/>
      <c r="GN3079" s="155"/>
      <c r="GO3079" s="155"/>
      <c r="GP3079" s="155"/>
      <c r="GQ3079" s="155"/>
      <c r="GR3079" s="155"/>
      <c r="GS3079" s="155"/>
      <c r="GT3079" s="155"/>
      <c r="GU3079" s="155"/>
      <c r="GV3079" s="155"/>
      <c r="GW3079" s="155"/>
      <c r="GX3079" s="155"/>
      <c r="GY3079" s="155"/>
      <c r="GZ3079" s="155"/>
      <c r="HA3079" s="155"/>
      <c r="HB3079" s="155"/>
      <c r="HC3079" s="155"/>
      <c r="HD3079" s="155"/>
      <c r="HE3079" s="155"/>
    </row>
    <row r="3080" spans="2:213" s="156" customFormat="1" hidden="1">
      <c r="B3080" s="155"/>
      <c r="C3080" s="155"/>
      <c r="D3080" s="155"/>
      <c r="E3080" s="155"/>
      <c r="F3080" s="155"/>
      <c r="G3080" s="155"/>
      <c r="H3080" s="155"/>
      <c r="I3080" s="155"/>
      <c r="J3080" s="155"/>
      <c r="K3080" s="155"/>
      <c r="L3080" s="155"/>
      <c r="M3080" s="155"/>
      <c r="N3080" s="155"/>
      <c r="O3080" s="155"/>
      <c r="P3080" s="155"/>
      <c r="Q3080" s="155"/>
      <c r="R3080" s="155"/>
      <c r="S3080" s="155"/>
      <c r="T3080" s="155"/>
      <c r="U3080" s="155"/>
      <c r="V3080" s="155"/>
      <c r="W3080" s="155"/>
      <c r="GL3080" s="155"/>
      <c r="GM3080" s="155"/>
      <c r="GN3080" s="155"/>
      <c r="GO3080" s="155"/>
      <c r="GP3080" s="155"/>
      <c r="GQ3080" s="155"/>
      <c r="GR3080" s="155"/>
      <c r="GS3080" s="155"/>
      <c r="GT3080" s="155"/>
      <c r="GU3080" s="155"/>
      <c r="GV3080" s="155"/>
      <c r="GW3080" s="155"/>
      <c r="GX3080" s="155"/>
      <c r="GY3080" s="155"/>
      <c r="GZ3080" s="155"/>
      <c r="HA3080" s="155"/>
      <c r="HB3080" s="155"/>
      <c r="HC3080" s="155"/>
      <c r="HD3080" s="155"/>
      <c r="HE3080" s="155"/>
    </row>
    <row r="3081" spans="2:213" s="156" customFormat="1" hidden="1">
      <c r="B3081" s="155"/>
      <c r="C3081" s="155"/>
      <c r="D3081" s="155"/>
      <c r="E3081" s="155"/>
      <c r="F3081" s="155"/>
      <c r="G3081" s="155"/>
      <c r="H3081" s="155"/>
      <c r="I3081" s="155"/>
      <c r="J3081" s="155"/>
      <c r="K3081" s="155"/>
      <c r="L3081" s="155"/>
      <c r="M3081" s="155"/>
      <c r="N3081" s="155"/>
      <c r="O3081" s="155"/>
      <c r="P3081" s="155"/>
      <c r="Q3081" s="155"/>
      <c r="R3081" s="155"/>
      <c r="S3081" s="155"/>
      <c r="T3081" s="155"/>
      <c r="U3081" s="155"/>
      <c r="V3081" s="155"/>
      <c r="W3081" s="155"/>
      <c r="GL3081" s="155"/>
      <c r="GM3081" s="155"/>
      <c r="GN3081" s="155"/>
      <c r="GO3081" s="155"/>
      <c r="GP3081" s="155"/>
      <c r="GQ3081" s="155"/>
      <c r="GR3081" s="155"/>
      <c r="GS3081" s="155"/>
      <c r="GT3081" s="155"/>
      <c r="GU3081" s="155"/>
      <c r="GV3081" s="155"/>
      <c r="GW3081" s="155"/>
      <c r="GX3081" s="155"/>
      <c r="GY3081" s="155"/>
      <c r="GZ3081" s="155"/>
      <c r="HA3081" s="155"/>
      <c r="HB3081" s="155"/>
      <c r="HC3081" s="155"/>
      <c r="HD3081" s="155"/>
      <c r="HE3081" s="155"/>
    </row>
    <row r="3082" spans="2:213" s="156" customFormat="1" hidden="1">
      <c r="B3082" s="155"/>
      <c r="C3082" s="155"/>
      <c r="D3082" s="155"/>
      <c r="E3082" s="155"/>
      <c r="F3082" s="155"/>
      <c r="G3082" s="155"/>
      <c r="H3082" s="155"/>
      <c r="I3082" s="155"/>
      <c r="J3082" s="155"/>
      <c r="K3082" s="155"/>
      <c r="L3082" s="155"/>
      <c r="M3082" s="155"/>
      <c r="N3082" s="155"/>
      <c r="O3082" s="155"/>
      <c r="P3082" s="155"/>
      <c r="Q3082" s="155"/>
      <c r="R3082" s="155"/>
      <c r="S3082" s="155"/>
      <c r="T3082" s="155"/>
      <c r="U3082" s="155"/>
      <c r="V3082" s="155"/>
      <c r="W3082" s="155"/>
      <c r="GL3082" s="155"/>
      <c r="GM3082" s="155"/>
      <c r="GN3082" s="155"/>
      <c r="GO3082" s="155"/>
      <c r="GP3082" s="155"/>
      <c r="GQ3082" s="155"/>
      <c r="GR3082" s="155"/>
      <c r="GS3082" s="155"/>
      <c r="GT3082" s="155"/>
      <c r="GU3082" s="155"/>
      <c r="GV3082" s="155"/>
      <c r="GW3082" s="155"/>
      <c r="GX3082" s="155"/>
      <c r="GY3082" s="155"/>
      <c r="GZ3082" s="155"/>
      <c r="HA3082" s="155"/>
      <c r="HB3082" s="155"/>
      <c r="HC3082" s="155"/>
      <c r="HD3082" s="155"/>
      <c r="HE3082" s="155"/>
    </row>
    <row r="3083" spans="2:213" s="156" customFormat="1" hidden="1">
      <c r="B3083" s="155"/>
      <c r="C3083" s="155"/>
      <c r="D3083" s="155"/>
      <c r="E3083" s="155"/>
      <c r="F3083" s="155"/>
      <c r="G3083" s="155"/>
      <c r="H3083" s="155"/>
      <c r="I3083" s="155"/>
      <c r="J3083" s="155"/>
      <c r="K3083" s="155"/>
      <c r="L3083" s="155"/>
      <c r="M3083" s="155"/>
      <c r="N3083" s="155"/>
      <c r="O3083" s="155"/>
      <c r="P3083" s="155"/>
      <c r="Q3083" s="155"/>
      <c r="R3083" s="155"/>
      <c r="S3083" s="155"/>
      <c r="T3083" s="155"/>
      <c r="U3083" s="155"/>
      <c r="V3083" s="155"/>
      <c r="W3083" s="155"/>
      <c r="GL3083" s="155"/>
      <c r="GM3083" s="155"/>
      <c r="GN3083" s="155"/>
      <c r="GO3083" s="155"/>
      <c r="GP3083" s="155"/>
      <c r="GQ3083" s="155"/>
      <c r="GR3083" s="155"/>
      <c r="GS3083" s="155"/>
      <c r="GT3083" s="155"/>
      <c r="GU3083" s="155"/>
      <c r="GV3083" s="155"/>
      <c r="GW3083" s="155"/>
      <c r="GX3083" s="155"/>
      <c r="GY3083" s="155"/>
      <c r="GZ3083" s="155"/>
      <c r="HA3083" s="155"/>
      <c r="HB3083" s="155"/>
      <c r="HC3083" s="155"/>
      <c r="HD3083" s="155"/>
      <c r="HE3083" s="155"/>
    </row>
    <row r="3084" spans="2:213" s="156" customFormat="1" hidden="1">
      <c r="B3084" s="155"/>
      <c r="C3084" s="155"/>
      <c r="D3084" s="155"/>
      <c r="E3084" s="155"/>
      <c r="F3084" s="155"/>
      <c r="G3084" s="155"/>
      <c r="H3084" s="155"/>
      <c r="I3084" s="155"/>
      <c r="J3084" s="155"/>
      <c r="K3084" s="155"/>
      <c r="L3084" s="155"/>
      <c r="M3084" s="155"/>
      <c r="N3084" s="155"/>
      <c r="O3084" s="155"/>
      <c r="P3084" s="155"/>
      <c r="Q3084" s="155"/>
      <c r="R3084" s="155"/>
      <c r="S3084" s="155"/>
      <c r="T3084" s="155"/>
      <c r="U3084" s="155"/>
      <c r="V3084" s="155"/>
      <c r="W3084" s="155"/>
      <c r="GL3084" s="155"/>
      <c r="GM3084" s="155"/>
      <c r="GN3084" s="155"/>
      <c r="GO3084" s="155"/>
      <c r="GP3084" s="155"/>
      <c r="GQ3084" s="155"/>
      <c r="GR3084" s="155"/>
      <c r="GS3084" s="155"/>
      <c r="GT3084" s="155"/>
      <c r="GU3084" s="155"/>
      <c r="GV3084" s="155"/>
      <c r="GW3084" s="155"/>
      <c r="GX3084" s="155"/>
      <c r="GY3084" s="155"/>
      <c r="GZ3084" s="155"/>
      <c r="HA3084" s="155"/>
      <c r="HB3084" s="155"/>
      <c r="HC3084" s="155"/>
      <c r="HD3084" s="155"/>
      <c r="HE3084" s="155"/>
    </row>
    <row r="3085" spans="2:213" s="156" customFormat="1" hidden="1">
      <c r="B3085" s="155"/>
      <c r="C3085" s="155"/>
      <c r="D3085" s="155"/>
      <c r="E3085" s="155"/>
      <c r="F3085" s="155"/>
      <c r="G3085" s="155"/>
      <c r="H3085" s="155"/>
      <c r="I3085" s="155"/>
      <c r="J3085" s="155"/>
      <c r="K3085" s="155"/>
      <c r="L3085" s="155"/>
      <c r="M3085" s="155"/>
      <c r="N3085" s="155"/>
      <c r="O3085" s="155"/>
      <c r="P3085" s="155"/>
      <c r="Q3085" s="155"/>
      <c r="R3085" s="155"/>
      <c r="S3085" s="155"/>
      <c r="T3085" s="155"/>
      <c r="U3085" s="155"/>
      <c r="V3085" s="155"/>
      <c r="W3085" s="155"/>
      <c r="GL3085" s="155"/>
      <c r="GM3085" s="155"/>
      <c r="GN3085" s="155"/>
      <c r="GO3085" s="155"/>
      <c r="GP3085" s="155"/>
      <c r="GQ3085" s="155"/>
      <c r="GR3085" s="155"/>
      <c r="GS3085" s="155"/>
      <c r="GT3085" s="155"/>
      <c r="GU3085" s="155"/>
      <c r="GV3085" s="155"/>
      <c r="GW3085" s="155"/>
      <c r="GX3085" s="155"/>
      <c r="GY3085" s="155"/>
      <c r="GZ3085" s="155"/>
      <c r="HA3085" s="155"/>
      <c r="HB3085" s="155"/>
      <c r="HC3085" s="155"/>
      <c r="HD3085" s="155"/>
      <c r="HE3085" s="155"/>
    </row>
    <row r="3086" spans="2:213" s="156" customFormat="1" hidden="1">
      <c r="B3086" s="155"/>
      <c r="C3086" s="155"/>
      <c r="D3086" s="155"/>
      <c r="E3086" s="155"/>
      <c r="F3086" s="155"/>
      <c r="G3086" s="155"/>
      <c r="H3086" s="155"/>
      <c r="I3086" s="155"/>
      <c r="J3086" s="155"/>
      <c r="K3086" s="155"/>
      <c r="L3086" s="155"/>
      <c r="M3086" s="155"/>
      <c r="N3086" s="155"/>
      <c r="O3086" s="155"/>
      <c r="P3086" s="155"/>
      <c r="Q3086" s="155"/>
      <c r="R3086" s="155"/>
      <c r="S3086" s="155"/>
      <c r="T3086" s="155"/>
      <c r="U3086" s="155"/>
      <c r="V3086" s="155"/>
      <c r="W3086" s="155"/>
      <c r="GL3086" s="155"/>
      <c r="GM3086" s="155"/>
      <c r="GN3086" s="155"/>
      <c r="GO3086" s="155"/>
      <c r="GP3086" s="155"/>
      <c r="GQ3086" s="155"/>
      <c r="GR3086" s="155"/>
      <c r="GS3086" s="155"/>
      <c r="GT3086" s="155"/>
      <c r="GU3086" s="155"/>
      <c r="GV3086" s="155"/>
      <c r="GW3086" s="155"/>
      <c r="GX3086" s="155"/>
      <c r="GY3086" s="155"/>
      <c r="GZ3086" s="155"/>
      <c r="HA3086" s="155"/>
      <c r="HB3086" s="155"/>
      <c r="HC3086" s="155"/>
      <c r="HD3086" s="155"/>
      <c r="HE3086" s="155"/>
    </row>
    <row r="3087" spans="2:213" s="156" customFormat="1" hidden="1">
      <c r="B3087" s="155"/>
      <c r="C3087" s="155"/>
      <c r="D3087" s="155"/>
      <c r="E3087" s="155"/>
      <c r="F3087" s="155"/>
      <c r="G3087" s="155"/>
      <c r="H3087" s="155"/>
      <c r="I3087" s="155"/>
      <c r="J3087" s="155"/>
      <c r="K3087" s="155"/>
      <c r="L3087" s="155"/>
      <c r="M3087" s="155"/>
      <c r="N3087" s="155"/>
      <c r="O3087" s="155"/>
      <c r="P3087" s="155"/>
      <c r="Q3087" s="155"/>
      <c r="R3087" s="155"/>
      <c r="S3087" s="155"/>
      <c r="T3087" s="155"/>
      <c r="U3087" s="155"/>
      <c r="V3087" s="155"/>
      <c r="W3087" s="155"/>
      <c r="GL3087" s="155"/>
      <c r="GM3087" s="155"/>
      <c r="GN3087" s="155"/>
      <c r="GO3087" s="155"/>
      <c r="GP3087" s="155"/>
      <c r="GQ3087" s="155"/>
      <c r="GR3087" s="155"/>
      <c r="GS3087" s="155"/>
      <c r="GT3087" s="155"/>
      <c r="GU3087" s="155"/>
      <c r="GV3087" s="155"/>
      <c r="GW3087" s="155"/>
      <c r="GX3087" s="155"/>
      <c r="GY3087" s="155"/>
      <c r="GZ3087" s="155"/>
      <c r="HA3087" s="155"/>
      <c r="HB3087" s="155"/>
      <c r="HC3087" s="155"/>
      <c r="HD3087" s="155"/>
      <c r="HE3087" s="155"/>
    </row>
    <row r="3088" spans="2:213" s="156" customFormat="1" hidden="1">
      <c r="B3088" s="155"/>
      <c r="C3088" s="155"/>
      <c r="D3088" s="155"/>
      <c r="E3088" s="155"/>
      <c r="F3088" s="155"/>
      <c r="G3088" s="155"/>
      <c r="H3088" s="155"/>
      <c r="I3088" s="155"/>
      <c r="J3088" s="155"/>
      <c r="K3088" s="155"/>
      <c r="L3088" s="155"/>
      <c r="M3088" s="155"/>
      <c r="N3088" s="155"/>
      <c r="O3088" s="155"/>
      <c r="P3088" s="155"/>
      <c r="Q3088" s="155"/>
      <c r="R3088" s="155"/>
      <c r="S3088" s="155"/>
      <c r="T3088" s="155"/>
      <c r="U3088" s="155"/>
      <c r="V3088" s="155"/>
      <c r="W3088" s="155"/>
      <c r="GL3088" s="155"/>
      <c r="GM3088" s="155"/>
      <c r="GN3088" s="155"/>
      <c r="GO3088" s="155"/>
      <c r="GP3088" s="155"/>
      <c r="GQ3088" s="155"/>
      <c r="GR3088" s="155"/>
      <c r="GS3088" s="155"/>
      <c r="GT3088" s="155"/>
      <c r="GU3088" s="155"/>
      <c r="GV3088" s="155"/>
      <c r="GW3088" s="155"/>
      <c r="GX3088" s="155"/>
      <c r="GY3088" s="155"/>
      <c r="GZ3088" s="155"/>
      <c r="HA3088" s="155"/>
      <c r="HB3088" s="155"/>
      <c r="HC3088" s="155"/>
      <c r="HD3088" s="155"/>
      <c r="HE3088" s="155"/>
    </row>
    <row r="3089" spans="2:213" s="156" customFormat="1" hidden="1">
      <c r="B3089" s="155"/>
      <c r="C3089" s="155"/>
      <c r="D3089" s="155"/>
      <c r="E3089" s="155"/>
      <c r="F3089" s="155"/>
      <c r="G3089" s="155"/>
      <c r="H3089" s="155"/>
      <c r="I3089" s="155"/>
      <c r="J3089" s="155"/>
      <c r="K3089" s="155"/>
      <c r="L3089" s="155"/>
      <c r="M3089" s="155"/>
      <c r="N3089" s="155"/>
      <c r="O3089" s="155"/>
      <c r="P3089" s="155"/>
      <c r="Q3089" s="155"/>
      <c r="R3089" s="155"/>
      <c r="S3089" s="155"/>
      <c r="T3089" s="155"/>
      <c r="U3089" s="155"/>
      <c r="V3089" s="155"/>
      <c r="W3089" s="155"/>
      <c r="GL3089" s="155"/>
      <c r="GM3089" s="155"/>
      <c r="GN3089" s="155"/>
      <c r="GO3089" s="155"/>
      <c r="GP3089" s="155"/>
      <c r="GQ3089" s="155"/>
      <c r="GR3089" s="155"/>
      <c r="GS3089" s="155"/>
      <c r="GT3089" s="155"/>
      <c r="GU3089" s="155"/>
      <c r="GV3089" s="155"/>
      <c r="GW3089" s="155"/>
      <c r="GX3089" s="155"/>
      <c r="GY3089" s="155"/>
      <c r="GZ3089" s="155"/>
      <c r="HA3089" s="155"/>
      <c r="HB3089" s="155"/>
      <c r="HC3089" s="155"/>
      <c r="HD3089" s="155"/>
      <c r="HE3089" s="155"/>
    </row>
    <row r="3090" spans="2:213" s="156" customFormat="1" hidden="1">
      <c r="B3090" s="155"/>
      <c r="C3090" s="155"/>
      <c r="D3090" s="155"/>
      <c r="E3090" s="155"/>
      <c r="F3090" s="155"/>
      <c r="G3090" s="155"/>
      <c r="H3090" s="155"/>
      <c r="I3090" s="155"/>
      <c r="J3090" s="155"/>
      <c r="K3090" s="155"/>
      <c r="L3090" s="155"/>
      <c r="M3090" s="155"/>
      <c r="N3090" s="155"/>
      <c r="O3090" s="155"/>
      <c r="P3090" s="155"/>
      <c r="Q3090" s="155"/>
      <c r="R3090" s="155"/>
      <c r="S3090" s="155"/>
      <c r="T3090" s="155"/>
      <c r="U3090" s="155"/>
      <c r="V3090" s="155"/>
      <c r="W3090" s="155"/>
      <c r="GL3090" s="155"/>
      <c r="GM3090" s="155"/>
      <c r="GN3090" s="155"/>
      <c r="GO3090" s="155"/>
      <c r="GP3090" s="155"/>
      <c r="GQ3090" s="155"/>
      <c r="GR3090" s="155"/>
      <c r="GS3090" s="155"/>
      <c r="GT3090" s="155"/>
      <c r="GU3090" s="155"/>
      <c r="GV3090" s="155"/>
      <c r="GW3090" s="155"/>
      <c r="GX3090" s="155"/>
      <c r="GY3090" s="155"/>
      <c r="GZ3090" s="155"/>
      <c r="HA3090" s="155"/>
      <c r="HB3090" s="155"/>
      <c r="HC3090" s="155"/>
      <c r="HD3090" s="155"/>
      <c r="HE3090" s="155"/>
    </row>
    <row r="3091" spans="2:213" s="156" customFormat="1" hidden="1">
      <c r="B3091" s="155"/>
      <c r="C3091" s="155"/>
      <c r="D3091" s="155"/>
      <c r="E3091" s="155"/>
      <c r="F3091" s="155"/>
      <c r="G3091" s="155"/>
      <c r="H3091" s="155"/>
      <c r="I3091" s="155"/>
      <c r="J3091" s="155"/>
      <c r="K3091" s="155"/>
      <c r="L3091" s="155"/>
      <c r="M3091" s="155"/>
      <c r="N3091" s="155"/>
      <c r="O3091" s="155"/>
      <c r="P3091" s="155"/>
      <c r="Q3091" s="155"/>
      <c r="R3091" s="155"/>
      <c r="S3091" s="155"/>
      <c r="T3091" s="155"/>
      <c r="U3091" s="155"/>
      <c r="V3091" s="155"/>
      <c r="W3091" s="155"/>
      <c r="GL3091" s="155"/>
      <c r="GM3091" s="155"/>
      <c r="GN3091" s="155"/>
      <c r="GO3091" s="155"/>
      <c r="GP3091" s="155"/>
      <c r="GQ3091" s="155"/>
      <c r="GR3091" s="155"/>
      <c r="GS3091" s="155"/>
      <c r="GT3091" s="155"/>
      <c r="GU3091" s="155"/>
      <c r="GV3091" s="155"/>
      <c r="GW3091" s="155"/>
      <c r="GX3091" s="155"/>
      <c r="GY3091" s="155"/>
      <c r="GZ3091" s="155"/>
      <c r="HA3091" s="155"/>
      <c r="HB3091" s="155"/>
      <c r="HC3091" s="155"/>
      <c r="HD3091" s="155"/>
      <c r="HE3091" s="155"/>
    </row>
    <row r="3092" spans="2:213" s="156" customFormat="1" hidden="1">
      <c r="B3092" s="155"/>
      <c r="C3092" s="155"/>
      <c r="D3092" s="155"/>
      <c r="E3092" s="155"/>
      <c r="F3092" s="155"/>
      <c r="G3092" s="155"/>
      <c r="H3092" s="155"/>
      <c r="I3092" s="155"/>
      <c r="J3092" s="155"/>
      <c r="K3092" s="155"/>
      <c r="L3092" s="155"/>
      <c r="M3092" s="155"/>
      <c r="N3092" s="155"/>
      <c r="O3092" s="155"/>
      <c r="P3092" s="155"/>
      <c r="Q3092" s="155"/>
      <c r="R3092" s="155"/>
      <c r="S3092" s="155"/>
      <c r="T3092" s="155"/>
      <c r="U3092" s="155"/>
      <c r="V3092" s="155"/>
      <c r="W3092" s="155"/>
      <c r="GL3092" s="155"/>
      <c r="GM3092" s="155"/>
      <c r="GN3092" s="155"/>
      <c r="GO3092" s="155"/>
      <c r="GP3092" s="155"/>
      <c r="GQ3092" s="155"/>
      <c r="GR3092" s="155"/>
      <c r="GS3092" s="155"/>
      <c r="GT3092" s="155"/>
      <c r="GU3092" s="155"/>
      <c r="GV3092" s="155"/>
      <c r="GW3092" s="155"/>
      <c r="GX3092" s="155"/>
      <c r="GY3092" s="155"/>
      <c r="GZ3092" s="155"/>
      <c r="HA3092" s="155"/>
      <c r="HB3092" s="155"/>
      <c r="HC3092" s="155"/>
      <c r="HD3092" s="155"/>
      <c r="HE3092" s="155"/>
    </row>
    <row r="3093" spans="2:213" s="156" customFormat="1" hidden="1">
      <c r="B3093" s="155"/>
      <c r="C3093" s="155"/>
      <c r="D3093" s="155"/>
      <c r="E3093" s="155"/>
      <c r="F3093" s="155"/>
      <c r="G3093" s="155"/>
      <c r="H3093" s="155"/>
      <c r="I3093" s="155"/>
      <c r="J3093" s="155"/>
      <c r="K3093" s="155"/>
      <c r="L3093" s="155"/>
      <c r="M3093" s="155"/>
      <c r="N3093" s="155"/>
      <c r="O3093" s="155"/>
      <c r="P3093" s="155"/>
      <c r="Q3093" s="155"/>
      <c r="R3093" s="155"/>
      <c r="S3093" s="155"/>
      <c r="T3093" s="155"/>
      <c r="U3093" s="155"/>
      <c r="V3093" s="155"/>
      <c r="W3093" s="155"/>
      <c r="GL3093" s="155"/>
      <c r="GM3093" s="155"/>
      <c r="GN3093" s="155"/>
      <c r="GO3093" s="155"/>
      <c r="GP3093" s="155"/>
      <c r="GQ3093" s="155"/>
      <c r="GR3093" s="155"/>
      <c r="GS3093" s="155"/>
      <c r="GT3093" s="155"/>
      <c r="GU3093" s="155"/>
      <c r="GV3093" s="155"/>
      <c r="GW3093" s="155"/>
      <c r="GX3093" s="155"/>
      <c r="GY3093" s="155"/>
      <c r="GZ3093" s="155"/>
      <c r="HA3093" s="155"/>
      <c r="HB3093" s="155"/>
      <c r="HC3093" s="155"/>
      <c r="HD3093" s="155"/>
      <c r="HE3093" s="155"/>
    </row>
    <row r="3094" spans="2:213" s="156" customFormat="1" hidden="1">
      <c r="B3094" s="155"/>
      <c r="C3094" s="155"/>
      <c r="D3094" s="155"/>
      <c r="E3094" s="155"/>
      <c r="F3094" s="155"/>
      <c r="G3094" s="155"/>
      <c r="H3094" s="155"/>
      <c r="I3094" s="155"/>
      <c r="J3094" s="155"/>
      <c r="K3094" s="155"/>
      <c r="L3094" s="155"/>
      <c r="M3094" s="155"/>
      <c r="N3094" s="155"/>
      <c r="O3094" s="155"/>
      <c r="P3094" s="155"/>
      <c r="Q3094" s="155"/>
      <c r="R3094" s="155"/>
      <c r="S3094" s="155"/>
      <c r="T3094" s="155"/>
      <c r="U3094" s="155"/>
      <c r="V3094" s="155"/>
      <c r="W3094" s="155"/>
      <c r="GL3094" s="155"/>
      <c r="GM3094" s="155"/>
      <c r="GN3094" s="155"/>
      <c r="GO3094" s="155"/>
      <c r="GP3094" s="155"/>
      <c r="GQ3094" s="155"/>
      <c r="GR3094" s="155"/>
      <c r="GS3094" s="155"/>
      <c r="GT3094" s="155"/>
      <c r="GU3094" s="155"/>
      <c r="GV3094" s="155"/>
      <c r="GW3094" s="155"/>
      <c r="GX3094" s="155"/>
      <c r="GY3094" s="155"/>
      <c r="GZ3094" s="155"/>
      <c r="HA3094" s="155"/>
      <c r="HB3094" s="155"/>
      <c r="HC3094" s="155"/>
      <c r="HD3094" s="155"/>
      <c r="HE3094" s="155"/>
    </row>
    <row r="3095" spans="2:213" s="156" customFormat="1" hidden="1">
      <c r="B3095" s="155"/>
      <c r="C3095" s="155"/>
      <c r="D3095" s="155"/>
      <c r="E3095" s="155"/>
      <c r="F3095" s="155"/>
      <c r="G3095" s="155"/>
      <c r="H3095" s="155"/>
      <c r="I3095" s="155"/>
      <c r="J3095" s="155"/>
      <c r="K3095" s="155"/>
      <c r="L3095" s="155"/>
      <c r="M3095" s="155"/>
      <c r="N3095" s="155"/>
      <c r="O3095" s="155"/>
      <c r="P3095" s="155"/>
      <c r="Q3095" s="155"/>
      <c r="R3095" s="155"/>
      <c r="S3095" s="155"/>
      <c r="T3095" s="155"/>
      <c r="U3095" s="155"/>
      <c r="V3095" s="155"/>
      <c r="W3095" s="155"/>
      <c r="GL3095" s="155"/>
      <c r="GM3095" s="155"/>
      <c r="GN3095" s="155"/>
      <c r="GO3095" s="155"/>
      <c r="GP3095" s="155"/>
      <c r="GQ3095" s="155"/>
      <c r="GR3095" s="155"/>
      <c r="GS3095" s="155"/>
      <c r="GT3095" s="155"/>
      <c r="GU3095" s="155"/>
      <c r="GV3095" s="155"/>
      <c r="GW3095" s="155"/>
      <c r="GX3095" s="155"/>
      <c r="GY3095" s="155"/>
      <c r="GZ3095" s="155"/>
      <c r="HA3095" s="155"/>
      <c r="HB3095" s="155"/>
      <c r="HC3095" s="155"/>
      <c r="HD3095" s="155"/>
      <c r="HE3095" s="155"/>
    </row>
    <row r="3096" spans="2:213" s="156" customFormat="1" hidden="1">
      <c r="B3096" s="155"/>
      <c r="C3096" s="155"/>
      <c r="D3096" s="155"/>
      <c r="E3096" s="155"/>
      <c r="F3096" s="155"/>
      <c r="G3096" s="155"/>
      <c r="H3096" s="155"/>
      <c r="I3096" s="155"/>
      <c r="J3096" s="155"/>
      <c r="K3096" s="155"/>
      <c r="L3096" s="155"/>
      <c r="M3096" s="155"/>
      <c r="N3096" s="155"/>
      <c r="O3096" s="155"/>
      <c r="P3096" s="155"/>
      <c r="Q3096" s="155"/>
      <c r="R3096" s="155"/>
      <c r="S3096" s="155"/>
      <c r="T3096" s="155"/>
      <c r="U3096" s="155"/>
      <c r="V3096" s="155"/>
      <c r="W3096" s="155"/>
      <c r="GL3096" s="155"/>
      <c r="GM3096" s="155"/>
      <c r="GN3096" s="155"/>
      <c r="GO3096" s="155"/>
      <c r="GP3096" s="155"/>
      <c r="GQ3096" s="155"/>
      <c r="GR3096" s="155"/>
      <c r="GS3096" s="155"/>
      <c r="GT3096" s="155"/>
      <c r="GU3096" s="155"/>
      <c r="GV3096" s="155"/>
      <c r="GW3096" s="155"/>
      <c r="GX3096" s="155"/>
      <c r="GY3096" s="155"/>
      <c r="GZ3096" s="155"/>
      <c r="HA3096" s="155"/>
      <c r="HB3096" s="155"/>
      <c r="HC3096" s="155"/>
      <c r="HD3096" s="155"/>
      <c r="HE3096" s="155"/>
    </row>
    <row r="3097" spans="2:213" s="156" customFormat="1" hidden="1">
      <c r="B3097" s="155"/>
      <c r="C3097" s="155"/>
      <c r="D3097" s="155"/>
      <c r="E3097" s="155"/>
      <c r="F3097" s="155"/>
      <c r="G3097" s="155"/>
      <c r="H3097" s="155"/>
      <c r="I3097" s="155"/>
      <c r="J3097" s="155"/>
      <c r="K3097" s="155"/>
      <c r="L3097" s="155"/>
      <c r="M3097" s="155"/>
      <c r="N3097" s="155"/>
      <c r="O3097" s="155"/>
      <c r="P3097" s="155"/>
      <c r="Q3097" s="155"/>
      <c r="R3097" s="155"/>
      <c r="S3097" s="155"/>
      <c r="T3097" s="155"/>
      <c r="U3097" s="155"/>
      <c r="V3097" s="155"/>
      <c r="W3097" s="155"/>
      <c r="GL3097" s="155"/>
      <c r="GM3097" s="155"/>
      <c r="GN3097" s="155"/>
      <c r="GO3097" s="155"/>
      <c r="GP3097" s="155"/>
      <c r="GQ3097" s="155"/>
      <c r="GR3097" s="155"/>
      <c r="GS3097" s="155"/>
      <c r="GT3097" s="155"/>
      <c r="GU3097" s="155"/>
      <c r="GV3097" s="155"/>
      <c r="GW3097" s="155"/>
      <c r="GX3097" s="155"/>
      <c r="GY3097" s="155"/>
      <c r="GZ3097" s="155"/>
      <c r="HA3097" s="155"/>
      <c r="HB3097" s="155"/>
      <c r="HC3097" s="155"/>
      <c r="HD3097" s="155"/>
      <c r="HE3097" s="155"/>
    </row>
    <row r="3098" spans="2:213" s="156" customFormat="1" hidden="1">
      <c r="B3098" s="155"/>
      <c r="C3098" s="155"/>
      <c r="D3098" s="155"/>
      <c r="E3098" s="155"/>
      <c r="F3098" s="155"/>
      <c r="G3098" s="155"/>
      <c r="H3098" s="155"/>
      <c r="I3098" s="155"/>
      <c r="J3098" s="155"/>
      <c r="K3098" s="155"/>
      <c r="L3098" s="155"/>
      <c r="M3098" s="155"/>
      <c r="N3098" s="155"/>
      <c r="O3098" s="155"/>
      <c r="P3098" s="155"/>
      <c r="Q3098" s="155"/>
      <c r="R3098" s="155"/>
      <c r="S3098" s="155"/>
      <c r="T3098" s="155"/>
      <c r="U3098" s="155"/>
      <c r="V3098" s="155"/>
      <c r="W3098" s="155"/>
      <c r="GL3098" s="155"/>
      <c r="GM3098" s="155"/>
      <c r="GN3098" s="155"/>
      <c r="GO3098" s="155"/>
      <c r="GP3098" s="155"/>
      <c r="GQ3098" s="155"/>
      <c r="GR3098" s="155"/>
      <c r="GS3098" s="155"/>
      <c r="GT3098" s="155"/>
      <c r="GU3098" s="155"/>
      <c r="GV3098" s="155"/>
      <c r="GW3098" s="155"/>
      <c r="GX3098" s="155"/>
      <c r="GY3098" s="155"/>
      <c r="GZ3098" s="155"/>
      <c r="HA3098" s="155"/>
      <c r="HB3098" s="155"/>
      <c r="HC3098" s="155"/>
      <c r="HD3098" s="155"/>
      <c r="HE3098" s="155"/>
    </row>
    <row r="3099" spans="2:213" s="156" customFormat="1" hidden="1">
      <c r="B3099" s="155"/>
      <c r="C3099" s="155"/>
      <c r="D3099" s="155"/>
      <c r="E3099" s="155"/>
      <c r="F3099" s="155"/>
      <c r="G3099" s="155"/>
      <c r="H3099" s="155"/>
      <c r="I3099" s="155"/>
      <c r="J3099" s="155"/>
      <c r="K3099" s="155"/>
      <c r="L3099" s="155"/>
      <c r="M3099" s="155"/>
      <c r="N3099" s="155"/>
      <c r="O3099" s="155"/>
      <c r="P3099" s="155"/>
      <c r="Q3099" s="155"/>
      <c r="R3099" s="155"/>
      <c r="S3099" s="155"/>
      <c r="T3099" s="155"/>
      <c r="U3099" s="155"/>
      <c r="V3099" s="155"/>
      <c r="W3099" s="155"/>
      <c r="GL3099" s="155"/>
      <c r="GM3099" s="155"/>
      <c r="GN3099" s="155"/>
      <c r="GO3099" s="155"/>
      <c r="GP3099" s="155"/>
      <c r="GQ3099" s="155"/>
      <c r="GR3099" s="155"/>
      <c r="GS3099" s="155"/>
      <c r="GT3099" s="155"/>
      <c r="GU3099" s="155"/>
      <c r="GV3099" s="155"/>
      <c r="GW3099" s="155"/>
      <c r="GX3099" s="155"/>
      <c r="GY3099" s="155"/>
      <c r="GZ3099" s="155"/>
      <c r="HA3099" s="155"/>
      <c r="HB3099" s="155"/>
      <c r="HC3099" s="155"/>
      <c r="HD3099" s="155"/>
      <c r="HE3099" s="155"/>
    </row>
    <row r="3100" spans="2:213" s="156" customFormat="1" hidden="1">
      <c r="B3100" s="155"/>
      <c r="C3100" s="155"/>
      <c r="D3100" s="155"/>
      <c r="E3100" s="155"/>
      <c r="F3100" s="155"/>
      <c r="G3100" s="155"/>
      <c r="H3100" s="155"/>
      <c r="I3100" s="155"/>
      <c r="J3100" s="155"/>
      <c r="K3100" s="155"/>
      <c r="L3100" s="155"/>
      <c r="M3100" s="155"/>
      <c r="N3100" s="155"/>
      <c r="O3100" s="155"/>
      <c r="P3100" s="155"/>
      <c r="Q3100" s="155"/>
      <c r="R3100" s="155"/>
      <c r="S3100" s="155"/>
      <c r="T3100" s="155"/>
      <c r="U3100" s="155"/>
      <c r="V3100" s="155"/>
      <c r="W3100" s="155"/>
      <c r="GL3100" s="155"/>
      <c r="GM3100" s="155"/>
      <c r="GN3100" s="155"/>
      <c r="GO3100" s="155"/>
      <c r="GP3100" s="155"/>
      <c r="GQ3100" s="155"/>
      <c r="GR3100" s="155"/>
      <c r="GS3100" s="155"/>
      <c r="GT3100" s="155"/>
      <c r="GU3100" s="155"/>
      <c r="GV3100" s="155"/>
      <c r="GW3100" s="155"/>
      <c r="GX3100" s="155"/>
      <c r="GY3100" s="155"/>
      <c r="GZ3100" s="155"/>
      <c r="HA3100" s="155"/>
      <c r="HB3100" s="155"/>
      <c r="HC3100" s="155"/>
      <c r="HD3100" s="155"/>
      <c r="HE3100" s="155"/>
    </row>
    <row r="3101" spans="2:213" s="156" customFormat="1" hidden="1">
      <c r="B3101" s="155"/>
      <c r="C3101" s="155"/>
      <c r="D3101" s="155"/>
      <c r="E3101" s="155"/>
      <c r="F3101" s="155"/>
      <c r="G3101" s="155"/>
      <c r="H3101" s="155"/>
      <c r="I3101" s="155"/>
      <c r="J3101" s="155"/>
      <c r="K3101" s="155"/>
      <c r="L3101" s="155"/>
      <c r="M3101" s="155"/>
      <c r="N3101" s="155"/>
      <c r="O3101" s="155"/>
      <c r="P3101" s="155"/>
      <c r="Q3101" s="155"/>
      <c r="R3101" s="155"/>
      <c r="S3101" s="155"/>
      <c r="T3101" s="155"/>
      <c r="U3101" s="155"/>
      <c r="V3101" s="155"/>
      <c r="W3101" s="155"/>
      <c r="GL3101" s="155"/>
      <c r="GM3101" s="155"/>
      <c r="GN3101" s="155"/>
      <c r="GO3101" s="155"/>
      <c r="GP3101" s="155"/>
      <c r="GQ3101" s="155"/>
      <c r="GR3101" s="155"/>
      <c r="GS3101" s="155"/>
      <c r="GT3101" s="155"/>
      <c r="GU3101" s="155"/>
      <c r="GV3101" s="155"/>
      <c r="GW3101" s="155"/>
      <c r="GX3101" s="155"/>
      <c r="GY3101" s="155"/>
      <c r="GZ3101" s="155"/>
      <c r="HA3101" s="155"/>
      <c r="HB3101" s="155"/>
      <c r="HC3101" s="155"/>
      <c r="HD3101" s="155"/>
      <c r="HE3101" s="155"/>
    </row>
    <row r="3102" spans="2:213" s="156" customFormat="1" hidden="1">
      <c r="B3102" s="155"/>
      <c r="C3102" s="155"/>
      <c r="D3102" s="155"/>
      <c r="E3102" s="155"/>
      <c r="F3102" s="155"/>
      <c r="G3102" s="155"/>
      <c r="H3102" s="155"/>
      <c r="I3102" s="155"/>
      <c r="J3102" s="155"/>
      <c r="K3102" s="155"/>
      <c r="L3102" s="155"/>
      <c r="M3102" s="155"/>
      <c r="N3102" s="155"/>
      <c r="O3102" s="155"/>
      <c r="P3102" s="155"/>
      <c r="Q3102" s="155"/>
      <c r="R3102" s="155"/>
      <c r="S3102" s="155"/>
      <c r="T3102" s="155"/>
      <c r="U3102" s="155"/>
      <c r="V3102" s="155"/>
      <c r="W3102" s="155"/>
      <c r="GL3102" s="155"/>
      <c r="GM3102" s="155"/>
      <c r="GN3102" s="155"/>
      <c r="GO3102" s="155"/>
      <c r="GP3102" s="155"/>
      <c r="GQ3102" s="155"/>
      <c r="GR3102" s="155"/>
      <c r="GS3102" s="155"/>
      <c r="GT3102" s="155"/>
      <c r="GU3102" s="155"/>
      <c r="GV3102" s="155"/>
      <c r="GW3102" s="155"/>
      <c r="GX3102" s="155"/>
      <c r="GY3102" s="155"/>
      <c r="GZ3102" s="155"/>
      <c r="HA3102" s="155"/>
      <c r="HB3102" s="155"/>
      <c r="HC3102" s="155"/>
      <c r="HD3102" s="155"/>
      <c r="HE3102" s="155"/>
    </row>
    <row r="3103" spans="2:213" s="156" customFormat="1" hidden="1">
      <c r="B3103" s="155"/>
      <c r="C3103" s="155"/>
      <c r="D3103" s="155"/>
      <c r="E3103" s="155"/>
      <c r="F3103" s="155"/>
      <c r="G3103" s="155"/>
      <c r="H3103" s="155"/>
      <c r="I3103" s="155"/>
      <c r="J3103" s="155"/>
      <c r="K3103" s="155"/>
      <c r="L3103" s="155"/>
      <c r="M3103" s="155"/>
      <c r="N3103" s="155"/>
      <c r="O3103" s="155"/>
      <c r="P3103" s="155"/>
      <c r="Q3103" s="155"/>
      <c r="R3103" s="155"/>
      <c r="S3103" s="155"/>
      <c r="T3103" s="155"/>
      <c r="U3103" s="155"/>
      <c r="V3103" s="155"/>
      <c r="W3103" s="155"/>
      <c r="GL3103" s="155"/>
      <c r="GM3103" s="155"/>
      <c r="GN3103" s="155"/>
      <c r="GO3103" s="155"/>
      <c r="GP3103" s="155"/>
      <c r="GQ3103" s="155"/>
      <c r="GR3103" s="155"/>
      <c r="GS3103" s="155"/>
      <c r="GT3103" s="155"/>
      <c r="GU3103" s="155"/>
      <c r="GV3103" s="155"/>
      <c r="GW3103" s="155"/>
      <c r="GX3103" s="155"/>
      <c r="GY3103" s="155"/>
      <c r="GZ3103" s="155"/>
      <c r="HA3103" s="155"/>
      <c r="HB3103" s="155"/>
      <c r="HC3103" s="155"/>
      <c r="HD3103" s="155"/>
      <c r="HE3103" s="155"/>
    </row>
    <row r="3104" spans="2:213" s="156" customFormat="1" hidden="1">
      <c r="B3104" s="155"/>
      <c r="C3104" s="155"/>
      <c r="D3104" s="155"/>
      <c r="E3104" s="155"/>
      <c r="F3104" s="155"/>
      <c r="G3104" s="155"/>
      <c r="H3104" s="155"/>
      <c r="I3104" s="155"/>
      <c r="J3104" s="155"/>
      <c r="K3104" s="155"/>
      <c r="L3104" s="155"/>
      <c r="M3104" s="155"/>
      <c r="N3104" s="155"/>
      <c r="O3104" s="155"/>
      <c r="P3104" s="155"/>
      <c r="Q3104" s="155"/>
      <c r="R3104" s="155"/>
      <c r="S3104" s="155"/>
      <c r="T3104" s="155"/>
      <c r="U3104" s="155"/>
      <c r="V3104" s="155"/>
      <c r="W3104" s="155"/>
      <c r="GL3104" s="155"/>
      <c r="GM3104" s="155"/>
      <c r="GN3104" s="155"/>
      <c r="GO3104" s="155"/>
      <c r="GP3104" s="155"/>
      <c r="GQ3104" s="155"/>
      <c r="GR3104" s="155"/>
      <c r="GS3104" s="155"/>
      <c r="GT3104" s="155"/>
      <c r="GU3104" s="155"/>
      <c r="GV3104" s="155"/>
      <c r="GW3104" s="155"/>
      <c r="GX3104" s="155"/>
      <c r="GY3104" s="155"/>
      <c r="GZ3104" s="155"/>
      <c r="HA3104" s="155"/>
      <c r="HB3104" s="155"/>
      <c r="HC3104" s="155"/>
      <c r="HD3104" s="155"/>
      <c r="HE3104" s="155"/>
    </row>
    <row r="3105" spans="2:213" s="156" customFormat="1" hidden="1">
      <c r="B3105" s="155"/>
      <c r="C3105" s="155"/>
      <c r="D3105" s="155"/>
      <c r="E3105" s="155"/>
      <c r="F3105" s="155"/>
      <c r="G3105" s="155"/>
      <c r="H3105" s="155"/>
      <c r="I3105" s="155"/>
      <c r="J3105" s="155"/>
      <c r="K3105" s="155"/>
      <c r="L3105" s="155"/>
      <c r="M3105" s="155"/>
      <c r="N3105" s="155"/>
      <c r="O3105" s="155"/>
      <c r="P3105" s="155"/>
      <c r="Q3105" s="155"/>
      <c r="R3105" s="155"/>
      <c r="S3105" s="155"/>
      <c r="T3105" s="155"/>
      <c r="U3105" s="155"/>
      <c r="V3105" s="155"/>
      <c r="W3105" s="155"/>
      <c r="GL3105" s="155"/>
      <c r="GM3105" s="155"/>
      <c r="GN3105" s="155"/>
      <c r="GO3105" s="155"/>
      <c r="GP3105" s="155"/>
      <c r="GQ3105" s="155"/>
      <c r="GR3105" s="155"/>
      <c r="GS3105" s="155"/>
      <c r="GT3105" s="155"/>
      <c r="GU3105" s="155"/>
      <c r="GV3105" s="155"/>
      <c r="GW3105" s="155"/>
      <c r="GX3105" s="155"/>
      <c r="GY3105" s="155"/>
      <c r="GZ3105" s="155"/>
      <c r="HA3105" s="155"/>
      <c r="HB3105" s="155"/>
      <c r="HC3105" s="155"/>
      <c r="HD3105" s="155"/>
      <c r="HE3105" s="155"/>
    </row>
    <row r="3106" spans="2:213" s="156" customFormat="1" hidden="1">
      <c r="B3106" s="155"/>
      <c r="C3106" s="155"/>
      <c r="D3106" s="155"/>
      <c r="E3106" s="155"/>
      <c r="F3106" s="155"/>
      <c r="G3106" s="155"/>
      <c r="H3106" s="155"/>
      <c r="I3106" s="155"/>
      <c r="J3106" s="155"/>
      <c r="K3106" s="155"/>
      <c r="L3106" s="155"/>
      <c r="M3106" s="155"/>
      <c r="N3106" s="155"/>
      <c r="O3106" s="155"/>
      <c r="P3106" s="155"/>
      <c r="Q3106" s="155"/>
      <c r="R3106" s="155"/>
      <c r="S3106" s="155"/>
      <c r="T3106" s="155"/>
      <c r="U3106" s="155"/>
      <c r="V3106" s="155"/>
      <c r="W3106" s="155"/>
      <c r="GL3106" s="155"/>
      <c r="GM3106" s="155"/>
      <c r="GN3106" s="155"/>
      <c r="GO3106" s="155"/>
      <c r="GP3106" s="155"/>
      <c r="GQ3106" s="155"/>
      <c r="GR3106" s="155"/>
      <c r="GS3106" s="155"/>
      <c r="GT3106" s="155"/>
      <c r="GU3106" s="155"/>
      <c r="GV3106" s="155"/>
      <c r="GW3106" s="155"/>
      <c r="GX3106" s="155"/>
      <c r="GY3106" s="155"/>
      <c r="GZ3106" s="155"/>
      <c r="HA3106" s="155"/>
      <c r="HB3106" s="155"/>
      <c r="HC3106" s="155"/>
      <c r="HD3106" s="155"/>
      <c r="HE3106" s="155"/>
    </row>
    <row r="3107" spans="2:213" s="156" customFormat="1" hidden="1">
      <c r="B3107" s="155"/>
      <c r="C3107" s="155"/>
      <c r="D3107" s="155"/>
      <c r="E3107" s="155"/>
      <c r="F3107" s="155"/>
      <c r="G3107" s="155"/>
      <c r="H3107" s="155"/>
      <c r="I3107" s="155"/>
      <c r="J3107" s="155"/>
      <c r="K3107" s="155"/>
      <c r="L3107" s="155"/>
      <c r="M3107" s="155"/>
      <c r="N3107" s="155"/>
      <c r="O3107" s="155"/>
      <c r="P3107" s="155"/>
      <c r="Q3107" s="155"/>
      <c r="R3107" s="155"/>
      <c r="S3107" s="155"/>
      <c r="T3107" s="155"/>
      <c r="U3107" s="155"/>
      <c r="V3107" s="155"/>
      <c r="W3107" s="155"/>
      <c r="GL3107" s="155"/>
      <c r="GM3107" s="155"/>
      <c r="GN3107" s="155"/>
      <c r="GO3107" s="155"/>
      <c r="GP3107" s="155"/>
      <c r="GQ3107" s="155"/>
      <c r="GR3107" s="155"/>
      <c r="GS3107" s="155"/>
      <c r="GT3107" s="155"/>
      <c r="GU3107" s="155"/>
      <c r="GV3107" s="155"/>
      <c r="GW3107" s="155"/>
      <c r="GX3107" s="155"/>
      <c r="GY3107" s="155"/>
      <c r="GZ3107" s="155"/>
      <c r="HA3107" s="155"/>
      <c r="HB3107" s="155"/>
      <c r="HC3107" s="155"/>
      <c r="HD3107" s="155"/>
      <c r="HE3107" s="155"/>
    </row>
    <row r="3108" spans="2:213" s="156" customFormat="1" hidden="1">
      <c r="B3108" s="155"/>
      <c r="C3108" s="155"/>
      <c r="D3108" s="155"/>
      <c r="E3108" s="155"/>
      <c r="F3108" s="155"/>
      <c r="G3108" s="155"/>
      <c r="H3108" s="155"/>
      <c r="I3108" s="155"/>
      <c r="J3108" s="155"/>
      <c r="K3108" s="155"/>
      <c r="L3108" s="155"/>
      <c r="M3108" s="155"/>
      <c r="N3108" s="155"/>
      <c r="O3108" s="155"/>
      <c r="P3108" s="155"/>
      <c r="Q3108" s="155"/>
      <c r="R3108" s="155"/>
      <c r="S3108" s="155"/>
      <c r="T3108" s="155"/>
      <c r="U3108" s="155"/>
      <c r="V3108" s="155"/>
      <c r="W3108" s="155"/>
      <c r="GL3108" s="155"/>
      <c r="GM3108" s="155"/>
      <c r="GN3108" s="155"/>
      <c r="GO3108" s="155"/>
      <c r="GP3108" s="155"/>
      <c r="GQ3108" s="155"/>
      <c r="GR3108" s="155"/>
      <c r="GS3108" s="155"/>
      <c r="GT3108" s="155"/>
      <c r="GU3108" s="155"/>
      <c r="GV3108" s="155"/>
      <c r="GW3108" s="155"/>
      <c r="GX3108" s="155"/>
      <c r="GY3108" s="155"/>
      <c r="GZ3108" s="155"/>
      <c r="HA3108" s="155"/>
      <c r="HB3108" s="155"/>
      <c r="HC3108" s="155"/>
      <c r="HD3108" s="155"/>
      <c r="HE3108" s="155"/>
    </row>
    <row r="3109" spans="2:213" s="156" customFormat="1" hidden="1">
      <c r="B3109" s="155"/>
      <c r="C3109" s="155"/>
      <c r="D3109" s="155"/>
      <c r="E3109" s="155"/>
      <c r="F3109" s="155"/>
      <c r="G3109" s="155"/>
      <c r="H3109" s="155"/>
      <c r="I3109" s="155"/>
      <c r="J3109" s="155"/>
      <c r="K3109" s="155"/>
      <c r="L3109" s="155"/>
      <c r="M3109" s="155"/>
      <c r="N3109" s="155"/>
      <c r="O3109" s="155"/>
      <c r="P3109" s="155"/>
      <c r="Q3109" s="155"/>
      <c r="R3109" s="155"/>
      <c r="S3109" s="155"/>
      <c r="T3109" s="155"/>
      <c r="U3109" s="155"/>
      <c r="V3109" s="155"/>
      <c r="W3109" s="155"/>
      <c r="GL3109" s="155"/>
      <c r="GM3109" s="155"/>
      <c r="GN3109" s="155"/>
      <c r="GO3109" s="155"/>
      <c r="GP3109" s="155"/>
      <c r="GQ3109" s="155"/>
      <c r="GR3109" s="155"/>
      <c r="GS3109" s="155"/>
      <c r="GT3109" s="155"/>
      <c r="GU3109" s="155"/>
      <c r="GV3109" s="155"/>
      <c r="GW3109" s="155"/>
      <c r="GX3109" s="155"/>
      <c r="GY3109" s="155"/>
      <c r="GZ3109" s="155"/>
      <c r="HA3109" s="155"/>
      <c r="HB3109" s="155"/>
      <c r="HC3109" s="155"/>
      <c r="HD3109" s="155"/>
      <c r="HE3109" s="155"/>
    </row>
    <row r="3110" spans="2:213" s="156" customFormat="1" hidden="1">
      <c r="B3110" s="155"/>
      <c r="C3110" s="155"/>
      <c r="D3110" s="155"/>
      <c r="E3110" s="155"/>
      <c r="F3110" s="155"/>
      <c r="G3110" s="155"/>
      <c r="H3110" s="155"/>
      <c r="I3110" s="155"/>
      <c r="J3110" s="155"/>
      <c r="K3110" s="155"/>
      <c r="L3110" s="155"/>
      <c r="M3110" s="155"/>
      <c r="N3110" s="155"/>
      <c r="O3110" s="155"/>
      <c r="P3110" s="155"/>
      <c r="Q3110" s="155"/>
      <c r="R3110" s="155"/>
      <c r="S3110" s="155"/>
      <c r="T3110" s="155"/>
      <c r="U3110" s="155"/>
      <c r="V3110" s="155"/>
      <c r="W3110" s="155"/>
      <c r="GL3110" s="155"/>
      <c r="GM3110" s="155"/>
      <c r="GN3110" s="155"/>
      <c r="GO3110" s="155"/>
      <c r="GP3110" s="155"/>
      <c r="GQ3110" s="155"/>
      <c r="GR3110" s="155"/>
      <c r="GS3110" s="155"/>
      <c r="GT3110" s="155"/>
      <c r="GU3110" s="155"/>
      <c r="GV3110" s="155"/>
      <c r="GW3110" s="155"/>
      <c r="GX3110" s="155"/>
      <c r="GY3110" s="155"/>
      <c r="GZ3110" s="155"/>
      <c r="HA3110" s="155"/>
      <c r="HB3110" s="155"/>
      <c r="HC3110" s="155"/>
      <c r="HD3110" s="155"/>
      <c r="HE3110" s="155"/>
    </row>
    <row r="3111" spans="2:213" s="156" customFormat="1" hidden="1">
      <c r="B3111" s="155"/>
      <c r="C3111" s="155"/>
      <c r="D3111" s="155"/>
      <c r="E3111" s="155"/>
      <c r="F3111" s="155"/>
      <c r="G3111" s="155"/>
      <c r="H3111" s="155"/>
      <c r="I3111" s="155"/>
      <c r="J3111" s="155"/>
      <c r="K3111" s="155"/>
      <c r="L3111" s="155"/>
      <c r="M3111" s="155"/>
      <c r="N3111" s="155"/>
      <c r="O3111" s="155"/>
      <c r="P3111" s="155"/>
      <c r="Q3111" s="155"/>
      <c r="R3111" s="155"/>
      <c r="S3111" s="155"/>
      <c r="T3111" s="155"/>
      <c r="U3111" s="155"/>
      <c r="V3111" s="155"/>
      <c r="W3111" s="155"/>
      <c r="GL3111" s="155"/>
      <c r="GM3111" s="155"/>
      <c r="GN3111" s="155"/>
      <c r="GO3111" s="155"/>
      <c r="GP3111" s="155"/>
      <c r="GQ3111" s="155"/>
      <c r="GR3111" s="155"/>
      <c r="GS3111" s="155"/>
      <c r="GT3111" s="155"/>
      <c r="GU3111" s="155"/>
      <c r="GV3111" s="155"/>
      <c r="GW3111" s="155"/>
      <c r="GX3111" s="155"/>
      <c r="GY3111" s="155"/>
      <c r="GZ3111" s="155"/>
      <c r="HA3111" s="155"/>
      <c r="HB3111" s="155"/>
      <c r="HC3111" s="155"/>
      <c r="HD3111" s="155"/>
      <c r="HE3111" s="155"/>
    </row>
    <row r="3112" spans="2:213" s="156" customFormat="1" hidden="1">
      <c r="B3112" s="155"/>
      <c r="C3112" s="155"/>
      <c r="D3112" s="155"/>
      <c r="E3112" s="155"/>
      <c r="F3112" s="155"/>
      <c r="G3112" s="155"/>
      <c r="H3112" s="155"/>
      <c r="I3112" s="155"/>
      <c r="J3112" s="155"/>
      <c r="K3112" s="155"/>
      <c r="L3112" s="155"/>
      <c r="M3112" s="155"/>
      <c r="N3112" s="155"/>
      <c r="O3112" s="155"/>
      <c r="P3112" s="155"/>
      <c r="Q3112" s="155"/>
      <c r="R3112" s="155"/>
      <c r="S3112" s="155"/>
      <c r="T3112" s="155"/>
      <c r="U3112" s="155"/>
      <c r="V3112" s="155"/>
      <c r="W3112" s="155"/>
      <c r="GL3112" s="155"/>
      <c r="GM3112" s="155"/>
      <c r="GN3112" s="155"/>
      <c r="GO3112" s="155"/>
      <c r="GP3112" s="155"/>
      <c r="GQ3112" s="155"/>
      <c r="GR3112" s="155"/>
      <c r="GS3112" s="155"/>
      <c r="GT3112" s="155"/>
      <c r="GU3112" s="155"/>
      <c r="GV3112" s="155"/>
      <c r="GW3112" s="155"/>
      <c r="GX3112" s="155"/>
      <c r="GY3112" s="155"/>
      <c r="GZ3112" s="155"/>
      <c r="HA3112" s="155"/>
      <c r="HB3112" s="155"/>
      <c r="HC3112" s="155"/>
      <c r="HD3112" s="155"/>
      <c r="HE3112" s="155"/>
    </row>
    <row r="3113" spans="2:213" s="156" customFormat="1" hidden="1">
      <c r="B3113" s="155"/>
      <c r="C3113" s="155"/>
      <c r="D3113" s="155"/>
      <c r="E3113" s="155"/>
      <c r="F3113" s="155"/>
      <c r="G3113" s="155"/>
      <c r="H3113" s="155"/>
      <c r="I3113" s="155"/>
      <c r="J3113" s="155"/>
      <c r="K3113" s="155"/>
      <c r="L3113" s="155"/>
      <c r="M3113" s="155"/>
      <c r="N3113" s="155"/>
      <c r="O3113" s="155"/>
      <c r="P3113" s="155"/>
      <c r="Q3113" s="155"/>
      <c r="R3113" s="155"/>
      <c r="S3113" s="155"/>
      <c r="T3113" s="155"/>
      <c r="U3113" s="155"/>
      <c r="V3113" s="155"/>
      <c r="W3113" s="155"/>
      <c r="GL3113" s="155"/>
      <c r="GM3113" s="155"/>
      <c r="GN3113" s="155"/>
      <c r="GO3113" s="155"/>
      <c r="GP3113" s="155"/>
      <c r="GQ3113" s="155"/>
      <c r="GR3113" s="155"/>
      <c r="GS3113" s="155"/>
      <c r="GT3113" s="155"/>
      <c r="GU3113" s="155"/>
      <c r="GV3113" s="155"/>
      <c r="GW3113" s="155"/>
      <c r="GX3113" s="155"/>
      <c r="GY3113" s="155"/>
      <c r="GZ3113" s="155"/>
      <c r="HA3113" s="155"/>
      <c r="HB3113" s="155"/>
      <c r="HC3113" s="155"/>
      <c r="HD3113" s="155"/>
      <c r="HE3113" s="155"/>
    </row>
    <row r="3114" spans="2:213" s="156" customFormat="1" hidden="1">
      <c r="B3114" s="155"/>
      <c r="C3114" s="155"/>
      <c r="D3114" s="155"/>
      <c r="E3114" s="155"/>
      <c r="F3114" s="155"/>
      <c r="G3114" s="155"/>
      <c r="H3114" s="155"/>
      <c r="I3114" s="155"/>
      <c r="J3114" s="155"/>
      <c r="K3114" s="155"/>
      <c r="L3114" s="155"/>
      <c r="M3114" s="155"/>
      <c r="N3114" s="155"/>
      <c r="O3114" s="155"/>
      <c r="P3114" s="155"/>
      <c r="Q3114" s="155"/>
      <c r="R3114" s="155"/>
      <c r="S3114" s="155"/>
      <c r="T3114" s="155"/>
      <c r="U3114" s="155"/>
      <c r="V3114" s="155"/>
      <c r="W3114" s="155"/>
      <c r="GL3114" s="155"/>
      <c r="GM3114" s="155"/>
      <c r="GN3114" s="155"/>
      <c r="GO3114" s="155"/>
      <c r="GP3114" s="155"/>
      <c r="GQ3114" s="155"/>
      <c r="GR3114" s="155"/>
      <c r="GS3114" s="155"/>
      <c r="GT3114" s="155"/>
      <c r="GU3114" s="155"/>
      <c r="GV3114" s="155"/>
      <c r="GW3114" s="155"/>
      <c r="GX3114" s="155"/>
      <c r="GY3114" s="155"/>
      <c r="GZ3114" s="155"/>
      <c r="HA3114" s="155"/>
      <c r="HB3114" s="155"/>
      <c r="HC3114" s="155"/>
      <c r="HD3114" s="155"/>
      <c r="HE3114" s="155"/>
    </row>
    <row r="3115" spans="2:213" s="156" customFormat="1" hidden="1">
      <c r="B3115" s="155"/>
      <c r="C3115" s="155"/>
      <c r="D3115" s="155"/>
      <c r="E3115" s="155"/>
      <c r="F3115" s="155"/>
      <c r="G3115" s="155"/>
      <c r="H3115" s="155"/>
      <c r="I3115" s="155"/>
      <c r="J3115" s="155"/>
      <c r="K3115" s="155"/>
      <c r="L3115" s="155"/>
      <c r="M3115" s="155"/>
      <c r="N3115" s="155"/>
      <c r="O3115" s="155"/>
      <c r="P3115" s="155"/>
      <c r="Q3115" s="155"/>
      <c r="R3115" s="155"/>
      <c r="S3115" s="155"/>
      <c r="T3115" s="155"/>
      <c r="U3115" s="155"/>
      <c r="V3115" s="155"/>
      <c r="W3115" s="155"/>
      <c r="GL3115" s="155"/>
      <c r="GM3115" s="155"/>
      <c r="GN3115" s="155"/>
      <c r="GO3115" s="155"/>
      <c r="GP3115" s="155"/>
      <c r="GQ3115" s="155"/>
      <c r="GR3115" s="155"/>
      <c r="GS3115" s="155"/>
      <c r="GT3115" s="155"/>
      <c r="GU3115" s="155"/>
      <c r="GV3115" s="155"/>
      <c r="GW3115" s="155"/>
      <c r="GX3115" s="155"/>
      <c r="GY3115" s="155"/>
      <c r="GZ3115" s="155"/>
      <c r="HA3115" s="155"/>
      <c r="HB3115" s="155"/>
      <c r="HC3115" s="155"/>
      <c r="HD3115" s="155"/>
      <c r="HE3115" s="155"/>
    </row>
    <row r="3116" spans="2:213" s="156" customFormat="1" hidden="1">
      <c r="B3116" s="155"/>
      <c r="C3116" s="155"/>
      <c r="D3116" s="155"/>
      <c r="E3116" s="155"/>
      <c r="F3116" s="155"/>
      <c r="G3116" s="155"/>
      <c r="H3116" s="155"/>
      <c r="I3116" s="155"/>
      <c r="J3116" s="155"/>
      <c r="K3116" s="155"/>
      <c r="L3116" s="155"/>
      <c r="M3116" s="155"/>
      <c r="N3116" s="155"/>
      <c r="O3116" s="155"/>
      <c r="P3116" s="155"/>
      <c r="Q3116" s="155"/>
      <c r="R3116" s="155"/>
      <c r="S3116" s="155"/>
      <c r="T3116" s="155"/>
      <c r="U3116" s="155"/>
      <c r="V3116" s="155"/>
      <c r="W3116" s="155"/>
      <c r="GL3116" s="155"/>
      <c r="GM3116" s="155"/>
      <c r="GN3116" s="155"/>
      <c r="GO3116" s="155"/>
      <c r="GP3116" s="155"/>
      <c r="GQ3116" s="155"/>
      <c r="GR3116" s="155"/>
      <c r="GS3116" s="155"/>
      <c r="GT3116" s="155"/>
      <c r="GU3116" s="155"/>
      <c r="GV3116" s="155"/>
      <c r="GW3116" s="155"/>
      <c r="GX3116" s="155"/>
      <c r="GY3116" s="155"/>
      <c r="GZ3116" s="155"/>
      <c r="HA3116" s="155"/>
      <c r="HB3116" s="155"/>
      <c r="HC3116" s="155"/>
      <c r="HD3116" s="155"/>
      <c r="HE3116" s="155"/>
    </row>
    <row r="3117" spans="2:213" s="156" customFormat="1" hidden="1">
      <c r="B3117" s="155"/>
      <c r="C3117" s="155"/>
      <c r="D3117" s="155"/>
      <c r="E3117" s="155"/>
      <c r="F3117" s="155"/>
      <c r="G3117" s="155"/>
      <c r="H3117" s="155"/>
      <c r="I3117" s="155"/>
      <c r="J3117" s="155"/>
      <c r="K3117" s="155"/>
      <c r="L3117" s="155"/>
      <c r="M3117" s="155"/>
      <c r="N3117" s="155"/>
      <c r="O3117" s="155"/>
      <c r="P3117" s="155"/>
      <c r="Q3117" s="155"/>
      <c r="R3117" s="155"/>
      <c r="S3117" s="155"/>
      <c r="T3117" s="155"/>
      <c r="U3117" s="155"/>
      <c r="V3117" s="155"/>
      <c r="W3117" s="155"/>
      <c r="GL3117" s="155"/>
      <c r="GM3117" s="155"/>
      <c r="GN3117" s="155"/>
      <c r="GO3117" s="155"/>
      <c r="GP3117" s="155"/>
      <c r="GQ3117" s="155"/>
      <c r="GR3117" s="155"/>
      <c r="GS3117" s="155"/>
      <c r="GT3117" s="155"/>
      <c r="GU3117" s="155"/>
      <c r="GV3117" s="155"/>
      <c r="GW3117" s="155"/>
      <c r="GX3117" s="155"/>
      <c r="GY3117" s="155"/>
      <c r="GZ3117" s="155"/>
      <c r="HA3117" s="155"/>
      <c r="HB3117" s="155"/>
      <c r="HC3117" s="155"/>
      <c r="HD3117" s="155"/>
      <c r="HE3117" s="155"/>
    </row>
    <row r="3118" spans="2:213" s="156" customFormat="1" hidden="1">
      <c r="B3118" s="155"/>
      <c r="C3118" s="155"/>
      <c r="D3118" s="155"/>
      <c r="E3118" s="155"/>
      <c r="F3118" s="155"/>
      <c r="G3118" s="155"/>
      <c r="H3118" s="155"/>
      <c r="I3118" s="155"/>
      <c r="J3118" s="155"/>
      <c r="K3118" s="155"/>
      <c r="L3118" s="155"/>
      <c r="M3118" s="155"/>
      <c r="N3118" s="155"/>
      <c r="O3118" s="155"/>
      <c r="P3118" s="155"/>
      <c r="Q3118" s="155"/>
      <c r="R3118" s="155"/>
      <c r="S3118" s="155"/>
      <c r="T3118" s="155"/>
      <c r="U3118" s="155"/>
      <c r="V3118" s="155"/>
      <c r="W3118" s="155"/>
      <c r="GL3118" s="155"/>
      <c r="GM3118" s="155"/>
      <c r="GN3118" s="155"/>
      <c r="GO3118" s="155"/>
      <c r="GP3118" s="155"/>
      <c r="GQ3118" s="155"/>
      <c r="GR3118" s="155"/>
      <c r="GS3118" s="155"/>
      <c r="GT3118" s="155"/>
      <c r="GU3118" s="155"/>
      <c r="GV3118" s="155"/>
      <c r="GW3118" s="155"/>
      <c r="GX3118" s="155"/>
      <c r="GY3118" s="155"/>
      <c r="GZ3118" s="155"/>
      <c r="HA3118" s="155"/>
      <c r="HB3118" s="155"/>
      <c r="HC3118" s="155"/>
      <c r="HD3118" s="155"/>
      <c r="HE3118" s="155"/>
    </row>
    <row r="3119" spans="2:213" s="156" customFormat="1" hidden="1">
      <c r="B3119" s="155"/>
      <c r="C3119" s="155"/>
      <c r="D3119" s="155"/>
      <c r="E3119" s="155"/>
      <c r="F3119" s="155"/>
      <c r="G3119" s="155"/>
      <c r="H3119" s="155"/>
      <c r="I3119" s="155"/>
      <c r="J3119" s="155"/>
      <c r="K3119" s="155"/>
      <c r="L3119" s="155"/>
      <c r="M3119" s="155"/>
      <c r="N3119" s="155"/>
      <c r="O3119" s="155"/>
      <c r="P3119" s="155"/>
      <c r="Q3119" s="155"/>
      <c r="R3119" s="155"/>
      <c r="S3119" s="155"/>
      <c r="T3119" s="155"/>
      <c r="U3119" s="155"/>
      <c r="V3119" s="155"/>
      <c r="W3119" s="155"/>
      <c r="GL3119" s="155"/>
      <c r="GM3119" s="155"/>
      <c r="GN3119" s="155"/>
      <c r="GO3119" s="155"/>
      <c r="GP3119" s="155"/>
      <c r="GQ3119" s="155"/>
      <c r="GR3119" s="155"/>
      <c r="GS3119" s="155"/>
      <c r="GT3119" s="155"/>
      <c r="GU3119" s="155"/>
      <c r="GV3119" s="155"/>
      <c r="GW3119" s="155"/>
      <c r="GX3119" s="155"/>
      <c r="GY3119" s="155"/>
      <c r="GZ3119" s="155"/>
      <c r="HA3119" s="155"/>
      <c r="HB3119" s="155"/>
      <c r="HC3119" s="155"/>
      <c r="HD3119" s="155"/>
      <c r="HE3119" s="155"/>
    </row>
    <row r="3120" spans="2:213" s="156" customFormat="1" hidden="1">
      <c r="B3120" s="155"/>
      <c r="C3120" s="155"/>
      <c r="D3120" s="155"/>
      <c r="E3120" s="155"/>
      <c r="F3120" s="155"/>
      <c r="G3120" s="155"/>
      <c r="H3120" s="155"/>
      <c r="I3120" s="155"/>
      <c r="J3120" s="155"/>
      <c r="K3120" s="155"/>
      <c r="L3120" s="155"/>
      <c r="M3120" s="155"/>
      <c r="N3120" s="155"/>
      <c r="O3120" s="155"/>
      <c r="P3120" s="155"/>
      <c r="Q3120" s="155"/>
      <c r="R3120" s="155"/>
      <c r="S3120" s="155"/>
      <c r="T3120" s="155"/>
      <c r="U3120" s="155"/>
      <c r="V3120" s="155"/>
      <c r="W3120" s="155"/>
      <c r="GL3120" s="155"/>
      <c r="GM3120" s="155"/>
      <c r="GN3120" s="155"/>
      <c r="GO3120" s="155"/>
      <c r="GP3120" s="155"/>
      <c r="GQ3120" s="155"/>
      <c r="GR3120" s="155"/>
      <c r="GS3120" s="155"/>
      <c r="GT3120" s="155"/>
      <c r="GU3120" s="155"/>
      <c r="GV3120" s="155"/>
      <c r="GW3120" s="155"/>
      <c r="GX3120" s="155"/>
      <c r="GY3120" s="155"/>
      <c r="GZ3120" s="155"/>
      <c r="HA3120" s="155"/>
      <c r="HB3120" s="155"/>
      <c r="HC3120" s="155"/>
      <c r="HD3120" s="155"/>
      <c r="HE3120" s="155"/>
    </row>
    <row r="3121" spans="2:213" s="156" customFormat="1" hidden="1">
      <c r="B3121" s="155"/>
      <c r="C3121" s="155"/>
      <c r="D3121" s="155"/>
      <c r="E3121" s="155"/>
      <c r="F3121" s="155"/>
      <c r="G3121" s="155"/>
      <c r="H3121" s="155"/>
      <c r="I3121" s="155"/>
      <c r="J3121" s="155"/>
      <c r="K3121" s="155"/>
      <c r="L3121" s="155"/>
      <c r="M3121" s="155"/>
      <c r="N3121" s="155"/>
      <c r="O3121" s="155"/>
      <c r="P3121" s="155"/>
      <c r="Q3121" s="155"/>
      <c r="R3121" s="155"/>
      <c r="S3121" s="155"/>
      <c r="T3121" s="155"/>
      <c r="U3121" s="155"/>
      <c r="V3121" s="155"/>
      <c r="W3121" s="155"/>
      <c r="GL3121" s="155"/>
      <c r="GM3121" s="155"/>
      <c r="GN3121" s="155"/>
      <c r="GO3121" s="155"/>
      <c r="GP3121" s="155"/>
      <c r="GQ3121" s="155"/>
      <c r="GR3121" s="155"/>
      <c r="GS3121" s="155"/>
      <c r="GT3121" s="155"/>
      <c r="GU3121" s="155"/>
      <c r="GV3121" s="155"/>
      <c r="GW3121" s="155"/>
      <c r="GX3121" s="155"/>
      <c r="GY3121" s="155"/>
      <c r="GZ3121" s="155"/>
      <c r="HA3121" s="155"/>
      <c r="HB3121" s="155"/>
      <c r="HC3121" s="155"/>
      <c r="HD3121" s="155"/>
      <c r="HE3121" s="155"/>
    </row>
    <row r="3122" spans="2:213" s="156" customFormat="1" hidden="1">
      <c r="B3122" s="155"/>
      <c r="C3122" s="155"/>
      <c r="D3122" s="155"/>
      <c r="E3122" s="155"/>
      <c r="F3122" s="155"/>
      <c r="G3122" s="155"/>
      <c r="H3122" s="155"/>
      <c r="I3122" s="155"/>
      <c r="J3122" s="155"/>
      <c r="K3122" s="155"/>
      <c r="L3122" s="155"/>
      <c r="M3122" s="155"/>
      <c r="N3122" s="155"/>
      <c r="O3122" s="155"/>
      <c r="P3122" s="155"/>
      <c r="Q3122" s="155"/>
      <c r="R3122" s="155"/>
      <c r="S3122" s="155"/>
      <c r="T3122" s="155"/>
      <c r="U3122" s="155"/>
      <c r="V3122" s="155"/>
      <c r="W3122" s="155"/>
      <c r="GL3122" s="155"/>
      <c r="GM3122" s="155"/>
      <c r="GN3122" s="155"/>
      <c r="GO3122" s="155"/>
      <c r="GP3122" s="155"/>
      <c r="GQ3122" s="155"/>
      <c r="GR3122" s="155"/>
      <c r="GS3122" s="155"/>
      <c r="GT3122" s="155"/>
      <c r="GU3122" s="155"/>
      <c r="GV3122" s="155"/>
      <c r="GW3122" s="155"/>
      <c r="GX3122" s="155"/>
      <c r="GY3122" s="155"/>
      <c r="GZ3122" s="155"/>
      <c r="HA3122" s="155"/>
      <c r="HB3122" s="155"/>
      <c r="HC3122" s="155"/>
      <c r="HD3122" s="155"/>
      <c r="HE3122" s="155"/>
    </row>
    <row r="3123" spans="2:213" s="156" customFormat="1" hidden="1">
      <c r="B3123" s="155"/>
      <c r="C3123" s="155"/>
      <c r="D3123" s="155"/>
      <c r="E3123" s="155"/>
      <c r="F3123" s="155"/>
      <c r="G3123" s="155"/>
      <c r="H3123" s="155"/>
      <c r="I3123" s="155"/>
      <c r="J3123" s="155"/>
      <c r="K3123" s="155"/>
      <c r="L3123" s="155"/>
      <c r="M3123" s="155"/>
      <c r="N3123" s="155"/>
      <c r="O3123" s="155"/>
      <c r="P3123" s="155"/>
      <c r="Q3123" s="155"/>
      <c r="R3123" s="155"/>
      <c r="S3123" s="155"/>
      <c r="T3123" s="155"/>
      <c r="U3123" s="155"/>
      <c r="V3123" s="155"/>
      <c r="W3123" s="155"/>
      <c r="GL3123" s="155"/>
      <c r="GM3123" s="155"/>
      <c r="GN3123" s="155"/>
      <c r="GO3123" s="155"/>
      <c r="GP3123" s="155"/>
      <c r="GQ3123" s="155"/>
      <c r="GR3123" s="155"/>
      <c r="GS3123" s="155"/>
      <c r="GT3123" s="155"/>
      <c r="GU3123" s="155"/>
      <c r="GV3123" s="155"/>
      <c r="GW3123" s="155"/>
      <c r="GX3123" s="155"/>
      <c r="GY3123" s="155"/>
      <c r="GZ3123" s="155"/>
      <c r="HA3123" s="155"/>
      <c r="HB3123" s="155"/>
      <c r="HC3123" s="155"/>
      <c r="HD3123" s="155"/>
      <c r="HE3123" s="155"/>
    </row>
    <row r="3124" spans="2:213" s="156" customFormat="1" hidden="1">
      <c r="B3124" s="155"/>
      <c r="C3124" s="155"/>
      <c r="D3124" s="155"/>
      <c r="E3124" s="155"/>
      <c r="F3124" s="155"/>
      <c r="G3124" s="155"/>
      <c r="H3124" s="155"/>
      <c r="I3124" s="155"/>
      <c r="J3124" s="155"/>
      <c r="K3124" s="155"/>
      <c r="L3124" s="155"/>
      <c r="M3124" s="155"/>
      <c r="N3124" s="155"/>
      <c r="O3124" s="155"/>
      <c r="P3124" s="155"/>
      <c r="Q3124" s="155"/>
      <c r="R3124" s="155"/>
      <c r="S3124" s="155"/>
      <c r="T3124" s="155"/>
      <c r="U3124" s="155"/>
      <c r="V3124" s="155"/>
      <c r="W3124" s="155"/>
      <c r="GL3124" s="155"/>
      <c r="GM3124" s="155"/>
      <c r="GN3124" s="155"/>
      <c r="GO3124" s="155"/>
      <c r="GP3124" s="155"/>
      <c r="GQ3124" s="155"/>
      <c r="GR3124" s="155"/>
      <c r="GS3124" s="155"/>
      <c r="GT3124" s="155"/>
      <c r="GU3124" s="155"/>
      <c r="GV3124" s="155"/>
      <c r="GW3124" s="155"/>
      <c r="GX3124" s="155"/>
      <c r="GY3124" s="155"/>
      <c r="GZ3124" s="155"/>
      <c r="HA3124" s="155"/>
      <c r="HB3124" s="155"/>
      <c r="HC3124" s="155"/>
      <c r="HD3124" s="155"/>
      <c r="HE3124" s="155"/>
    </row>
    <row r="3125" spans="2:213" s="156" customFormat="1" hidden="1">
      <c r="B3125" s="155"/>
      <c r="C3125" s="155"/>
      <c r="D3125" s="155"/>
      <c r="E3125" s="155"/>
      <c r="F3125" s="155"/>
      <c r="G3125" s="155"/>
      <c r="H3125" s="155"/>
      <c r="I3125" s="155"/>
      <c r="J3125" s="155"/>
      <c r="K3125" s="155"/>
      <c r="L3125" s="155"/>
      <c r="M3125" s="155"/>
      <c r="N3125" s="155"/>
      <c r="O3125" s="155"/>
      <c r="P3125" s="155"/>
      <c r="Q3125" s="155"/>
      <c r="R3125" s="155"/>
      <c r="S3125" s="155"/>
      <c r="T3125" s="155"/>
      <c r="U3125" s="155"/>
      <c r="V3125" s="155"/>
      <c r="W3125" s="155"/>
      <c r="GL3125" s="155"/>
      <c r="GM3125" s="155"/>
      <c r="GN3125" s="155"/>
      <c r="GO3125" s="155"/>
      <c r="GP3125" s="155"/>
      <c r="GQ3125" s="155"/>
      <c r="GR3125" s="155"/>
      <c r="GS3125" s="155"/>
      <c r="GT3125" s="155"/>
      <c r="GU3125" s="155"/>
      <c r="GV3125" s="155"/>
      <c r="GW3125" s="155"/>
      <c r="GX3125" s="155"/>
      <c r="GY3125" s="155"/>
      <c r="GZ3125" s="155"/>
      <c r="HA3125" s="155"/>
      <c r="HB3125" s="155"/>
      <c r="HC3125" s="155"/>
      <c r="HD3125" s="155"/>
      <c r="HE3125" s="155"/>
    </row>
    <row r="3126" spans="2:213" s="156" customFormat="1" hidden="1">
      <c r="B3126" s="155"/>
      <c r="C3126" s="155"/>
      <c r="D3126" s="155"/>
      <c r="E3126" s="155"/>
      <c r="F3126" s="155"/>
      <c r="G3126" s="155"/>
      <c r="H3126" s="155"/>
      <c r="I3126" s="155"/>
      <c r="J3126" s="155"/>
      <c r="K3126" s="155"/>
      <c r="L3126" s="155"/>
      <c r="M3126" s="155"/>
      <c r="N3126" s="155"/>
      <c r="O3126" s="155"/>
      <c r="P3126" s="155"/>
      <c r="Q3126" s="155"/>
      <c r="R3126" s="155"/>
      <c r="S3126" s="155"/>
      <c r="T3126" s="155"/>
      <c r="U3126" s="155"/>
      <c r="V3126" s="155"/>
      <c r="W3126" s="155"/>
      <c r="GL3126" s="155"/>
      <c r="GM3126" s="155"/>
      <c r="GN3126" s="155"/>
      <c r="GO3126" s="155"/>
      <c r="GP3126" s="155"/>
      <c r="GQ3126" s="155"/>
      <c r="GR3126" s="155"/>
      <c r="GS3126" s="155"/>
      <c r="GT3126" s="155"/>
      <c r="GU3126" s="155"/>
      <c r="GV3126" s="155"/>
      <c r="GW3126" s="155"/>
      <c r="GX3126" s="155"/>
      <c r="GY3126" s="155"/>
      <c r="GZ3126" s="155"/>
      <c r="HA3126" s="155"/>
      <c r="HB3126" s="155"/>
      <c r="HC3126" s="155"/>
      <c r="HD3126" s="155"/>
      <c r="HE3126" s="155"/>
    </row>
    <row r="3127" spans="2:213" s="156" customFormat="1" hidden="1">
      <c r="B3127" s="155"/>
      <c r="C3127" s="155"/>
      <c r="D3127" s="155"/>
      <c r="E3127" s="155"/>
      <c r="F3127" s="155"/>
      <c r="G3127" s="155"/>
      <c r="H3127" s="155"/>
      <c r="I3127" s="155"/>
      <c r="J3127" s="155"/>
      <c r="K3127" s="155"/>
      <c r="L3127" s="155"/>
      <c r="M3127" s="155"/>
      <c r="N3127" s="155"/>
      <c r="O3127" s="155"/>
      <c r="P3127" s="155"/>
      <c r="Q3127" s="155"/>
      <c r="R3127" s="155"/>
      <c r="S3127" s="155"/>
      <c r="T3127" s="155"/>
      <c r="U3127" s="155"/>
      <c r="V3127" s="155"/>
      <c r="W3127" s="155"/>
      <c r="GL3127" s="155"/>
      <c r="GM3127" s="155"/>
      <c r="GN3127" s="155"/>
      <c r="GO3127" s="155"/>
      <c r="GP3127" s="155"/>
      <c r="GQ3127" s="155"/>
      <c r="GR3127" s="155"/>
      <c r="GS3127" s="155"/>
      <c r="GT3127" s="155"/>
      <c r="GU3127" s="155"/>
      <c r="GV3127" s="155"/>
      <c r="GW3127" s="155"/>
      <c r="GX3127" s="155"/>
      <c r="GY3127" s="155"/>
      <c r="GZ3127" s="155"/>
      <c r="HA3127" s="155"/>
      <c r="HB3127" s="155"/>
      <c r="HC3127" s="155"/>
      <c r="HD3127" s="155"/>
      <c r="HE3127" s="155"/>
    </row>
    <row r="3128" spans="2:213" s="156" customFormat="1" hidden="1">
      <c r="B3128" s="155"/>
      <c r="C3128" s="155"/>
      <c r="D3128" s="155"/>
      <c r="E3128" s="155"/>
      <c r="F3128" s="155"/>
      <c r="G3128" s="155"/>
      <c r="H3128" s="155"/>
      <c r="I3128" s="155"/>
      <c r="J3128" s="155"/>
      <c r="K3128" s="155"/>
      <c r="L3128" s="155"/>
      <c r="M3128" s="155"/>
      <c r="N3128" s="155"/>
      <c r="O3128" s="155"/>
      <c r="P3128" s="155"/>
      <c r="Q3128" s="155"/>
      <c r="R3128" s="155"/>
      <c r="S3128" s="155"/>
      <c r="T3128" s="155"/>
      <c r="U3128" s="155"/>
      <c r="V3128" s="155"/>
      <c r="W3128" s="155"/>
      <c r="GL3128" s="155"/>
      <c r="GM3128" s="155"/>
      <c r="GN3128" s="155"/>
      <c r="GO3128" s="155"/>
      <c r="GP3128" s="155"/>
      <c r="GQ3128" s="155"/>
      <c r="GR3128" s="155"/>
      <c r="GS3128" s="155"/>
      <c r="GT3128" s="155"/>
      <c r="GU3128" s="155"/>
      <c r="GV3128" s="155"/>
      <c r="GW3128" s="155"/>
      <c r="GX3128" s="155"/>
      <c r="GY3128" s="155"/>
      <c r="GZ3128" s="155"/>
      <c r="HA3128" s="155"/>
      <c r="HB3128" s="155"/>
      <c r="HC3128" s="155"/>
      <c r="HD3128" s="155"/>
      <c r="HE3128" s="155"/>
    </row>
    <row r="3129" spans="2:213" s="156" customFormat="1" hidden="1">
      <c r="B3129" s="155"/>
      <c r="C3129" s="155"/>
      <c r="D3129" s="155"/>
      <c r="E3129" s="155"/>
      <c r="F3129" s="155"/>
      <c r="G3129" s="155"/>
      <c r="H3129" s="155"/>
      <c r="I3129" s="155"/>
      <c r="J3129" s="155"/>
      <c r="K3129" s="155"/>
      <c r="L3129" s="155"/>
      <c r="M3129" s="155"/>
      <c r="N3129" s="155"/>
      <c r="O3129" s="155"/>
      <c r="P3129" s="155"/>
      <c r="Q3129" s="155"/>
      <c r="R3129" s="155"/>
      <c r="S3129" s="155"/>
      <c r="T3129" s="155"/>
      <c r="U3129" s="155"/>
      <c r="V3129" s="155"/>
      <c r="W3129" s="155"/>
      <c r="GL3129" s="155"/>
      <c r="GM3129" s="155"/>
      <c r="GN3129" s="155"/>
      <c r="GO3129" s="155"/>
      <c r="GP3129" s="155"/>
      <c r="GQ3129" s="155"/>
      <c r="GR3129" s="155"/>
      <c r="GS3129" s="155"/>
      <c r="GT3129" s="155"/>
      <c r="GU3129" s="155"/>
      <c r="GV3129" s="155"/>
      <c r="GW3129" s="155"/>
      <c r="GX3129" s="155"/>
      <c r="GY3129" s="155"/>
      <c r="GZ3129" s="155"/>
      <c r="HA3129" s="155"/>
      <c r="HB3129" s="155"/>
      <c r="HC3129" s="155"/>
      <c r="HD3129" s="155"/>
      <c r="HE3129" s="155"/>
    </row>
    <row r="3130" spans="2:213" s="156" customFormat="1" hidden="1">
      <c r="B3130" s="155"/>
      <c r="C3130" s="155"/>
      <c r="D3130" s="155"/>
      <c r="E3130" s="155"/>
      <c r="F3130" s="155"/>
      <c r="G3130" s="155"/>
      <c r="H3130" s="155"/>
      <c r="I3130" s="155"/>
      <c r="J3130" s="155"/>
      <c r="K3130" s="155"/>
      <c r="L3130" s="155"/>
      <c r="M3130" s="155"/>
      <c r="N3130" s="155"/>
      <c r="O3130" s="155"/>
      <c r="P3130" s="155"/>
      <c r="Q3130" s="155"/>
      <c r="R3130" s="155"/>
      <c r="S3130" s="155"/>
      <c r="T3130" s="155"/>
      <c r="U3130" s="155"/>
      <c r="V3130" s="155"/>
      <c r="W3130" s="155"/>
      <c r="GL3130" s="155"/>
      <c r="GM3130" s="155"/>
      <c r="GN3130" s="155"/>
      <c r="GO3130" s="155"/>
      <c r="GP3130" s="155"/>
      <c r="GQ3130" s="155"/>
      <c r="GR3130" s="155"/>
      <c r="GS3130" s="155"/>
      <c r="GT3130" s="155"/>
      <c r="GU3130" s="155"/>
      <c r="GV3130" s="155"/>
      <c r="GW3130" s="155"/>
      <c r="GX3130" s="155"/>
      <c r="GY3130" s="155"/>
      <c r="GZ3130" s="155"/>
      <c r="HA3130" s="155"/>
      <c r="HB3130" s="155"/>
      <c r="HC3130" s="155"/>
      <c r="HD3130" s="155"/>
      <c r="HE3130" s="155"/>
    </row>
    <row r="3131" spans="2:213" s="156" customFormat="1" hidden="1">
      <c r="B3131" s="155"/>
      <c r="C3131" s="155"/>
      <c r="D3131" s="155"/>
      <c r="E3131" s="155"/>
      <c r="F3131" s="155"/>
      <c r="G3131" s="155"/>
      <c r="H3131" s="155"/>
      <c r="I3131" s="155"/>
      <c r="J3131" s="155"/>
      <c r="K3131" s="155"/>
      <c r="L3131" s="155"/>
      <c r="M3131" s="155"/>
      <c r="N3131" s="155"/>
      <c r="O3131" s="155"/>
      <c r="P3131" s="155"/>
      <c r="Q3131" s="155"/>
      <c r="R3131" s="155"/>
      <c r="S3131" s="155"/>
      <c r="T3131" s="155"/>
      <c r="U3131" s="155"/>
      <c r="V3131" s="155"/>
      <c r="W3131" s="155"/>
      <c r="GL3131" s="155"/>
      <c r="GM3131" s="155"/>
      <c r="GN3131" s="155"/>
      <c r="GO3131" s="155"/>
      <c r="GP3131" s="155"/>
      <c r="GQ3131" s="155"/>
      <c r="GR3131" s="155"/>
      <c r="GS3131" s="155"/>
      <c r="GT3131" s="155"/>
      <c r="GU3131" s="155"/>
      <c r="GV3131" s="155"/>
      <c r="GW3131" s="155"/>
      <c r="GX3131" s="155"/>
      <c r="GY3131" s="155"/>
      <c r="GZ3131" s="155"/>
      <c r="HA3131" s="155"/>
      <c r="HB3131" s="155"/>
      <c r="HC3131" s="155"/>
      <c r="HD3131" s="155"/>
      <c r="HE3131" s="155"/>
    </row>
    <row r="3132" spans="2:213" s="156" customFormat="1" hidden="1">
      <c r="B3132" s="155"/>
      <c r="C3132" s="155"/>
      <c r="D3132" s="155"/>
      <c r="E3132" s="155"/>
      <c r="F3132" s="155"/>
      <c r="G3132" s="155"/>
      <c r="H3132" s="155"/>
      <c r="I3132" s="155"/>
      <c r="J3132" s="155"/>
      <c r="K3132" s="155"/>
      <c r="L3132" s="155"/>
      <c r="M3132" s="155"/>
      <c r="N3132" s="155"/>
      <c r="O3132" s="155"/>
      <c r="P3132" s="155"/>
      <c r="Q3132" s="155"/>
      <c r="R3132" s="155"/>
      <c r="S3132" s="155"/>
      <c r="T3132" s="155"/>
      <c r="U3132" s="155"/>
      <c r="V3132" s="155"/>
      <c r="W3132" s="155"/>
      <c r="GL3132" s="155"/>
      <c r="GM3132" s="155"/>
      <c r="GN3132" s="155"/>
      <c r="GO3132" s="155"/>
      <c r="GP3132" s="155"/>
      <c r="GQ3132" s="155"/>
      <c r="GR3132" s="155"/>
      <c r="GS3132" s="155"/>
      <c r="GT3132" s="155"/>
      <c r="GU3132" s="155"/>
      <c r="GV3132" s="155"/>
      <c r="GW3132" s="155"/>
      <c r="GX3132" s="155"/>
      <c r="GY3132" s="155"/>
      <c r="GZ3132" s="155"/>
      <c r="HA3132" s="155"/>
      <c r="HB3132" s="155"/>
      <c r="HC3132" s="155"/>
      <c r="HD3132" s="155"/>
      <c r="HE3132" s="155"/>
    </row>
    <row r="3133" spans="2:213" s="156" customFormat="1" hidden="1">
      <c r="B3133" s="155"/>
      <c r="C3133" s="155"/>
      <c r="D3133" s="155"/>
      <c r="E3133" s="155"/>
      <c r="F3133" s="155"/>
      <c r="G3133" s="155"/>
      <c r="H3133" s="155"/>
      <c r="I3133" s="155"/>
      <c r="J3133" s="155"/>
      <c r="K3133" s="155"/>
      <c r="L3133" s="155"/>
      <c r="M3133" s="155"/>
      <c r="N3133" s="155"/>
      <c r="O3133" s="155"/>
      <c r="P3133" s="155"/>
      <c r="Q3133" s="155"/>
      <c r="R3133" s="155"/>
      <c r="S3133" s="155"/>
      <c r="T3133" s="155"/>
      <c r="U3133" s="155"/>
      <c r="V3133" s="155"/>
      <c r="W3133" s="155"/>
      <c r="GL3133" s="155"/>
      <c r="GM3133" s="155"/>
      <c r="GN3133" s="155"/>
      <c r="GO3133" s="155"/>
      <c r="GP3133" s="155"/>
      <c r="GQ3133" s="155"/>
      <c r="GR3133" s="155"/>
      <c r="GS3133" s="155"/>
      <c r="GT3133" s="155"/>
      <c r="GU3133" s="155"/>
      <c r="GV3133" s="155"/>
      <c r="GW3133" s="155"/>
      <c r="GX3133" s="155"/>
      <c r="GY3133" s="155"/>
      <c r="GZ3133" s="155"/>
      <c r="HA3133" s="155"/>
      <c r="HB3133" s="155"/>
      <c r="HC3133" s="155"/>
      <c r="HD3133" s="155"/>
      <c r="HE3133" s="155"/>
    </row>
    <row r="3134" spans="2:213" s="156" customFormat="1" hidden="1">
      <c r="B3134" s="155"/>
      <c r="C3134" s="155"/>
      <c r="D3134" s="155"/>
      <c r="E3134" s="155"/>
      <c r="F3134" s="155"/>
      <c r="G3134" s="155"/>
      <c r="H3134" s="155"/>
      <c r="I3134" s="155"/>
      <c r="J3134" s="155"/>
      <c r="K3134" s="155"/>
      <c r="L3134" s="155"/>
      <c r="M3134" s="155"/>
      <c r="N3134" s="155"/>
      <c r="O3134" s="155"/>
      <c r="P3134" s="155"/>
      <c r="Q3134" s="155"/>
      <c r="R3134" s="155"/>
      <c r="S3134" s="155"/>
      <c r="T3134" s="155"/>
      <c r="U3134" s="155"/>
      <c r="V3134" s="155"/>
      <c r="W3134" s="155"/>
      <c r="GL3134" s="155"/>
      <c r="GM3134" s="155"/>
      <c r="GN3134" s="155"/>
      <c r="GO3134" s="155"/>
      <c r="GP3134" s="155"/>
      <c r="GQ3134" s="155"/>
      <c r="GR3134" s="155"/>
      <c r="GS3134" s="155"/>
      <c r="GT3134" s="155"/>
      <c r="GU3134" s="155"/>
      <c r="GV3134" s="155"/>
      <c r="GW3134" s="155"/>
      <c r="GX3134" s="155"/>
      <c r="GY3134" s="155"/>
      <c r="GZ3134" s="155"/>
      <c r="HA3134" s="155"/>
      <c r="HB3134" s="155"/>
      <c r="HC3134" s="155"/>
      <c r="HD3134" s="155"/>
      <c r="HE3134" s="155"/>
    </row>
    <row r="3135" spans="2:213" s="156" customFormat="1" hidden="1">
      <c r="B3135" s="155"/>
      <c r="C3135" s="155"/>
      <c r="D3135" s="155"/>
      <c r="E3135" s="155"/>
      <c r="F3135" s="155"/>
      <c r="G3135" s="155"/>
      <c r="H3135" s="155"/>
      <c r="I3135" s="155"/>
      <c r="J3135" s="155"/>
      <c r="K3135" s="155"/>
      <c r="L3135" s="155"/>
      <c r="M3135" s="155"/>
      <c r="N3135" s="155"/>
      <c r="O3135" s="155"/>
      <c r="P3135" s="155"/>
      <c r="Q3135" s="155"/>
      <c r="R3135" s="155"/>
      <c r="S3135" s="155"/>
      <c r="T3135" s="155"/>
      <c r="U3135" s="155"/>
      <c r="V3135" s="155"/>
      <c r="W3135" s="155"/>
      <c r="GL3135" s="155"/>
      <c r="GM3135" s="155"/>
      <c r="GN3135" s="155"/>
      <c r="GO3135" s="155"/>
      <c r="GP3135" s="155"/>
      <c r="GQ3135" s="155"/>
      <c r="GR3135" s="155"/>
      <c r="GS3135" s="155"/>
      <c r="GT3135" s="155"/>
      <c r="GU3135" s="155"/>
      <c r="GV3135" s="155"/>
      <c r="GW3135" s="155"/>
      <c r="GX3135" s="155"/>
      <c r="GY3135" s="155"/>
      <c r="GZ3135" s="155"/>
      <c r="HA3135" s="155"/>
      <c r="HB3135" s="155"/>
      <c r="HC3135" s="155"/>
      <c r="HD3135" s="155"/>
      <c r="HE3135" s="155"/>
    </row>
    <row r="3136" spans="2:213" s="156" customFormat="1" hidden="1">
      <c r="B3136" s="155"/>
      <c r="C3136" s="155"/>
      <c r="D3136" s="155"/>
      <c r="E3136" s="155"/>
      <c r="F3136" s="155"/>
      <c r="G3136" s="155"/>
      <c r="H3136" s="155"/>
      <c r="I3136" s="155"/>
      <c r="J3136" s="155"/>
      <c r="K3136" s="155"/>
      <c r="L3136" s="155"/>
      <c r="M3136" s="155"/>
      <c r="N3136" s="155"/>
      <c r="O3136" s="155"/>
      <c r="P3136" s="155"/>
      <c r="Q3136" s="155"/>
      <c r="R3136" s="155"/>
      <c r="S3136" s="155"/>
      <c r="T3136" s="155"/>
      <c r="U3136" s="155"/>
      <c r="V3136" s="155"/>
      <c r="W3136" s="155"/>
      <c r="GL3136" s="155"/>
      <c r="GM3136" s="155"/>
      <c r="GN3136" s="155"/>
      <c r="GO3136" s="155"/>
      <c r="GP3136" s="155"/>
      <c r="GQ3136" s="155"/>
      <c r="GR3136" s="155"/>
      <c r="GS3136" s="155"/>
      <c r="GT3136" s="155"/>
      <c r="GU3136" s="155"/>
      <c r="GV3136" s="155"/>
      <c r="GW3136" s="155"/>
      <c r="GX3136" s="155"/>
      <c r="GY3136" s="155"/>
      <c r="GZ3136" s="155"/>
      <c r="HA3136" s="155"/>
      <c r="HB3136" s="155"/>
      <c r="HC3136" s="155"/>
      <c r="HD3136" s="155"/>
      <c r="HE3136" s="155"/>
    </row>
    <row r="3137" spans="2:213" s="156" customFormat="1" hidden="1">
      <c r="B3137" s="155"/>
      <c r="C3137" s="155"/>
      <c r="D3137" s="155"/>
      <c r="E3137" s="155"/>
      <c r="F3137" s="155"/>
      <c r="G3137" s="155"/>
      <c r="H3137" s="155"/>
      <c r="I3137" s="155"/>
      <c r="J3137" s="155"/>
      <c r="K3137" s="155"/>
      <c r="L3137" s="155"/>
      <c r="M3137" s="155"/>
      <c r="N3137" s="155"/>
      <c r="O3137" s="155"/>
      <c r="P3137" s="155"/>
      <c r="Q3137" s="155"/>
      <c r="R3137" s="155"/>
      <c r="S3137" s="155"/>
      <c r="T3137" s="155"/>
      <c r="U3137" s="155"/>
      <c r="V3137" s="155"/>
      <c r="W3137" s="155"/>
      <c r="GL3137" s="155"/>
      <c r="GM3137" s="155"/>
      <c r="GN3137" s="155"/>
      <c r="GO3137" s="155"/>
      <c r="GP3137" s="155"/>
      <c r="GQ3137" s="155"/>
      <c r="GR3137" s="155"/>
      <c r="GS3137" s="155"/>
      <c r="GT3137" s="155"/>
      <c r="GU3137" s="155"/>
      <c r="GV3137" s="155"/>
      <c r="GW3137" s="155"/>
      <c r="GX3137" s="155"/>
      <c r="GY3137" s="155"/>
      <c r="GZ3137" s="155"/>
      <c r="HA3137" s="155"/>
      <c r="HB3137" s="155"/>
      <c r="HC3137" s="155"/>
      <c r="HD3137" s="155"/>
      <c r="HE3137" s="155"/>
    </row>
    <row r="3138" spans="2:213" s="156" customFormat="1" hidden="1">
      <c r="B3138" s="155"/>
      <c r="C3138" s="155"/>
      <c r="D3138" s="155"/>
      <c r="E3138" s="155"/>
      <c r="F3138" s="155"/>
      <c r="G3138" s="155"/>
      <c r="H3138" s="155"/>
      <c r="I3138" s="155"/>
      <c r="J3138" s="155"/>
      <c r="K3138" s="155"/>
      <c r="L3138" s="155"/>
      <c r="M3138" s="155"/>
      <c r="N3138" s="155"/>
      <c r="O3138" s="155"/>
      <c r="P3138" s="155"/>
      <c r="Q3138" s="155"/>
      <c r="R3138" s="155"/>
      <c r="S3138" s="155"/>
      <c r="T3138" s="155"/>
      <c r="U3138" s="155"/>
      <c r="V3138" s="155"/>
      <c r="W3138" s="155"/>
      <c r="GL3138" s="155"/>
      <c r="GM3138" s="155"/>
      <c r="GN3138" s="155"/>
      <c r="GO3138" s="155"/>
      <c r="GP3138" s="155"/>
      <c r="GQ3138" s="155"/>
      <c r="GR3138" s="155"/>
      <c r="GS3138" s="155"/>
      <c r="GT3138" s="155"/>
      <c r="GU3138" s="155"/>
      <c r="GV3138" s="155"/>
      <c r="GW3138" s="155"/>
      <c r="GX3138" s="155"/>
      <c r="GY3138" s="155"/>
      <c r="GZ3138" s="155"/>
      <c r="HA3138" s="155"/>
      <c r="HB3138" s="155"/>
      <c r="HC3138" s="155"/>
      <c r="HD3138" s="155"/>
      <c r="HE3138" s="155"/>
    </row>
    <row r="3139" spans="2:213" s="156" customFormat="1" hidden="1">
      <c r="B3139" s="155"/>
      <c r="C3139" s="155"/>
      <c r="D3139" s="155"/>
      <c r="E3139" s="155"/>
      <c r="F3139" s="155"/>
      <c r="G3139" s="155"/>
      <c r="H3139" s="155"/>
      <c r="I3139" s="155"/>
      <c r="J3139" s="155"/>
      <c r="K3139" s="155"/>
      <c r="L3139" s="155"/>
      <c r="M3139" s="155"/>
      <c r="N3139" s="155"/>
      <c r="O3139" s="155"/>
      <c r="P3139" s="155"/>
      <c r="Q3139" s="155"/>
      <c r="R3139" s="155"/>
      <c r="S3139" s="155"/>
      <c r="T3139" s="155"/>
      <c r="U3139" s="155"/>
      <c r="V3139" s="155"/>
      <c r="W3139" s="155"/>
      <c r="GL3139" s="155"/>
      <c r="GM3139" s="155"/>
      <c r="GN3139" s="155"/>
      <c r="GO3139" s="155"/>
      <c r="GP3139" s="155"/>
      <c r="GQ3139" s="155"/>
      <c r="GR3139" s="155"/>
      <c r="GS3139" s="155"/>
      <c r="GT3139" s="155"/>
      <c r="GU3139" s="155"/>
      <c r="GV3139" s="155"/>
      <c r="GW3139" s="155"/>
      <c r="GX3139" s="155"/>
      <c r="GY3139" s="155"/>
      <c r="GZ3139" s="155"/>
      <c r="HA3139" s="155"/>
      <c r="HB3139" s="155"/>
      <c r="HC3139" s="155"/>
      <c r="HD3139" s="155"/>
      <c r="HE3139" s="155"/>
    </row>
    <row r="3140" spans="2:213" s="156" customFormat="1" hidden="1">
      <c r="B3140" s="155"/>
      <c r="C3140" s="155"/>
      <c r="D3140" s="155"/>
      <c r="E3140" s="155"/>
      <c r="F3140" s="155"/>
      <c r="G3140" s="155"/>
      <c r="H3140" s="155"/>
      <c r="I3140" s="155"/>
      <c r="J3140" s="155"/>
      <c r="K3140" s="155"/>
      <c r="L3140" s="155"/>
      <c r="M3140" s="155"/>
      <c r="N3140" s="155"/>
      <c r="O3140" s="155"/>
      <c r="P3140" s="155"/>
      <c r="Q3140" s="155"/>
      <c r="R3140" s="155"/>
      <c r="S3140" s="155"/>
      <c r="T3140" s="155"/>
      <c r="U3140" s="155"/>
      <c r="V3140" s="155"/>
      <c r="W3140" s="155"/>
      <c r="GL3140" s="155"/>
      <c r="GM3140" s="155"/>
      <c r="GN3140" s="155"/>
      <c r="GO3140" s="155"/>
      <c r="GP3140" s="155"/>
      <c r="GQ3140" s="155"/>
      <c r="GR3140" s="155"/>
      <c r="GS3140" s="155"/>
      <c r="GT3140" s="155"/>
      <c r="GU3140" s="155"/>
      <c r="GV3140" s="155"/>
      <c r="GW3140" s="155"/>
      <c r="GX3140" s="155"/>
      <c r="GY3140" s="155"/>
      <c r="GZ3140" s="155"/>
      <c r="HA3140" s="155"/>
      <c r="HB3140" s="155"/>
      <c r="HC3140" s="155"/>
      <c r="HD3140" s="155"/>
      <c r="HE3140" s="155"/>
    </row>
    <row r="3141" spans="2:213" s="156" customFormat="1" hidden="1">
      <c r="B3141" s="155"/>
      <c r="C3141" s="155"/>
      <c r="D3141" s="155"/>
      <c r="E3141" s="155"/>
      <c r="F3141" s="155"/>
      <c r="G3141" s="155"/>
      <c r="H3141" s="155"/>
      <c r="I3141" s="155"/>
      <c r="J3141" s="155"/>
      <c r="K3141" s="155"/>
      <c r="L3141" s="155"/>
      <c r="M3141" s="155"/>
      <c r="N3141" s="155"/>
      <c r="O3141" s="155"/>
      <c r="P3141" s="155"/>
      <c r="Q3141" s="155"/>
      <c r="R3141" s="155"/>
      <c r="S3141" s="155"/>
      <c r="T3141" s="155"/>
      <c r="U3141" s="155"/>
      <c r="V3141" s="155"/>
      <c r="W3141" s="155"/>
      <c r="GL3141" s="155"/>
      <c r="GM3141" s="155"/>
      <c r="GN3141" s="155"/>
      <c r="GO3141" s="155"/>
      <c r="GP3141" s="155"/>
      <c r="GQ3141" s="155"/>
      <c r="GR3141" s="155"/>
      <c r="GS3141" s="155"/>
      <c r="GT3141" s="155"/>
      <c r="GU3141" s="155"/>
      <c r="GV3141" s="155"/>
      <c r="GW3141" s="155"/>
      <c r="GX3141" s="155"/>
      <c r="GY3141" s="155"/>
      <c r="GZ3141" s="155"/>
      <c r="HA3141" s="155"/>
      <c r="HB3141" s="155"/>
      <c r="HC3141" s="155"/>
      <c r="HD3141" s="155"/>
      <c r="HE3141" s="155"/>
    </row>
    <row r="3142" spans="2:213" s="156" customFormat="1" hidden="1">
      <c r="B3142" s="155"/>
      <c r="C3142" s="155"/>
      <c r="D3142" s="155"/>
      <c r="E3142" s="155"/>
      <c r="F3142" s="155"/>
      <c r="G3142" s="155"/>
      <c r="H3142" s="155"/>
      <c r="I3142" s="155"/>
      <c r="J3142" s="155"/>
      <c r="K3142" s="155"/>
      <c r="L3142" s="155"/>
      <c r="M3142" s="155"/>
      <c r="N3142" s="155"/>
      <c r="O3142" s="155"/>
      <c r="P3142" s="155"/>
      <c r="Q3142" s="155"/>
      <c r="R3142" s="155"/>
      <c r="S3142" s="155"/>
      <c r="T3142" s="155"/>
      <c r="U3142" s="155"/>
      <c r="V3142" s="155"/>
      <c r="W3142" s="155"/>
      <c r="GL3142" s="155"/>
      <c r="GM3142" s="155"/>
      <c r="GN3142" s="155"/>
      <c r="GO3142" s="155"/>
      <c r="GP3142" s="155"/>
      <c r="GQ3142" s="155"/>
      <c r="GR3142" s="155"/>
      <c r="GS3142" s="155"/>
      <c r="GT3142" s="155"/>
      <c r="GU3142" s="155"/>
      <c r="GV3142" s="155"/>
      <c r="GW3142" s="155"/>
      <c r="GX3142" s="155"/>
      <c r="GY3142" s="155"/>
      <c r="GZ3142" s="155"/>
      <c r="HA3142" s="155"/>
      <c r="HB3142" s="155"/>
      <c r="HC3142" s="155"/>
      <c r="HD3142" s="155"/>
      <c r="HE3142" s="155"/>
    </row>
    <row r="3143" spans="2:213" s="156" customFormat="1" hidden="1">
      <c r="B3143" s="155"/>
      <c r="C3143" s="155"/>
      <c r="D3143" s="155"/>
      <c r="E3143" s="155"/>
      <c r="F3143" s="155"/>
      <c r="G3143" s="155"/>
      <c r="H3143" s="155"/>
      <c r="I3143" s="155"/>
      <c r="J3143" s="155"/>
      <c r="K3143" s="155"/>
      <c r="L3143" s="155"/>
      <c r="M3143" s="155"/>
      <c r="N3143" s="155"/>
      <c r="O3143" s="155"/>
      <c r="P3143" s="155"/>
      <c r="Q3143" s="155"/>
      <c r="R3143" s="155"/>
      <c r="S3143" s="155"/>
      <c r="T3143" s="155"/>
      <c r="U3143" s="155"/>
      <c r="V3143" s="155"/>
      <c r="W3143" s="155"/>
      <c r="GL3143" s="155"/>
      <c r="GM3143" s="155"/>
      <c r="GN3143" s="155"/>
      <c r="GO3143" s="155"/>
      <c r="GP3143" s="155"/>
      <c r="GQ3143" s="155"/>
      <c r="GR3143" s="155"/>
      <c r="GS3143" s="155"/>
      <c r="GT3143" s="155"/>
      <c r="GU3143" s="155"/>
      <c r="GV3143" s="155"/>
      <c r="GW3143" s="155"/>
      <c r="GX3143" s="155"/>
      <c r="GY3143" s="155"/>
      <c r="GZ3143" s="155"/>
      <c r="HA3143" s="155"/>
      <c r="HB3143" s="155"/>
      <c r="HC3143" s="155"/>
      <c r="HD3143" s="155"/>
      <c r="HE3143" s="155"/>
    </row>
    <row r="3144" spans="2:213" s="156" customFormat="1" hidden="1">
      <c r="B3144" s="155"/>
      <c r="C3144" s="155"/>
      <c r="D3144" s="155"/>
      <c r="E3144" s="155"/>
      <c r="F3144" s="155"/>
      <c r="G3144" s="155"/>
      <c r="H3144" s="155"/>
      <c r="I3144" s="155"/>
      <c r="J3144" s="155"/>
      <c r="K3144" s="155"/>
      <c r="L3144" s="155"/>
      <c r="M3144" s="155"/>
      <c r="N3144" s="155"/>
      <c r="O3144" s="155"/>
      <c r="P3144" s="155"/>
      <c r="Q3144" s="155"/>
      <c r="R3144" s="155"/>
      <c r="S3144" s="155"/>
      <c r="T3144" s="155"/>
      <c r="U3144" s="155"/>
      <c r="V3144" s="155"/>
      <c r="W3144" s="155"/>
      <c r="GL3144" s="155"/>
      <c r="GM3144" s="155"/>
      <c r="GN3144" s="155"/>
      <c r="GO3144" s="155"/>
      <c r="GP3144" s="155"/>
      <c r="GQ3144" s="155"/>
      <c r="GR3144" s="155"/>
      <c r="GS3144" s="155"/>
      <c r="GT3144" s="155"/>
      <c r="GU3144" s="155"/>
      <c r="GV3144" s="155"/>
      <c r="GW3144" s="155"/>
      <c r="GX3144" s="155"/>
      <c r="GY3144" s="155"/>
      <c r="GZ3144" s="155"/>
      <c r="HA3144" s="155"/>
      <c r="HB3144" s="155"/>
      <c r="HC3144" s="155"/>
      <c r="HD3144" s="155"/>
      <c r="HE3144" s="155"/>
    </row>
    <row r="3145" spans="2:213" s="156" customFormat="1" hidden="1">
      <c r="B3145" s="155"/>
      <c r="C3145" s="155"/>
      <c r="D3145" s="155"/>
      <c r="E3145" s="155"/>
      <c r="F3145" s="155"/>
      <c r="G3145" s="155"/>
      <c r="H3145" s="155"/>
      <c r="I3145" s="155"/>
      <c r="J3145" s="155"/>
      <c r="K3145" s="155"/>
      <c r="L3145" s="155"/>
      <c r="M3145" s="155"/>
      <c r="N3145" s="155"/>
      <c r="O3145" s="155"/>
      <c r="P3145" s="155"/>
      <c r="Q3145" s="155"/>
      <c r="R3145" s="155"/>
      <c r="S3145" s="155"/>
      <c r="T3145" s="155"/>
      <c r="U3145" s="155"/>
      <c r="V3145" s="155"/>
      <c r="W3145" s="155"/>
      <c r="GL3145" s="155"/>
      <c r="GM3145" s="155"/>
      <c r="GN3145" s="155"/>
      <c r="GO3145" s="155"/>
      <c r="GP3145" s="155"/>
      <c r="GQ3145" s="155"/>
      <c r="GR3145" s="155"/>
      <c r="GS3145" s="155"/>
      <c r="GT3145" s="155"/>
      <c r="GU3145" s="155"/>
      <c r="GV3145" s="155"/>
      <c r="GW3145" s="155"/>
      <c r="GX3145" s="155"/>
      <c r="GY3145" s="155"/>
      <c r="GZ3145" s="155"/>
      <c r="HA3145" s="155"/>
      <c r="HB3145" s="155"/>
      <c r="HC3145" s="155"/>
      <c r="HD3145" s="155"/>
      <c r="HE3145" s="155"/>
    </row>
    <row r="3146" spans="2:213" s="156" customFormat="1" hidden="1">
      <c r="B3146" s="155"/>
      <c r="C3146" s="155"/>
      <c r="D3146" s="155"/>
      <c r="E3146" s="155"/>
      <c r="F3146" s="155"/>
      <c r="G3146" s="155"/>
      <c r="H3146" s="155"/>
      <c r="I3146" s="155"/>
      <c r="J3146" s="155"/>
      <c r="K3146" s="155"/>
      <c r="L3146" s="155"/>
      <c r="M3146" s="155"/>
      <c r="N3146" s="155"/>
      <c r="O3146" s="155"/>
      <c r="P3146" s="155"/>
      <c r="Q3146" s="155"/>
      <c r="R3146" s="155"/>
      <c r="S3146" s="155"/>
      <c r="T3146" s="155"/>
      <c r="U3146" s="155"/>
      <c r="V3146" s="155"/>
      <c r="W3146" s="155"/>
      <c r="GL3146" s="155"/>
      <c r="GM3146" s="155"/>
      <c r="GN3146" s="155"/>
      <c r="GO3146" s="155"/>
      <c r="GP3146" s="155"/>
      <c r="GQ3146" s="155"/>
      <c r="GR3146" s="155"/>
      <c r="GS3146" s="155"/>
      <c r="GT3146" s="155"/>
      <c r="GU3146" s="155"/>
      <c r="GV3146" s="155"/>
      <c r="GW3146" s="155"/>
      <c r="GX3146" s="155"/>
      <c r="GY3146" s="155"/>
      <c r="GZ3146" s="155"/>
      <c r="HA3146" s="155"/>
      <c r="HB3146" s="155"/>
      <c r="HC3146" s="155"/>
      <c r="HD3146" s="155"/>
      <c r="HE3146" s="155"/>
    </row>
    <row r="3147" spans="2:213" s="156" customFormat="1" hidden="1">
      <c r="B3147" s="155"/>
      <c r="C3147" s="155"/>
      <c r="D3147" s="155"/>
      <c r="E3147" s="155"/>
      <c r="F3147" s="155"/>
      <c r="G3147" s="155"/>
      <c r="H3147" s="155"/>
      <c r="I3147" s="155"/>
      <c r="J3147" s="155"/>
      <c r="K3147" s="155"/>
      <c r="L3147" s="155"/>
      <c r="M3147" s="155"/>
      <c r="N3147" s="155"/>
      <c r="O3147" s="155"/>
      <c r="P3147" s="155"/>
      <c r="Q3147" s="155"/>
      <c r="R3147" s="155"/>
      <c r="S3147" s="155"/>
      <c r="T3147" s="155"/>
      <c r="U3147" s="155"/>
      <c r="V3147" s="155"/>
      <c r="W3147" s="155"/>
      <c r="GL3147" s="155"/>
      <c r="GM3147" s="155"/>
      <c r="GN3147" s="155"/>
      <c r="GO3147" s="155"/>
      <c r="GP3147" s="155"/>
      <c r="GQ3147" s="155"/>
      <c r="GR3147" s="155"/>
      <c r="GS3147" s="155"/>
      <c r="GT3147" s="155"/>
      <c r="GU3147" s="155"/>
      <c r="GV3147" s="155"/>
      <c r="GW3147" s="155"/>
      <c r="GX3147" s="155"/>
      <c r="GY3147" s="155"/>
      <c r="GZ3147" s="155"/>
      <c r="HA3147" s="155"/>
      <c r="HB3147" s="155"/>
      <c r="HC3147" s="155"/>
      <c r="HD3147" s="155"/>
      <c r="HE3147" s="155"/>
    </row>
    <row r="3148" spans="2:213" s="156" customFormat="1" hidden="1">
      <c r="B3148" s="155"/>
      <c r="C3148" s="155"/>
      <c r="D3148" s="155"/>
      <c r="E3148" s="155"/>
      <c r="F3148" s="155"/>
      <c r="G3148" s="155"/>
      <c r="H3148" s="155"/>
      <c r="I3148" s="155"/>
      <c r="J3148" s="155"/>
      <c r="K3148" s="155"/>
      <c r="L3148" s="155"/>
      <c r="M3148" s="155"/>
      <c r="N3148" s="155"/>
      <c r="O3148" s="155"/>
      <c r="P3148" s="155"/>
      <c r="Q3148" s="155"/>
      <c r="R3148" s="155"/>
      <c r="S3148" s="155"/>
      <c r="T3148" s="155"/>
      <c r="U3148" s="155"/>
      <c r="V3148" s="155"/>
      <c r="W3148" s="155"/>
      <c r="GL3148" s="155"/>
      <c r="GM3148" s="155"/>
      <c r="GN3148" s="155"/>
      <c r="GO3148" s="155"/>
      <c r="GP3148" s="155"/>
      <c r="GQ3148" s="155"/>
      <c r="GR3148" s="155"/>
      <c r="GS3148" s="155"/>
      <c r="GT3148" s="155"/>
      <c r="GU3148" s="155"/>
      <c r="GV3148" s="155"/>
      <c r="GW3148" s="155"/>
      <c r="GX3148" s="155"/>
      <c r="GY3148" s="155"/>
      <c r="GZ3148" s="155"/>
      <c r="HA3148" s="155"/>
      <c r="HB3148" s="155"/>
      <c r="HC3148" s="155"/>
      <c r="HD3148" s="155"/>
      <c r="HE3148" s="155"/>
    </row>
    <row r="3149" spans="2:213" s="156" customFormat="1" hidden="1">
      <c r="B3149" s="155"/>
      <c r="C3149" s="155"/>
      <c r="D3149" s="155"/>
      <c r="E3149" s="155"/>
      <c r="F3149" s="155"/>
      <c r="G3149" s="155"/>
      <c r="H3149" s="155"/>
      <c r="I3149" s="155"/>
      <c r="J3149" s="155"/>
      <c r="K3149" s="155"/>
      <c r="L3149" s="155"/>
      <c r="M3149" s="155"/>
      <c r="N3149" s="155"/>
      <c r="O3149" s="155"/>
      <c r="P3149" s="155"/>
      <c r="Q3149" s="155"/>
      <c r="R3149" s="155"/>
      <c r="S3149" s="155"/>
      <c r="T3149" s="155"/>
      <c r="U3149" s="155"/>
      <c r="V3149" s="155"/>
      <c r="W3149" s="155"/>
      <c r="GL3149" s="155"/>
      <c r="GM3149" s="155"/>
      <c r="GN3149" s="155"/>
      <c r="GO3149" s="155"/>
      <c r="GP3149" s="155"/>
      <c r="GQ3149" s="155"/>
      <c r="GR3149" s="155"/>
      <c r="GS3149" s="155"/>
      <c r="GT3149" s="155"/>
      <c r="GU3149" s="155"/>
      <c r="GV3149" s="155"/>
      <c r="GW3149" s="155"/>
      <c r="GX3149" s="155"/>
      <c r="GY3149" s="155"/>
      <c r="GZ3149" s="155"/>
      <c r="HA3149" s="155"/>
      <c r="HB3149" s="155"/>
      <c r="HC3149" s="155"/>
      <c r="HD3149" s="155"/>
      <c r="HE3149" s="155"/>
    </row>
    <row r="3150" spans="2:213" s="156" customFormat="1" hidden="1">
      <c r="B3150" s="155"/>
      <c r="C3150" s="155"/>
      <c r="D3150" s="155"/>
      <c r="E3150" s="155"/>
      <c r="F3150" s="155"/>
      <c r="G3150" s="155"/>
      <c r="H3150" s="155"/>
      <c r="I3150" s="155"/>
      <c r="J3150" s="155"/>
      <c r="K3150" s="155"/>
      <c r="L3150" s="155"/>
      <c r="M3150" s="155"/>
      <c r="N3150" s="155"/>
      <c r="O3150" s="155"/>
      <c r="P3150" s="155"/>
      <c r="Q3150" s="155"/>
      <c r="R3150" s="155"/>
      <c r="S3150" s="155"/>
      <c r="T3150" s="155"/>
      <c r="U3150" s="155"/>
      <c r="V3150" s="155"/>
      <c r="W3150" s="155"/>
      <c r="GL3150" s="155"/>
      <c r="GM3150" s="155"/>
      <c r="GN3150" s="155"/>
      <c r="GO3150" s="155"/>
      <c r="GP3150" s="155"/>
      <c r="GQ3150" s="155"/>
      <c r="GR3150" s="155"/>
      <c r="GS3150" s="155"/>
      <c r="GT3150" s="155"/>
      <c r="GU3150" s="155"/>
      <c r="GV3150" s="155"/>
      <c r="GW3150" s="155"/>
      <c r="GX3150" s="155"/>
      <c r="GY3150" s="155"/>
      <c r="GZ3150" s="155"/>
      <c r="HA3150" s="155"/>
      <c r="HB3150" s="155"/>
      <c r="HC3150" s="155"/>
      <c r="HD3150" s="155"/>
      <c r="HE3150" s="155"/>
    </row>
    <row r="3151" spans="2:213" s="156" customFormat="1" hidden="1">
      <c r="B3151" s="155"/>
      <c r="C3151" s="155"/>
      <c r="D3151" s="155"/>
      <c r="E3151" s="155"/>
      <c r="F3151" s="155"/>
      <c r="G3151" s="155"/>
      <c r="H3151" s="155"/>
      <c r="I3151" s="155"/>
      <c r="J3151" s="155"/>
      <c r="K3151" s="155"/>
      <c r="L3151" s="155"/>
      <c r="M3151" s="155"/>
      <c r="N3151" s="155"/>
      <c r="O3151" s="155"/>
      <c r="P3151" s="155"/>
      <c r="Q3151" s="155"/>
      <c r="R3151" s="155"/>
      <c r="S3151" s="155"/>
      <c r="T3151" s="155"/>
      <c r="U3151" s="155"/>
      <c r="V3151" s="155"/>
      <c r="W3151" s="155"/>
      <c r="GL3151" s="155"/>
      <c r="GM3151" s="155"/>
      <c r="GN3151" s="155"/>
      <c r="GO3151" s="155"/>
      <c r="GP3151" s="155"/>
      <c r="GQ3151" s="155"/>
      <c r="GR3151" s="155"/>
      <c r="GS3151" s="155"/>
      <c r="GT3151" s="155"/>
      <c r="GU3151" s="155"/>
      <c r="GV3151" s="155"/>
      <c r="GW3151" s="155"/>
      <c r="GX3151" s="155"/>
      <c r="GY3151" s="155"/>
      <c r="GZ3151" s="155"/>
      <c r="HA3151" s="155"/>
      <c r="HB3151" s="155"/>
      <c r="HC3151" s="155"/>
      <c r="HD3151" s="155"/>
      <c r="HE3151" s="155"/>
    </row>
    <row r="3152" spans="2:213" s="156" customFormat="1" hidden="1">
      <c r="B3152" s="155"/>
      <c r="C3152" s="155"/>
      <c r="D3152" s="155"/>
      <c r="E3152" s="155"/>
      <c r="F3152" s="155"/>
      <c r="G3152" s="155"/>
      <c r="H3152" s="155"/>
      <c r="I3152" s="155"/>
      <c r="J3152" s="155"/>
      <c r="K3152" s="155"/>
      <c r="L3152" s="155"/>
      <c r="M3152" s="155"/>
      <c r="N3152" s="155"/>
      <c r="O3152" s="155"/>
      <c r="P3152" s="155"/>
      <c r="Q3152" s="155"/>
      <c r="R3152" s="155"/>
      <c r="S3152" s="155"/>
      <c r="T3152" s="155"/>
      <c r="U3152" s="155"/>
      <c r="V3152" s="155"/>
      <c r="W3152" s="155"/>
      <c r="GL3152" s="155"/>
      <c r="GM3152" s="155"/>
      <c r="GN3152" s="155"/>
      <c r="GO3152" s="155"/>
      <c r="GP3152" s="155"/>
      <c r="GQ3152" s="155"/>
      <c r="GR3152" s="155"/>
      <c r="GS3152" s="155"/>
      <c r="GT3152" s="155"/>
      <c r="GU3152" s="155"/>
      <c r="GV3152" s="155"/>
      <c r="GW3152" s="155"/>
      <c r="GX3152" s="155"/>
      <c r="GY3152" s="155"/>
      <c r="GZ3152" s="155"/>
      <c r="HA3152" s="155"/>
      <c r="HB3152" s="155"/>
      <c r="HC3152" s="155"/>
      <c r="HD3152" s="155"/>
      <c r="HE3152" s="155"/>
    </row>
    <row r="3153" spans="2:213" s="156" customFormat="1" hidden="1">
      <c r="B3153" s="155"/>
      <c r="C3153" s="155"/>
      <c r="D3153" s="155"/>
      <c r="E3153" s="155"/>
      <c r="F3153" s="155"/>
      <c r="G3153" s="155"/>
      <c r="H3153" s="155"/>
      <c r="I3153" s="155"/>
      <c r="J3153" s="155"/>
      <c r="K3153" s="155"/>
      <c r="L3153" s="155"/>
      <c r="M3153" s="155"/>
      <c r="N3153" s="155"/>
      <c r="O3153" s="155"/>
      <c r="P3153" s="155"/>
      <c r="Q3153" s="155"/>
      <c r="R3153" s="155"/>
      <c r="S3153" s="155"/>
      <c r="T3153" s="155"/>
      <c r="U3153" s="155"/>
      <c r="V3153" s="155"/>
      <c r="W3153" s="155"/>
      <c r="GL3153" s="155"/>
      <c r="GM3153" s="155"/>
      <c r="GN3153" s="155"/>
      <c r="GO3153" s="155"/>
      <c r="GP3153" s="155"/>
      <c r="GQ3153" s="155"/>
      <c r="GR3153" s="155"/>
      <c r="GS3153" s="155"/>
      <c r="GT3153" s="155"/>
      <c r="GU3153" s="155"/>
      <c r="GV3153" s="155"/>
      <c r="GW3153" s="155"/>
      <c r="GX3153" s="155"/>
      <c r="GY3153" s="155"/>
      <c r="GZ3153" s="155"/>
      <c r="HA3153" s="155"/>
      <c r="HB3153" s="155"/>
      <c r="HC3153" s="155"/>
      <c r="HD3153" s="155"/>
      <c r="HE3153" s="155"/>
    </row>
    <row r="3154" spans="2:213" s="156" customFormat="1" hidden="1">
      <c r="B3154" s="155"/>
      <c r="C3154" s="155"/>
      <c r="D3154" s="155"/>
      <c r="E3154" s="155"/>
      <c r="F3154" s="155"/>
      <c r="G3154" s="155"/>
      <c r="H3154" s="155"/>
      <c r="I3154" s="155"/>
      <c r="J3154" s="155"/>
      <c r="K3154" s="155"/>
      <c r="L3154" s="155"/>
      <c r="M3154" s="155"/>
      <c r="N3154" s="155"/>
      <c r="O3154" s="155"/>
      <c r="P3154" s="155"/>
      <c r="Q3154" s="155"/>
      <c r="R3154" s="155"/>
      <c r="S3154" s="155"/>
      <c r="T3154" s="155"/>
      <c r="U3154" s="155"/>
      <c r="V3154" s="155"/>
      <c r="W3154" s="155"/>
      <c r="GL3154" s="155"/>
      <c r="GM3154" s="155"/>
      <c r="GN3154" s="155"/>
      <c r="GO3154" s="155"/>
      <c r="GP3154" s="155"/>
      <c r="GQ3154" s="155"/>
      <c r="GR3154" s="155"/>
      <c r="GS3154" s="155"/>
      <c r="GT3154" s="155"/>
      <c r="GU3154" s="155"/>
      <c r="GV3154" s="155"/>
      <c r="GW3154" s="155"/>
      <c r="GX3154" s="155"/>
      <c r="GY3154" s="155"/>
      <c r="GZ3154" s="155"/>
      <c r="HA3154" s="155"/>
      <c r="HB3154" s="155"/>
      <c r="HC3154" s="155"/>
      <c r="HD3154" s="155"/>
      <c r="HE3154" s="155"/>
    </row>
    <row r="3155" spans="2:213" s="156" customFormat="1" hidden="1">
      <c r="B3155" s="155"/>
      <c r="C3155" s="155"/>
      <c r="D3155" s="155"/>
      <c r="E3155" s="155"/>
      <c r="F3155" s="155"/>
      <c r="G3155" s="155"/>
      <c r="H3155" s="155"/>
      <c r="I3155" s="155"/>
      <c r="J3155" s="155"/>
      <c r="K3155" s="155"/>
      <c r="L3155" s="155"/>
      <c r="M3155" s="155"/>
      <c r="N3155" s="155"/>
      <c r="O3155" s="155"/>
      <c r="P3155" s="155"/>
      <c r="Q3155" s="155"/>
      <c r="R3155" s="155"/>
      <c r="S3155" s="155"/>
      <c r="T3155" s="155"/>
      <c r="U3155" s="155"/>
      <c r="V3155" s="155"/>
      <c r="W3155" s="155"/>
      <c r="GL3155" s="155"/>
      <c r="GM3155" s="155"/>
      <c r="GN3155" s="155"/>
      <c r="GO3155" s="155"/>
      <c r="GP3155" s="155"/>
      <c r="GQ3155" s="155"/>
      <c r="GR3155" s="155"/>
      <c r="GS3155" s="155"/>
      <c r="GT3155" s="155"/>
      <c r="GU3155" s="155"/>
      <c r="GV3155" s="155"/>
      <c r="GW3155" s="155"/>
      <c r="GX3155" s="155"/>
      <c r="GY3155" s="155"/>
      <c r="GZ3155" s="155"/>
      <c r="HA3155" s="155"/>
      <c r="HB3155" s="155"/>
      <c r="HC3155" s="155"/>
      <c r="HD3155" s="155"/>
      <c r="HE3155" s="155"/>
    </row>
    <row r="3156" spans="2:213" s="156" customFormat="1" hidden="1">
      <c r="B3156" s="155"/>
      <c r="C3156" s="155"/>
      <c r="D3156" s="155"/>
      <c r="E3156" s="155"/>
      <c r="F3156" s="155"/>
      <c r="G3156" s="155"/>
      <c r="H3156" s="155"/>
      <c r="I3156" s="155"/>
      <c r="J3156" s="155"/>
      <c r="K3156" s="155"/>
      <c r="L3156" s="155"/>
      <c r="M3156" s="155"/>
      <c r="N3156" s="155"/>
      <c r="O3156" s="155"/>
      <c r="P3156" s="155"/>
      <c r="Q3156" s="155"/>
      <c r="R3156" s="155"/>
      <c r="S3156" s="155"/>
      <c r="T3156" s="155"/>
      <c r="U3156" s="155"/>
      <c r="V3156" s="155"/>
      <c r="W3156" s="155"/>
      <c r="GL3156" s="155"/>
      <c r="GM3156" s="155"/>
      <c r="GN3156" s="155"/>
      <c r="GO3156" s="155"/>
      <c r="GP3156" s="155"/>
      <c r="GQ3156" s="155"/>
      <c r="GR3156" s="155"/>
      <c r="GS3156" s="155"/>
      <c r="GT3156" s="155"/>
      <c r="GU3156" s="155"/>
      <c r="GV3156" s="155"/>
      <c r="GW3156" s="155"/>
      <c r="GX3156" s="155"/>
      <c r="GY3156" s="155"/>
      <c r="GZ3156" s="155"/>
      <c r="HA3156" s="155"/>
      <c r="HB3156" s="155"/>
      <c r="HC3156" s="155"/>
      <c r="HD3156" s="155"/>
      <c r="HE3156" s="155"/>
    </row>
    <row r="3157" spans="2:213" s="156" customFormat="1" hidden="1">
      <c r="B3157" s="155"/>
      <c r="C3157" s="155"/>
      <c r="D3157" s="155"/>
      <c r="E3157" s="155"/>
      <c r="F3157" s="155"/>
      <c r="G3157" s="155"/>
      <c r="H3157" s="155"/>
      <c r="I3157" s="155"/>
      <c r="J3157" s="155"/>
      <c r="K3157" s="155"/>
      <c r="L3157" s="155"/>
      <c r="M3157" s="155"/>
      <c r="N3157" s="155"/>
      <c r="O3157" s="155"/>
      <c r="P3157" s="155"/>
      <c r="Q3157" s="155"/>
      <c r="R3157" s="155"/>
      <c r="S3157" s="155"/>
      <c r="T3157" s="155"/>
      <c r="U3157" s="155"/>
      <c r="V3157" s="155"/>
      <c r="W3157" s="155"/>
      <c r="GL3157" s="155"/>
      <c r="GM3157" s="155"/>
      <c r="GN3157" s="155"/>
      <c r="GO3157" s="155"/>
      <c r="GP3157" s="155"/>
      <c r="GQ3157" s="155"/>
      <c r="GR3157" s="155"/>
      <c r="GS3157" s="155"/>
      <c r="GT3157" s="155"/>
      <c r="GU3157" s="155"/>
      <c r="GV3157" s="155"/>
      <c r="GW3157" s="155"/>
      <c r="GX3157" s="155"/>
      <c r="GY3157" s="155"/>
      <c r="GZ3157" s="155"/>
      <c r="HA3157" s="155"/>
      <c r="HB3157" s="155"/>
      <c r="HC3157" s="155"/>
      <c r="HD3157" s="155"/>
      <c r="HE3157" s="155"/>
    </row>
    <row r="3158" spans="2:213" s="156" customFormat="1" hidden="1">
      <c r="B3158" s="155"/>
      <c r="C3158" s="155"/>
      <c r="D3158" s="155"/>
      <c r="E3158" s="155"/>
      <c r="F3158" s="155"/>
      <c r="G3158" s="155"/>
      <c r="H3158" s="155"/>
      <c r="I3158" s="155"/>
      <c r="J3158" s="155"/>
      <c r="K3158" s="155"/>
      <c r="L3158" s="155"/>
      <c r="M3158" s="155"/>
      <c r="N3158" s="155"/>
      <c r="O3158" s="155"/>
      <c r="P3158" s="155"/>
      <c r="Q3158" s="155"/>
      <c r="R3158" s="155"/>
      <c r="S3158" s="155"/>
      <c r="T3158" s="155"/>
      <c r="U3158" s="155"/>
      <c r="V3158" s="155"/>
      <c r="W3158" s="155"/>
      <c r="GL3158" s="155"/>
      <c r="GM3158" s="155"/>
      <c r="GN3158" s="155"/>
      <c r="GO3158" s="155"/>
      <c r="GP3158" s="155"/>
      <c r="GQ3158" s="155"/>
      <c r="GR3158" s="155"/>
      <c r="GS3158" s="155"/>
      <c r="GT3158" s="155"/>
      <c r="GU3158" s="155"/>
      <c r="GV3158" s="155"/>
      <c r="GW3158" s="155"/>
      <c r="GX3158" s="155"/>
      <c r="GY3158" s="155"/>
      <c r="GZ3158" s="155"/>
      <c r="HA3158" s="155"/>
      <c r="HB3158" s="155"/>
      <c r="HC3158" s="155"/>
      <c r="HD3158" s="155"/>
      <c r="HE3158" s="155"/>
    </row>
    <row r="3159" spans="2:213" s="156" customFormat="1" hidden="1">
      <c r="B3159" s="155"/>
      <c r="C3159" s="155"/>
      <c r="D3159" s="155"/>
      <c r="E3159" s="155"/>
      <c r="F3159" s="155"/>
      <c r="G3159" s="155"/>
      <c r="H3159" s="155"/>
      <c r="I3159" s="155"/>
      <c r="J3159" s="155"/>
      <c r="K3159" s="155"/>
      <c r="L3159" s="155"/>
      <c r="M3159" s="155"/>
      <c r="N3159" s="155"/>
      <c r="O3159" s="155"/>
      <c r="P3159" s="155"/>
      <c r="Q3159" s="155"/>
      <c r="R3159" s="155"/>
      <c r="S3159" s="155"/>
      <c r="T3159" s="155"/>
      <c r="U3159" s="155"/>
      <c r="V3159" s="155"/>
      <c r="W3159" s="155"/>
      <c r="GL3159" s="155"/>
      <c r="GM3159" s="155"/>
      <c r="GN3159" s="155"/>
      <c r="GO3159" s="155"/>
      <c r="GP3159" s="155"/>
      <c r="GQ3159" s="155"/>
      <c r="GR3159" s="155"/>
      <c r="GS3159" s="155"/>
      <c r="GT3159" s="155"/>
      <c r="GU3159" s="155"/>
      <c r="GV3159" s="155"/>
      <c r="GW3159" s="155"/>
      <c r="GX3159" s="155"/>
      <c r="GY3159" s="155"/>
      <c r="GZ3159" s="155"/>
      <c r="HA3159" s="155"/>
      <c r="HB3159" s="155"/>
      <c r="HC3159" s="155"/>
      <c r="HD3159" s="155"/>
      <c r="HE3159" s="155"/>
    </row>
    <row r="3160" spans="2:213" s="156" customFormat="1" hidden="1">
      <c r="B3160" s="155"/>
      <c r="C3160" s="155"/>
      <c r="D3160" s="155"/>
      <c r="E3160" s="155"/>
      <c r="F3160" s="155"/>
      <c r="G3160" s="155"/>
      <c r="H3160" s="155"/>
      <c r="I3160" s="155"/>
      <c r="J3160" s="155"/>
      <c r="K3160" s="155"/>
      <c r="L3160" s="155"/>
      <c r="M3160" s="155"/>
      <c r="N3160" s="155"/>
      <c r="O3160" s="155"/>
      <c r="P3160" s="155"/>
      <c r="Q3160" s="155"/>
      <c r="R3160" s="155"/>
      <c r="S3160" s="155"/>
      <c r="T3160" s="155"/>
      <c r="U3160" s="155"/>
      <c r="V3160" s="155"/>
      <c r="W3160" s="155"/>
      <c r="GL3160" s="155"/>
      <c r="GM3160" s="155"/>
      <c r="GN3160" s="155"/>
      <c r="GO3160" s="155"/>
      <c r="GP3160" s="155"/>
      <c r="GQ3160" s="155"/>
      <c r="GR3160" s="155"/>
      <c r="GS3160" s="155"/>
      <c r="GT3160" s="155"/>
      <c r="GU3160" s="155"/>
      <c r="GV3160" s="155"/>
      <c r="GW3160" s="155"/>
      <c r="GX3160" s="155"/>
      <c r="GY3160" s="155"/>
      <c r="GZ3160" s="155"/>
      <c r="HA3160" s="155"/>
      <c r="HB3160" s="155"/>
      <c r="HC3160" s="155"/>
      <c r="HD3160" s="155"/>
      <c r="HE3160" s="155"/>
    </row>
    <row r="3161" spans="2:213" s="156" customFormat="1" hidden="1">
      <c r="B3161" s="155"/>
      <c r="C3161" s="155"/>
      <c r="D3161" s="155"/>
      <c r="E3161" s="155"/>
      <c r="F3161" s="155"/>
      <c r="G3161" s="155"/>
      <c r="H3161" s="155"/>
      <c r="I3161" s="155"/>
      <c r="J3161" s="155"/>
      <c r="K3161" s="155"/>
      <c r="L3161" s="155"/>
      <c r="M3161" s="155"/>
      <c r="N3161" s="155"/>
      <c r="O3161" s="155"/>
      <c r="P3161" s="155"/>
      <c r="Q3161" s="155"/>
      <c r="R3161" s="155"/>
      <c r="S3161" s="155"/>
      <c r="T3161" s="155"/>
      <c r="U3161" s="155"/>
      <c r="V3161" s="155"/>
      <c r="W3161" s="155"/>
      <c r="GL3161" s="155"/>
      <c r="GM3161" s="155"/>
      <c r="GN3161" s="155"/>
      <c r="GO3161" s="155"/>
      <c r="GP3161" s="155"/>
      <c r="GQ3161" s="155"/>
      <c r="GR3161" s="155"/>
      <c r="GS3161" s="155"/>
      <c r="GT3161" s="155"/>
      <c r="GU3161" s="155"/>
      <c r="GV3161" s="155"/>
      <c r="GW3161" s="155"/>
      <c r="GX3161" s="155"/>
      <c r="GY3161" s="155"/>
      <c r="GZ3161" s="155"/>
      <c r="HA3161" s="155"/>
      <c r="HB3161" s="155"/>
      <c r="HC3161" s="155"/>
      <c r="HD3161" s="155"/>
      <c r="HE3161" s="155"/>
    </row>
    <row r="3162" spans="2:213" s="156" customFormat="1" hidden="1">
      <c r="B3162" s="155"/>
      <c r="C3162" s="155"/>
      <c r="D3162" s="155"/>
      <c r="E3162" s="155"/>
      <c r="F3162" s="155"/>
      <c r="G3162" s="155"/>
      <c r="H3162" s="155"/>
      <c r="I3162" s="155"/>
      <c r="J3162" s="155"/>
      <c r="K3162" s="155"/>
      <c r="L3162" s="155"/>
      <c r="M3162" s="155"/>
      <c r="N3162" s="155"/>
      <c r="O3162" s="155"/>
      <c r="P3162" s="155"/>
      <c r="Q3162" s="155"/>
      <c r="R3162" s="155"/>
      <c r="S3162" s="155"/>
      <c r="T3162" s="155"/>
      <c r="U3162" s="155"/>
      <c r="V3162" s="155"/>
      <c r="W3162" s="155"/>
      <c r="GL3162" s="155"/>
      <c r="GM3162" s="155"/>
      <c r="GN3162" s="155"/>
      <c r="GO3162" s="155"/>
      <c r="GP3162" s="155"/>
      <c r="GQ3162" s="155"/>
      <c r="GR3162" s="155"/>
      <c r="GS3162" s="155"/>
      <c r="GT3162" s="155"/>
      <c r="GU3162" s="155"/>
      <c r="GV3162" s="155"/>
      <c r="GW3162" s="155"/>
      <c r="GX3162" s="155"/>
      <c r="GY3162" s="155"/>
      <c r="GZ3162" s="155"/>
      <c r="HA3162" s="155"/>
      <c r="HB3162" s="155"/>
      <c r="HC3162" s="155"/>
      <c r="HD3162" s="155"/>
      <c r="HE3162" s="155"/>
    </row>
    <row r="3163" spans="2:213" s="156" customFormat="1" hidden="1">
      <c r="B3163" s="155"/>
      <c r="C3163" s="155"/>
      <c r="D3163" s="155"/>
      <c r="E3163" s="155"/>
      <c r="F3163" s="155"/>
      <c r="G3163" s="155"/>
      <c r="H3163" s="155"/>
      <c r="I3163" s="155"/>
      <c r="J3163" s="155"/>
      <c r="K3163" s="155"/>
      <c r="L3163" s="155"/>
      <c r="M3163" s="155"/>
      <c r="N3163" s="155"/>
      <c r="O3163" s="155"/>
      <c r="P3163" s="155"/>
      <c r="Q3163" s="155"/>
      <c r="R3163" s="155"/>
      <c r="S3163" s="155"/>
      <c r="T3163" s="155"/>
      <c r="U3163" s="155"/>
      <c r="V3163" s="155"/>
      <c r="W3163" s="155"/>
      <c r="GL3163" s="155"/>
      <c r="GM3163" s="155"/>
      <c r="GN3163" s="155"/>
      <c r="GO3163" s="155"/>
      <c r="GP3163" s="155"/>
      <c r="GQ3163" s="155"/>
      <c r="GR3163" s="155"/>
      <c r="GS3163" s="155"/>
      <c r="GT3163" s="155"/>
      <c r="GU3163" s="155"/>
      <c r="GV3163" s="155"/>
      <c r="GW3163" s="155"/>
      <c r="GX3163" s="155"/>
      <c r="GY3163" s="155"/>
      <c r="GZ3163" s="155"/>
      <c r="HA3163" s="155"/>
      <c r="HB3163" s="155"/>
      <c r="HC3163" s="155"/>
      <c r="HD3163" s="155"/>
      <c r="HE3163" s="155"/>
    </row>
    <row r="3164" spans="2:213" s="156" customFormat="1" hidden="1">
      <c r="B3164" s="155"/>
      <c r="C3164" s="155"/>
      <c r="D3164" s="155"/>
      <c r="E3164" s="155"/>
      <c r="F3164" s="155"/>
      <c r="G3164" s="155"/>
      <c r="H3164" s="155"/>
      <c r="I3164" s="155"/>
      <c r="J3164" s="155"/>
      <c r="K3164" s="155"/>
      <c r="L3164" s="155"/>
      <c r="M3164" s="155"/>
      <c r="N3164" s="155"/>
      <c r="O3164" s="155"/>
      <c r="P3164" s="155"/>
      <c r="Q3164" s="155"/>
      <c r="R3164" s="155"/>
      <c r="S3164" s="155"/>
      <c r="T3164" s="155"/>
      <c r="U3164" s="155"/>
      <c r="V3164" s="155"/>
      <c r="W3164" s="155"/>
      <c r="GL3164" s="155"/>
      <c r="GM3164" s="155"/>
      <c r="GN3164" s="155"/>
      <c r="GO3164" s="155"/>
      <c r="GP3164" s="155"/>
      <c r="GQ3164" s="155"/>
      <c r="GR3164" s="155"/>
      <c r="GS3164" s="155"/>
      <c r="GT3164" s="155"/>
      <c r="GU3164" s="155"/>
      <c r="GV3164" s="155"/>
      <c r="GW3164" s="155"/>
      <c r="GX3164" s="155"/>
      <c r="GY3164" s="155"/>
      <c r="GZ3164" s="155"/>
      <c r="HA3164" s="155"/>
      <c r="HB3164" s="155"/>
      <c r="HC3164" s="155"/>
      <c r="HD3164" s="155"/>
      <c r="HE3164" s="155"/>
    </row>
    <row r="3165" spans="2:213" s="156" customFormat="1" hidden="1">
      <c r="B3165" s="155"/>
      <c r="C3165" s="155"/>
      <c r="D3165" s="155"/>
      <c r="E3165" s="155"/>
      <c r="F3165" s="155"/>
      <c r="G3165" s="155"/>
      <c r="H3165" s="155"/>
      <c r="I3165" s="155"/>
      <c r="J3165" s="155"/>
      <c r="K3165" s="155"/>
      <c r="L3165" s="155"/>
      <c r="M3165" s="155"/>
      <c r="N3165" s="155"/>
      <c r="O3165" s="155"/>
      <c r="P3165" s="155"/>
      <c r="Q3165" s="155"/>
      <c r="R3165" s="155"/>
      <c r="S3165" s="155"/>
      <c r="T3165" s="155"/>
      <c r="U3165" s="155"/>
      <c r="V3165" s="155"/>
      <c r="W3165" s="155"/>
      <c r="GL3165" s="155"/>
      <c r="GM3165" s="155"/>
      <c r="GN3165" s="155"/>
      <c r="GO3165" s="155"/>
      <c r="GP3165" s="155"/>
      <c r="GQ3165" s="155"/>
      <c r="GR3165" s="155"/>
      <c r="GS3165" s="155"/>
      <c r="GT3165" s="155"/>
      <c r="GU3165" s="155"/>
      <c r="GV3165" s="155"/>
      <c r="GW3165" s="155"/>
      <c r="GX3165" s="155"/>
      <c r="GY3165" s="155"/>
      <c r="GZ3165" s="155"/>
      <c r="HA3165" s="155"/>
      <c r="HB3165" s="155"/>
      <c r="HC3165" s="155"/>
      <c r="HD3165" s="155"/>
      <c r="HE3165" s="155"/>
    </row>
    <row r="3166" spans="2:213" s="156" customFormat="1" hidden="1">
      <c r="B3166" s="155"/>
      <c r="C3166" s="155"/>
      <c r="D3166" s="155"/>
      <c r="E3166" s="155"/>
      <c r="F3166" s="155"/>
      <c r="G3166" s="155"/>
      <c r="H3166" s="155"/>
      <c r="I3166" s="155"/>
      <c r="J3166" s="155"/>
      <c r="K3166" s="155"/>
      <c r="L3166" s="155"/>
      <c r="M3166" s="155"/>
      <c r="N3166" s="155"/>
      <c r="O3166" s="155"/>
      <c r="P3166" s="155"/>
      <c r="Q3166" s="155"/>
      <c r="R3166" s="155"/>
      <c r="S3166" s="155"/>
      <c r="T3166" s="155"/>
      <c r="U3166" s="155"/>
      <c r="V3166" s="155"/>
      <c r="W3166" s="155"/>
      <c r="GL3166" s="155"/>
      <c r="GM3166" s="155"/>
      <c r="GN3166" s="155"/>
      <c r="GO3166" s="155"/>
      <c r="GP3166" s="155"/>
      <c r="GQ3166" s="155"/>
      <c r="GR3166" s="155"/>
      <c r="GS3166" s="155"/>
      <c r="GT3166" s="155"/>
      <c r="GU3166" s="155"/>
      <c r="GV3166" s="155"/>
      <c r="GW3166" s="155"/>
      <c r="GX3166" s="155"/>
      <c r="GY3166" s="155"/>
      <c r="GZ3166" s="155"/>
      <c r="HA3166" s="155"/>
      <c r="HB3166" s="155"/>
      <c r="HC3166" s="155"/>
      <c r="HD3166" s="155"/>
      <c r="HE3166" s="155"/>
    </row>
    <row r="3167" spans="2:213" s="156" customFormat="1" hidden="1">
      <c r="B3167" s="155"/>
      <c r="C3167" s="155"/>
      <c r="D3167" s="155"/>
      <c r="E3167" s="155"/>
      <c r="F3167" s="155"/>
      <c r="G3167" s="155"/>
      <c r="H3167" s="155"/>
      <c r="I3167" s="155"/>
      <c r="J3167" s="155"/>
      <c r="K3167" s="155"/>
      <c r="L3167" s="155"/>
      <c r="M3167" s="155"/>
      <c r="N3167" s="155"/>
      <c r="O3167" s="155"/>
      <c r="P3167" s="155"/>
      <c r="Q3167" s="155"/>
      <c r="R3167" s="155"/>
      <c r="S3167" s="155"/>
      <c r="T3167" s="155"/>
      <c r="U3167" s="155"/>
      <c r="V3167" s="155"/>
      <c r="W3167" s="155"/>
      <c r="GL3167" s="155"/>
      <c r="GM3167" s="155"/>
      <c r="GN3167" s="155"/>
      <c r="GO3167" s="155"/>
      <c r="GP3167" s="155"/>
      <c r="GQ3167" s="155"/>
      <c r="GR3167" s="155"/>
      <c r="GS3167" s="155"/>
      <c r="GT3167" s="155"/>
      <c r="GU3167" s="155"/>
      <c r="GV3167" s="155"/>
      <c r="GW3167" s="155"/>
      <c r="GX3167" s="155"/>
      <c r="GY3167" s="155"/>
      <c r="GZ3167" s="155"/>
      <c r="HA3167" s="155"/>
      <c r="HB3167" s="155"/>
      <c r="HC3167" s="155"/>
      <c r="HD3167" s="155"/>
      <c r="HE3167" s="155"/>
    </row>
    <row r="3168" spans="2:213" s="156" customFormat="1" hidden="1">
      <c r="B3168" s="155"/>
      <c r="C3168" s="155"/>
      <c r="D3168" s="155"/>
      <c r="E3168" s="155"/>
      <c r="F3168" s="155"/>
      <c r="G3168" s="155"/>
      <c r="H3168" s="155"/>
      <c r="I3168" s="155"/>
      <c r="J3168" s="155"/>
      <c r="K3168" s="155"/>
      <c r="L3168" s="155"/>
      <c r="M3168" s="155"/>
      <c r="N3168" s="155"/>
      <c r="O3168" s="155"/>
      <c r="P3168" s="155"/>
      <c r="Q3168" s="155"/>
      <c r="R3168" s="155"/>
      <c r="S3168" s="155"/>
      <c r="T3168" s="155"/>
      <c r="U3168" s="155"/>
      <c r="V3168" s="155"/>
      <c r="W3168" s="155"/>
      <c r="GL3168" s="155"/>
      <c r="GM3168" s="155"/>
      <c r="GN3168" s="155"/>
      <c r="GO3168" s="155"/>
      <c r="GP3168" s="155"/>
      <c r="GQ3168" s="155"/>
      <c r="GR3168" s="155"/>
      <c r="GS3168" s="155"/>
      <c r="GT3168" s="155"/>
      <c r="GU3168" s="155"/>
      <c r="GV3168" s="155"/>
      <c r="GW3168" s="155"/>
      <c r="GX3168" s="155"/>
      <c r="GY3168" s="155"/>
      <c r="GZ3168" s="155"/>
      <c r="HA3168" s="155"/>
      <c r="HB3168" s="155"/>
      <c r="HC3168" s="155"/>
      <c r="HD3168" s="155"/>
      <c r="HE3168" s="155"/>
    </row>
    <row r="3169" spans="2:213" s="156" customFormat="1" hidden="1">
      <c r="B3169" s="155"/>
      <c r="C3169" s="155"/>
      <c r="D3169" s="155"/>
      <c r="E3169" s="155"/>
      <c r="F3169" s="155"/>
      <c r="G3169" s="155"/>
      <c r="H3169" s="155"/>
      <c r="I3169" s="155"/>
      <c r="J3169" s="155"/>
      <c r="K3169" s="155"/>
      <c r="L3169" s="155"/>
      <c r="M3169" s="155"/>
      <c r="N3169" s="155"/>
      <c r="O3169" s="155"/>
      <c r="P3169" s="155"/>
      <c r="Q3169" s="155"/>
      <c r="R3169" s="155"/>
      <c r="S3169" s="155"/>
      <c r="T3169" s="155"/>
      <c r="U3169" s="155"/>
      <c r="V3169" s="155"/>
      <c r="W3169" s="155"/>
      <c r="GL3169" s="155"/>
      <c r="GM3169" s="155"/>
      <c r="GN3169" s="155"/>
      <c r="GO3169" s="155"/>
      <c r="GP3169" s="155"/>
      <c r="GQ3169" s="155"/>
      <c r="GR3169" s="155"/>
      <c r="GS3169" s="155"/>
      <c r="GT3169" s="155"/>
      <c r="GU3169" s="155"/>
      <c r="GV3169" s="155"/>
      <c r="GW3169" s="155"/>
      <c r="GX3169" s="155"/>
      <c r="GY3169" s="155"/>
      <c r="GZ3169" s="155"/>
      <c r="HA3169" s="155"/>
      <c r="HB3169" s="155"/>
      <c r="HC3169" s="155"/>
      <c r="HD3169" s="155"/>
      <c r="HE3169" s="155"/>
    </row>
    <row r="3170" spans="2:213" s="156" customFormat="1" hidden="1">
      <c r="B3170" s="155"/>
      <c r="C3170" s="155"/>
      <c r="D3170" s="155"/>
      <c r="E3170" s="155"/>
      <c r="F3170" s="155"/>
      <c r="G3170" s="155"/>
      <c r="H3170" s="155"/>
      <c r="I3170" s="155"/>
      <c r="J3170" s="155"/>
      <c r="K3170" s="155"/>
      <c r="L3170" s="155"/>
      <c r="M3170" s="155"/>
      <c r="N3170" s="155"/>
      <c r="O3170" s="155"/>
      <c r="P3170" s="155"/>
      <c r="Q3170" s="155"/>
      <c r="R3170" s="155"/>
      <c r="S3170" s="155"/>
      <c r="T3170" s="155"/>
      <c r="U3170" s="155"/>
      <c r="V3170" s="155"/>
      <c r="W3170" s="155"/>
      <c r="GL3170" s="155"/>
      <c r="GM3170" s="155"/>
      <c r="GN3170" s="155"/>
      <c r="GO3170" s="155"/>
      <c r="GP3170" s="155"/>
      <c r="GQ3170" s="155"/>
      <c r="GR3170" s="155"/>
      <c r="GS3170" s="155"/>
      <c r="GT3170" s="155"/>
      <c r="GU3170" s="155"/>
      <c r="GV3170" s="155"/>
      <c r="GW3170" s="155"/>
      <c r="GX3170" s="155"/>
      <c r="GY3170" s="155"/>
      <c r="GZ3170" s="155"/>
      <c r="HA3170" s="155"/>
      <c r="HB3170" s="155"/>
      <c r="HC3170" s="155"/>
      <c r="HD3170" s="155"/>
      <c r="HE3170" s="155"/>
    </row>
    <row r="3171" spans="2:213" s="156" customFormat="1" hidden="1">
      <c r="B3171" s="155"/>
      <c r="C3171" s="155"/>
      <c r="D3171" s="155"/>
      <c r="E3171" s="155"/>
      <c r="F3171" s="155"/>
      <c r="G3171" s="155"/>
      <c r="H3171" s="155"/>
      <c r="I3171" s="155"/>
      <c r="J3171" s="155"/>
      <c r="K3171" s="155"/>
      <c r="L3171" s="155"/>
      <c r="M3171" s="155"/>
      <c r="N3171" s="155"/>
      <c r="O3171" s="155"/>
      <c r="P3171" s="155"/>
      <c r="Q3171" s="155"/>
      <c r="R3171" s="155"/>
      <c r="S3171" s="155"/>
      <c r="T3171" s="155"/>
      <c r="U3171" s="155"/>
      <c r="V3171" s="155"/>
      <c r="W3171" s="155"/>
      <c r="GL3171" s="155"/>
      <c r="GM3171" s="155"/>
      <c r="GN3171" s="155"/>
      <c r="GO3171" s="155"/>
      <c r="GP3171" s="155"/>
      <c r="GQ3171" s="155"/>
      <c r="GR3171" s="155"/>
      <c r="GS3171" s="155"/>
      <c r="GT3171" s="155"/>
      <c r="GU3171" s="155"/>
      <c r="GV3171" s="155"/>
      <c r="GW3171" s="155"/>
      <c r="GX3171" s="155"/>
      <c r="GY3171" s="155"/>
      <c r="GZ3171" s="155"/>
      <c r="HA3171" s="155"/>
      <c r="HB3171" s="155"/>
      <c r="HC3171" s="155"/>
      <c r="HD3171" s="155"/>
      <c r="HE3171" s="155"/>
    </row>
    <row r="3172" spans="2:213" s="156" customFormat="1" hidden="1">
      <c r="B3172" s="155"/>
      <c r="C3172" s="155"/>
      <c r="D3172" s="155"/>
      <c r="E3172" s="155"/>
      <c r="F3172" s="155"/>
      <c r="G3172" s="155"/>
      <c r="H3172" s="155"/>
      <c r="I3172" s="155"/>
      <c r="J3172" s="155"/>
      <c r="K3172" s="155"/>
      <c r="L3172" s="155"/>
      <c r="M3172" s="155"/>
      <c r="N3172" s="155"/>
      <c r="O3172" s="155"/>
      <c r="P3172" s="155"/>
      <c r="Q3172" s="155"/>
      <c r="R3172" s="155"/>
      <c r="S3172" s="155"/>
      <c r="T3172" s="155"/>
      <c r="U3172" s="155"/>
      <c r="V3172" s="155"/>
      <c r="W3172" s="155"/>
      <c r="GL3172" s="155"/>
      <c r="GM3172" s="155"/>
      <c r="GN3172" s="155"/>
      <c r="GO3172" s="155"/>
      <c r="GP3172" s="155"/>
      <c r="GQ3172" s="155"/>
      <c r="GR3172" s="155"/>
      <c r="GS3172" s="155"/>
      <c r="GT3172" s="155"/>
      <c r="GU3172" s="155"/>
      <c r="GV3172" s="155"/>
      <c r="GW3172" s="155"/>
      <c r="GX3172" s="155"/>
      <c r="GY3172" s="155"/>
      <c r="GZ3172" s="155"/>
      <c r="HA3172" s="155"/>
      <c r="HB3172" s="155"/>
      <c r="HC3172" s="155"/>
      <c r="HD3172" s="155"/>
      <c r="HE3172" s="155"/>
    </row>
    <row r="3173" spans="2:213" s="156" customFormat="1" hidden="1">
      <c r="B3173" s="155"/>
      <c r="C3173" s="155"/>
      <c r="D3173" s="155"/>
      <c r="E3173" s="155"/>
      <c r="F3173" s="155"/>
      <c r="G3173" s="155"/>
      <c r="H3173" s="155"/>
      <c r="I3173" s="155"/>
      <c r="J3173" s="155"/>
      <c r="K3173" s="155"/>
      <c r="L3173" s="155"/>
      <c r="M3173" s="155"/>
      <c r="N3173" s="155"/>
      <c r="O3173" s="155"/>
      <c r="P3173" s="155"/>
      <c r="Q3173" s="155"/>
      <c r="R3173" s="155"/>
      <c r="S3173" s="155"/>
      <c r="T3173" s="155"/>
      <c r="U3173" s="155"/>
      <c r="V3173" s="155"/>
      <c r="W3173" s="155"/>
      <c r="GL3173" s="155"/>
      <c r="GM3173" s="155"/>
      <c r="GN3173" s="155"/>
      <c r="GO3173" s="155"/>
      <c r="GP3173" s="155"/>
      <c r="GQ3173" s="155"/>
      <c r="GR3173" s="155"/>
      <c r="GS3173" s="155"/>
      <c r="GT3173" s="155"/>
      <c r="GU3173" s="155"/>
      <c r="GV3173" s="155"/>
      <c r="GW3173" s="155"/>
      <c r="GX3173" s="155"/>
      <c r="GY3173" s="155"/>
      <c r="GZ3173" s="155"/>
      <c r="HA3173" s="155"/>
      <c r="HB3173" s="155"/>
      <c r="HC3173" s="155"/>
      <c r="HD3173" s="155"/>
      <c r="HE3173" s="155"/>
    </row>
    <row r="3174" spans="2:213" s="156" customFormat="1" hidden="1">
      <c r="B3174" s="155"/>
      <c r="C3174" s="155"/>
      <c r="D3174" s="155"/>
      <c r="E3174" s="155"/>
      <c r="F3174" s="155"/>
      <c r="G3174" s="155"/>
      <c r="H3174" s="155"/>
      <c r="I3174" s="155"/>
      <c r="J3174" s="155"/>
      <c r="K3174" s="155"/>
      <c r="L3174" s="155"/>
      <c r="M3174" s="155"/>
      <c r="N3174" s="155"/>
      <c r="O3174" s="155"/>
      <c r="P3174" s="155"/>
      <c r="Q3174" s="155"/>
      <c r="R3174" s="155"/>
      <c r="S3174" s="155"/>
      <c r="T3174" s="155"/>
      <c r="U3174" s="155"/>
      <c r="V3174" s="155"/>
      <c r="W3174" s="155"/>
      <c r="GL3174" s="155"/>
      <c r="GM3174" s="155"/>
      <c r="GN3174" s="155"/>
      <c r="GO3174" s="155"/>
      <c r="GP3174" s="155"/>
      <c r="GQ3174" s="155"/>
      <c r="GR3174" s="155"/>
      <c r="GS3174" s="155"/>
      <c r="GT3174" s="155"/>
      <c r="GU3174" s="155"/>
      <c r="GV3174" s="155"/>
      <c r="GW3174" s="155"/>
      <c r="GX3174" s="155"/>
      <c r="GY3174" s="155"/>
      <c r="GZ3174" s="155"/>
      <c r="HA3174" s="155"/>
      <c r="HB3174" s="155"/>
      <c r="HC3174" s="155"/>
      <c r="HD3174" s="155"/>
      <c r="HE3174" s="155"/>
    </row>
    <row r="3175" spans="2:213" s="156" customFormat="1" hidden="1">
      <c r="B3175" s="155"/>
      <c r="C3175" s="155"/>
      <c r="D3175" s="155"/>
      <c r="E3175" s="155"/>
      <c r="F3175" s="155"/>
      <c r="G3175" s="155"/>
      <c r="H3175" s="155"/>
      <c r="I3175" s="155"/>
      <c r="J3175" s="155"/>
      <c r="K3175" s="155"/>
      <c r="L3175" s="155"/>
      <c r="M3175" s="155"/>
      <c r="N3175" s="155"/>
      <c r="O3175" s="155"/>
      <c r="P3175" s="155"/>
      <c r="Q3175" s="155"/>
      <c r="R3175" s="155"/>
      <c r="S3175" s="155"/>
      <c r="T3175" s="155"/>
      <c r="U3175" s="155"/>
      <c r="V3175" s="155"/>
      <c r="W3175" s="155"/>
      <c r="GL3175" s="155"/>
      <c r="GM3175" s="155"/>
      <c r="GN3175" s="155"/>
      <c r="GO3175" s="155"/>
      <c r="GP3175" s="155"/>
      <c r="GQ3175" s="155"/>
      <c r="GR3175" s="155"/>
      <c r="GS3175" s="155"/>
      <c r="GT3175" s="155"/>
      <c r="GU3175" s="155"/>
      <c r="GV3175" s="155"/>
      <c r="GW3175" s="155"/>
      <c r="GX3175" s="155"/>
      <c r="GY3175" s="155"/>
      <c r="GZ3175" s="155"/>
      <c r="HA3175" s="155"/>
      <c r="HB3175" s="155"/>
      <c r="HC3175" s="155"/>
      <c r="HD3175" s="155"/>
      <c r="HE3175" s="155"/>
    </row>
    <row r="3176" spans="2:213" s="156" customFormat="1" hidden="1">
      <c r="B3176" s="155"/>
      <c r="C3176" s="155"/>
      <c r="D3176" s="155"/>
      <c r="E3176" s="155"/>
      <c r="F3176" s="155"/>
      <c r="G3176" s="155"/>
      <c r="H3176" s="155"/>
      <c r="I3176" s="155"/>
      <c r="J3176" s="155"/>
      <c r="K3176" s="155"/>
      <c r="L3176" s="155"/>
      <c r="M3176" s="155"/>
      <c r="N3176" s="155"/>
      <c r="O3176" s="155"/>
      <c r="P3176" s="155"/>
      <c r="Q3176" s="155"/>
      <c r="R3176" s="155"/>
      <c r="S3176" s="155"/>
      <c r="T3176" s="155"/>
      <c r="U3176" s="155"/>
      <c r="V3176" s="155"/>
      <c r="W3176" s="155"/>
      <c r="GL3176" s="155"/>
      <c r="GM3176" s="155"/>
      <c r="GN3176" s="155"/>
      <c r="GO3176" s="155"/>
      <c r="GP3176" s="155"/>
      <c r="GQ3176" s="155"/>
      <c r="GR3176" s="155"/>
      <c r="GS3176" s="155"/>
      <c r="GT3176" s="155"/>
      <c r="GU3176" s="155"/>
      <c r="GV3176" s="155"/>
      <c r="GW3176" s="155"/>
      <c r="GX3176" s="155"/>
      <c r="GY3176" s="155"/>
      <c r="GZ3176" s="155"/>
      <c r="HA3176" s="155"/>
      <c r="HB3176" s="155"/>
      <c r="HC3176" s="155"/>
      <c r="HD3176" s="155"/>
      <c r="HE3176" s="155"/>
    </row>
    <row r="3177" spans="2:213" s="156" customFormat="1" hidden="1">
      <c r="B3177" s="155"/>
      <c r="C3177" s="155"/>
      <c r="D3177" s="155"/>
      <c r="E3177" s="155"/>
      <c r="F3177" s="155"/>
      <c r="G3177" s="155"/>
      <c r="H3177" s="155"/>
      <c r="I3177" s="155"/>
      <c r="J3177" s="155"/>
      <c r="K3177" s="155"/>
      <c r="L3177" s="155"/>
      <c r="M3177" s="155"/>
      <c r="N3177" s="155"/>
      <c r="O3177" s="155"/>
      <c r="P3177" s="155"/>
      <c r="Q3177" s="155"/>
      <c r="R3177" s="155"/>
      <c r="S3177" s="155"/>
      <c r="T3177" s="155"/>
      <c r="U3177" s="155"/>
      <c r="V3177" s="155"/>
      <c r="W3177" s="155"/>
      <c r="GL3177" s="155"/>
      <c r="GM3177" s="155"/>
      <c r="GN3177" s="155"/>
      <c r="GO3177" s="155"/>
      <c r="GP3177" s="155"/>
      <c r="GQ3177" s="155"/>
      <c r="GR3177" s="155"/>
      <c r="GS3177" s="155"/>
      <c r="GT3177" s="155"/>
      <c r="GU3177" s="155"/>
      <c r="GV3177" s="155"/>
      <c r="GW3177" s="155"/>
      <c r="GX3177" s="155"/>
      <c r="GY3177" s="155"/>
      <c r="GZ3177" s="155"/>
      <c r="HA3177" s="155"/>
      <c r="HB3177" s="155"/>
      <c r="HC3177" s="155"/>
      <c r="HD3177" s="155"/>
      <c r="HE3177" s="155"/>
    </row>
    <row r="3178" spans="2:213" s="156" customFormat="1" hidden="1">
      <c r="B3178" s="155"/>
      <c r="C3178" s="155"/>
      <c r="D3178" s="155"/>
      <c r="E3178" s="155"/>
      <c r="F3178" s="155"/>
      <c r="G3178" s="155"/>
      <c r="H3178" s="155"/>
      <c r="I3178" s="155"/>
      <c r="J3178" s="155"/>
      <c r="K3178" s="155"/>
      <c r="L3178" s="155"/>
      <c r="M3178" s="155"/>
      <c r="N3178" s="155"/>
      <c r="O3178" s="155"/>
      <c r="P3178" s="155"/>
      <c r="Q3178" s="155"/>
      <c r="R3178" s="155"/>
      <c r="S3178" s="155"/>
      <c r="T3178" s="155"/>
      <c r="U3178" s="155"/>
      <c r="V3178" s="155"/>
      <c r="W3178" s="155"/>
      <c r="GL3178" s="155"/>
      <c r="GM3178" s="155"/>
      <c r="GN3178" s="155"/>
      <c r="GO3178" s="155"/>
      <c r="GP3178" s="155"/>
      <c r="GQ3178" s="155"/>
      <c r="GR3178" s="155"/>
      <c r="GS3178" s="155"/>
      <c r="GT3178" s="155"/>
      <c r="GU3178" s="155"/>
      <c r="GV3178" s="155"/>
      <c r="GW3178" s="155"/>
      <c r="GX3178" s="155"/>
      <c r="GY3178" s="155"/>
      <c r="GZ3178" s="155"/>
      <c r="HA3178" s="155"/>
      <c r="HB3178" s="155"/>
      <c r="HC3178" s="155"/>
      <c r="HD3178" s="155"/>
      <c r="HE3178" s="155"/>
    </row>
    <row r="3179" spans="2:213" s="156" customFormat="1" hidden="1">
      <c r="B3179" s="155"/>
      <c r="C3179" s="155"/>
      <c r="D3179" s="155"/>
      <c r="E3179" s="155"/>
      <c r="F3179" s="155"/>
      <c r="G3179" s="155"/>
      <c r="H3179" s="155"/>
      <c r="I3179" s="155"/>
      <c r="J3179" s="155"/>
      <c r="K3179" s="155"/>
      <c r="L3179" s="155"/>
      <c r="M3179" s="155"/>
      <c r="N3179" s="155"/>
      <c r="O3179" s="155"/>
      <c r="P3179" s="155"/>
      <c r="Q3179" s="155"/>
      <c r="R3179" s="155"/>
      <c r="S3179" s="155"/>
      <c r="T3179" s="155"/>
      <c r="U3179" s="155"/>
      <c r="V3179" s="155"/>
      <c r="W3179" s="155"/>
      <c r="GL3179" s="155"/>
      <c r="GM3179" s="155"/>
      <c r="GN3179" s="155"/>
      <c r="GO3179" s="155"/>
      <c r="GP3179" s="155"/>
      <c r="GQ3179" s="155"/>
      <c r="GR3179" s="155"/>
      <c r="GS3179" s="155"/>
      <c r="GT3179" s="155"/>
      <c r="GU3179" s="155"/>
      <c r="GV3179" s="155"/>
      <c r="GW3179" s="155"/>
      <c r="GX3179" s="155"/>
      <c r="GY3179" s="155"/>
      <c r="GZ3179" s="155"/>
      <c r="HA3179" s="155"/>
      <c r="HB3179" s="155"/>
      <c r="HC3179" s="155"/>
      <c r="HD3179" s="155"/>
      <c r="HE3179" s="155"/>
    </row>
    <row r="3180" spans="2:213" s="156" customFormat="1" hidden="1">
      <c r="B3180" s="155"/>
      <c r="C3180" s="155"/>
      <c r="D3180" s="155"/>
      <c r="E3180" s="155"/>
      <c r="F3180" s="155"/>
      <c r="G3180" s="155"/>
      <c r="H3180" s="155"/>
      <c r="I3180" s="155"/>
      <c r="J3180" s="155"/>
      <c r="K3180" s="155"/>
      <c r="L3180" s="155"/>
      <c r="M3180" s="155"/>
      <c r="N3180" s="155"/>
      <c r="O3180" s="155"/>
      <c r="P3180" s="155"/>
      <c r="Q3180" s="155"/>
      <c r="R3180" s="155"/>
      <c r="S3180" s="155"/>
      <c r="T3180" s="155"/>
      <c r="U3180" s="155"/>
      <c r="V3180" s="155"/>
      <c r="W3180" s="155"/>
      <c r="GL3180" s="155"/>
      <c r="GM3180" s="155"/>
      <c r="GN3180" s="155"/>
      <c r="GO3180" s="155"/>
      <c r="GP3180" s="155"/>
      <c r="GQ3180" s="155"/>
      <c r="GR3180" s="155"/>
      <c r="GS3180" s="155"/>
      <c r="GT3180" s="155"/>
      <c r="GU3180" s="155"/>
      <c r="GV3180" s="155"/>
      <c r="GW3180" s="155"/>
      <c r="GX3180" s="155"/>
      <c r="GY3180" s="155"/>
      <c r="GZ3180" s="155"/>
      <c r="HA3180" s="155"/>
      <c r="HB3180" s="155"/>
      <c r="HC3180" s="155"/>
      <c r="HD3180" s="155"/>
      <c r="HE3180" s="155"/>
    </row>
    <row r="3181" spans="2:213" s="156" customFormat="1" hidden="1">
      <c r="B3181" s="155"/>
      <c r="C3181" s="155"/>
      <c r="D3181" s="155"/>
      <c r="E3181" s="155"/>
      <c r="F3181" s="155"/>
      <c r="G3181" s="155"/>
      <c r="H3181" s="155"/>
      <c r="I3181" s="155"/>
      <c r="J3181" s="155"/>
      <c r="K3181" s="155"/>
      <c r="L3181" s="155"/>
      <c r="M3181" s="155"/>
      <c r="N3181" s="155"/>
      <c r="O3181" s="155"/>
      <c r="P3181" s="155"/>
      <c r="Q3181" s="155"/>
      <c r="R3181" s="155"/>
      <c r="S3181" s="155"/>
      <c r="T3181" s="155"/>
      <c r="U3181" s="155"/>
      <c r="V3181" s="155"/>
      <c r="W3181" s="155"/>
      <c r="GL3181" s="155"/>
      <c r="GM3181" s="155"/>
      <c r="GN3181" s="155"/>
      <c r="GO3181" s="155"/>
      <c r="GP3181" s="155"/>
      <c r="GQ3181" s="155"/>
      <c r="GR3181" s="155"/>
      <c r="GS3181" s="155"/>
      <c r="GT3181" s="155"/>
      <c r="GU3181" s="155"/>
      <c r="GV3181" s="155"/>
      <c r="GW3181" s="155"/>
      <c r="GX3181" s="155"/>
      <c r="GY3181" s="155"/>
      <c r="GZ3181" s="155"/>
      <c r="HA3181" s="155"/>
      <c r="HB3181" s="155"/>
      <c r="HC3181" s="155"/>
      <c r="HD3181" s="155"/>
      <c r="HE3181" s="155"/>
    </row>
    <row r="3182" spans="2:213" s="156" customFormat="1" hidden="1">
      <c r="B3182" s="155"/>
      <c r="C3182" s="155"/>
      <c r="D3182" s="155"/>
      <c r="E3182" s="155"/>
      <c r="F3182" s="155"/>
      <c r="G3182" s="155"/>
      <c r="H3182" s="155"/>
      <c r="I3182" s="155"/>
      <c r="J3182" s="155"/>
      <c r="K3182" s="155"/>
      <c r="L3182" s="155"/>
      <c r="M3182" s="155"/>
      <c r="N3182" s="155"/>
      <c r="O3182" s="155"/>
      <c r="P3182" s="155"/>
      <c r="Q3182" s="155"/>
      <c r="R3182" s="155"/>
      <c r="S3182" s="155"/>
      <c r="T3182" s="155"/>
      <c r="U3182" s="155"/>
      <c r="V3182" s="155"/>
      <c r="W3182" s="155"/>
      <c r="GL3182" s="155"/>
      <c r="GM3182" s="155"/>
      <c r="GN3182" s="155"/>
      <c r="GO3182" s="155"/>
      <c r="GP3182" s="155"/>
      <c r="GQ3182" s="155"/>
      <c r="GR3182" s="155"/>
      <c r="GS3182" s="155"/>
      <c r="GT3182" s="155"/>
      <c r="GU3182" s="155"/>
      <c r="GV3182" s="155"/>
      <c r="GW3182" s="155"/>
      <c r="GX3182" s="155"/>
      <c r="GY3182" s="155"/>
      <c r="GZ3182" s="155"/>
      <c r="HA3182" s="155"/>
      <c r="HB3182" s="155"/>
      <c r="HC3182" s="155"/>
      <c r="HD3182" s="155"/>
      <c r="HE3182" s="155"/>
    </row>
    <row r="3183" spans="2:213" s="156" customFormat="1" hidden="1">
      <c r="B3183" s="155"/>
      <c r="C3183" s="155"/>
      <c r="D3183" s="155"/>
      <c r="E3183" s="155"/>
      <c r="F3183" s="155"/>
      <c r="G3183" s="155"/>
      <c r="H3183" s="155"/>
      <c r="I3183" s="155"/>
      <c r="J3183" s="155"/>
      <c r="K3183" s="155"/>
      <c r="L3183" s="155"/>
      <c r="M3183" s="155"/>
      <c r="N3183" s="155"/>
      <c r="O3183" s="155"/>
      <c r="P3183" s="155"/>
      <c r="Q3183" s="155"/>
      <c r="R3183" s="155"/>
      <c r="S3183" s="155"/>
      <c r="T3183" s="155"/>
      <c r="U3183" s="155"/>
      <c r="V3183" s="155"/>
      <c r="W3183" s="155"/>
      <c r="GL3183" s="155"/>
      <c r="GM3183" s="155"/>
      <c r="GN3183" s="155"/>
      <c r="GO3183" s="155"/>
      <c r="GP3183" s="155"/>
      <c r="GQ3183" s="155"/>
      <c r="GR3183" s="155"/>
      <c r="GS3183" s="155"/>
      <c r="GT3183" s="155"/>
      <c r="GU3183" s="155"/>
      <c r="GV3183" s="155"/>
      <c r="GW3183" s="155"/>
      <c r="GX3183" s="155"/>
      <c r="GY3183" s="155"/>
      <c r="GZ3183" s="155"/>
      <c r="HA3183" s="155"/>
      <c r="HB3183" s="155"/>
      <c r="HC3183" s="155"/>
      <c r="HD3183" s="155"/>
      <c r="HE3183" s="155"/>
    </row>
    <row r="3184" spans="2:213" s="156" customFormat="1" hidden="1">
      <c r="B3184" s="155"/>
      <c r="C3184" s="155"/>
      <c r="D3184" s="155"/>
      <c r="E3184" s="155"/>
      <c r="F3184" s="155"/>
      <c r="G3184" s="155"/>
      <c r="H3184" s="155"/>
      <c r="I3184" s="155"/>
      <c r="J3184" s="155"/>
      <c r="K3184" s="155"/>
      <c r="L3184" s="155"/>
      <c r="M3184" s="155"/>
      <c r="N3184" s="155"/>
      <c r="O3184" s="155"/>
      <c r="P3184" s="155"/>
      <c r="Q3184" s="155"/>
      <c r="R3184" s="155"/>
      <c r="S3184" s="155"/>
      <c r="T3184" s="155"/>
      <c r="U3184" s="155"/>
      <c r="V3184" s="155"/>
      <c r="W3184" s="155"/>
      <c r="GL3184" s="155"/>
      <c r="GM3184" s="155"/>
      <c r="GN3184" s="155"/>
      <c r="GO3184" s="155"/>
      <c r="GP3184" s="155"/>
      <c r="GQ3184" s="155"/>
      <c r="GR3184" s="155"/>
      <c r="GS3184" s="155"/>
      <c r="GT3184" s="155"/>
      <c r="GU3184" s="155"/>
      <c r="GV3184" s="155"/>
      <c r="GW3184" s="155"/>
      <c r="GX3184" s="155"/>
      <c r="GY3184" s="155"/>
      <c r="GZ3184" s="155"/>
      <c r="HA3184" s="155"/>
      <c r="HB3184" s="155"/>
      <c r="HC3184" s="155"/>
      <c r="HD3184" s="155"/>
      <c r="HE3184" s="155"/>
    </row>
    <row r="3185" spans="2:213" s="156" customFormat="1" hidden="1">
      <c r="B3185" s="155"/>
      <c r="C3185" s="155"/>
      <c r="D3185" s="155"/>
      <c r="E3185" s="155"/>
      <c r="F3185" s="155"/>
      <c r="G3185" s="155"/>
      <c r="H3185" s="155"/>
      <c r="I3185" s="155"/>
      <c r="J3185" s="155"/>
      <c r="K3185" s="155"/>
      <c r="L3185" s="155"/>
      <c r="M3185" s="155"/>
      <c r="N3185" s="155"/>
      <c r="O3185" s="155"/>
      <c r="P3185" s="155"/>
      <c r="Q3185" s="155"/>
      <c r="R3185" s="155"/>
      <c r="S3185" s="155"/>
      <c r="T3185" s="155"/>
      <c r="U3185" s="155"/>
      <c r="V3185" s="155"/>
      <c r="W3185" s="155"/>
      <c r="GL3185" s="155"/>
      <c r="GM3185" s="155"/>
      <c r="GN3185" s="155"/>
      <c r="GO3185" s="155"/>
      <c r="GP3185" s="155"/>
      <c r="GQ3185" s="155"/>
      <c r="GR3185" s="155"/>
      <c r="GS3185" s="155"/>
      <c r="GT3185" s="155"/>
      <c r="GU3185" s="155"/>
      <c r="GV3185" s="155"/>
      <c r="GW3185" s="155"/>
      <c r="GX3185" s="155"/>
      <c r="GY3185" s="155"/>
      <c r="GZ3185" s="155"/>
      <c r="HA3185" s="155"/>
      <c r="HB3185" s="155"/>
      <c r="HC3185" s="155"/>
      <c r="HD3185" s="155"/>
      <c r="HE3185" s="155"/>
    </row>
    <row r="3186" spans="2:213" s="156" customFormat="1" hidden="1">
      <c r="B3186" s="155"/>
      <c r="C3186" s="155"/>
      <c r="D3186" s="155"/>
      <c r="E3186" s="155"/>
      <c r="F3186" s="155"/>
      <c r="G3186" s="155"/>
      <c r="H3186" s="155"/>
      <c r="I3186" s="155"/>
      <c r="J3186" s="155"/>
      <c r="K3186" s="155"/>
      <c r="L3186" s="155"/>
      <c r="M3186" s="155"/>
      <c r="N3186" s="155"/>
      <c r="O3186" s="155"/>
      <c r="P3186" s="155"/>
      <c r="Q3186" s="155"/>
      <c r="R3186" s="155"/>
      <c r="S3186" s="155"/>
      <c r="T3186" s="155"/>
      <c r="U3186" s="155"/>
      <c r="V3186" s="155"/>
      <c r="W3186" s="155"/>
      <c r="GL3186" s="155"/>
      <c r="GM3186" s="155"/>
      <c r="GN3186" s="155"/>
      <c r="GO3186" s="155"/>
      <c r="GP3186" s="155"/>
      <c r="GQ3186" s="155"/>
      <c r="GR3186" s="155"/>
      <c r="GS3186" s="155"/>
      <c r="GT3186" s="155"/>
      <c r="GU3186" s="155"/>
      <c r="GV3186" s="155"/>
      <c r="GW3186" s="155"/>
      <c r="GX3186" s="155"/>
      <c r="GY3186" s="155"/>
      <c r="GZ3186" s="155"/>
      <c r="HA3186" s="155"/>
      <c r="HB3186" s="155"/>
      <c r="HC3186" s="155"/>
      <c r="HD3186" s="155"/>
      <c r="HE3186" s="155"/>
    </row>
    <row r="3187" spans="2:213" s="156" customFormat="1" hidden="1">
      <c r="B3187" s="155"/>
      <c r="C3187" s="155"/>
      <c r="D3187" s="155"/>
      <c r="E3187" s="155"/>
      <c r="F3187" s="155"/>
      <c r="G3187" s="155"/>
      <c r="H3187" s="155"/>
      <c r="I3187" s="155"/>
      <c r="J3187" s="155"/>
      <c r="K3187" s="155"/>
      <c r="L3187" s="155"/>
      <c r="M3187" s="155"/>
      <c r="N3187" s="155"/>
      <c r="O3187" s="155"/>
      <c r="P3187" s="155"/>
      <c r="Q3187" s="155"/>
      <c r="R3187" s="155"/>
      <c r="S3187" s="155"/>
      <c r="T3187" s="155"/>
      <c r="U3187" s="155"/>
      <c r="V3187" s="155"/>
      <c r="W3187" s="155"/>
      <c r="GL3187" s="155"/>
      <c r="GM3187" s="155"/>
      <c r="GN3187" s="155"/>
      <c r="GO3187" s="155"/>
      <c r="GP3187" s="155"/>
      <c r="GQ3187" s="155"/>
      <c r="GR3187" s="155"/>
      <c r="GS3187" s="155"/>
      <c r="GT3187" s="155"/>
      <c r="GU3187" s="155"/>
      <c r="GV3187" s="155"/>
      <c r="GW3187" s="155"/>
      <c r="GX3187" s="155"/>
      <c r="GY3187" s="155"/>
      <c r="GZ3187" s="155"/>
      <c r="HA3187" s="155"/>
      <c r="HB3187" s="155"/>
      <c r="HC3187" s="155"/>
      <c r="HD3187" s="155"/>
      <c r="HE3187" s="155"/>
    </row>
    <row r="3188" spans="2:213" s="156" customFormat="1" hidden="1">
      <c r="B3188" s="155"/>
      <c r="C3188" s="155"/>
      <c r="D3188" s="155"/>
      <c r="E3188" s="155"/>
      <c r="F3188" s="155"/>
      <c r="G3188" s="155"/>
      <c r="H3188" s="155"/>
      <c r="I3188" s="155"/>
      <c r="J3188" s="155"/>
      <c r="K3188" s="155"/>
      <c r="L3188" s="155"/>
      <c r="M3188" s="155"/>
      <c r="N3188" s="155"/>
      <c r="O3188" s="155"/>
      <c r="P3188" s="155"/>
      <c r="Q3188" s="155"/>
      <c r="R3188" s="155"/>
      <c r="S3188" s="155"/>
      <c r="T3188" s="155"/>
      <c r="U3188" s="155"/>
      <c r="V3188" s="155"/>
      <c r="W3188" s="155"/>
      <c r="GL3188" s="155"/>
      <c r="GM3188" s="155"/>
      <c r="GN3188" s="155"/>
      <c r="GO3188" s="155"/>
      <c r="GP3188" s="155"/>
      <c r="GQ3188" s="155"/>
      <c r="GR3188" s="155"/>
      <c r="GS3188" s="155"/>
      <c r="GT3188" s="155"/>
      <c r="GU3188" s="155"/>
      <c r="GV3188" s="155"/>
      <c r="GW3188" s="155"/>
      <c r="GX3188" s="155"/>
      <c r="GY3188" s="155"/>
      <c r="GZ3188" s="155"/>
      <c r="HA3188" s="155"/>
      <c r="HB3188" s="155"/>
      <c r="HC3188" s="155"/>
      <c r="HD3188" s="155"/>
      <c r="HE3188" s="155"/>
    </row>
    <row r="3189" spans="2:213" s="156" customFormat="1" hidden="1">
      <c r="B3189" s="155"/>
      <c r="C3189" s="155"/>
      <c r="D3189" s="155"/>
      <c r="E3189" s="155"/>
      <c r="F3189" s="155"/>
      <c r="G3189" s="155"/>
      <c r="H3189" s="155"/>
      <c r="I3189" s="155"/>
      <c r="J3189" s="155"/>
      <c r="K3189" s="155"/>
      <c r="L3189" s="155"/>
      <c r="M3189" s="155"/>
      <c r="N3189" s="155"/>
      <c r="O3189" s="155"/>
      <c r="P3189" s="155"/>
      <c r="Q3189" s="155"/>
      <c r="R3189" s="155"/>
      <c r="S3189" s="155"/>
      <c r="T3189" s="155"/>
      <c r="U3189" s="155"/>
      <c r="V3189" s="155"/>
      <c r="W3189" s="155"/>
      <c r="GL3189" s="155"/>
      <c r="GM3189" s="155"/>
      <c r="GN3189" s="155"/>
      <c r="GO3189" s="155"/>
      <c r="GP3189" s="155"/>
      <c r="GQ3189" s="155"/>
      <c r="GR3189" s="155"/>
      <c r="GS3189" s="155"/>
      <c r="GT3189" s="155"/>
      <c r="GU3189" s="155"/>
      <c r="GV3189" s="155"/>
      <c r="GW3189" s="155"/>
      <c r="GX3189" s="155"/>
      <c r="GY3189" s="155"/>
      <c r="GZ3189" s="155"/>
      <c r="HA3189" s="155"/>
      <c r="HB3189" s="155"/>
      <c r="HC3189" s="155"/>
      <c r="HD3189" s="155"/>
      <c r="HE3189" s="155"/>
    </row>
    <row r="3190" spans="2:213" s="156" customFormat="1" hidden="1">
      <c r="B3190" s="155"/>
      <c r="C3190" s="155"/>
      <c r="D3190" s="155"/>
      <c r="E3190" s="155"/>
      <c r="F3190" s="155"/>
      <c r="G3190" s="155"/>
      <c r="H3190" s="155"/>
      <c r="I3190" s="155"/>
      <c r="J3190" s="155"/>
      <c r="K3190" s="155"/>
      <c r="L3190" s="155"/>
      <c r="M3190" s="155"/>
      <c r="N3190" s="155"/>
      <c r="O3190" s="155"/>
      <c r="P3190" s="155"/>
      <c r="Q3190" s="155"/>
      <c r="R3190" s="155"/>
      <c r="S3190" s="155"/>
      <c r="T3190" s="155"/>
      <c r="U3190" s="155"/>
      <c r="V3190" s="155"/>
      <c r="W3190" s="155"/>
      <c r="GL3190" s="155"/>
      <c r="GM3190" s="155"/>
      <c r="GN3190" s="155"/>
      <c r="GO3190" s="155"/>
      <c r="GP3190" s="155"/>
      <c r="GQ3190" s="155"/>
      <c r="GR3190" s="155"/>
      <c r="GS3190" s="155"/>
      <c r="GT3190" s="155"/>
      <c r="GU3190" s="155"/>
      <c r="GV3190" s="155"/>
      <c r="GW3190" s="155"/>
      <c r="GX3190" s="155"/>
      <c r="GY3190" s="155"/>
      <c r="GZ3190" s="155"/>
      <c r="HA3190" s="155"/>
      <c r="HB3190" s="155"/>
      <c r="HC3190" s="155"/>
      <c r="HD3190" s="155"/>
      <c r="HE3190" s="155"/>
    </row>
    <row r="3191" spans="2:213" s="156" customFormat="1" hidden="1">
      <c r="B3191" s="155"/>
      <c r="C3191" s="155"/>
      <c r="D3191" s="155"/>
      <c r="E3191" s="155"/>
      <c r="F3191" s="155"/>
      <c r="G3191" s="155"/>
      <c r="H3191" s="155"/>
      <c r="I3191" s="155"/>
      <c r="J3191" s="155"/>
      <c r="K3191" s="155"/>
      <c r="L3191" s="155"/>
      <c r="M3191" s="155"/>
      <c r="N3191" s="155"/>
      <c r="O3191" s="155"/>
      <c r="P3191" s="155"/>
      <c r="Q3191" s="155"/>
      <c r="R3191" s="155"/>
      <c r="S3191" s="155"/>
      <c r="T3191" s="155"/>
      <c r="U3191" s="155"/>
      <c r="V3191" s="155"/>
      <c r="W3191" s="155"/>
      <c r="GL3191" s="155"/>
      <c r="GM3191" s="155"/>
      <c r="GN3191" s="155"/>
      <c r="GO3191" s="155"/>
      <c r="GP3191" s="155"/>
      <c r="GQ3191" s="155"/>
      <c r="GR3191" s="155"/>
      <c r="GS3191" s="155"/>
      <c r="GT3191" s="155"/>
      <c r="GU3191" s="155"/>
      <c r="GV3191" s="155"/>
      <c r="GW3191" s="155"/>
      <c r="GX3191" s="155"/>
      <c r="GY3191" s="155"/>
      <c r="GZ3191" s="155"/>
      <c r="HA3191" s="155"/>
      <c r="HB3191" s="155"/>
      <c r="HC3191" s="155"/>
      <c r="HD3191" s="155"/>
      <c r="HE3191" s="155"/>
    </row>
    <row r="3192" spans="2:213" s="156" customFormat="1" hidden="1">
      <c r="B3192" s="155"/>
      <c r="C3192" s="155"/>
      <c r="D3192" s="155"/>
      <c r="E3192" s="155"/>
      <c r="F3192" s="155"/>
      <c r="G3192" s="155"/>
      <c r="H3192" s="155"/>
      <c r="I3192" s="155"/>
      <c r="J3192" s="155"/>
      <c r="K3192" s="155"/>
      <c r="L3192" s="155"/>
      <c r="M3192" s="155"/>
      <c r="N3192" s="155"/>
      <c r="O3192" s="155"/>
      <c r="P3192" s="155"/>
      <c r="Q3192" s="155"/>
      <c r="R3192" s="155"/>
      <c r="S3192" s="155"/>
      <c r="T3192" s="155"/>
      <c r="U3192" s="155"/>
      <c r="V3192" s="155"/>
      <c r="W3192" s="155"/>
      <c r="GL3192" s="155"/>
      <c r="GM3192" s="155"/>
      <c r="GN3192" s="155"/>
      <c r="GO3192" s="155"/>
      <c r="GP3192" s="155"/>
      <c r="GQ3192" s="155"/>
      <c r="GR3192" s="155"/>
      <c r="GS3192" s="155"/>
      <c r="GT3192" s="155"/>
      <c r="GU3192" s="155"/>
      <c r="GV3192" s="155"/>
      <c r="GW3192" s="155"/>
      <c r="GX3192" s="155"/>
      <c r="GY3192" s="155"/>
      <c r="GZ3192" s="155"/>
      <c r="HA3192" s="155"/>
      <c r="HB3192" s="155"/>
      <c r="HC3192" s="155"/>
      <c r="HD3192" s="155"/>
      <c r="HE3192" s="155"/>
    </row>
    <row r="3193" spans="2:213" s="156" customFormat="1" hidden="1">
      <c r="B3193" s="155"/>
      <c r="C3193" s="155"/>
      <c r="D3193" s="155"/>
      <c r="E3193" s="155"/>
      <c r="F3193" s="155"/>
      <c r="G3193" s="155"/>
      <c r="H3193" s="155"/>
      <c r="I3193" s="155"/>
      <c r="J3193" s="155"/>
      <c r="K3193" s="155"/>
      <c r="L3193" s="155"/>
      <c r="M3193" s="155"/>
      <c r="N3193" s="155"/>
      <c r="O3193" s="155"/>
      <c r="P3193" s="155"/>
      <c r="Q3193" s="155"/>
      <c r="R3193" s="155"/>
      <c r="S3193" s="155"/>
      <c r="T3193" s="155"/>
      <c r="U3193" s="155"/>
      <c r="V3193" s="155"/>
      <c r="W3193" s="155"/>
      <c r="GL3193" s="155"/>
      <c r="GM3193" s="155"/>
      <c r="GN3193" s="155"/>
      <c r="GO3193" s="155"/>
      <c r="GP3193" s="155"/>
      <c r="GQ3193" s="155"/>
      <c r="GR3193" s="155"/>
      <c r="GS3193" s="155"/>
      <c r="GT3193" s="155"/>
      <c r="GU3193" s="155"/>
      <c r="GV3193" s="155"/>
      <c r="GW3193" s="155"/>
      <c r="GX3193" s="155"/>
      <c r="GY3193" s="155"/>
      <c r="GZ3193" s="155"/>
      <c r="HA3193" s="155"/>
      <c r="HB3193" s="155"/>
      <c r="HC3193" s="155"/>
      <c r="HD3193" s="155"/>
      <c r="HE3193" s="155"/>
    </row>
    <row r="3194" spans="2:213" s="156" customFormat="1" hidden="1">
      <c r="B3194" s="155"/>
      <c r="C3194" s="155"/>
      <c r="D3194" s="155"/>
      <c r="E3194" s="155"/>
      <c r="F3194" s="155"/>
      <c r="G3194" s="155"/>
      <c r="H3194" s="155"/>
      <c r="I3194" s="155"/>
      <c r="J3194" s="155"/>
      <c r="K3194" s="155"/>
      <c r="L3194" s="155"/>
      <c r="M3194" s="155"/>
      <c r="N3194" s="155"/>
      <c r="O3194" s="155"/>
      <c r="P3194" s="155"/>
      <c r="Q3194" s="155"/>
      <c r="R3194" s="155"/>
      <c r="S3194" s="155"/>
      <c r="T3194" s="155"/>
      <c r="U3194" s="155"/>
      <c r="V3194" s="155"/>
      <c r="W3194" s="155"/>
      <c r="GL3194" s="155"/>
      <c r="GM3194" s="155"/>
      <c r="GN3194" s="155"/>
      <c r="GO3194" s="155"/>
      <c r="GP3194" s="155"/>
      <c r="GQ3194" s="155"/>
      <c r="GR3194" s="155"/>
      <c r="GS3194" s="155"/>
      <c r="GT3194" s="155"/>
      <c r="GU3194" s="155"/>
      <c r="GV3194" s="155"/>
      <c r="GW3194" s="155"/>
      <c r="GX3194" s="155"/>
      <c r="GY3194" s="155"/>
      <c r="GZ3194" s="155"/>
      <c r="HA3194" s="155"/>
      <c r="HB3194" s="155"/>
      <c r="HC3194" s="155"/>
      <c r="HD3194" s="155"/>
      <c r="HE3194" s="155"/>
    </row>
    <row r="3195" spans="2:213" s="156" customFormat="1" hidden="1">
      <c r="B3195" s="155"/>
      <c r="C3195" s="155"/>
      <c r="D3195" s="155"/>
      <c r="E3195" s="155"/>
      <c r="F3195" s="155"/>
      <c r="G3195" s="155"/>
      <c r="H3195" s="155"/>
      <c r="I3195" s="155"/>
      <c r="J3195" s="155"/>
      <c r="K3195" s="155"/>
      <c r="L3195" s="155"/>
      <c r="M3195" s="155"/>
      <c r="N3195" s="155"/>
      <c r="O3195" s="155"/>
      <c r="P3195" s="155"/>
      <c r="Q3195" s="155"/>
      <c r="R3195" s="155"/>
      <c r="S3195" s="155"/>
      <c r="T3195" s="155"/>
      <c r="U3195" s="155"/>
      <c r="V3195" s="155"/>
      <c r="W3195" s="155"/>
      <c r="GL3195" s="155"/>
      <c r="GM3195" s="155"/>
      <c r="GN3195" s="155"/>
      <c r="GO3195" s="155"/>
      <c r="GP3195" s="155"/>
      <c r="GQ3195" s="155"/>
      <c r="GR3195" s="155"/>
      <c r="GS3195" s="155"/>
      <c r="GT3195" s="155"/>
      <c r="GU3195" s="155"/>
      <c r="GV3195" s="155"/>
      <c r="GW3195" s="155"/>
      <c r="GX3195" s="155"/>
      <c r="GY3195" s="155"/>
      <c r="GZ3195" s="155"/>
      <c r="HA3195" s="155"/>
      <c r="HB3195" s="155"/>
      <c r="HC3195" s="155"/>
      <c r="HD3195" s="155"/>
      <c r="HE3195" s="155"/>
    </row>
    <row r="3196" spans="2:213" s="156" customFormat="1" hidden="1">
      <c r="B3196" s="155"/>
      <c r="C3196" s="155"/>
      <c r="D3196" s="155"/>
      <c r="E3196" s="155"/>
      <c r="F3196" s="155"/>
      <c r="G3196" s="155"/>
      <c r="H3196" s="155"/>
      <c r="I3196" s="155"/>
      <c r="J3196" s="155"/>
      <c r="K3196" s="155"/>
      <c r="L3196" s="155"/>
      <c r="M3196" s="155"/>
      <c r="N3196" s="155"/>
      <c r="O3196" s="155"/>
      <c r="P3196" s="155"/>
      <c r="Q3196" s="155"/>
      <c r="R3196" s="155"/>
      <c r="S3196" s="155"/>
      <c r="T3196" s="155"/>
      <c r="U3196" s="155"/>
      <c r="V3196" s="155"/>
      <c r="W3196" s="155"/>
      <c r="GL3196" s="155"/>
      <c r="GM3196" s="155"/>
      <c r="GN3196" s="155"/>
      <c r="GO3196" s="155"/>
      <c r="GP3196" s="155"/>
      <c r="GQ3196" s="155"/>
      <c r="GR3196" s="155"/>
      <c r="GS3196" s="155"/>
      <c r="GT3196" s="155"/>
      <c r="GU3196" s="155"/>
      <c r="GV3196" s="155"/>
      <c r="GW3196" s="155"/>
      <c r="GX3196" s="155"/>
      <c r="GY3196" s="155"/>
      <c r="GZ3196" s="155"/>
      <c r="HA3196" s="155"/>
      <c r="HB3196" s="155"/>
      <c r="HC3196" s="155"/>
      <c r="HD3196" s="155"/>
      <c r="HE3196" s="155"/>
    </row>
    <row r="3197" spans="2:213" s="156" customFormat="1" hidden="1">
      <c r="B3197" s="155"/>
      <c r="C3197" s="155"/>
      <c r="D3197" s="155"/>
      <c r="E3197" s="155"/>
      <c r="F3197" s="155"/>
      <c r="G3197" s="155"/>
      <c r="H3197" s="155"/>
      <c r="I3197" s="155"/>
      <c r="J3197" s="155"/>
      <c r="K3197" s="155"/>
      <c r="L3197" s="155"/>
      <c r="M3197" s="155"/>
      <c r="N3197" s="155"/>
      <c r="O3197" s="155"/>
      <c r="P3197" s="155"/>
      <c r="Q3197" s="155"/>
      <c r="R3197" s="155"/>
      <c r="S3197" s="155"/>
      <c r="T3197" s="155"/>
      <c r="U3197" s="155"/>
      <c r="V3197" s="155"/>
      <c r="W3197" s="155"/>
      <c r="GL3197" s="155"/>
      <c r="GM3197" s="155"/>
      <c r="GN3197" s="155"/>
      <c r="GO3197" s="155"/>
      <c r="GP3197" s="155"/>
      <c r="GQ3197" s="155"/>
      <c r="GR3197" s="155"/>
      <c r="GS3197" s="155"/>
      <c r="GT3197" s="155"/>
      <c r="GU3197" s="155"/>
      <c r="GV3197" s="155"/>
      <c r="GW3197" s="155"/>
      <c r="GX3197" s="155"/>
      <c r="GY3197" s="155"/>
      <c r="GZ3197" s="155"/>
      <c r="HA3197" s="155"/>
      <c r="HB3197" s="155"/>
      <c r="HC3197" s="155"/>
      <c r="HD3197" s="155"/>
      <c r="HE3197" s="155"/>
    </row>
    <row r="3198" spans="2:213" s="156" customFormat="1" hidden="1">
      <c r="B3198" s="155"/>
      <c r="C3198" s="155"/>
      <c r="D3198" s="155"/>
      <c r="E3198" s="155"/>
      <c r="F3198" s="155"/>
      <c r="G3198" s="155"/>
      <c r="H3198" s="155"/>
      <c r="I3198" s="155"/>
      <c r="J3198" s="155"/>
      <c r="K3198" s="155"/>
      <c r="L3198" s="155"/>
      <c r="M3198" s="155"/>
      <c r="N3198" s="155"/>
      <c r="O3198" s="155"/>
      <c r="P3198" s="155"/>
      <c r="Q3198" s="155"/>
      <c r="R3198" s="155"/>
      <c r="S3198" s="155"/>
      <c r="T3198" s="155"/>
      <c r="U3198" s="155"/>
      <c r="V3198" s="155"/>
      <c r="W3198" s="155"/>
      <c r="GL3198" s="155"/>
      <c r="GM3198" s="155"/>
      <c r="GN3198" s="155"/>
      <c r="GO3198" s="155"/>
      <c r="GP3198" s="155"/>
      <c r="GQ3198" s="155"/>
      <c r="GR3198" s="155"/>
      <c r="GS3198" s="155"/>
      <c r="GT3198" s="155"/>
      <c r="GU3198" s="155"/>
      <c r="GV3198" s="155"/>
      <c r="GW3198" s="155"/>
      <c r="GX3198" s="155"/>
      <c r="GY3198" s="155"/>
      <c r="GZ3198" s="155"/>
      <c r="HA3198" s="155"/>
      <c r="HB3198" s="155"/>
      <c r="HC3198" s="155"/>
      <c r="HD3198" s="155"/>
      <c r="HE3198" s="155"/>
    </row>
    <row r="3199" spans="2:213" s="156" customFormat="1" hidden="1">
      <c r="B3199" s="155"/>
      <c r="C3199" s="155"/>
      <c r="D3199" s="155"/>
      <c r="E3199" s="155"/>
      <c r="F3199" s="155"/>
      <c r="G3199" s="155"/>
      <c r="H3199" s="155"/>
      <c r="I3199" s="155"/>
      <c r="J3199" s="155"/>
      <c r="K3199" s="155"/>
      <c r="L3199" s="155"/>
      <c r="M3199" s="155"/>
      <c r="N3199" s="155"/>
      <c r="O3199" s="155"/>
      <c r="P3199" s="155"/>
      <c r="Q3199" s="155"/>
      <c r="R3199" s="155"/>
      <c r="S3199" s="155"/>
      <c r="T3199" s="155"/>
      <c r="U3199" s="155"/>
      <c r="V3199" s="155"/>
      <c r="W3199" s="155"/>
      <c r="GL3199" s="155"/>
      <c r="GM3199" s="155"/>
      <c r="GN3199" s="155"/>
      <c r="GO3199" s="155"/>
      <c r="GP3199" s="155"/>
      <c r="GQ3199" s="155"/>
      <c r="GR3199" s="155"/>
      <c r="GS3199" s="155"/>
      <c r="GT3199" s="155"/>
      <c r="GU3199" s="155"/>
      <c r="GV3199" s="155"/>
      <c r="GW3199" s="155"/>
      <c r="GX3199" s="155"/>
      <c r="GY3199" s="155"/>
      <c r="GZ3199" s="155"/>
      <c r="HA3199" s="155"/>
      <c r="HB3199" s="155"/>
      <c r="HC3199" s="155"/>
      <c r="HD3199" s="155"/>
      <c r="HE3199" s="155"/>
    </row>
    <row r="3200" spans="2:213" s="156" customFormat="1" hidden="1">
      <c r="B3200" s="155"/>
      <c r="C3200" s="155"/>
      <c r="D3200" s="155"/>
      <c r="E3200" s="155"/>
      <c r="F3200" s="155"/>
      <c r="G3200" s="155"/>
      <c r="H3200" s="155"/>
      <c r="I3200" s="155"/>
      <c r="J3200" s="155"/>
      <c r="K3200" s="155"/>
      <c r="L3200" s="155"/>
      <c r="M3200" s="155"/>
      <c r="N3200" s="155"/>
      <c r="O3200" s="155"/>
      <c r="P3200" s="155"/>
      <c r="Q3200" s="155"/>
      <c r="R3200" s="155"/>
      <c r="S3200" s="155"/>
      <c r="T3200" s="155"/>
      <c r="U3200" s="155"/>
      <c r="V3200" s="155"/>
      <c r="W3200" s="155"/>
      <c r="GL3200" s="155"/>
      <c r="GM3200" s="155"/>
      <c r="GN3200" s="155"/>
      <c r="GO3200" s="155"/>
      <c r="GP3200" s="155"/>
      <c r="GQ3200" s="155"/>
      <c r="GR3200" s="155"/>
      <c r="GS3200" s="155"/>
      <c r="GT3200" s="155"/>
      <c r="GU3200" s="155"/>
      <c r="GV3200" s="155"/>
      <c r="GW3200" s="155"/>
      <c r="GX3200" s="155"/>
      <c r="GY3200" s="155"/>
      <c r="GZ3200" s="155"/>
      <c r="HA3200" s="155"/>
      <c r="HB3200" s="155"/>
      <c r="HC3200" s="155"/>
      <c r="HD3200" s="155"/>
      <c r="HE3200" s="155"/>
    </row>
    <row r="3201" spans="2:213" s="156" customFormat="1" hidden="1">
      <c r="B3201" s="155"/>
      <c r="C3201" s="155"/>
      <c r="D3201" s="155"/>
      <c r="E3201" s="155"/>
      <c r="F3201" s="155"/>
      <c r="G3201" s="155"/>
      <c r="H3201" s="155"/>
      <c r="I3201" s="155"/>
      <c r="J3201" s="155"/>
      <c r="K3201" s="155"/>
      <c r="L3201" s="155"/>
      <c r="M3201" s="155"/>
      <c r="N3201" s="155"/>
      <c r="O3201" s="155"/>
      <c r="P3201" s="155"/>
      <c r="Q3201" s="155"/>
      <c r="R3201" s="155"/>
      <c r="S3201" s="155"/>
      <c r="T3201" s="155"/>
      <c r="U3201" s="155"/>
      <c r="V3201" s="155"/>
      <c r="W3201" s="155"/>
      <c r="GL3201" s="155"/>
      <c r="GM3201" s="155"/>
      <c r="GN3201" s="155"/>
      <c r="GO3201" s="155"/>
      <c r="GP3201" s="155"/>
      <c r="GQ3201" s="155"/>
      <c r="GR3201" s="155"/>
      <c r="GS3201" s="155"/>
      <c r="GT3201" s="155"/>
      <c r="GU3201" s="155"/>
      <c r="GV3201" s="155"/>
      <c r="GW3201" s="155"/>
      <c r="GX3201" s="155"/>
      <c r="GY3201" s="155"/>
      <c r="GZ3201" s="155"/>
      <c r="HA3201" s="155"/>
      <c r="HB3201" s="155"/>
      <c r="HC3201" s="155"/>
      <c r="HD3201" s="155"/>
      <c r="HE3201" s="155"/>
    </row>
    <row r="3202" spans="2:213" s="156" customFormat="1" hidden="1">
      <c r="B3202" s="155"/>
      <c r="C3202" s="155"/>
      <c r="D3202" s="155"/>
      <c r="E3202" s="155"/>
      <c r="F3202" s="155"/>
      <c r="G3202" s="155"/>
      <c r="H3202" s="155"/>
      <c r="I3202" s="155"/>
      <c r="J3202" s="155"/>
      <c r="K3202" s="155"/>
      <c r="L3202" s="155"/>
      <c r="M3202" s="155"/>
      <c r="N3202" s="155"/>
      <c r="O3202" s="155"/>
      <c r="P3202" s="155"/>
      <c r="Q3202" s="155"/>
      <c r="R3202" s="155"/>
      <c r="S3202" s="155"/>
      <c r="T3202" s="155"/>
      <c r="U3202" s="155"/>
      <c r="V3202" s="155"/>
      <c r="W3202" s="155"/>
      <c r="GL3202" s="155"/>
      <c r="GM3202" s="155"/>
      <c r="GN3202" s="155"/>
      <c r="GO3202" s="155"/>
      <c r="GP3202" s="155"/>
      <c r="GQ3202" s="155"/>
      <c r="GR3202" s="155"/>
      <c r="GS3202" s="155"/>
      <c r="GT3202" s="155"/>
      <c r="GU3202" s="155"/>
      <c r="GV3202" s="155"/>
      <c r="GW3202" s="155"/>
      <c r="GX3202" s="155"/>
      <c r="GY3202" s="155"/>
      <c r="GZ3202" s="155"/>
      <c r="HA3202" s="155"/>
      <c r="HB3202" s="155"/>
      <c r="HC3202" s="155"/>
      <c r="HD3202" s="155"/>
      <c r="HE3202" s="155"/>
    </row>
    <row r="3203" spans="2:213" s="156" customFormat="1" hidden="1">
      <c r="B3203" s="155"/>
      <c r="C3203" s="155"/>
      <c r="D3203" s="155"/>
      <c r="E3203" s="155"/>
      <c r="F3203" s="155"/>
      <c r="G3203" s="155"/>
      <c r="H3203" s="155"/>
      <c r="I3203" s="155"/>
      <c r="J3203" s="155"/>
      <c r="K3203" s="155"/>
      <c r="L3203" s="155"/>
      <c r="M3203" s="155"/>
      <c r="N3203" s="155"/>
      <c r="O3203" s="155"/>
      <c r="P3203" s="155"/>
      <c r="Q3203" s="155"/>
      <c r="R3203" s="155"/>
      <c r="S3203" s="155"/>
      <c r="T3203" s="155"/>
      <c r="U3203" s="155"/>
      <c r="V3203" s="155"/>
      <c r="W3203" s="155"/>
      <c r="GL3203" s="155"/>
      <c r="GM3203" s="155"/>
      <c r="GN3203" s="155"/>
      <c r="GO3203" s="155"/>
      <c r="GP3203" s="155"/>
      <c r="GQ3203" s="155"/>
      <c r="GR3203" s="155"/>
      <c r="GS3203" s="155"/>
      <c r="GT3203" s="155"/>
      <c r="GU3203" s="155"/>
      <c r="GV3203" s="155"/>
      <c r="GW3203" s="155"/>
      <c r="GX3203" s="155"/>
      <c r="GY3203" s="155"/>
      <c r="GZ3203" s="155"/>
      <c r="HA3203" s="155"/>
      <c r="HB3203" s="155"/>
      <c r="HC3203" s="155"/>
      <c r="HD3203" s="155"/>
      <c r="HE3203" s="155"/>
    </row>
    <row r="3204" spans="2:213" s="156" customFormat="1" hidden="1">
      <c r="B3204" s="155"/>
      <c r="C3204" s="155"/>
      <c r="D3204" s="155"/>
      <c r="E3204" s="155"/>
      <c r="F3204" s="155"/>
      <c r="G3204" s="155"/>
      <c r="H3204" s="155"/>
      <c r="I3204" s="155"/>
      <c r="J3204" s="155"/>
      <c r="K3204" s="155"/>
      <c r="L3204" s="155"/>
      <c r="M3204" s="155"/>
      <c r="N3204" s="155"/>
      <c r="O3204" s="155"/>
      <c r="P3204" s="155"/>
      <c r="Q3204" s="155"/>
      <c r="R3204" s="155"/>
      <c r="S3204" s="155"/>
      <c r="T3204" s="155"/>
      <c r="U3204" s="155"/>
      <c r="V3204" s="155"/>
      <c r="W3204" s="155"/>
      <c r="GL3204" s="155"/>
      <c r="GM3204" s="155"/>
      <c r="GN3204" s="155"/>
      <c r="GO3204" s="155"/>
      <c r="GP3204" s="155"/>
      <c r="GQ3204" s="155"/>
      <c r="GR3204" s="155"/>
      <c r="GS3204" s="155"/>
      <c r="GT3204" s="155"/>
      <c r="GU3204" s="155"/>
      <c r="GV3204" s="155"/>
      <c r="GW3204" s="155"/>
      <c r="GX3204" s="155"/>
      <c r="GY3204" s="155"/>
      <c r="GZ3204" s="155"/>
      <c r="HA3204" s="155"/>
      <c r="HB3204" s="155"/>
      <c r="HC3204" s="155"/>
      <c r="HD3204" s="155"/>
      <c r="HE3204" s="155"/>
    </row>
    <row r="3205" spans="2:213" s="156" customFormat="1" hidden="1">
      <c r="B3205" s="155"/>
      <c r="C3205" s="155"/>
      <c r="D3205" s="155"/>
      <c r="E3205" s="155"/>
      <c r="F3205" s="155"/>
      <c r="G3205" s="155"/>
      <c r="H3205" s="155"/>
      <c r="I3205" s="155"/>
      <c r="J3205" s="155"/>
      <c r="K3205" s="155"/>
      <c r="L3205" s="155"/>
      <c r="M3205" s="155"/>
      <c r="N3205" s="155"/>
      <c r="O3205" s="155"/>
      <c r="P3205" s="155"/>
      <c r="Q3205" s="155"/>
      <c r="R3205" s="155"/>
      <c r="S3205" s="155"/>
      <c r="T3205" s="155"/>
      <c r="U3205" s="155"/>
      <c r="V3205" s="155"/>
      <c r="W3205" s="155"/>
      <c r="GL3205" s="155"/>
      <c r="GM3205" s="155"/>
      <c r="GN3205" s="155"/>
      <c r="GO3205" s="155"/>
      <c r="GP3205" s="155"/>
      <c r="GQ3205" s="155"/>
      <c r="GR3205" s="155"/>
      <c r="GS3205" s="155"/>
      <c r="GT3205" s="155"/>
      <c r="GU3205" s="155"/>
      <c r="GV3205" s="155"/>
      <c r="GW3205" s="155"/>
      <c r="GX3205" s="155"/>
      <c r="GY3205" s="155"/>
      <c r="GZ3205" s="155"/>
      <c r="HA3205" s="155"/>
      <c r="HB3205" s="155"/>
      <c r="HC3205" s="155"/>
      <c r="HD3205" s="155"/>
      <c r="HE3205" s="155"/>
    </row>
    <row r="3206" spans="2:213" s="156" customFormat="1" hidden="1">
      <c r="B3206" s="155"/>
      <c r="C3206" s="155"/>
      <c r="D3206" s="155"/>
      <c r="E3206" s="155"/>
      <c r="F3206" s="155"/>
      <c r="G3206" s="155"/>
      <c r="H3206" s="155"/>
      <c r="I3206" s="155"/>
      <c r="J3206" s="155"/>
      <c r="K3206" s="155"/>
      <c r="L3206" s="155"/>
      <c r="M3206" s="155"/>
      <c r="N3206" s="155"/>
      <c r="O3206" s="155"/>
      <c r="P3206" s="155"/>
      <c r="Q3206" s="155"/>
      <c r="R3206" s="155"/>
      <c r="S3206" s="155"/>
      <c r="T3206" s="155"/>
      <c r="U3206" s="155"/>
      <c r="V3206" s="155"/>
      <c r="W3206" s="155"/>
      <c r="GL3206" s="155"/>
      <c r="GM3206" s="155"/>
      <c r="GN3206" s="155"/>
      <c r="GO3206" s="155"/>
      <c r="GP3206" s="155"/>
      <c r="GQ3206" s="155"/>
      <c r="GR3206" s="155"/>
      <c r="GS3206" s="155"/>
      <c r="GT3206" s="155"/>
      <c r="GU3206" s="155"/>
      <c r="GV3206" s="155"/>
      <c r="GW3206" s="155"/>
      <c r="GX3206" s="155"/>
      <c r="GY3206" s="155"/>
      <c r="GZ3206" s="155"/>
      <c r="HA3206" s="155"/>
      <c r="HB3206" s="155"/>
      <c r="HC3206" s="155"/>
      <c r="HD3206" s="155"/>
      <c r="HE3206" s="155"/>
    </row>
    <row r="3207" spans="2:213" s="156" customFormat="1" hidden="1">
      <c r="B3207" s="155"/>
      <c r="C3207" s="155"/>
      <c r="D3207" s="155"/>
      <c r="E3207" s="155"/>
      <c r="F3207" s="155"/>
      <c r="G3207" s="155"/>
      <c r="H3207" s="155"/>
      <c r="I3207" s="155"/>
      <c r="J3207" s="155"/>
      <c r="K3207" s="155"/>
      <c r="L3207" s="155"/>
      <c r="M3207" s="155"/>
      <c r="N3207" s="155"/>
      <c r="O3207" s="155"/>
      <c r="P3207" s="155"/>
      <c r="Q3207" s="155"/>
      <c r="R3207" s="155"/>
      <c r="S3207" s="155"/>
      <c r="T3207" s="155"/>
      <c r="U3207" s="155"/>
      <c r="V3207" s="155"/>
      <c r="W3207" s="155"/>
      <c r="GL3207" s="155"/>
      <c r="GM3207" s="155"/>
      <c r="GN3207" s="155"/>
      <c r="GO3207" s="155"/>
      <c r="GP3207" s="155"/>
      <c r="GQ3207" s="155"/>
      <c r="GR3207" s="155"/>
      <c r="GS3207" s="155"/>
      <c r="GT3207" s="155"/>
      <c r="GU3207" s="155"/>
      <c r="GV3207" s="155"/>
      <c r="GW3207" s="155"/>
      <c r="GX3207" s="155"/>
      <c r="GY3207" s="155"/>
      <c r="GZ3207" s="155"/>
      <c r="HA3207" s="155"/>
      <c r="HB3207" s="155"/>
      <c r="HC3207" s="155"/>
      <c r="HD3207" s="155"/>
      <c r="HE3207" s="155"/>
    </row>
    <row r="3208" spans="2:213" s="156" customFormat="1" hidden="1">
      <c r="B3208" s="155"/>
      <c r="C3208" s="155"/>
      <c r="D3208" s="155"/>
      <c r="E3208" s="155"/>
      <c r="F3208" s="155"/>
      <c r="G3208" s="155"/>
      <c r="H3208" s="155"/>
      <c r="I3208" s="155"/>
      <c r="J3208" s="155"/>
      <c r="K3208" s="155"/>
      <c r="L3208" s="155"/>
      <c r="M3208" s="155"/>
      <c r="N3208" s="155"/>
      <c r="O3208" s="155"/>
      <c r="P3208" s="155"/>
      <c r="Q3208" s="155"/>
      <c r="R3208" s="155"/>
      <c r="S3208" s="155"/>
      <c r="T3208" s="155"/>
      <c r="U3208" s="155"/>
      <c r="V3208" s="155"/>
      <c r="W3208" s="155"/>
      <c r="GL3208" s="155"/>
      <c r="GM3208" s="155"/>
      <c r="GN3208" s="155"/>
      <c r="GO3208" s="155"/>
      <c r="GP3208" s="155"/>
      <c r="GQ3208" s="155"/>
      <c r="GR3208" s="155"/>
      <c r="GS3208" s="155"/>
      <c r="GT3208" s="155"/>
      <c r="GU3208" s="155"/>
      <c r="GV3208" s="155"/>
      <c r="GW3208" s="155"/>
      <c r="GX3208" s="155"/>
      <c r="GY3208" s="155"/>
      <c r="GZ3208" s="155"/>
      <c r="HA3208" s="155"/>
      <c r="HB3208" s="155"/>
      <c r="HC3208" s="155"/>
      <c r="HD3208" s="155"/>
      <c r="HE3208" s="155"/>
    </row>
    <row r="3209" spans="2:213" s="156" customFormat="1" hidden="1">
      <c r="B3209" s="155"/>
      <c r="C3209" s="155"/>
      <c r="D3209" s="155"/>
      <c r="E3209" s="155"/>
      <c r="F3209" s="155"/>
      <c r="G3209" s="155"/>
      <c r="H3209" s="155"/>
      <c r="I3209" s="155"/>
      <c r="J3209" s="155"/>
      <c r="K3209" s="155"/>
      <c r="L3209" s="155"/>
      <c r="M3209" s="155"/>
      <c r="N3209" s="155"/>
      <c r="O3209" s="155"/>
      <c r="P3209" s="155"/>
      <c r="Q3209" s="155"/>
      <c r="R3209" s="155"/>
      <c r="S3209" s="155"/>
      <c r="T3209" s="155"/>
      <c r="U3209" s="155"/>
      <c r="V3209" s="155"/>
      <c r="W3209" s="155"/>
      <c r="GL3209" s="155"/>
      <c r="GM3209" s="155"/>
      <c r="GN3209" s="155"/>
      <c r="GO3209" s="155"/>
      <c r="GP3209" s="155"/>
      <c r="GQ3209" s="155"/>
      <c r="GR3209" s="155"/>
      <c r="GS3209" s="155"/>
      <c r="GT3209" s="155"/>
      <c r="GU3209" s="155"/>
      <c r="GV3209" s="155"/>
      <c r="GW3209" s="155"/>
      <c r="GX3209" s="155"/>
      <c r="GY3209" s="155"/>
      <c r="GZ3209" s="155"/>
      <c r="HA3209" s="155"/>
      <c r="HB3209" s="155"/>
      <c r="HC3209" s="155"/>
      <c r="HD3209" s="155"/>
      <c r="HE3209" s="155"/>
    </row>
    <row r="3210" spans="2:213" s="156" customFormat="1" hidden="1">
      <c r="B3210" s="155"/>
      <c r="C3210" s="155"/>
      <c r="D3210" s="155"/>
      <c r="E3210" s="155"/>
      <c r="F3210" s="155"/>
      <c r="G3210" s="155"/>
      <c r="H3210" s="155"/>
      <c r="I3210" s="155"/>
      <c r="J3210" s="155"/>
      <c r="K3210" s="155"/>
      <c r="L3210" s="155"/>
      <c r="M3210" s="155"/>
      <c r="N3210" s="155"/>
      <c r="O3210" s="155"/>
      <c r="P3210" s="155"/>
      <c r="Q3210" s="155"/>
      <c r="R3210" s="155"/>
      <c r="S3210" s="155"/>
      <c r="T3210" s="155"/>
      <c r="U3210" s="155"/>
      <c r="V3210" s="155"/>
      <c r="W3210" s="155"/>
      <c r="GL3210" s="155"/>
      <c r="GM3210" s="155"/>
      <c r="GN3210" s="155"/>
      <c r="GO3210" s="155"/>
      <c r="GP3210" s="155"/>
      <c r="GQ3210" s="155"/>
      <c r="GR3210" s="155"/>
      <c r="GS3210" s="155"/>
      <c r="GT3210" s="155"/>
      <c r="GU3210" s="155"/>
      <c r="GV3210" s="155"/>
      <c r="GW3210" s="155"/>
      <c r="GX3210" s="155"/>
      <c r="GY3210" s="155"/>
      <c r="GZ3210" s="155"/>
      <c r="HA3210" s="155"/>
      <c r="HB3210" s="155"/>
      <c r="HC3210" s="155"/>
      <c r="HD3210" s="155"/>
      <c r="HE3210" s="155"/>
    </row>
    <row r="3211" spans="2:213" s="156" customFormat="1" hidden="1">
      <c r="B3211" s="155"/>
      <c r="C3211" s="155"/>
      <c r="D3211" s="155"/>
      <c r="E3211" s="155"/>
      <c r="F3211" s="155"/>
      <c r="G3211" s="155"/>
      <c r="H3211" s="155"/>
      <c r="I3211" s="155"/>
      <c r="J3211" s="155"/>
      <c r="K3211" s="155"/>
      <c r="L3211" s="155"/>
      <c r="M3211" s="155"/>
      <c r="N3211" s="155"/>
      <c r="O3211" s="155"/>
      <c r="P3211" s="155"/>
      <c r="Q3211" s="155"/>
      <c r="R3211" s="155"/>
      <c r="S3211" s="155"/>
      <c r="T3211" s="155"/>
      <c r="U3211" s="155"/>
      <c r="V3211" s="155"/>
      <c r="W3211" s="155"/>
      <c r="GL3211" s="155"/>
      <c r="GM3211" s="155"/>
      <c r="GN3211" s="155"/>
      <c r="GO3211" s="155"/>
      <c r="GP3211" s="155"/>
      <c r="GQ3211" s="155"/>
      <c r="GR3211" s="155"/>
      <c r="GS3211" s="155"/>
      <c r="GT3211" s="155"/>
      <c r="GU3211" s="155"/>
      <c r="GV3211" s="155"/>
      <c r="GW3211" s="155"/>
      <c r="GX3211" s="155"/>
      <c r="GY3211" s="155"/>
      <c r="GZ3211" s="155"/>
      <c r="HA3211" s="155"/>
      <c r="HB3211" s="155"/>
      <c r="HC3211" s="155"/>
      <c r="HD3211" s="155"/>
      <c r="HE3211" s="155"/>
    </row>
    <row r="3212" spans="2:213" s="156" customFormat="1" hidden="1">
      <c r="B3212" s="155"/>
      <c r="C3212" s="155"/>
      <c r="D3212" s="155"/>
      <c r="E3212" s="155"/>
      <c r="F3212" s="155"/>
      <c r="G3212" s="155"/>
      <c r="H3212" s="155"/>
      <c r="I3212" s="155"/>
      <c r="J3212" s="155"/>
      <c r="K3212" s="155"/>
      <c r="L3212" s="155"/>
      <c r="M3212" s="155"/>
      <c r="N3212" s="155"/>
      <c r="O3212" s="155"/>
      <c r="P3212" s="155"/>
      <c r="Q3212" s="155"/>
      <c r="R3212" s="155"/>
      <c r="S3212" s="155"/>
      <c r="T3212" s="155"/>
      <c r="U3212" s="155"/>
      <c r="V3212" s="155"/>
      <c r="W3212" s="155"/>
      <c r="GL3212" s="155"/>
      <c r="GM3212" s="155"/>
      <c r="GN3212" s="155"/>
      <c r="GO3212" s="155"/>
      <c r="GP3212" s="155"/>
      <c r="GQ3212" s="155"/>
      <c r="GR3212" s="155"/>
      <c r="GS3212" s="155"/>
      <c r="GT3212" s="155"/>
      <c r="GU3212" s="155"/>
      <c r="GV3212" s="155"/>
      <c r="GW3212" s="155"/>
      <c r="GX3212" s="155"/>
      <c r="GY3212" s="155"/>
      <c r="GZ3212" s="155"/>
      <c r="HA3212" s="155"/>
      <c r="HB3212" s="155"/>
      <c r="HC3212" s="155"/>
      <c r="HD3212" s="155"/>
      <c r="HE3212" s="155"/>
    </row>
    <row r="3213" spans="2:213" s="156" customFormat="1" hidden="1">
      <c r="B3213" s="155"/>
      <c r="C3213" s="155"/>
      <c r="D3213" s="155"/>
      <c r="E3213" s="155"/>
      <c r="F3213" s="155"/>
      <c r="G3213" s="155"/>
      <c r="H3213" s="155"/>
      <c r="I3213" s="155"/>
      <c r="J3213" s="155"/>
      <c r="K3213" s="155"/>
      <c r="L3213" s="155"/>
      <c r="M3213" s="155"/>
      <c r="N3213" s="155"/>
      <c r="O3213" s="155"/>
      <c r="P3213" s="155"/>
      <c r="Q3213" s="155"/>
      <c r="R3213" s="155"/>
      <c r="S3213" s="155"/>
      <c r="T3213" s="155"/>
      <c r="U3213" s="155"/>
      <c r="V3213" s="155"/>
      <c r="W3213" s="155"/>
      <c r="GL3213" s="155"/>
      <c r="GM3213" s="155"/>
      <c r="GN3213" s="155"/>
      <c r="GO3213" s="155"/>
      <c r="GP3213" s="155"/>
      <c r="GQ3213" s="155"/>
      <c r="GR3213" s="155"/>
      <c r="GS3213" s="155"/>
      <c r="GT3213" s="155"/>
      <c r="GU3213" s="155"/>
      <c r="GV3213" s="155"/>
      <c r="GW3213" s="155"/>
      <c r="GX3213" s="155"/>
      <c r="GY3213" s="155"/>
      <c r="GZ3213" s="155"/>
      <c r="HA3213" s="155"/>
      <c r="HB3213" s="155"/>
      <c r="HC3213" s="155"/>
      <c r="HD3213" s="155"/>
      <c r="HE3213" s="155"/>
    </row>
    <row r="3214" spans="2:213" s="156" customFormat="1" hidden="1">
      <c r="B3214" s="155"/>
      <c r="C3214" s="155"/>
      <c r="D3214" s="155"/>
      <c r="E3214" s="155"/>
      <c r="F3214" s="155"/>
      <c r="G3214" s="155"/>
      <c r="H3214" s="155"/>
      <c r="I3214" s="155"/>
      <c r="J3214" s="155"/>
      <c r="K3214" s="155"/>
      <c r="L3214" s="155"/>
      <c r="M3214" s="155"/>
      <c r="N3214" s="155"/>
      <c r="O3214" s="155"/>
      <c r="P3214" s="155"/>
      <c r="Q3214" s="155"/>
      <c r="R3214" s="155"/>
      <c r="S3214" s="155"/>
      <c r="T3214" s="155"/>
      <c r="U3214" s="155"/>
      <c r="V3214" s="155"/>
      <c r="W3214" s="155"/>
      <c r="GL3214" s="155"/>
      <c r="GM3214" s="155"/>
      <c r="GN3214" s="155"/>
      <c r="GO3214" s="155"/>
      <c r="GP3214" s="155"/>
      <c r="GQ3214" s="155"/>
      <c r="GR3214" s="155"/>
      <c r="GS3214" s="155"/>
      <c r="GT3214" s="155"/>
      <c r="GU3214" s="155"/>
      <c r="GV3214" s="155"/>
      <c r="GW3214" s="155"/>
      <c r="GX3214" s="155"/>
      <c r="GY3214" s="155"/>
      <c r="GZ3214" s="155"/>
      <c r="HA3214" s="155"/>
      <c r="HB3214" s="155"/>
      <c r="HC3214" s="155"/>
      <c r="HD3214" s="155"/>
      <c r="HE3214" s="155"/>
    </row>
    <row r="3215" spans="2:213" s="156" customFormat="1" hidden="1">
      <c r="B3215" s="155"/>
      <c r="C3215" s="155"/>
      <c r="D3215" s="155"/>
      <c r="E3215" s="155"/>
      <c r="F3215" s="155"/>
      <c r="G3215" s="155"/>
      <c r="H3215" s="155"/>
      <c r="I3215" s="155"/>
      <c r="J3215" s="155"/>
      <c r="K3215" s="155"/>
      <c r="L3215" s="155"/>
      <c r="M3215" s="155"/>
      <c r="N3215" s="155"/>
      <c r="O3215" s="155"/>
      <c r="P3215" s="155"/>
      <c r="Q3215" s="155"/>
      <c r="R3215" s="155"/>
      <c r="S3215" s="155"/>
      <c r="T3215" s="155"/>
      <c r="U3215" s="155"/>
      <c r="V3215" s="155"/>
      <c r="W3215" s="155"/>
      <c r="GL3215" s="155"/>
      <c r="GM3215" s="155"/>
      <c r="GN3215" s="155"/>
      <c r="GO3215" s="155"/>
      <c r="GP3215" s="155"/>
      <c r="GQ3215" s="155"/>
      <c r="GR3215" s="155"/>
      <c r="GS3215" s="155"/>
      <c r="GT3215" s="155"/>
      <c r="GU3215" s="155"/>
      <c r="GV3215" s="155"/>
      <c r="GW3215" s="155"/>
      <c r="GX3215" s="155"/>
      <c r="GY3215" s="155"/>
      <c r="GZ3215" s="155"/>
      <c r="HA3215" s="155"/>
      <c r="HB3215" s="155"/>
      <c r="HC3215" s="155"/>
      <c r="HD3215" s="155"/>
      <c r="HE3215" s="155"/>
    </row>
    <row r="3216" spans="2:213" s="156" customFormat="1" hidden="1">
      <c r="B3216" s="155"/>
      <c r="C3216" s="155"/>
      <c r="D3216" s="155"/>
      <c r="E3216" s="155"/>
      <c r="F3216" s="155"/>
      <c r="G3216" s="155"/>
      <c r="H3216" s="155"/>
      <c r="I3216" s="155"/>
      <c r="J3216" s="155"/>
      <c r="K3216" s="155"/>
      <c r="L3216" s="155"/>
      <c r="M3216" s="155"/>
      <c r="N3216" s="155"/>
      <c r="O3216" s="155"/>
      <c r="P3216" s="155"/>
      <c r="Q3216" s="155"/>
      <c r="R3216" s="155"/>
      <c r="S3216" s="155"/>
      <c r="T3216" s="155"/>
      <c r="U3216" s="155"/>
      <c r="V3216" s="155"/>
      <c r="W3216" s="155"/>
      <c r="GL3216" s="155"/>
      <c r="GM3216" s="155"/>
      <c r="GN3216" s="155"/>
      <c r="GO3216" s="155"/>
      <c r="GP3216" s="155"/>
      <c r="GQ3216" s="155"/>
      <c r="GR3216" s="155"/>
      <c r="GS3216" s="155"/>
      <c r="GT3216" s="155"/>
      <c r="GU3216" s="155"/>
      <c r="GV3216" s="155"/>
      <c r="GW3216" s="155"/>
      <c r="GX3216" s="155"/>
      <c r="GY3216" s="155"/>
      <c r="GZ3216" s="155"/>
      <c r="HA3216" s="155"/>
      <c r="HB3216" s="155"/>
      <c r="HC3216" s="155"/>
      <c r="HD3216" s="155"/>
      <c r="HE3216" s="155"/>
    </row>
    <row r="3217" spans="2:213" s="156" customFormat="1" hidden="1">
      <c r="B3217" s="155"/>
      <c r="C3217" s="155"/>
      <c r="D3217" s="155"/>
      <c r="E3217" s="155"/>
      <c r="F3217" s="155"/>
      <c r="G3217" s="155"/>
      <c r="H3217" s="155"/>
      <c r="I3217" s="155"/>
      <c r="J3217" s="155"/>
      <c r="K3217" s="155"/>
      <c r="L3217" s="155"/>
      <c r="M3217" s="155"/>
      <c r="N3217" s="155"/>
      <c r="O3217" s="155"/>
      <c r="P3217" s="155"/>
      <c r="Q3217" s="155"/>
      <c r="R3217" s="155"/>
      <c r="S3217" s="155"/>
      <c r="T3217" s="155"/>
      <c r="U3217" s="155"/>
      <c r="V3217" s="155"/>
      <c r="W3217" s="155"/>
      <c r="GL3217" s="155"/>
      <c r="GM3217" s="155"/>
      <c r="GN3217" s="155"/>
      <c r="GO3217" s="155"/>
      <c r="GP3217" s="155"/>
      <c r="GQ3217" s="155"/>
      <c r="GR3217" s="155"/>
      <c r="GS3217" s="155"/>
      <c r="GT3217" s="155"/>
      <c r="GU3217" s="155"/>
      <c r="GV3217" s="155"/>
      <c r="GW3217" s="155"/>
      <c r="GX3217" s="155"/>
      <c r="GY3217" s="155"/>
      <c r="GZ3217" s="155"/>
      <c r="HA3217" s="155"/>
      <c r="HB3217" s="155"/>
      <c r="HC3217" s="155"/>
      <c r="HD3217" s="155"/>
      <c r="HE3217" s="155"/>
    </row>
    <row r="3218" spans="2:213" s="156" customFormat="1" hidden="1">
      <c r="B3218" s="155"/>
      <c r="C3218" s="155"/>
      <c r="D3218" s="155"/>
      <c r="E3218" s="155"/>
      <c r="F3218" s="155"/>
      <c r="G3218" s="155"/>
      <c r="H3218" s="155"/>
      <c r="I3218" s="155"/>
      <c r="J3218" s="155"/>
      <c r="K3218" s="155"/>
      <c r="L3218" s="155"/>
      <c r="M3218" s="155"/>
      <c r="N3218" s="155"/>
      <c r="O3218" s="155"/>
      <c r="P3218" s="155"/>
      <c r="Q3218" s="155"/>
      <c r="R3218" s="155"/>
      <c r="S3218" s="155"/>
      <c r="T3218" s="155"/>
      <c r="U3218" s="155"/>
      <c r="V3218" s="155"/>
      <c r="W3218" s="155"/>
      <c r="GL3218" s="155"/>
      <c r="GM3218" s="155"/>
      <c r="GN3218" s="155"/>
      <c r="GO3218" s="155"/>
      <c r="GP3218" s="155"/>
      <c r="GQ3218" s="155"/>
      <c r="GR3218" s="155"/>
      <c r="GS3218" s="155"/>
      <c r="GT3218" s="155"/>
      <c r="GU3218" s="155"/>
      <c r="GV3218" s="155"/>
      <c r="GW3218" s="155"/>
      <c r="GX3218" s="155"/>
      <c r="GY3218" s="155"/>
      <c r="GZ3218" s="155"/>
      <c r="HA3218" s="155"/>
      <c r="HB3218" s="155"/>
      <c r="HC3218" s="155"/>
      <c r="HD3218" s="155"/>
      <c r="HE3218" s="155"/>
    </row>
    <row r="3219" spans="2:213" s="156" customFormat="1" hidden="1">
      <c r="B3219" s="155"/>
      <c r="C3219" s="155"/>
      <c r="D3219" s="155"/>
      <c r="E3219" s="155"/>
      <c r="F3219" s="155"/>
      <c r="G3219" s="155"/>
      <c r="H3219" s="155"/>
      <c r="I3219" s="155"/>
      <c r="J3219" s="155"/>
      <c r="K3219" s="155"/>
      <c r="L3219" s="155"/>
      <c r="M3219" s="155"/>
      <c r="N3219" s="155"/>
      <c r="O3219" s="155"/>
      <c r="P3219" s="155"/>
      <c r="Q3219" s="155"/>
      <c r="R3219" s="155"/>
      <c r="S3219" s="155"/>
      <c r="T3219" s="155"/>
      <c r="U3219" s="155"/>
      <c r="V3219" s="155"/>
      <c r="W3219" s="155"/>
      <c r="GL3219" s="155"/>
      <c r="GM3219" s="155"/>
      <c r="GN3219" s="155"/>
      <c r="GO3219" s="155"/>
      <c r="GP3219" s="155"/>
      <c r="GQ3219" s="155"/>
      <c r="GR3219" s="155"/>
      <c r="GS3219" s="155"/>
      <c r="GT3219" s="155"/>
      <c r="GU3219" s="155"/>
      <c r="GV3219" s="155"/>
      <c r="GW3219" s="155"/>
      <c r="GX3219" s="155"/>
      <c r="GY3219" s="155"/>
      <c r="GZ3219" s="155"/>
      <c r="HA3219" s="155"/>
      <c r="HB3219" s="155"/>
      <c r="HC3219" s="155"/>
      <c r="HD3219" s="155"/>
      <c r="HE3219" s="155"/>
    </row>
    <row r="3220" spans="2:213" s="156" customFormat="1" hidden="1">
      <c r="B3220" s="155"/>
      <c r="C3220" s="155"/>
      <c r="D3220" s="155"/>
      <c r="E3220" s="155"/>
      <c r="F3220" s="155"/>
      <c r="G3220" s="155"/>
      <c r="H3220" s="155"/>
      <c r="I3220" s="155"/>
      <c r="J3220" s="155"/>
      <c r="K3220" s="155"/>
      <c r="L3220" s="155"/>
      <c r="M3220" s="155"/>
      <c r="N3220" s="155"/>
      <c r="O3220" s="155"/>
      <c r="P3220" s="155"/>
      <c r="Q3220" s="155"/>
      <c r="R3220" s="155"/>
      <c r="S3220" s="155"/>
      <c r="T3220" s="155"/>
      <c r="U3220" s="155"/>
      <c r="V3220" s="155"/>
      <c r="W3220" s="155"/>
      <c r="GL3220" s="155"/>
      <c r="GM3220" s="155"/>
      <c r="GN3220" s="155"/>
      <c r="GO3220" s="155"/>
      <c r="GP3220" s="155"/>
      <c r="GQ3220" s="155"/>
      <c r="GR3220" s="155"/>
      <c r="GS3220" s="155"/>
      <c r="GT3220" s="155"/>
      <c r="GU3220" s="155"/>
      <c r="GV3220" s="155"/>
      <c r="GW3220" s="155"/>
      <c r="GX3220" s="155"/>
      <c r="GY3220" s="155"/>
      <c r="GZ3220" s="155"/>
      <c r="HA3220" s="155"/>
      <c r="HB3220" s="155"/>
      <c r="HC3220" s="155"/>
      <c r="HD3220" s="155"/>
      <c r="HE3220" s="155"/>
    </row>
    <row r="3221" spans="2:213" s="156" customFormat="1" hidden="1">
      <c r="B3221" s="155"/>
      <c r="C3221" s="155"/>
      <c r="D3221" s="155"/>
      <c r="E3221" s="155"/>
      <c r="F3221" s="155"/>
      <c r="G3221" s="155"/>
      <c r="H3221" s="155"/>
      <c r="I3221" s="155"/>
      <c r="J3221" s="155"/>
      <c r="K3221" s="155"/>
      <c r="L3221" s="155"/>
      <c r="M3221" s="155"/>
      <c r="N3221" s="155"/>
      <c r="O3221" s="155"/>
      <c r="P3221" s="155"/>
      <c r="Q3221" s="155"/>
      <c r="R3221" s="155"/>
      <c r="S3221" s="155"/>
      <c r="T3221" s="155"/>
      <c r="U3221" s="155"/>
      <c r="V3221" s="155"/>
      <c r="W3221" s="155"/>
      <c r="GL3221" s="155"/>
      <c r="GM3221" s="155"/>
      <c r="GN3221" s="155"/>
      <c r="GO3221" s="155"/>
      <c r="GP3221" s="155"/>
      <c r="GQ3221" s="155"/>
      <c r="GR3221" s="155"/>
      <c r="GS3221" s="155"/>
      <c r="GT3221" s="155"/>
      <c r="GU3221" s="155"/>
      <c r="GV3221" s="155"/>
      <c r="GW3221" s="155"/>
      <c r="GX3221" s="155"/>
      <c r="GY3221" s="155"/>
      <c r="GZ3221" s="155"/>
      <c r="HA3221" s="155"/>
      <c r="HB3221" s="155"/>
      <c r="HC3221" s="155"/>
      <c r="HD3221" s="155"/>
      <c r="HE3221" s="155"/>
    </row>
    <row r="3222" spans="2:213" s="156" customFormat="1" hidden="1">
      <c r="B3222" s="155"/>
      <c r="C3222" s="155"/>
      <c r="D3222" s="155"/>
      <c r="E3222" s="155"/>
      <c r="F3222" s="155"/>
      <c r="G3222" s="155"/>
      <c r="H3222" s="155"/>
      <c r="I3222" s="155"/>
      <c r="J3222" s="155"/>
      <c r="K3222" s="155"/>
      <c r="L3222" s="155"/>
      <c r="M3222" s="155"/>
      <c r="N3222" s="155"/>
      <c r="O3222" s="155"/>
      <c r="P3222" s="155"/>
      <c r="Q3222" s="155"/>
      <c r="R3222" s="155"/>
      <c r="S3222" s="155"/>
      <c r="T3222" s="155"/>
      <c r="U3222" s="155"/>
      <c r="V3222" s="155"/>
      <c r="W3222" s="155"/>
      <c r="GL3222" s="155"/>
      <c r="GM3222" s="155"/>
      <c r="GN3222" s="155"/>
      <c r="GO3222" s="155"/>
      <c r="GP3222" s="155"/>
      <c r="GQ3222" s="155"/>
      <c r="GR3222" s="155"/>
      <c r="GS3222" s="155"/>
      <c r="GT3222" s="155"/>
      <c r="GU3222" s="155"/>
      <c r="GV3222" s="155"/>
      <c r="GW3222" s="155"/>
      <c r="GX3222" s="155"/>
      <c r="GY3222" s="155"/>
      <c r="GZ3222" s="155"/>
      <c r="HA3222" s="155"/>
      <c r="HB3222" s="155"/>
      <c r="HC3222" s="155"/>
      <c r="HD3222" s="155"/>
      <c r="HE3222" s="155"/>
    </row>
    <row r="3223" spans="2:213" s="156" customFormat="1" hidden="1">
      <c r="B3223" s="155"/>
      <c r="C3223" s="155"/>
      <c r="D3223" s="155"/>
      <c r="E3223" s="155"/>
      <c r="F3223" s="155"/>
      <c r="G3223" s="155"/>
      <c r="H3223" s="155"/>
      <c r="I3223" s="155"/>
      <c r="J3223" s="155"/>
      <c r="K3223" s="155"/>
      <c r="L3223" s="155"/>
      <c r="M3223" s="155"/>
      <c r="N3223" s="155"/>
      <c r="O3223" s="155"/>
      <c r="P3223" s="155"/>
      <c r="Q3223" s="155"/>
      <c r="R3223" s="155"/>
      <c r="S3223" s="155"/>
      <c r="T3223" s="155"/>
      <c r="U3223" s="155"/>
      <c r="V3223" s="155"/>
      <c r="W3223" s="155"/>
      <c r="GL3223" s="155"/>
      <c r="GM3223" s="155"/>
      <c r="GN3223" s="155"/>
      <c r="GO3223" s="155"/>
      <c r="GP3223" s="155"/>
      <c r="GQ3223" s="155"/>
      <c r="GR3223" s="155"/>
      <c r="GS3223" s="155"/>
      <c r="GT3223" s="155"/>
      <c r="GU3223" s="155"/>
      <c r="GV3223" s="155"/>
      <c r="GW3223" s="155"/>
      <c r="GX3223" s="155"/>
      <c r="GY3223" s="155"/>
      <c r="GZ3223" s="155"/>
      <c r="HA3223" s="155"/>
      <c r="HB3223" s="155"/>
      <c r="HC3223" s="155"/>
      <c r="HD3223" s="155"/>
      <c r="HE3223" s="155"/>
    </row>
    <row r="3224" spans="2:213" s="156" customFormat="1" hidden="1">
      <c r="B3224" s="155"/>
      <c r="C3224" s="155"/>
      <c r="D3224" s="155"/>
      <c r="E3224" s="155"/>
      <c r="F3224" s="155"/>
      <c r="G3224" s="155"/>
      <c r="H3224" s="155"/>
      <c r="I3224" s="155"/>
      <c r="J3224" s="155"/>
      <c r="K3224" s="155"/>
      <c r="L3224" s="155"/>
      <c r="M3224" s="155"/>
      <c r="N3224" s="155"/>
      <c r="O3224" s="155"/>
      <c r="P3224" s="155"/>
      <c r="Q3224" s="155"/>
      <c r="R3224" s="155"/>
      <c r="S3224" s="155"/>
      <c r="T3224" s="155"/>
      <c r="U3224" s="155"/>
      <c r="V3224" s="155"/>
      <c r="W3224" s="155"/>
      <c r="GL3224" s="155"/>
      <c r="GM3224" s="155"/>
      <c r="GN3224" s="155"/>
      <c r="GO3224" s="155"/>
      <c r="GP3224" s="155"/>
      <c r="GQ3224" s="155"/>
      <c r="GR3224" s="155"/>
      <c r="GS3224" s="155"/>
      <c r="GT3224" s="155"/>
      <c r="GU3224" s="155"/>
      <c r="GV3224" s="155"/>
      <c r="GW3224" s="155"/>
      <c r="GX3224" s="155"/>
      <c r="GY3224" s="155"/>
      <c r="GZ3224" s="155"/>
      <c r="HA3224" s="155"/>
      <c r="HB3224" s="155"/>
      <c r="HC3224" s="155"/>
      <c r="HD3224" s="155"/>
      <c r="HE3224" s="155"/>
    </row>
    <row r="3225" spans="2:213" s="156" customFormat="1" hidden="1">
      <c r="B3225" s="155"/>
      <c r="C3225" s="155"/>
      <c r="D3225" s="155"/>
      <c r="E3225" s="155"/>
      <c r="F3225" s="155"/>
      <c r="G3225" s="155"/>
      <c r="H3225" s="155"/>
      <c r="I3225" s="155"/>
      <c r="J3225" s="155"/>
      <c r="K3225" s="155"/>
      <c r="L3225" s="155"/>
      <c r="M3225" s="155"/>
      <c r="N3225" s="155"/>
      <c r="O3225" s="155"/>
      <c r="P3225" s="155"/>
      <c r="Q3225" s="155"/>
      <c r="R3225" s="155"/>
      <c r="S3225" s="155"/>
      <c r="T3225" s="155"/>
      <c r="U3225" s="155"/>
      <c r="V3225" s="155"/>
      <c r="W3225" s="155"/>
      <c r="GL3225" s="155"/>
      <c r="GM3225" s="155"/>
      <c r="GN3225" s="155"/>
      <c r="GO3225" s="155"/>
      <c r="GP3225" s="155"/>
      <c r="GQ3225" s="155"/>
      <c r="GR3225" s="155"/>
      <c r="GS3225" s="155"/>
      <c r="GT3225" s="155"/>
      <c r="GU3225" s="155"/>
      <c r="GV3225" s="155"/>
      <c r="GW3225" s="155"/>
      <c r="GX3225" s="155"/>
      <c r="GY3225" s="155"/>
      <c r="GZ3225" s="155"/>
      <c r="HA3225" s="155"/>
      <c r="HB3225" s="155"/>
      <c r="HC3225" s="155"/>
      <c r="HD3225" s="155"/>
      <c r="HE3225" s="155"/>
    </row>
    <row r="3226" spans="2:213" s="156" customFormat="1" hidden="1">
      <c r="B3226" s="155"/>
      <c r="C3226" s="155"/>
      <c r="D3226" s="155"/>
      <c r="E3226" s="155"/>
      <c r="F3226" s="155"/>
      <c r="G3226" s="155"/>
      <c r="H3226" s="155"/>
      <c r="I3226" s="155"/>
      <c r="J3226" s="155"/>
      <c r="K3226" s="155"/>
      <c r="L3226" s="155"/>
      <c r="M3226" s="155"/>
      <c r="N3226" s="155"/>
      <c r="O3226" s="155"/>
      <c r="P3226" s="155"/>
      <c r="Q3226" s="155"/>
      <c r="R3226" s="155"/>
      <c r="S3226" s="155"/>
      <c r="T3226" s="155"/>
      <c r="U3226" s="155"/>
      <c r="V3226" s="155"/>
      <c r="W3226" s="155"/>
      <c r="GL3226" s="155"/>
      <c r="GM3226" s="155"/>
      <c r="GN3226" s="155"/>
      <c r="GO3226" s="155"/>
      <c r="GP3226" s="155"/>
      <c r="GQ3226" s="155"/>
      <c r="GR3226" s="155"/>
      <c r="GS3226" s="155"/>
      <c r="GT3226" s="155"/>
      <c r="GU3226" s="155"/>
      <c r="GV3226" s="155"/>
      <c r="GW3226" s="155"/>
      <c r="GX3226" s="155"/>
      <c r="GY3226" s="155"/>
      <c r="GZ3226" s="155"/>
      <c r="HA3226" s="155"/>
      <c r="HB3226" s="155"/>
      <c r="HC3226" s="155"/>
      <c r="HD3226" s="155"/>
      <c r="HE3226" s="155"/>
    </row>
    <row r="3227" spans="2:213" s="156" customFormat="1" hidden="1">
      <c r="B3227" s="155"/>
      <c r="C3227" s="155"/>
      <c r="D3227" s="155"/>
      <c r="E3227" s="155"/>
      <c r="F3227" s="155"/>
      <c r="G3227" s="155"/>
      <c r="H3227" s="155"/>
      <c r="I3227" s="155"/>
      <c r="J3227" s="155"/>
      <c r="K3227" s="155"/>
      <c r="L3227" s="155"/>
      <c r="M3227" s="155"/>
      <c r="N3227" s="155"/>
      <c r="O3227" s="155"/>
      <c r="P3227" s="155"/>
      <c r="Q3227" s="155"/>
      <c r="R3227" s="155"/>
      <c r="S3227" s="155"/>
      <c r="T3227" s="155"/>
      <c r="U3227" s="155"/>
      <c r="V3227" s="155"/>
      <c r="W3227" s="155"/>
      <c r="GL3227" s="155"/>
      <c r="GM3227" s="155"/>
      <c r="GN3227" s="155"/>
      <c r="GO3227" s="155"/>
      <c r="GP3227" s="155"/>
      <c r="GQ3227" s="155"/>
      <c r="GR3227" s="155"/>
      <c r="GS3227" s="155"/>
      <c r="GT3227" s="155"/>
      <c r="GU3227" s="155"/>
      <c r="GV3227" s="155"/>
      <c r="GW3227" s="155"/>
      <c r="GX3227" s="155"/>
      <c r="GY3227" s="155"/>
      <c r="GZ3227" s="155"/>
      <c r="HA3227" s="155"/>
      <c r="HB3227" s="155"/>
      <c r="HC3227" s="155"/>
      <c r="HD3227" s="155"/>
      <c r="HE3227" s="155"/>
    </row>
    <row r="3228" spans="2:213" s="156" customFormat="1" hidden="1">
      <c r="B3228" s="155"/>
      <c r="C3228" s="155"/>
      <c r="D3228" s="155"/>
      <c r="E3228" s="155"/>
      <c r="F3228" s="155"/>
      <c r="G3228" s="155"/>
      <c r="H3228" s="155"/>
      <c r="I3228" s="155"/>
      <c r="J3228" s="155"/>
      <c r="K3228" s="155"/>
      <c r="L3228" s="155"/>
      <c r="M3228" s="155"/>
      <c r="N3228" s="155"/>
      <c r="O3228" s="155"/>
      <c r="P3228" s="155"/>
      <c r="Q3228" s="155"/>
      <c r="R3228" s="155"/>
      <c r="S3228" s="155"/>
      <c r="T3228" s="155"/>
      <c r="U3228" s="155"/>
      <c r="V3228" s="155"/>
      <c r="W3228" s="155"/>
      <c r="GL3228" s="155"/>
      <c r="GM3228" s="155"/>
      <c r="GN3228" s="155"/>
      <c r="GO3228" s="155"/>
      <c r="GP3228" s="155"/>
      <c r="GQ3228" s="155"/>
      <c r="GR3228" s="155"/>
      <c r="GS3228" s="155"/>
      <c r="GT3228" s="155"/>
      <c r="GU3228" s="155"/>
      <c r="GV3228" s="155"/>
      <c r="GW3228" s="155"/>
      <c r="GX3228" s="155"/>
      <c r="GY3228" s="155"/>
      <c r="GZ3228" s="155"/>
      <c r="HA3228" s="155"/>
      <c r="HB3228" s="155"/>
      <c r="HC3228" s="155"/>
      <c r="HD3228" s="155"/>
      <c r="HE3228" s="155"/>
    </row>
    <row r="3229" spans="2:213" s="156" customFormat="1" hidden="1">
      <c r="B3229" s="155"/>
      <c r="C3229" s="155"/>
      <c r="D3229" s="155"/>
      <c r="E3229" s="155"/>
      <c r="F3229" s="155"/>
      <c r="G3229" s="155"/>
      <c r="H3229" s="155"/>
      <c r="I3229" s="155"/>
      <c r="J3229" s="155"/>
      <c r="K3229" s="155"/>
      <c r="L3229" s="155"/>
      <c r="M3229" s="155"/>
      <c r="N3229" s="155"/>
      <c r="O3229" s="155"/>
      <c r="P3229" s="155"/>
      <c r="Q3229" s="155"/>
      <c r="R3229" s="155"/>
      <c r="S3229" s="155"/>
      <c r="T3229" s="155"/>
      <c r="U3229" s="155"/>
      <c r="V3229" s="155"/>
      <c r="W3229" s="155"/>
      <c r="GL3229" s="155"/>
      <c r="GM3229" s="155"/>
      <c r="GN3229" s="155"/>
      <c r="GO3229" s="155"/>
      <c r="GP3229" s="155"/>
      <c r="GQ3229" s="155"/>
      <c r="GR3229" s="155"/>
      <c r="GS3229" s="155"/>
      <c r="GT3229" s="155"/>
      <c r="GU3229" s="155"/>
      <c r="GV3229" s="155"/>
      <c r="GW3229" s="155"/>
      <c r="GX3229" s="155"/>
      <c r="GY3229" s="155"/>
      <c r="GZ3229" s="155"/>
      <c r="HA3229" s="155"/>
      <c r="HB3229" s="155"/>
      <c r="HC3229" s="155"/>
      <c r="HD3229" s="155"/>
      <c r="HE3229" s="155"/>
    </row>
    <row r="3230" spans="2:213" s="156" customFormat="1" hidden="1">
      <c r="B3230" s="155"/>
      <c r="C3230" s="155"/>
      <c r="D3230" s="155"/>
      <c r="E3230" s="155"/>
      <c r="F3230" s="155"/>
      <c r="G3230" s="155"/>
      <c r="H3230" s="155"/>
      <c r="I3230" s="155"/>
      <c r="J3230" s="155"/>
      <c r="K3230" s="155"/>
      <c r="L3230" s="155"/>
      <c r="M3230" s="155"/>
      <c r="N3230" s="155"/>
      <c r="O3230" s="155"/>
      <c r="P3230" s="155"/>
      <c r="Q3230" s="155"/>
      <c r="R3230" s="155"/>
      <c r="S3230" s="155"/>
      <c r="T3230" s="155"/>
      <c r="U3230" s="155"/>
      <c r="V3230" s="155"/>
      <c r="W3230" s="155"/>
      <c r="GL3230" s="155"/>
      <c r="GM3230" s="155"/>
      <c r="GN3230" s="155"/>
      <c r="GO3230" s="155"/>
      <c r="GP3230" s="155"/>
      <c r="GQ3230" s="155"/>
      <c r="GR3230" s="155"/>
      <c r="GS3230" s="155"/>
      <c r="GT3230" s="155"/>
      <c r="GU3230" s="155"/>
      <c r="GV3230" s="155"/>
      <c r="GW3230" s="155"/>
      <c r="GX3230" s="155"/>
      <c r="GY3230" s="155"/>
      <c r="GZ3230" s="155"/>
      <c r="HA3230" s="155"/>
      <c r="HB3230" s="155"/>
      <c r="HC3230" s="155"/>
      <c r="HD3230" s="155"/>
      <c r="HE3230" s="155"/>
    </row>
    <row r="3231" spans="2:213" s="156" customFormat="1" hidden="1">
      <c r="B3231" s="155"/>
      <c r="C3231" s="155"/>
      <c r="D3231" s="155"/>
      <c r="E3231" s="155"/>
      <c r="F3231" s="155"/>
      <c r="G3231" s="155"/>
      <c r="H3231" s="155"/>
      <c r="I3231" s="155"/>
      <c r="J3231" s="155"/>
      <c r="K3231" s="155"/>
      <c r="L3231" s="155"/>
      <c r="M3231" s="155"/>
      <c r="N3231" s="155"/>
      <c r="O3231" s="155"/>
      <c r="P3231" s="155"/>
      <c r="Q3231" s="155"/>
      <c r="R3231" s="155"/>
      <c r="S3231" s="155"/>
      <c r="T3231" s="155"/>
      <c r="U3231" s="155"/>
      <c r="V3231" s="155"/>
      <c r="W3231" s="155"/>
      <c r="GL3231" s="155"/>
      <c r="GM3231" s="155"/>
      <c r="GN3231" s="155"/>
      <c r="GO3231" s="155"/>
      <c r="GP3231" s="155"/>
      <c r="GQ3231" s="155"/>
      <c r="GR3231" s="155"/>
      <c r="GS3231" s="155"/>
      <c r="GT3231" s="155"/>
      <c r="GU3231" s="155"/>
      <c r="GV3231" s="155"/>
      <c r="GW3231" s="155"/>
      <c r="GX3231" s="155"/>
      <c r="GY3231" s="155"/>
      <c r="GZ3231" s="155"/>
      <c r="HA3231" s="155"/>
      <c r="HB3231" s="155"/>
      <c r="HC3231" s="155"/>
      <c r="HD3231" s="155"/>
      <c r="HE3231" s="155"/>
    </row>
    <row r="3232" spans="2:213" s="156" customFormat="1" hidden="1">
      <c r="B3232" s="155"/>
      <c r="C3232" s="155"/>
      <c r="D3232" s="155"/>
      <c r="E3232" s="155"/>
      <c r="F3232" s="155"/>
      <c r="G3232" s="155"/>
      <c r="H3232" s="155"/>
      <c r="I3232" s="155"/>
      <c r="J3232" s="155"/>
      <c r="K3232" s="155"/>
      <c r="L3232" s="155"/>
      <c r="M3232" s="155"/>
      <c r="N3232" s="155"/>
      <c r="O3232" s="155"/>
      <c r="P3232" s="155"/>
      <c r="Q3232" s="155"/>
      <c r="R3232" s="155"/>
      <c r="S3232" s="155"/>
      <c r="T3232" s="155"/>
      <c r="U3232" s="155"/>
      <c r="V3232" s="155"/>
      <c r="W3232" s="155"/>
      <c r="GL3232" s="155"/>
      <c r="GM3232" s="155"/>
      <c r="GN3232" s="155"/>
      <c r="GO3232" s="155"/>
      <c r="GP3232" s="155"/>
      <c r="GQ3232" s="155"/>
      <c r="GR3232" s="155"/>
      <c r="GS3232" s="155"/>
      <c r="GT3232" s="155"/>
      <c r="GU3232" s="155"/>
      <c r="GV3232" s="155"/>
      <c r="GW3232" s="155"/>
      <c r="GX3232" s="155"/>
      <c r="GY3232" s="155"/>
      <c r="GZ3232" s="155"/>
      <c r="HA3232" s="155"/>
      <c r="HB3232" s="155"/>
      <c r="HC3232" s="155"/>
      <c r="HD3232" s="155"/>
      <c r="HE3232" s="155"/>
    </row>
    <row r="3233" spans="2:213" s="156" customFormat="1" hidden="1">
      <c r="B3233" s="155"/>
      <c r="C3233" s="155"/>
      <c r="D3233" s="155"/>
      <c r="E3233" s="155"/>
      <c r="F3233" s="155"/>
      <c r="G3233" s="155"/>
      <c r="H3233" s="155"/>
      <c r="I3233" s="155"/>
      <c r="J3233" s="155"/>
      <c r="K3233" s="155"/>
      <c r="L3233" s="155"/>
      <c r="M3233" s="155"/>
      <c r="N3233" s="155"/>
      <c r="O3233" s="155"/>
      <c r="P3233" s="155"/>
      <c r="Q3233" s="155"/>
      <c r="R3233" s="155"/>
      <c r="S3233" s="155"/>
      <c r="T3233" s="155"/>
      <c r="U3233" s="155"/>
      <c r="V3233" s="155"/>
      <c r="W3233" s="155"/>
      <c r="GL3233" s="155"/>
      <c r="GM3233" s="155"/>
      <c r="GN3233" s="155"/>
      <c r="GO3233" s="155"/>
      <c r="GP3233" s="155"/>
      <c r="GQ3233" s="155"/>
      <c r="GR3233" s="155"/>
      <c r="GS3233" s="155"/>
      <c r="GT3233" s="155"/>
      <c r="GU3233" s="155"/>
      <c r="GV3233" s="155"/>
      <c r="GW3233" s="155"/>
      <c r="GX3233" s="155"/>
      <c r="GY3233" s="155"/>
      <c r="GZ3233" s="155"/>
      <c r="HA3233" s="155"/>
      <c r="HB3233" s="155"/>
      <c r="HC3233" s="155"/>
      <c r="HD3233" s="155"/>
      <c r="HE3233" s="155"/>
    </row>
    <row r="3234" spans="2:213" s="156" customFormat="1" hidden="1">
      <c r="B3234" s="155"/>
      <c r="C3234" s="155"/>
      <c r="D3234" s="155"/>
      <c r="E3234" s="155"/>
      <c r="F3234" s="155"/>
      <c r="G3234" s="155"/>
      <c r="H3234" s="155"/>
      <c r="I3234" s="155"/>
      <c r="J3234" s="155"/>
      <c r="K3234" s="155"/>
      <c r="L3234" s="155"/>
      <c r="M3234" s="155"/>
      <c r="N3234" s="155"/>
      <c r="O3234" s="155"/>
      <c r="P3234" s="155"/>
      <c r="Q3234" s="155"/>
      <c r="R3234" s="155"/>
      <c r="S3234" s="155"/>
      <c r="T3234" s="155"/>
      <c r="U3234" s="155"/>
      <c r="V3234" s="155"/>
      <c r="W3234" s="155"/>
      <c r="GL3234" s="155"/>
      <c r="GM3234" s="155"/>
      <c r="GN3234" s="155"/>
      <c r="GO3234" s="155"/>
      <c r="GP3234" s="155"/>
      <c r="GQ3234" s="155"/>
      <c r="GR3234" s="155"/>
      <c r="GS3234" s="155"/>
      <c r="GT3234" s="155"/>
      <c r="GU3234" s="155"/>
      <c r="GV3234" s="155"/>
      <c r="GW3234" s="155"/>
      <c r="GX3234" s="155"/>
      <c r="GY3234" s="155"/>
      <c r="GZ3234" s="155"/>
      <c r="HA3234" s="155"/>
      <c r="HB3234" s="155"/>
      <c r="HC3234" s="155"/>
      <c r="HD3234" s="155"/>
      <c r="HE3234" s="155"/>
    </row>
    <row r="3235" spans="2:213" s="156" customFormat="1" hidden="1">
      <c r="B3235" s="155"/>
      <c r="C3235" s="155"/>
      <c r="D3235" s="155"/>
      <c r="E3235" s="155"/>
      <c r="F3235" s="155"/>
      <c r="G3235" s="155"/>
      <c r="H3235" s="155"/>
      <c r="I3235" s="155"/>
      <c r="J3235" s="155"/>
      <c r="K3235" s="155"/>
      <c r="L3235" s="155"/>
      <c r="M3235" s="155"/>
      <c r="N3235" s="155"/>
      <c r="O3235" s="155"/>
      <c r="P3235" s="155"/>
      <c r="Q3235" s="155"/>
      <c r="R3235" s="155"/>
      <c r="S3235" s="155"/>
      <c r="T3235" s="155"/>
      <c r="U3235" s="155"/>
      <c r="V3235" s="155"/>
      <c r="W3235" s="155"/>
      <c r="GL3235" s="155"/>
      <c r="GM3235" s="155"/>
      <c r="GN3235" s="155"/>
      <c r="GO3235" s="155"/>
      <c r="GP3235" s="155"/>
      <c r="GQ3235" s="155"/>
      <c r="GR3235" s="155"/>
      <c r="GS3235" s="155"/>
      <c r="GT3235" s="155"/>
      <c r="GU3235" s="155"/>
      <c r="GV3235" s="155"/>
      <c r="GW3235" s="155"/>
      <c r="GX3235" s="155"/>
      <c r="GY3235" s="155"/>
      <c r="GZ3235" s="155"/>
      <c r="HA3235" s="155"/>
      <c r="HB3235" s="155"/>
      <c r="HC3235" s="155"/>
      <c r="HD3235" s="155"/>
      <c r="HE3235" s="155"/>
    </row>
    <row r="3236" spans="2:213" s="156" customFormat="1" hidden="1">
      <c r="B3236" s="155"/>
      <c r="C3236" s="155"/>
      <c r="D3236" s="155"/>
      <c r="E3236" s="155"/>
      <c r="F3236" s="155"/>
      <c r="G3236" s="155"/>
      <c r="H3236" s="155"/>
      <c r="I3236" s="155"/>
      <c r="J3236" s="155"/>
      <c r="K3236" s="155"/>
      <c r="L3236" s="155"/>
      <c r="M3236" s="155"/>
      <c r="N3236" s="155"/>
      <c r="O3236" s="155"/>
      <c r="P3236" s="155"/>
      <c r="Q3236" s="155"/>
      <c r="R3236" s="155"/>
      <c r="S3236" s="155"/>
      <c r="T3236" s="155"/>
      <c r="U3236" s="155"/>
      <c r="V3236" s="155"/>
      <c r="W3236" s="155"/>
      <c r="GL3236" s="155"/>
      <c r="GM3236" s="155"/>
      <c r="GN3236" s="155"/>
      <c r="GO3236" s="155"/>
      <c r="GP3236" s="155"/>
      <c r="GQ3236" s="155"/>
      <c r="GR3236" s="155"/>
      <c r="GS3236" s="155"/>
      <c r="GT3236" s="155"/>
      <c r="GU3236" s="155"/>
      <c r="GV3236" s="155"/>
      <c r="GW3236" s="155"/>
      <c r="GX3236" s="155"/>
      <c r="GY3236" s="155"/>
      <c r="GZ3236" s="155"/>
      <c r="HA3236" s="155"/>
      <c r="HB3236" s="155"/>
      <c r="HC3236" s="155"/>
      <c r="HD3236" s="155"/>
      <c r="HE3236" s="155"/>
    </row>
    <row r="3237" spans="2:213" s="156" customFormat="1" hidden="1">
      <c r="B3237" s="155"/>
      <c r="C3237" s="155"/>
      <c r="D3237" s="155"/>
      <c r="E3237" s="155"/>
      <c r="F3237" s="155"/>
      <c r="G3237" s="155"/>
      <c r="H3237" s="155"/>
      <c r="I3237" s="155"/>
      <c r="J3237" s="155"/>
      <c r="K3237" s="155"/>
      <c r="L3237" s="155"/>
      <c r="M3237" s="155"/>
      <c r="N3237" s="155"/>
      <c r="O3237" s="155"/>
      <c r="P3237" s="155"/>
      <c r="Q3237" s="155"/>
      <c r="R3237" s="155"/>
      <c r="S3237" s="155"/>
      <c r="T3237" s="155"/>
      <c r="U3237" s="155"/>
      <c r="V3237" s="155"/>
      <c r="W3237" s="155"/>
      <c r="GL3237" s="155"/>
      <c r="GM3237" s="155"/>
      <c r="GN3237" s="155"/>
      <c r="GO3237" s="155"/>
      <c r="GP3237" s="155"/>
      <c r="GQ3237" s="155"/>
      <c r="GR3237" s="155"/>
      <c r="GS3237" s="155"/>
      <c r="GT3237" s="155"/>
      <c r="GU3237" s="155"/>
      <c r="GV3237" s="155"/>
      <c r="GW3237" s="155"/>
      <c r="GX3237" s="155"/>
      <c r="GY3237" s="155"/>
      <c r="GZ3237" s="155"/>
      <c r="HA3237" s="155"/>
      <c r="HB3237" s="155"/>
      <c r="HC3237" s="155"/>
      <c r="HD3237" s="155"/>
      <c r="HE3237" s="155"/>
    </row>
    <row r="3238" spans="2:213" s="156" customFormat="1" hidden="1">
      <c r="B3238" s="155"/>
      <c r="C3238" s="155"/>
      <c r="D3238" s="155"/>
      <c r="E3238" s="155"/>
      <c r="F3238" s="155"/>
      <c r="G3238" s="155"/>
      <c r="H3238" s="155"/>
      <c r="I3238" s="155"/>
      <c r="J3238" s="155"/>
      <c r="K3238" s="155"/>
      <c r="L3238" s="155"/>
      <c r="M3238" s="155"/>
      <c r="N3238" s="155"/>
      <c r="O3238" s="155"/>
      <c r="P3238" s="155"/>
      <c r="Q3238" s="155"/>
      <c r="R3238" s="155"/>
      <c r="S3238" s="155"/>
      <c r="T3238" s="155"/>
      <c r="U3238" s="155"/>
      <c r="V3238" s="155"/>
      <c r="W3238" s="155"/>
      <c r="GL3238" s="155"/>
      <c r="GM3238" s="155"/>
      <c r="GN3238" s="155"/>
      <c r="GO3238" s="155"/>
      <c r="GP3238" s="155"/>
      <c r="GQ3238" s="155"/>
      <c r="GR3238" s="155"/>
      <c r="GS3238" s="155"/>
      <c r="GT3238" s="155"/>
      <c r="GU3238" s="155"/>
      <c r="GV3238" s="155"/>
      <c r="GW3238" s="155"/>
      <c r="GX3238" s="155"/>
      <c r="GY3238" s="155"/>
      <c r="GZ3238" s="155"/>
      <c r="HA3238" s="155"/>
      <c r="HB3238" s="155"/>
      <c r="HC3238" s="155"/>
      <c r="HD3238" s="155"/>
      <c r="HE3238" s="155"/>
    </row>
    <row r="3239" spans="2:213" s="156" customFormat="1" hidden="1">
      <c r="B3239" s="155"/>
      <c r="C3239" s="155"/>
      <c r="D3239" s="155"/>
      <c r="E3239" s="155"/>
      <c r="F3239" s="155"/>
      <c r="G3239" s="155"/>
      <c r="H3239" s="155"/>
      <c r="I3239" s="155"/>
      <c r="J3239" s="155"/>
      <c r="K3239" s="155"/>
      <c r="L3239" s="155"/>
      <c r="M3239" s="155"/>
      <c r="N3239" s="155"/>
      <c r="O3239" s="155"/>
      <c r="P3239" s="155"/>
      <c r="Q3239" s="155"/>
      <c r="R3239" s="155"/>
      <c r="S3239" s="155"/>
      <c r="T3239" s="155"/>
      <c r="U3239" s="155"/>
      <c r="V3239" s="155"/>
      <c r="W3239" s="155"/>
      <c r="GL3239" s="155"/>
      <c r="GM3239" s="155"/>
      <c r="GN3239" s="155"/>
      <c r="GO3239" s="155"/>
      <c r="GP3239" s="155"/>
      <c r="GQ3239" s="155"/>
      <c r="GR3239" s="155"/>
      <c r="GS3239" s="155"/>
      <c r="GT3239" s="155"/>
      <c r="GU3239" s="155"/>
      <c r="GV3239" s="155"/>
      <c r="GW3239" s="155"/>
      <c r="GX3239" s="155"/>
      <c r="GY3239" s="155"/>
      <c r="GZ3239" s="155"/>
      <c r="HA3239" s="155"/>
      <c r="HB3239" s="155"/>
      <c r="HC3239" s="155"/>
      <c r="HD3239" s="155"/>
      <c r="HE3239" s="155"/>
    </row>
    <row r="3240" spans="2:213" s="156" customFormat="1" hidden="1">
      <c r="B3240" s="155"/>
      <c r="C3240" s="155"/>
      <c r="D3240" s="155"/>
      <c r="E3240" s="155"/>
      <c r="F3240" s="155"/>
      <c r="G3240" s="155"/>
      <c r="H3240" s="155"/>
      <c r="I3240" s="155"/>
      <c r="J3240" s="155"/>
      <c r="K3240" s="155"/>
      <c r="L3240" s="155"/>
      <c r="M3240" s="155"/>
      <c r="N3240" s="155"/>
      <c r="O3240" s="155"/>
      <c r="P3240" s="155"/>
      <c r="Q3240" s="155"/>
      <c r="R3240" s="155"/>
      <c r="S3240" s="155"/>
      <c r="T3240" s="155"/>
      <c r="U3240" s="155"/>
      <c r="V3240" s="155"/>
      <c r="W3240" s="155"/>
      <c r="GL3240" s="155"/>
      <c r="GM3240" s="155"/>
      <c r="GN3240" s="155"/>
      <c r="GO3240" s="155"/>
      <c r="GP3240" s="155"/>
      <c r="GQ3240" s="155"/>
      <c r="GR3240" s="155"/>
      <c r="GS3240" s="155"/>
      <c r="GT3240" s="155"/>
      <c r="GU3240" s="155"/>
      <c r="GV3240" s="155"/>
      <c r="GW3240" s="155"/>
      <c r="GX3240" s="155"/>
      <c r="GY3240" s="155"/>
      <c r="GZ3240" s="155"/>
      <c r="HA3240" s="155"/>
      <c r="HB3240" s="155"/>
      <c r="HC3240" s="155"/>
      <c r="HD3240" s="155"/>
      <c r="HE3240" s="155"/>
    </row>
    <row r="3241" spans="2:213" s="156" customFormat="1" hidden="1">
      <c r="B3241" s="155"/>
      <c r="C3241" s="155"/>
      <c r="D3241" s="155"/>
      <c r="E3241" s="155"/>
      <c r="F3241" s="155"/>
      <c r="G3241" s="155"/>
      <c r="H3241" s="155"/>
      <c r="I3241" s="155"/>
      <c r="J3241" s="155"/>
      <c r="K3241" s="155"/>
      <c r="L3241" s="155"/>
      <c r="M3241" s="155"/>
      <c r="N3241" s="155"/>
      <c r="O3241" s="155"/>
      <c r="P3241" s="155"/>
      <c r="Q3241" s="155"/>
      <c r="R3241" s="155"/>
      <c r="S3241" s="155"/>
      <c r="T3241" s="155"/>
      <c r="U3241" s="155"/>
      <c r="V3241" s="155"/>
      <c r="W3241" s="155"/>
      <c r="GL3241" s="155"/>
      <c r="GM3241" s="155"/>
      <c r="GN3241" s="155"/>
      <c r="GO3241" s="155"/>
      <c r="GP3241" s="155"/>
      <c r="GQ3241" s="155"/>
      <c r="GR3241" s="155"/>
      <c r="GS3241" s="155"/>
      <c r="GT3241" s="155"/>
      <c r="GU3241" s="155"/>
      <c r="GV3241" s="155"/>
      <c r="GW3241" s="155"/>
      <c r="GX3241" s="155"/>
      <c r="GY3241" s="155"/>
      <c r="GZ3241" s="155"/>
      <c r="HA3241" s="155"/>
      <c r="HB3241" s="155"/>
      <c r="HC3241" s="155"/>
      <c r="HD3241" s="155"/>
      <c r="HE3241" s="155"/>
    </row>
    <row r="3242" spans="2:213" s="156" customFormat="1" hidden="1">
      <c r="B3242" s="155"/>
      <c r="C3242" s="155"/>
      <c r="D3242" s="155"/>
      <c r="E3242" s="155"/>
      <c r="F3242" s="155"/>
      <c r="G3242" s="155"/>
      <c r="H3242" s="155"/>
      <c r="I3242" s="155"/>
      <c r="J3242" s="155"/>
      <c r="K3242" s="155"/>
      <c r="L3242" s="155"/>
      <c r="M3242" s="155"/>
      <c r="N3242" s="155"/>
      <c r="O3242" s="155"/>
      <c r="P3242" s="155"/>
      <c r="Q3242" s="155"/>
      <c r="R3242" s="155"/>
      <c r="S3242" s="155"/>
      <c r="T3242" s="155"/>
      <c r="U3242" s="155"/>
      <c r="V3242" s="155"/>
      <c r="W3242" s="155"/>
      <c r="GL3242" s="155"/>
      <c r="GM3242" s="155"/>
      <c r="GN3242" s="155"/>
      <c r="GO3242" s="155"/>
      <c r="GP3242" s="155"/>
      <c r="GQ3242" s="155"/>
      <c r="GR3242" s="155"/>
      <c r="GS3242" s="155"/>
      <c r="GT3242" s="155"/>
      <c r="GU3242" s="155"/>
      <c r="GV3242" s="155"/>
      <c r="GW3242" s="155"/>
      <c r="GX3242" s="155"/>
      <c r="GY3242" s="155"/>
      <c r="GZ3242" s="155"/>
      <c r="HA3242" s="155"/>
      <c r="HB3242" s="155"/>
      <c r="HC3242" s="155"/>
      <c r="HD3242" s="155"/>
      <c r="HE3242" s="155"/>
    </row>
    <row r="3243" spans="2:213" s="156" customFormat="1" hidden="1">
      <c r="B3243" s="155"/>
      <c r="C3243" s="155"/>
      <c r="D3243" s="155"/>
      <c r="E3243" s="155"/>
      <c r="F3243" s="155"/>
      <c r="G3243" s="155"/>
      <c r="H3243" s="155"/>
      <c r="I3243" s="155"/>
      <c r="J3243" s="155"/>
      <c r="K3243" s="155"/>
      <c r="L3243" s="155"/>
      <c r="M3243" s="155"/>
      <c r="N3243" s="155"/>
      <c r="O3243" s="155"/>
      <c r="P3243" s="155"/>
      <c r="Q3243" s="155"/>
      <c r="R3243" s="155"/>
      <c r="S3243" s="155"/>
      <c r="T3243" s="155"/>
      <c r="U3243" s="155"/>
      <c r="V3243" s="155"/>
      <c r="W3243" s="155"/>
      <c r="GL3243" s="155"/>
      <c r="GM3243" s="155"/>
      <c r="GN3243" s="155"/>
      <c r="GO3243" s="155"/>
      <c r="GP3243" s="155"/>
      <c r="GQ3243" s="155"/>
      <c r="GR3243" s="155"/>
      <c r="GS3243" s="155"/>
      <c r="GT3243" s="155"/>
      <c r="GU3243" s="155"/>
      <c r="GV3243" s="155"/>
      <c r="GW3243" s="155"/>
      <c r="GX3243" s="155"/>
      <c r="GY3243" s="155"/>
      <c r="GZ3243" s="155"/>
      <c r="HA3243" s="155"/>
      <c r="HB3243" s="155"/>
      <c r="HC3243" s="155"/>
      <c r="HD3243" s="155"/>
      <c r="HE3243" s="155"/>
    </row>
    <row r="3244" spans="2:213" s="156" customFormat="1" hidden="1">
      <c r="B3244" s="155"/>
      <c r="C3244" s="155"/>
      <c r="D3244" s="155"/>
      <c r="E3244" s="155"/>
      <c r="F3244" s="155"/>
      <c r="G3244" s="155"/>
      <c r="H3244" s="155"/>
      <c r="I3244" s="155"/>
      <c r="J3244" s="155"/>
      <c r="K3244" s="155"/>
      <c r="L3244" s="155"/>
      <c r="M3244" s="155"/>
      <c r="N3244" s="155"/>
      <c r="O3244" s="155"/>
      <c r="P3244" s="155"/>
      <c r="Q3244" s="155"/>
      <c r="R3244" s="155"/>
      <c r="S3244" s="155"/>
      <c r="T3244" s="155"/>
      <c r="U3244" s="155"/>
      <c r="V3244" s="155"/>
      <c r="W3244" s="155"/>
      <c r="GL3244" s="155"/>
      <c r="GM3244" s="155"/>
      <c r="GN3244" s="155"/>
      <c r="GO3244" s="155"/>
      <c r="GP3244" s="155"/>
      <c r="GQ3244" s="155"/>
      <c r="GR3244" s="155"/>
      <c r="GS3244" s="155"/>
      <c r="GT3244" s="155"/>
      <c r="GU3244" s="155"/>
      <c r="GV3244" s="155"/>
      <c r="GW3244" s="155"/>
      <c r="GX3244" s="155"/>
      <c r="GY3244" s="155"/>
      <c r="GZ3244" s="155"/>
      <c r="HA3244" s="155"/>
      <c r="HB3244" s="155"/>
      <c r="HC3244" s="155"/>
      <c r="HD3244" s="155"/>
      <c r="HE3244" s="155"/>
    </row>
    <row r="3245" spans="2:213" s="156" customFormat="1" hidden="1">
      <c r="B3245" s="155"/>
      <c r="C3245" s="155"/>
      <c r="D3245" s="155"/>
      <c r="E3245" s="155"/>
      <c r="F3245" s="155"/>
      <c r="G3245" s="155"/>
      <c r="H3245" s="155"/>
      <c r="I3245" s="155"/>
      <c r="J3245" s="155"/>
      <c r="K3245" s="155"/>
      <c r="L3245" s="155"/>
      <c r="M3245" s="155"/>
      <c r="N3245" s="155"/>
      <c r="O3245" s="155"/>
      <c r="P3245" s="155"/>
      <c r="Q3245" s="155"/>
      <c r="R3245" s="155"/>
      <c r="S3245" s="155"/>
      <c r="T3245" s="155"/>
      <c r="U3245" s="155"/>
      <c r="V3245" s="155"/>
      <c r="W3245" s="155"/>
      <c r="GL3245" s="155"/>
      <c r="GM3245" s="155"/>
      <c r="GN3245" s="155"/>
      <c r="GO3245" s="155"/>
      <c r="GP3245" s="155"/>
      <c r="GQ3245" s="155"/>
      <c r="GR3245" s="155"/>
      <c r="GS3245" s="155"/>
      <c r="GT3245" s="155"/>
      <c r="GU3245" s="155"/>
      <c r="GV3245" s="155"/>
      <c r="GW3245" s="155"/>
      <c r="GX3245" s="155"/>
      <c r="GY3245" s="155"/>
      <c r="GZ3245" s="155"/>
      <c r="HA3245" s="155"/>
      <c r="HB3245" s="155"/>
      <c r="HC3245" s="155"/>
      <c r="HD3245" s="155"/>
      <c r="HE3245" s="155"/>
    </row>
    <row r="3246" spans="2:213" s="156" customFormat="1" hidden="1">
      <c r="B3246" s="155"/>
      <c r="C3246" s="155"/>
      <c r="D3246" s="155"/>
      <c r="E3246" s="155"/>
      <c r="F3246" s="155"/>
      <c r="G3246" s="155"/>
      <c r="H3246" s="155"/>
      <c r="I3246" s="155"/>
      <c r="J3246" s="155"/>
      <c r="K3246" s="155"/>
      <c r="L3246" s="155"/>
      <c r="M3246" s="155"/>
      <c r="N3246" s="155"/>
      <c r="O3246" s="155"/>
      <c r="P3246" s="155"/>
      <c r="Q3246" s="155"/>
      <c r="R3246" s="155"/>
      <c r="S3246" s="155"/>
      <c r="T3246" s="155"/>
      <c r="U3246" s="155"/>
      <c r="V3246" s="155"/>
      <c r="W3246" s="155"/>
      <c r="GL3246" s="155"/>
      <c r="GM3246" s="155"/>
      <c r="GN3246" s="155"/>
      <c r="GO3246" s="155"/>
      <c r="GP3246" s="155"/>
      <c r="GQ3246" s="155"/>
      <c r="GR3246" s="155"/>
      <c r="GS3246" s="155"/>
      <c r="GT3246" s="155"/>
      <c r="GU3246" s="155"/>
      <c r="GV3246" s="155"/>
      <c r="GW3246" s="155"/>
      <c r="GX3246" s="155"/>
      <c r="GY3246" s="155"/>
      <c r="GZ3246" s="155"/>
      <c r="HA3246" s="155"/>
      <c r="HB3246" s="155"/>
      <c r="HC3246" s="155"/>
      <c r="HD3246" s="155"/>
      <c r="HE3246" s="155"/>
    </row>
    <row r="3247" spans="2:213" s="156" customFormat="1" hidden="1">
      <c r="B3247" s="155"/>
      <c r="C3247" s="155"/>
      <c r="D3247" s="155"/>
      <c r="E3247" s="155"/>
      <c r="F3247" s="155"/>
      <c r="G3247" s="155"/>
      <c r="H3247" s="155"/>
      <c r="I3247" s="155"/>
      <c r="J3247" s="155"/>
      <c r="K3247" s="155"/>
      <c r="L3247" s="155"/>
      <c r="M3247" s="155"/>
      <c r="N3247" s="155"/>
      <c r="O3247" s="155"/>
      <c r="P3247" s="155"/>
      <c r="Q3247" s="155"/>
      <c r="R3247" s="155"/>
      <c r="S3247" s="155"/>
      <c r="T3247" s="155"/>
      <c r="U3247" s="155"/>
      <c r="V3247" s="155"/>
      <c r="W3247" s="155"/>
      <c r="GL3247" s="155"/>
      <c r="GM3247" s="155"/>
      <c r="GN3247" s="155"/>
      <c r="GO3247" s="155"/>
      <c r="GP3247" s="155"/>
      <c r="GQ3247" s="155"/>
      <c r="GR3247" s="155"/>
      <c r="GS3247" s="155"/>
      <c r="GT3247" s="155"/>
      <c r="GU3247" s="155"/>
      <c r="GV3247" s="155"/>
      <c r="GW3247" s="155"/>
      <c r="GX3247" s="155"/>
      <c r="GY3247" s="155"/>
      <c r="GZ3247" s="155"/>
      <c r="HA3247" s="155"/>
      <c r="HB3247" s="155"/>
      <c r="HC3247" s="155"/>
      <c r="HD3247" s="155"/>
      <c r="HE3247" s="155"/>
    </row>
    <row r="3248" spans="2:213" s="156" customFormat="1" hidden="1">
      <c r="B3248" s="155"/>
      <c r="C3248" s="155"/>
      <c r="D3248" s="155"/>
      <c r="E3248" s="155"/>
      <c r="F3248" s="155"/>
      <c r="G3248" s="155"/>
      <c r="H3248" s="155"/>
      <c r="I3248" s="155"/>
      <c r="J3248" s="155"/>
      <c r="K3248" s="155"/>
      <c r="L3248" s="155"/>
      <c r="M3248" s="155"/>
      <c r="N3248" s="155"/>
      <c r="O3248" s="155"/>
      <c r="P3248" s="155"/>
      <c r="Q3248" s="155"/>
      <c r="R3248" s="155"/>
      <c r="S3248" s="155"/>
      <c r="T3248" s="155"/>
      <c r="U3248" s="155"/>
      <c r="V3248" s="155"/>
      <c r="W3248" s="155"/>
      <c r="GL3248" s="155"/>
      <c r="GM3248" s="155"/>
      <c r="GN3248" s="155"/>
      <c r="GO3248" s="155"/>
      <c r="GP3248" s="155"/>
      <c r="GQ3248" s="155"/>
      <c r="GR3248" s="155"/>
      <c r="GS3248" s="155"/>
      <c r="GT3248" s="155"/>
      <c r="GU3248" s="155"/>
      <c r="GV3248" s="155"/>
      <c r="GW3248" s="155"/>
      <c r="GX3248" s="155"/>
      <c r="GY3248" s="155"/>
      <c r="GZ3248" s="155"/>
      <c r="HA3248" s="155"/>
      <c r="HB3248" s="155"/>
      <c r="HC3248" s="155"/>
      <c r="HD3248" s="155"/>
      <c r="HE3248" s="155"/>
    </row>
    <row r="3249" spans="2:213" s="156" customFormat="1" hidden="1">
      <c r="B3249" s="155"/>
      <c r="C3249" s="155"/>
      <c r="D3249" s="155"/>
      <c r="E3249" s="155"/>
      <c r="F3249" s="155"/>
      <c r="G3249" s="155"/>
      <c r="H3249" s="155"/>
      <c r="I3249" s="155"/>
      <c r="J3249" s="155"/>
      <c r="K3249" s="155"/>
      <c r="L3249" s="155"/>
      <c r="M3249" s="155"/>
      <c r="N3249" s="155"/>
      <c r="O3249" s="155"/>
      <c r="P3249" s="155"/>
      <c r="Q3249" s="155"/>
      <c r="R3249" s="155"/>
      <c r="S3249" s="155"/>
      <c r="T3249" s="155"/>
      <c r="U3249" s="155"/>
      <c r="V3249" s="155"/>
      <c r="W3249" s="155"/>
      <c r="GL3249" s="155"/>
      <c r="GM3249" s="155"/>
      <c r="GN3249" s="155"/>
      <c r="GO3249" s="155"/>
      <c r="GP3249" s="155"/>
      <c r="GQ3249" s="155"/>
      <c r="GR3249" s="155"/>
      <c r="GS3249" s="155"/>
      <c r="GT3249" s="155"/>
      <c r="GU3249" s="155"/>
      <c r="GV3249" s="155"/>
      <c r="GW3249" s="155"/>
      <c r="GX3249" s="155"/>
      <c r="GY3249" s="155"/>
      <c r="GZ3249" s="155"/>
      <c r="HA3249" s="155"/>
      <c r="HB3249" s="155"/>
      <c r="HC3249" s="155"/>
      <c r="HD3249" s="155"/>
      <c r="HE3249" s="155"/>
    </row>
    <row r="3250" spans="2:213" s="156" customFormat="1" hidden="1">
      <c r="B3250" s="155"/>
      <c r="C3250" s="155"/>
      <c r="D3250" s="155"/>
      <c r="E3250" s="155"/>
      <c r="F3250" s="155"/>
      <c r="G3250" s="155"/>
      <c r="H3250" s="155"/>
      <c r="I3250" s="155"/>
      <c r="J3250" s="155"/>
      <c r="K3250" s="155"/>
      <c r="L3250" s="155"/>
      <c r="M3250" s="155"/>
      <c r="N3250" s="155"/>
      <c r="O3250" s="155"/>
      <c r="P3250" s="155"/>
      <c r="Q3250" s="155"/>
      <c r="R3250" s="155"/>
      <c r="S3250" s="155"/>
      <c r="T3250" s="155"/>
      <c r="U3250" s="155"/>
      <c r="V3250" s="155"/>
      <c r="W3250" s="155"/>
      <c r="GL3250" s="155"/>
      <c r="GM3250" s="155"/>
      <c r="GN3250" s="155"/>
      <c r="GO3250" s="155"/>
      <c r="GP3250" s="155"/>
      <c r="GQ3250" s="155"/>
      <c r="GR3250" s="155"/>
      <c r="GS3250" s="155"/>
      <c r="GT3250" s="155"/>
      <c r="GU3250" s="155"/>
      <c r="GV3250" s="155"/>
      <c r="GW3250" s="155"/>
      <c r="GX3250" s="155"/>
      <c r="GY3250" s="155"/>
      <c r="GZ3250" s="155"/>
      <c r="HA3250" s="155"/>
      <c r="HB3250" s="155"/>
      <c r="HC3250" s="155"/>
      <c r="HD3250" s="155"/>
      <c r="HE3250" s="155"/>
    </row>
    <row r="3251" spans="2:213" s="156" customFormat="1" hidden="1">
      <c r="B3251" s="155"/>
      <c r="C3251" s="155"/>
      <c r="D3251" s="155"/>
      <c r="E3251" s="155"/>
      <c r="F3251" s="155"/>
      <c r="G3251" s="155"/>
      <c r="H3251" s="155"/>
      <c r="I3251" s="155"/>
      <c r="J3251" s="155"/>
      <c r="K3251" s="155"/>
      <c r="L3251" s="155"/>
      <c r="M3251" s="155"/>
      <c r="N3251" s="155"/>
      <c r="O3251" s="155"/>
      <c r="P3251" s="155"/>
      <c r="Q3251" s="155"/>
      <c r="R3251" s="155"/>
      <c r="S3251" s="155"/>
      <c r="T3251" s="155"/>
      <c r="U3251" s="155"/>
      <c r="V3251" s="155"/>
      <c r="W3251" s="155"/>
      <c r="GL3251" s="155"/>
      <c r="GM3251" s="155"/>
      <c r="GN3251" s="155"/>
      <c r="GO3251" s="155"/>
      <c r="GP3251" s="155"/>
      <c r="GQ3251" s="155"/>
      <c r="GR3251" s="155"/>
      <c r="GS3251" s="155"/>
      <c r="GT3251" s="155"/>
      <c r="GU3251" s="155"/>
      <c r="GV3251" s="155"/>
      <c r="GW3251" s="155"/>
      <c r="GX3251" s="155"/>
      <c r="GY3251" s="155"/>
      <c r="GZ3251" s="155"/>
      <c r="HA3251" s="155"/>
      <c r="HB3251" s="155"/>
      <c r="HC3251" s="155"/>
      <c r="HD3251" s="155"/>
      <c r="HE3251" s="155"/>
    </row>
    <row r="3252" spans="2:213" s="156" customFormat="1" hidden="1">
      <c r="B3252" s="155"/>
      <c r="C3252" s="155"/>
      <c r="D3252" s="155"/>
      <c r="E3252" s="155"/>
      <c r="F3252" s="155"/>
      <c r="G3252" s="155"/>
      <c r="H3252" s="155"/>
      <c r="I3252" s="155"/>
      <c r="J3252" s="155"/>
      <c r="K3252" s="155"/>
      <c r="L3252" s="155"/>
      <c r="M3252" s="155"/>
      <c r="N3252" s="155"/>
      <c r="O3252" s="155"/>
      <c r="P3252" s="155"/>
      <c r="Q3252" s="155"/>
      <c r="R3252" s="155"/>
      <c r="S3252" s="155"/>
      <c r="T3252" s="155"/>
      <c r="U3252" s="155"/>
      <c r="V3252" s="155"/>
      <c r="W3252" s="155"/>
      <c r="GL3252" s="155"/>
      <c r="GM3252" s="155"/>
      <c r="GN3252" s="155"/>
      <c r="GO3252" s="155"/>
      <c r="GP3252" s="155"/>
      <c r="GQ3252" s="155"/>
      <c r="GR3252" s="155"/>
      <c r="GS3252" s="155"/>
      <c r="GT3252" s="155"/>
      <c r="GU3252" s="155"/>
      <c r="GV3252" s="155"/>
      <c r="GW3252" s="155"/>
      <c r="GX3252" s="155"/>
      <c r="GY3252" s="155"/>
      <c r="GZ3252" s="155"/>
      <c r="HA3252" s="155"/>
      <c r="HB3252" s="155"/>
      <c r="HC3252" s="155"/>
      <c r="HD3252" s="155"/>
      <c r="HE3252" s="155"/>
    </row>
    <row r="3253" spans="2:213" s="156" customFormat="1" hidden="1">
      <c r="B3253" s="155"/>
      <c r="C3253" s="155"/>
      <c r="D3253" s="155"/>
      <c r="E3253" s="155"/>
      <c r="F3253" s="155"/>
      <c r="G3253" s="155"/>
      <c r="H3253" s="155"/>
      <c r="I3253" s="155"/>
      <c r="J3253" s="155"/>
      <c r="K3253" s="155"/>
      <c r="L3253" s="155"/>
      <c r="M3253" s="155"/>
      <c r="N3253" s="155"/>
      <c r="O3253" s="155"/>
      <c r="P3253" s="155"/>
      <c r="Q3253" s="155"/>
      <c r="R3253" s="155"/>
      <c r="S3253" s="155"/>
      <c r="T3253" s="155"/>
      <c r="U3253" s="155"/>
      <c r="V3253" s="155"/>
      <c r="W3253" s="155"/>
      <c r="GL3253" s="155"/>
      <c r="GM3253" s="155"/>
      <c r="GN3253" s="155"/>
      <c r="GO3253" s="155"/>
      <c r="GP3253" s="155"/>
      <c r="GQ3253" s="155"/>
      <c r="GR3253" s="155"/>
      <c r="GS3253" s="155"/>
      <c r="GT3253" s="155"/>
      <c r="GU3253" s="155"/>
      <c r="GV3253" s="155"/>
      <c r="GW3253" s="155"/>
      <c r="GX3253" s="155"/>
      <c r="GY3253" s="155"/>
      <c r="GZ3253" s="155"/>
      <c r="HA3253" s="155"/>
      <c r="HB3253" s="155"/>
      <c r="HC3253" s="155"/>
      <c r="HD3253" s="155"/>
      <c r="HE3253" s="155"/>
    </row>
    <row r="3254" spans="2:213" s="156" customFormat="1" hidden="1">
      <c r="B3254" s="155"/>
      <c r="C3254" s="155"/>
      <c r="D3254" s="155"/>
      <c r="E3254" s="155"/>
      <c r="F3254" s="155"/>
      <c r="G3254" s="155"/>
      <c r="H3254" s="155"/>
      <c r="I3254" s="155"/>
      <c r="J3254" s="155"/>
      <c r="K3254" s="155"/>
      <c r="L3254" s="155"/>
      <c r="M3254" s="155"/>
      <c r="N3254" s="155"/>
      <c r="O3254" s="155"/>
      <c r="P3254" s="155"/>
      <c r="Q3254" s="155"/>
      <c r="R3254" s="155"/>
      <c r="S3254" s="155"/>
      <c r="T3254" s="155"/>
      <c r="U3254" s="155"/>
      <c r="V3254" s="155"/>
      <c r="W3254" s="155"/>
      <c r="GL3254" s="155"/>
      <c r="GM3254" s="155"/>
      <c r="GN3254" s="155"/>
      <c r="GO3254" s="155"/>
      <c r="GP3254" s="155"/>
      <c r="GQ3254" s="155"/>
      <c r="GR3254" s="155"/>
      <c r="GS3254" s="155"/>
      <c r="GT3254" s="155"/>
      <c r="GU3254" s="155"/>
      <c r="GV3254" s="155"/>
      <c r="GW3254" s="155"/>
      <c r="GX3254" s="155"/>
      <c r="GY3254" s="155"/>
      <c r="GZ3254" s="155"/>
      <c r="HA3254" s="155"/>
      <c r="HB3254" s="155"/>
      <c r="HC3254" s="155"/>
      <c r="HD3254" s="155"/>
      <c r="HE3254" s="155"/>
    </row>
    <row r="3255" spans="2:213" s="156" customFormat="1" hidden="1">
      <c r="B3255" s="155"/>
      <c r="C3255" s="155"/>
      <c r="D3255" s="155"/>
      <c r="E3255" s="155"/>
      <c r="F3255" s="155"/>
      <c r="G3255" s="155"/>
      <c r="H3255" s="155"/>
      <c r="I3255" s="155"/>
      <c r="J3255" s="155"/>
      <c r="K3255" s="155"/>
      <c r="L3255" s="155"/>
      <c r="M3255" s="155"/>
      <c r="N3255" s="155"/>
      <c r="O3255" s="155"/>
      <c r="P3255" s="155"/>
      <c r="Q3255" s="155"/>
      <c r="R3255" s="155"/>
      <c r="S3255" s="155"/>
      <c r="T3255" s="155"/>
      <c r="U3255" s="155"/>
      <c r="V3255" s="155"/>
      <c r="W3255" s="155"/>
      <c r="GL3255" s="155"/>
      <c r="GM3255" s="155"/>
      <c r="GN3255" s="155"/>
      <c r="GO3255" s="155"/>
      <c r="GP3255" s="155"/>
      <c r="GQ3255" s="155"/>
      <c r="GR3255" s="155"/>
      <c r="GS3255" s="155"/>
      <c r="GT3255" s="155"/>
      <c r="GU3255" s="155"/>
      <c r="GV3255" s="155"/>
      <c r="GW3255" s="155"/>
      <c r="GX3255" s="155"/>
      <c r="GY3255" s="155"/>
      <c r="GZ3255" s="155"/>
      <c r="HA3255" s="155"/>
      <c r="HB3255" s="155"/>
      <c r="HC3255" s="155"/>
      <c r="HD3255" s="155"/>
      <c r="HE3255" s="155"/>
    </row>
    <row r="3256" spans="2:213" s="156" customFormat="1" hidden="1">
      <c r="B3256" s="155"/>
      <c r="C3256" s="155"/>
      <c r="D3256" s="155"/>
      <c r="E3256" s="155"/>
      <c r="F3256" s="155"/>
      <c r="G3256" s="155"/>
      <c r="H3256" s="155"/>
      <c r="I3256" s="155"/>
      <c r="J3256" s="155"/>
      <c r="K3256" s="155"/>
      <c r="L3256" s="155"/>
      <c r="M3256" s="155"/>
      <c r="N3256" s="155"/>
      <c r="O3256" s="155"/>
      <c r="P3256" s="155"/>
      <c r="Q3256" s="155"/>
      <c r="R3256" s="155"/>
      <c r="S3256" s="155"/>
      <c r="T3256" s="155"/>
      <c r="U3256" s="155"/>
      <c r="V3256" s="155"/>
      <c r="W3256" s="155"/>
      <c r="GL3256" s="155"/>
      <c r="GM3256" s="155"/>
      <c r="GN3256" s="155"/>
      <c r="GO3256" s="155"/>
      <c r="GP3256" s="155"/>
      <c r="GQ3256" s="155"/>
      <c r="GR3256" s="155"/>
      <c r="GS3256" s="155"/>
      <c r="GT3256" s="155"/>
      <c r="GU3256" s="155"/>
      <c r="GV3256" s="155"/>
      <c r="GW3256" s="155"/>
      <c r="GX3256" s="155"/>
      <c r="GY3256" s="155"/>
      <c r="GZ3256" s="155"/>
      <c r="HA3256" s="155"/>
      <c r="HB3256" s="155"/>
      <c r="HC3256" s="155"/>
      <c r="HD3256" s="155"/>
      <c r="HE3256" s="155"/>
    </row>
    <row r="3257" spans="2:213" s="156" customFormat="1" hidden="1">
      <c r="B3257" s="155"/>
      <c r="C3257" s="155"/>
      <c r="D3257" s="155"/>
      <c r="E3257" s="155"/>
      <c r="F3257" s="155"/>
      <c r="G3257" s="155"/>
      <c r="H3257" s="155"/>
      <c r="I3257" s="155"/>
      <c r="J3257" s="155"/>
      <c r="K3257" s="155"/>
      <c r="L3257" s="155"/>
      <c r="M3257" s="155"/>
      <c r="N3257" s="155"/>
      <c r="O3257" s="155"/>
      <c r="P3257" s="155"/>
      <c r="Q3257" s="155"/>
      <c r="R3257" s="155"/>
      <c r="S3257" s="155"/>
      <c r="T3257" s="155"/>
      <c r="U3257" s="155"/>
      <c r="V3257" s="155"/>
      <c r="W3257" s="155"/>
      <c r="GL3257" s="155"/>
      <c r="GM3257" s="155"/>
      <c r="GN3257" s="155"/>
      <c r="GO3257" s="155"/>
      <c r="GP3257" s="155"/>
      <c r="GQ3257" s="155"/>
      <c r="GR3257" s="155"/>
      <c r="GS3257" s="155"/>
      <c r="GT3257" s="155"/>
      <c r="GU3257" s="155"/>
      <c r="GV3257" s="155"/>
      <c r="GW3257" s="155"/>
      <c r="GX3257" s="155"/>
      <c r="GY3257" s="155"/>
      <c r="GZ3257" s="155"/>
      <c r="HA3257" s="155"/>
      <c r="HB3257" s="155"/>
      <c r="HC3257" s="155"/>
      <c r="HD3257" s="155"/>
      <c r="HE3257" s="155"/>
    </row>
    <row r="3258" spans="2:213" s="156" customFormat="1" hidden="1">
      <c r="B3258" s="155"/>
      <c r="C3258" s="155"/>
      <c r="D3258" s="155"/>
      <c r="E3258" s="155"/>
      <c r="F3258" s="155"/>
      <c r="G3258" s="155"/>
      <c r="H3258" s="155"/>
      <c r="I3258" s="155"/>
      <c r="J3258" s="155"/>
      <c r="K3258" s="155"/>
      <c r="L3258" s="155"/>
      <c r="M3258" s="155"/>
      <c r="N3258" s="155"/>
      <c r="O3258" s="155"/>
      <c r="P3258" s="155"/>
      <c r="Q3258" s="155"/>
      <c r="R3258" s="155"/>
      <c r="S3258" s="155"/>
      <c r="T3258" s="155"/>
      <c r="U3258" s="155"/>
      <c r="V3258" s="155"/>
      <c r="W3258" s="155"/>
      <c r="GL3258" s="155"/>
      <c r="GM3258" s="155"/>
      <c r="GN3258" s="155"/>
      <c r="GO3258" s="155"/>
      <c r="GP3258" s="155"/>
      <c r="GQ3258" s="155"/>
      <c r="GR3258" s="155"/>
      <c r="GS3258" s="155"/>
      <c r="GT3258" s="155"/>
      <c r="GU3258" s="155"/>
      <c r="GV3258" s="155"/>
      <c r="GW3258" s="155"/>
      <c r="GX3258" s="155"/>
      <c r="GY3258" s="155"/>
      <c r="GZ3258" s="155"/>
      <c r="HA3258" s="155"/>
      <c r="HB3258" s="155"/>
      <c r="HC3258" s="155"/>
      <c r="HD3258" s="155"/>
      <c r="HE3258" s="155"/>
    </row>
    <row r="3259" spans="2:213" s="156" customFormat="1" hidden="1">
      <c r="B3259" s="155"/>
      <c r="C3259" s="155"/>
      <c r="D3259" s="155"/>
      <c r="E3259" s="155"/>
      <c r="F3259" s="155"/>
      <c r="G3259" s="155"/>
      <c r="H3259" s="155"/>
      <c r="I3259" s="155"/>
      <c r="J3259" s="155"/>
      <c r="K3259" s="155"/>
      <c r="L3259" s="155"/>
      <c r="M3259" s="155"/>
      <c r="N3259" s="155"/>
      <c r="O3259" s="155"/>
      <c r="P3259" s="155"/>
      <c r="Q3259" s="155"/>
      <c r="R3259" s="155"/>
      <c r="S3259" s="155"/>
      <c r="T3259" s="155"/>
      <c r="U3259" s="155"/>
      <c r="V3259" s="155"/>
      <c r="W3259" s="155"/>
      <c r="GL3259" s="155"/>
      <c r="GM3259" s="155"/>
      <c r="GN3259" s="155"/>
      <c r="GO3259" s="155"/>
      <c r="GP3259" s="155"/>
      <c r="GQ3259" s="155"/>
      <c r="GR3259" s="155"/>
      <c r="GS3259" s="155"/>
      <c r="GT3259" s="155"/>
      <c r="GU3259" s="155"/>
      <c r="GV3259" s="155"/>
      <c r="GW3259" s="155"/>
      <c r="GX3259" s="155"/>
      <c r="GY3259" s="155"/>
      <c r="GZ3259" s="155"/>
      <c r="HA3259" s="155"/>
      <c r="HB3259" s="155"/>
      <c r="HC3259" s="155"/>
      <c r="HD3259" s="155"/>
      <c r="HE3259" s="155"/>
    </row>
    <row r="3260" spans="2:213" s="156" customFormat="1" hidden="1">
      <c r="B3260" s="155"/>
      <c r="C3260" s="155"/>
      <c r="D3260" s="155"/>
      <c r="E3260" s="155"/>
      <c r="F3260" s="155"/>
      <c r="G3260" s="155"/>
      <c r="H3260" s="155"/>
      <c r="I3260" s="155"/>
      <c r="J3260" s="155"/>
      <c r="K3260" s="155"/>
      <c r="L3260" s="155"/>
      <c r="M3260" s="155"/>
      <c r="N3260" s="155"/>
      <c r="O3260" s="155"/>
      <c r="P3260" s="155"/>
      <c r="Q3260" s="155"/>
      <c r="R3260" s="155"/>
      <c r="S3260" s="155"/>
      <c r="T3260" s="155"/>
      <c r="U3260" s="155"/>
      <c r="V3260" s="155"/>
      <c r="W3260" s="155"/>
      <c r="GL3260" s="155"/>
      <c r="GM3260" s="155"/>
      <c r="GN3260" s="155"/>
      <c r="GO3260" s="155"/>
      <c r="GP3260" s="155"/>
      <c r="GQ3260" s="155"/>
      <c r="GR3260" s="155"/>
      <c r="GS3260" s="155"/>
      <c r="GT3260" s="155"/>
      <c r="GU3260" s="155"/>
      <c r="GV3260" s="155"/>
      <c r="GW3260" s="155"/>
      <c r="GX3260" s="155"/>
      <c r="GY3260" s="155"/>
      <c r="GZ3260" s="155"/>
      <c r="HA3260" s="155"/>
      <c r="HB3260" s="155"/>
      <c r="HC3260" s="155"/>
      <c r="HD3260" s="155"/>
      <c r="HE3260" s="155"/>
    </row>
    <row r="3261" spans="2:213" s="156" customFormat="1" hidden="1">
      <c r="B3261" s="155"/>
      <c r="C3261" s="155"/>
      <c r="D3261" s="155"/>
      <c r="E3261" s="155"/>
      <c r="F3261" s="155"/>
      <c r="G3261" s="155"/>
      <c r="H3261" s="155"/>
      <c r="I3261" s="155"/>
      <c r="J3261" s="155"/>
      <c r="K3261" s="155"/>
      <c r="L3261" s="155"/>
      <c r="M3261" s="155"/>
      <c r="N3261" s="155"/>
      <c r="O3261" s="155"/>
      <c r="P3261" s="155"/>
      <c r="Q3261" s="155"/>
      <c r="R3261" s="155"/>
      <c r="S3261" s="155"/>
      <c r="T3261" s="155"/>
      <c r="U3261" s="155"/>
      <c r="V3261" s="155"/>
      <c r="W3261" s="155"/>
      <c r="GL3261" s="155"/>
      <c r="GM3261" s="155"/>
      <c r="GN3261" s="155"/>
      <c r="GO3261" s="155"/>
      <c r="GP3261" s="155"/>
      <c r="GQ3261" s="155"/>
      <c r="GR3261" s="155"/>
      <c r="GS3261" s="155"/>
      <c r="GT3261" s="155"/>
      <c r="GU3261" s="155"/>
      <c r="GV3261" s="155"/>
      <c r="GW3261" s="155"/>
      <c r="GX3261" s="155"/>
      <c r="GY3261" s="155"/>
      <c r="GZ3261" s="155"/>
      <c r="HA3261" s="155"/>
      <c r="HB3261" s="155"/>
      <c r="HC3261" s="155"/>
      <c r="HD3261" s="155"/>
      <c r="HE3261" s="155"/>
    </row>
    <row r="3262" spans="2:213" s="156" customFormat="1" hidden="1">
      <c r="B3262" s="155"/>
      <c r="C3262" s="155"/>
      <c r="D3262" s="155"/>
      <c r="E3262" s="155"/>
      <c r="F3262" s="155"/>
      <c r="G3262" s="155"/>
      <c r="H3262" s="155"/>
      <c r="I3262" s="155"/>
      <c r="J3262" s="155"/>
      <c r="K3262" s="155"/>
      <c r="L3262" s="155"/>
      <c r="M3262" s="155"/>
      <c r="N3262" s="155"/>
      <c r="O3262" s="155"/>
      <c r="P3262" s="155"/>
      <c r="Q3262" s="155"/>
      <c r="R3262" s="155"/>
      <c r="S3262" s="155"/>
      <c r="T3262" s="155"/>
      <c r="U3262" s="155"/>
      <c r="V3262" s="155"/>
      <c r="W3262" s="155"/>
      <c r="GL3262" s="155"/>
      <c r="GM3262" s="155"/>
      <c r="GN3262" s="155"/>
      <c r="GO3262" s="155"/>
      <c r="GP3262" s="155"/>
      <c r="GQ3262" s="155"/>
      <c r="GR3262" s="155"/>
      <c r="GS3262" s="155"/>
      <c r="GT3262" s="155"/>
      <c r="GU3262" s="155"/>
      <c r="GV3262" s="155"/>
      <c r="GW3262" s="155"/>
      <c r="GX3262" s="155"/>
      <c r="GY3262" s="155"/>
      <c r="GZ3262" s="155"/>
      <c r="HA3262" s="155"/>
      <c r="HB3262" s="155"/>
      <c r="HC3262" s="155"/>
      <c r="HD3262" s="155"/>
      <c r="HE3262" s="155"/>
    </row>
    <row r="3263" spans="2:213" s="156" customFormat="1" hidden="1">
      <c r="B3263" s="155"/>
      <c r="C3263" s="155"/>
      <c r="D3263" s="155"/>
      <c r="E3263" s="155"/>
      <c r="F3263" s="155"/>
      <c r="G3263" s="155"/>
      <c r="H3263" s="155"/>
      <c r="I3263" s="155"/>
      <c r="J3263" s="155"/>
      <c r="K3263" s="155"/>
      <c r="L3263" s="155"/>
      <c r="M3263" s="155"/>
      <c r="N3263" s="155"/>
      <c r="O3263" s="155"/>
      <c r="P3263" s="155"/>
      <c r="Q3263" s="155"/>
      <c r="R3263" s="155"/>
      <c r="S3263" s="155"/>
      <c r="T3263" s="155"/>
      <c r="U3263" s="155"/>
      <c r="V3263" s="155"/>
      <c r="W3263" s="155"/>
      <c r="GL3263" s="155"/>
      <c r="GM3263" s="155"/>
      <c r="GN3263" s="155"/>
      <c r="GO3263" s="155"/>
      <c r="GP3263" s="155"/>
      <c r="GQ3263" s="155"/>
      <c r="GR3263" s="155"/>
      <c r="GS3263" s="155"/>
      <c r="GT3263" s="155"/>
      <c r="GU3263" s="155"/>
      <c r="GV3263" s="155"/>
      <c r="GW3263" s="155"/>
      <c r="GX3263" s="155"/>
      <c r="GY3263" s="155"/>
      <c r="GZ3263" s="155"/>
      <c r="HA3263" s="155"/>
      <c r="HB3263" s="155"/>
      <c r="HC3263" s="155"/>
      <c r="HD3263" s="155"/>
      <c r="HE3263" s="155"/>
    </row>
    <row r="3264" spans="2:213" s="156" customFormat="1" hidden="1">
      <c r="B3264" s="155"/>
      <c r="C3264" s="155"/>
      <c r="D3264" s="155"/>
      <c r="E3264" s="155"/>
      <c r="F3264" s="155"/>
      <c r="G3264" s="155"/>
      <c r="H3264" s="155"/>
      <c r="I3264" s="155"/>
      <c r="J3264" s="155"/>
      <c r="K3264" s="155"/>
      <c r="L3264" s="155"/>
      <c r="M3264" s="155"/>
      <c r="N3264" s="155"/>
      <c r="O3264" s="155"/>
      <c r="P3264" s="155"/>
      <c r="Q3264" s="155"/>
      <c r="R3264" s="155"/>
      <c r="S3264" s="155"/>
      <c r="T3264" s="155"/>
      <c r="U3264" s="155"/>
      <c r="V3264" s="155"/>
      <c r="W3264" s="155"/>
      <c r="GL3264" s="155"/>
      <c r="GM3264" s="155"/>
      <c r="GN3264" s="155"/>
      <c r="GO3264" s="155"/>
      <c r="GP3264" s="155"/>
      <c r="GQ3264" s="155"/>
      <c r="GR3264" s="155"/>
      <c r="GS3264" s="155"/>
      <c r="GT3264" s="155"/>
      <c r="GU3264" s="155"/>
      <c r="GV3264" s="155"/>
      <c r="GW3264" s="155"/>
      <c r="GX3264" s="155"/>
      <c r="GY3264" s="155"/>
      <c r="GZ3264" s="155"/>
      <c r="HA3264" s="155"/>
      <c r="HB3264" s="155"/>
      <c r="HC3264" s="155"/>
      <c r="HD3264" s="155"/>
      <c r="HE3264" s="155"/>
    </row>
    <row r="3265" spans="2:213" s="156" customFormat="1" hidden="1">
      <c r="B3265" s="155"/>
      <c r="C3265" s="155"/>
      <c r="D3265" s="155"/>
      <c r="E3265" s="155"/>
      <c r="F3265" s="155"/>
      <c r="G3265" s="155"/>
      <c r="H3265" s="155"/>
      <c r="I3265" s="155"/>
      <c r="J3265" s="155"/>
      <c r="K3265" s="155"/>
      <c r="L3265" s="155"/>
      <c r="M3265" s="155"/>
      <c r="N3265" s="155"/>
      <c r="O3265" s="155"/>
      <c r="P3265" s="155"/>
      <c r="Q3265" s="155"/>
      <c r="R3265" s="155"/>
      <c r="S3265" s="155"/>
      <c r="T3265" s="155"/>
      <c r="U3265" s="155"/>
      <c r="V3265" s="155"/>
      <c r="W3265" s="155"/>
      <c r="GL3265" s="155"/>
      <c r="GM3265" s="155"/>
      <c r="GN3265" s="155"/>
      <c r="GO3265" s="155"/>
      <c r="GP3265" s="155"/>
      <c r="GQ3265" s="155"/>
      <c r="GR3265" s="155"/>
      <c r="GS3265" s="155"/>
      <c r="GT3265" s="155"/>
      <c r="GU3265" s="155"/>
      <c r="GV3265" s="155"/>
      <c r="GW3265" s="155"/>
      <c r="GX3265" s="155"/>
      <c r="GY3265" s="155"/>
      <c r="GZ3265" s="155"/>
      <c r="HA3265" s="155"/>
      <c r="HB3265" s="155"/>
      <c r="HC3265" s="155"/>
      <c r="HD3265" s="155"/>
      <c r="HE3265" s="155"/>
    </row>
    <row r="3266" spans="2:213" s="156" customFormat="1" hidden="1">
      <c r="B3266" s="155"/>
      <c r="C3266" s="155"/>
      <c r="D3266" s="155"/>
      <c r="E3266" s="155"/>
      <c r="F3266" s="155"/>
      <c r="G3266" s="155"/>
      <c r="H3266" s="155"/>
      <c r="I3266" s="155"/>
      <c r="J3266" s="155"/>
      <c r="K3266" s="155"/>
      <c r="L3266" s="155"/>
      <c r="M3266" s="155"/>
      <c r="N3266" s="155"/>
      <c r="O3266" s="155"/>
      <c r="P3266" s="155"/>
      <c r="Q3266" s="155"/>
      <c r="R3266" s="155"/>
      <c r="S3266" s="155"/>
      <c r="T3266" s="155"/>
      <c r="U3266" s="155"/>
      <c r="V3266" s="155"/>
      <c r="W3266" s="155"/>
      <c r="GL3266" s="155"/>
      <c r="GM3266" s="155"/>
      <c r="GN3266" s="155"/>
      <c r="GO3266" s="155"/>
      <c r="GP3266" s="155"/>
      <c r="GQ3266" s="155"/>
      <c r="GR3266" s="155"/>
      <c r="GS3266" s="155"/>
      <c r="GT3266" s="155"/>
      <c r="GU3266" s="155"/>
      <c r="GV3266" s="155"/>
      <c r="GW3266" s="155"/>
      <c r="GX3266" s="155"/>
      <c r="GY3266" s="155"/>
      <c r="GZ3266" s="155"/>
      <c r="HA3266" s="155"/>
      <c r="HB3266" s="155"/>
      <c r="HC3266" s="155"/>
      <c r="HD3266" s="155"/>
      <c r="HE3266" s="155"/>
    </row>
    <row r="3267" spans="2:213" s="156" customFormat="1" hidden="1">
      <c r="B3267" s="155"/>
      <c r="C3267" s="155"/>
      <c r="D3267" s="155"/>
      <c r="E3267" s="155"/>
      <c r="F3267" s="155"/>
      <c r="G3267" s="155"/>
      <c r="H3267" s="155"/>
      <c r="I3267" s="155"/>
      <c r="J3267" s="155"/>
      <c r="K3267" s="155"/>
      <c r="L3267" s="155"/>
      <c r="M3267" s="155"/>
      <c r="N3267" s="155"/>
      <c r="O3267" s="155"/>
      <c r="P3267" s="155"/>
      <c r="Q3267" s="155"/>
      <c r="R3267" s="155"/>
      <c r="S3267" s="155"/>
      <c r="T3267" s="155"/>
      <c r="U3267" s="155"/>
      <c r="V3267" s="155"/>
      <c r="W3267" s="155"/>
      <c r="GL3267" s="155"/>
      <c r="GM3267" s="155"/>
      <c r="GN3267" s="155"/>
      <c r="GO3267" s="155"/>
      <c r="GP3267" s="155"/>
      <c r="GQ3267" s="155"/>
      <c r="GR3267" s="155"/>
      <c r="GS3267" s="155"/>
      <c r="GT3267" s="155"/>
      <c r="GU3267" s="155"/>
      <c r="GV3267" s="155"/>
      <c r="GW3267" s="155"/>
      <c r="GX3267" s="155"/>
      <c r="GY3267" s="155"/>
      <c r="GZ3267" s="155"/>
      <c r="HA3267" s="155"/>
      <c r="HB3267" s="155"/>
      <c r="HC3267" s="155"/>
      <c r="HD3267" s="155"/>
      <c r="HE3267" s="155"/>
    </row>
    <row r="3268" spans="2:213" s="156" customFormat="1" hidden="1">
      <c r="B3268" s="155"/>
      <c r="C3268" s="155"/>
      <c r="D3268" s="155"/>
      <c r="E3268" s="155"/>
      <c r="F3268" s="155"/>
      <c r="G3268" s="155"/>
      <c r="H3268" s="155"/>
      <c r="I3268" s="155"/>
      <c r="J3268" s="155"/>
      <c r="K3268" s="155"/>
      <c r="L3268" s="155"/>
      <c r="M3268" s="155"/>
      <c r="N3268" s="155"/>
      <c r="O3268" s="155"/>
      <c r="P3268" s="155"/>
      <c r="Q3268" s="155"/>
      <c r="R3268" s="155"/>
      <c r="S3268" s="155"/>
      <c r="T3268" s="155"/>
      <c r="U3268" s="155"/>
      <c r="V3268" s="155"/>
      <c r="W3268" s="155"/>
      <c r="GL3268" s="155"/>
      <c r="GM3268" s="155"/>
      <c r="GN3268" s="155"/>
      <c r="GO3268" s="155"/>
      <c r="GP3268" s="155"/>
      <c r="GQ3268" s="155"/>
      <c r="GR3268" s="155"/>
      <c r="GS3268" s="155"/>
      <c r="GT3268" s="155"/>
      <c r="GU3268" s="155"/>
      <c r="GV3268" s="155"/>
      <c r="GW3268" s="155"/>
      <c r="GX3268" s="155"/>
      <c r="GY3268" s="155"/>
      <c r="GZ3268" s="155"/>
      <c r="HA3268" s="155"/>
      <c r="HB3268" s="155"/>
      <c r="HC3268" s="155"/>
      <c r="HD3268" s="155"/>
      <c r="HE3268" s="155"/>
    </row>
    <row r="3269" spans="2:213" s="156" customFormat="1" hidden="1">
      <c r="B3269" s="155"/>
      <c r="C3269" s="155"/>
      <c r="D3269" s="155"/>
      <c r="E3269" s="155"/>
      <c r="F3269" s="155"/>
      <c r="G3269" s="155"/>
      <c r="H3269" s="155"/>
      <c r="I3269" s="155"/>
      <c r="J3269" s="155"/>
      <c r="K3269" s="155"/>
      <c r="L3269" s="155"/>
      <c r="M3269" s="155"/>
      <c r="N3269" s="155"/>
      <c r="O3269" s="155"/>
      <c r="P3269" s="155"/>
      <c r="Q3269" s="155"/>
      <c r="R3269" s="155"/>
      <c r="S3269" s="155"/>
      <c r="T3269" s="155"/>
      <c r="U3269" s="155"/>
      <c r="V3269" s="155"/>
      <c r="W3269" s="155"/>
      <c r="GL3269" s="155"/>
      <c r="GM3269" s="155"/>
      <c r="GN3269" s="155"/>
      <c r="GO3269" s="155"/>
      <c r="GP3269" s="155"/>
      <c r="GQ3269" s="155"/>
      <c r="GR3269" s="155"/>
      <c r="GS3269" s="155"/>
      <c r="GT3269" s="155"/>
      <c r="GU3269" s="155"/>
      <c r="GV3269" s="155"/>
      <c r="GW3269" s="155"/>
      <c r="GX3269" s="155"/>
      <c r="GY3269" s="155"/>
      <c r="GZ3269" s="155"/>
      <c r="HA3269" s="155"/>
      <c r="HB3269" s="155"/>
      <c r="HC3269" s="155"/>
      <c r="HD3269" s="155"/>
      <c r="HE3269" s="155"/>
    </row>
    <row r="3270" spans="2:213" s="156" customFormat="1" hidden="1">
      <c r="B3270" s="155"/>
      <c r="C3270" s="155"/>
      <c r="D3270" s="155"/>
      <c r="E3270" s="155"/>
      <c r="F3270" s="155"/>
      <c r="G3270" s="155"/>
      <c r="H3270" s="155"/>
      <c r="I3270" s="155"/>
      <c r="J3270" s="155"/>
      <c r="K3270" s="155"/>
      <c r="L3270" s="155"/>
      <c r="M3270" s="155"/>
      <c r="N3270" s="155"/>
      <c r="O3270" s="155"/>
      <c r="P3270" s="155"/>
      <c r="Q3270" s="155"/>
      <c r="R3270" s="155"/>
      <c r="S3270" s="155"/>
      <c r="T3270" s="155"/>
      <c r="U3270" s="155"/>
      <c r="V3270" s="155"/>
      <c r="W3270" s="155"/>
      <c r="GL3270" s="155"/>
      <c r="GM3270" s="155"/>
      <c r="GN3270" s="155"/>
      <c r="GO3270" s="155"/>
      <c r="GP3270" s="155"/>
      <c r="GQ3270" s="155"/>
      <c r="GR3270" s="155"/>
      <c r="GS3270" s="155"/>
      <c r="GT3270" s="155"/>
      <c r="GU3270" s="155"/>
      <c r="GV3270" s="155"/>
      <c r="GW3270" s="155"/>
      <c r="GX3270" s="155"/>
      <c r="GY3270" s="155"/>
      <c r="GZ3270" s="155"/>
      <c r="HA3270" s="155"/>
      <c r="HB3270" s="155"/>
      <c r="HC3270" s="155"/>
      <c r="HD3270" s="155"/>
      <c r="HE3270" s="155"/>
    </row>
    <row r="3271" spans="2:213" s="156" customFormat="1" hidden="1">
      <c r="B3271" s="155"/>
      <c r="C3271" s="155"/>
      <c r="D3271" s="155"/>
      <c r="E3271" s="155"/>
      <c r="F3271" s="155"/>
      <c r="G3271" s="155"/>
      <c r="H3271" s="155"/>
      <c r="I3271" s="155"/>
      <c r="J3271" s="155"/>
      <c r="K3271" s="155"/>
      <c r="L3271" s="155"/>
      <c r="M3271" s="155"/>
      <c r="N3271" s="155"/>
      <c r="O3271" s="155"/>
      <c r="P3271" s="155"/>
      <c r="Q3271" s="155"/>
      <c r="R3271" s="155"/>
      <c r="S3271" s="155"/>
      <c r="T3271" s="155"/>
      <c r="U3271" s="155"/>
      <c r="V3271" s="155"/>
      <c r="W3271" s="155"/>
      <c r="GL3271" s="155"/>
      <c r="GM3271" s="155"/>
      <c r="GN3271" s="155"/>
      <c r="GO3271" s="155"/>
      <c r="GP3271" s="155"/>
      <c r="GQ3271" s="155"/>
      <c r="GR3271" s="155"/>
      <c r="GS3271" s="155"/>
      <c r="GT3271" s="155"/>
      <c r="GU3271" s="155"/>
      <c r="GV3271" s="155"/>
      <c r="GW3271" s="155"/>
      <c r="GX3271" s="155"/>
      <c r="GY3271" s="155"/>
      <c r="GZ3271" s="155"/>
      <c r="HA3271" s="155"/>
      <c r="HB3271" s="155"/>
      <c r="HC3271" s="155"/>
      <c r="HD3271" s="155"/>
      <c r="HE3271" s="155"/>
    </row>
    <row r="3272" spans="2:213" s="156" customFormat="1" hidden="1">
      <c r="B3272" s="155"/>
      <c r="C3272" s="155"/>
      <c r="D3272" s="155"/>
      <c r="E3272" s="155"/>
      <c r="F3272" s="155"/>
      <c r="G3272" s="155"/>
      <c r="H3272" s="155"/>
      <c r="I3272" s="155"/>
      <c r="J3272" s="155"/>
      <c r="K3272" s="155"/>
      <c r="L3272" s="155"/>
      <c r="M3272" s="155"/>
      <c r="N3272" s="155"/>
      <c r="O3272" s="155"/>
      <c r="P3272" s="155"/>
      <c r="Q3272" s="155"/>
      <c r="R3272" s="155"/>
      <c r="S3272" s="155"/>
      <c r="T3272" s="155"/>
      <c r="U3272" s="155"/>
      <c r="V3272" s="155"/>
      <c r="W3272" s="155"/>
      <c r="GL3272" s="155"/>
      <c r="GM3272" s="155"/>
      <c r="GN3272" s="155"/>
      <c r="GO3272" s="155"/>
      <c r="GP3272" s="155"/>
      <c r="GQ3272" s="155"/>
      <c r="GR3272" s="155"/>
      <c r="GS3272" s="155"/>
      <c r="GT3272" s="155"/>
      <c r="GU3272" s="155"/>
      <c r="GV3272" s="155"/>
      <c r="GW3272" s="155"/>
      <c r="GX3272" s="155"/>
      <c r="GY3272" s="155"/>
      <c r="GZ3272" s="155"/>
      <c r="HA3272" s="155"/>
      <c r="HB3272" s="155"/>
      <c r="HC3272" s="155"/>
      <c r="HD3272" s="155"/>
      <c r="HE3272" s="155"/>
    </row>
    <row r="3273" spans="2:213" s="156" customFormat="1" hidden="1">
      <c r="B3273" s="155"/>
      <c r="C3273" s="155"/>
      <c r="D3273" s="155"/>
      <c r="E3273" s="155"/>
      <c r="F3273" s="155"/>
      <c r="G3273" s="155"/>
      <c r="H3273" s="155"/>
      <c r="I3273" s="155"/>
      <c r="J3273" s="155"/>
      <c r="K3273" s="155"/>
      <c r="L3273" s="155"/>
      <c r="M3273" s="155"/>
      <c r="N3273" s="155"/>
      <c r="O3273" s="155"/>
      <c r="P3273" s="155"/>
      <c r="Q3273" s="155"/>
      <c r="R3273" s="155"/>
      <c r="S3273" s="155"/>
      <c r="T3273" s="155"/>
      <c r="U3273" s="155"/>
      <c r="V3273" s="155"/>
      <c r="W3273" s="155"/>
      <c r="GL3273" s="155"/>
      <c r="GM3273" s="155"/>
      <c r="GN3273" s="155"/>
      <c r="GO3273" s="155"/>
      <c r="GP3273" s="155"/>
      <c r="GQ3273" s="155"/>
      <c r="GR3273" s="155"/>
      <c r="GS3273" s="155"/>
      <c r="GT3273" s="155"/>
      <c r="GU3273" s="155"/>
      <c r="GV3273" s="155"/>
      <c r="GW3273" s="155"/>
      <c r="GX3273" s="155"/>
      <c r="GY3273" s="155"/>
      <c r="GZ3273" s="155"/>
      <c r="HA3273" s="155"/>
      <c r="HB3273" s="155"/>
      <c r="HC3273" s="155"/>
      <c r="HD3273" s="155"/>
      <c r="HE3273" s="155"/>
    </row>
    <row r="3274" spans="2:213" s="156" customFormat="1" hidden="1">
      <c r="B3274" s="155"/>
      <c r="C3274" s="155"/>
      <c r="D3274" s="155"/>
      <c r="E3274" s="155"/>
      <c r="F3274" s="155"/>
      <c r="G3274" s="155"/>
      <c r="H3274" s="155"/>
      <c r="I3274" s="155"/>
      <c r="J3274" s="155"/>
      <c r="K3274" s="155"/>
      <c r="L3274" s="155"/>
      <c r="M3274" s="155"/>
      <c r="N3274" s="155"/>
      <c r="O3274" s="155"/>
      <c r="P3274" s="155"/>
      <c r="Q3274" s="155"/>
      <c r="R3274" s="155"/>
      <c r="S3274" s="155"/>
      <c r="T3274" s="155"/>
      <c r="U3274" s="155"/>
      <c r="V3274" s="155"/>
      <c r="W3274" s="155"/>
      <c r="GL3274" s="155"/>
      <c r="GM3274" s="155"/>
      <c r="GN3274" s="155"/>
      <c r="GO3274" s="155"/>
      <c r="GP3274" s="155"/>
      <c r="GQ3274" s="155"/>
      <c r="GR3274" s="155"/>
      <c r="GS3274" s="155"/>
      <c r="GT3274" s="155"/>
      <c r="GU3274" s="155"/>
      <c r="GV3274" s="155"/>
      <c r="GW3274" s="155"/>
      <c r="GX3274" s="155"/>
      <c r="GY3274" s="155"/>
      <c r="GZ3274" s="155"/>
      <c r="HA3274" s="155"/>
      <c r="HB3274" s="155"/>
      <c r="HC3274" s="155"/>
      <c r="HD3274" s="155"/>
      <c r="HE3274" s="155"/>
    </row>
    <row r="3275" spans="2:213" s="156" customFormat="1" hidden="1">
      <c r="B3275" s="155"/>
      <c r="C3275" s="155"/>
      <c r="D3275" s="155"/>
      <c r="E3275" s="155"/>
      <c r="F3275" s="155"/>
      <c r="G3275" s="155"/>
      <c r="H3275" s="155"/>
      <c r="I3275" s="155"/>
      <c r="J3275" s="155"/>
      <c r="K3275" s="155"/>
      <c r="L3275" s="155"/>
      <c r="M3275" s="155"/>
      <c r="N3275" s="155"/>
      <c r="O3275" s="155"/>
      <c r="P3275" s="155"/>
      <c r="Q3275" s="155"/>
      <c r="R3275" s="155"/>
      <c r="S3275" s="155"/>
      <c r="T3275" s="155"/>
      <c r="U3275" s="155"/>
      <c r="V3275" s="155"/>
      <c r="W3275" s="155"/>
      <c r="GL3275" s="155"/>
      <c r="GM3275" s="155"/>
      <c r="GN3275" s="155"/>
      <c r="GO3275" s="155"/>
      <c r="GP3275" s="155"/>
      <c r="GQ3275" s="155"/>
      <c r="GR3275" s="155"/>
      <c r="GS3275" s="155"/>
      <c r="GT3275" s="155"/>
      <c r="GU3275" s="155"/>
      <c r="GV3275" s="155"/>
      <c r="GW3275" s="155"/>
      <c r="GX3275" s="155"/>
      <c r="GY3275" s="155"/>
      <c r="GZ3275" s="155"/>
      <c r="HA3275" s="155"/>
      <c r="HB3275" s="155"/>
      <c r="HC3275" s="155"/>
      <c r="HD3275" s="155"/>
      <c r="HE3275" s="155"/>
    </row>
    <row r="3276" spans="2:213" s="156" customFormat="1" hidden="1">
      <c r="B3276" s="155"/>
      <c r="C3276" s="155"/>
      <c r="D3276" s="155"/>
      <c r="E3276" s="155"/>
      <c r="F3276" s="155"/>
      <c r="G3276" s="155"/>
      <c r="H3276" s="155"/>
      <c r="I3276" s="155"/>
      <c r="J3276" s="155"/>
      <c r="K3276" s="155"/>
      <c r="L3276" s="155"/>
      <c r="M3276" s="155"/>
      <c r="N3276" s="155"/>
      <c r="O3276" s="155"/>
      <c r="P3276" s="155"/>
      <c r="Q3276" s="155"/>
      <c r="R3276" s="155"/>
      <c r="S3276" s="155"/>
      <c r="T3276" s="155"/>
      <c r="U3276" s="155"/>
      <c r="V3276" s="155"/>
      <c r="W3276" s="155"/>
      <c r="GL3276" s="155"/>
      <c r="GM3276" s="155"/>
      <c r="GN3276" s="155"/>
      <c r="GO3276" s="155"/>
      <c r="GP3276" s="155"/>
      <c r="GQ3276" s="155"/>
      <c r="GR3276" s="155"/>
      <c r="GS3276" s="155"/>
      <c r="GT3276" s="155"/>
      <c r="GU3276" s="155"/>
      <c r="GV3276" s="155"/>
      <c r="GW3276" s="155"/>
      <c r="GX3276" s="155"/>
      <c r="GY3276" s="155"/>
      <c r="GZ3276" s="155"/>
      <c r="HA3276" s="155"/>
      <c r="HB3276" s="155"/>
      <c r="HC3276" s="155"/>
      <c r="HD3276" s="155"/>
      <c r="HE3276" s="155"/>
    </row>
    <row r="3277" spans="2:213" s="156" customFormat="1" hidden="1">
      <c r="B3277" s="155"/>
      <c r="C3277" s="155"/>
      <c r="D3277" s="155"/>
      <c r="E3277" s="155"/>
      <c r="F3277" s="155"/>
      <c r="G3277" s="155"/>
      <c r="H3277" s="155"/>
      <c r="I3277" s="155"/>
      <c r="J3277" s="155"/>
      <c r="K3277" s="155"/>
      <c r="L3277" s="155"/>
      <c r="M3277" s="155"/>
      <c r="N3277" s="155"/>
      <c r="O3277" s="155"/>
      <c r="P3277" s="155"/>
      <c r="Q3277" s="155"/>
      <c r="R3277" s="155"/>
      <c r="S3277" s="155"/>
      <c r="T3277" s="155"/>
      <c r="U3277" s="155"/>
      <c r="V3277" s="155"/>
      <c r="W3277" s="155"/>
      <c r="GL3277" s="155"/>
      <c r="GM3277" s="155"/>
      <c r="GN3277" s="155"/>
      <c r="GO3277" s="155"/>
      <c r="GP3277" s="155"/>
      <c r="GQ3277" s="155"/>
      <c r="GR3277" s="155"/>
      <c r="GS3277" s="155"/>
      <c r="GT3277" s="155"/>
      <c r="GU3277" s="155"/>
      <c r="GV3277" s="155"/>
      <c r="GW3277" s="155"/>
      <c r="GX3277" s="155"/>
      <c r="GY3277" s="155"/>
      <c r="GZ3277" s="155"/>
      <c r="HA3277" s="155"/>
      <c r="HB3277" s="155"/>
      <c r="HC3277" s="155"/>
      <c r="HD3277" s="155"/>
      <c r="HE3277" s="155"/>
    </row>
    <row r="3278" spans="2:213" s="156" customFormat="1" hidden="1">
      <c r="B3278" s="155"/>
      <c r="C3278" s="155"/>
      <c r="D3278" s="155"/>
      <c r="E3278" s="155"/>
      <c r="F3278" s="155"/>
      <c r="G3278" s="155"/>
      <c r="H3278" s="155"/>
      <c r="I3278" s="155"/>
      <c r="J3278" s="155"/>
      <c r="K3278" s="155"/>
      <c r="L3278" s="155"/>
      <c r="M3278" s="155"/>
      <c r="N3278" s="155"/>
      <c r="O3278" s="155"/>
      <c r="P3278" s="155"/>
      <c r="Q3278" s="155"/>
      <c r="R3278" s="155"/>
      <c r="S3278" s="155"/>
      <c r="T3278" s="155"/>
      <c r="U3278" s="155"/>
      <c r="V3278" s="155"/>
      <c r="W3278" s="155"/>
      <c r="GL3278" s="155"/>
      <c r="GM3278" s="155"/>
      <c r="GN3278" s="155"/>
      <c r="GO3278" s="155"/>
      <c r="GP3278" s="155"/>
      <c r="GQ3278" s="155"/>
      <c r="GR3278" s="155"/>
      <c r="GS3278" s="155"/>
      <c r="GT3278" s="155"/>
      <c r="GU3278" s="155"/>
      <c r="GV3278" s="155"/>
      <c r="GW3278" s="155"/>
      <c r="GX3278" s="155"/>
      <c r="GY3278" s="155"/>
      <c r="GZ3278" s="155"/>
      <c r="HA3278" s="155"/>
      <c r="HB3278" s="155"/>
      <c r="HC3278" s="155"/>
      <c r="HD3278" s="155"/>
      <c r="HE3278" s="155"/>
    </row>
    <row r="3279" spans="2:213" s="156" customFormat="1" hidden="1">
      <c r="B3279" s="155"/>
      <c r="C3279" s="155"/>
      <c r="D3279" s="155"/>
      <c r="E3279" s="155"/>
      <c r="F3279" s="155"/>
      <c r="G3279" s="155"/>
      <c r="H3279" s="155"/>
      <c r="I3279" s="155"/>
      <c r="J3279" s="155"/>
      <c r="K3279" s="155"/>
      <c r="L3279" s="155"/>
      <c r="M3279" s="155"/>
      <c r="N3279" s="155"/>
      <c r="O3279" s="155"/>
      <c r="P3279" s="155"/>
      <c r="Q3279" s="155"/>
      <c r="R3279" s="155"/>
      <c r="S3279" s="155"/>
      <c r="T3279" s="155"/>
      <c r="U3279" s="155"/>
      <c r="V3279" s="155"/>
      <c r="W3279" s="155"/>
      <c r="GL3279" s="155"/>
      <c r="GM3279" s="155"/>
      <c r="GN3279" s="155"/>
      <c r="GO3279" s="155"/>
      <c r="GP3279" s="155"/>
      <c r="GQ3279" s="155"/>
      <c r="GR3279" s="155"/>
      <c r="GS3279" s="155"/>
      <c r="GT3279" s="155"/>
      <c r="GU3279" s="155"/>
      <c r="GV3279" s="155"/>
      <c r="GW3279" s="155"/>
      <c r="GX3279" s="155"/>
      <c r="GY3279" s="155"/>
      <c r="GZ3279" s="155"/>
      <c r="HA3279" s="155"/>
      <c r="HB3279" s="155"/>
      <c r="HC3279" s="155"/>
      <c r="HD3279" s="155"/>
      <c r="HE3279" s="155"/>
    </row>
    <row r="3280" spans="2:213" s="156" customFormat="1" hidden="1">
      <c r="B3280" s="155"/>
      <c r="C3280" s="155"/>
      <c r="D3280" s="155"/>
      <c r="E3280" s="155"/>
      <c r="F3280" s="155"/>
      <c r="G3280" s="155"/>
      <c r="H3280" s="155"/>
      <c r="I3280" s="155"/>
      <c r="J3280" s="155"/>
      <c r="K3280" s="155"/>
      <c r="L3280" s="155"/>
      <c r="M3280" s="155"/>
      <c r="N3280" s="155"/>
      <c r="O3280" s="155"/>
      <c r="P3280" s="155"/>
      <c r="Q3280" s="155"/>
      <c r="R3280" s="155"/>
      <c r="S3280" s="155"/>
      <c r="T3280" s="155"/>
      <c r="U3280" s="155"/>
      <c r="V3280" s="155"/>
      <c r="W3280" s="155"/>
      <c r="GL3280" s="155"/>
      <c r="GM3280" s="155"/>
      <c r="GN3280" s="155"/>
      <c r="GO3280" s="155"/>
      <c r="GP3280" s="155"/>
      <c r="GQ3280" s="155"/>
      <c r="GR3280" s="155"/>
      <c r="GS3280" s="155"/>
      <c r="GT3280" s="155"/>
      <c r="GU3280" s="155"/>
      <c r="GV3280" s="155"/>
      <c r="GW3280" s="155"/>
      <c r="GX3280" s="155"/>
      <c r="GY3280" s="155"/>
      <c r="GZ3280" s="155"/>
      <c r="HA3280" s="155"/>
      <c r="HB3280" s="155"/>
      <c r="HC3280" s="155"/>
      <c r="HD3280" s="155"/>
      <c r="HE3280" s="155"/>
    </row>
    <row r="3281" spans="2:213" s="156" customFormat="1" hidden="1">
      <c r="B3281" s="155"/>
      <c r="C3281" s="155"/>
      <c r="D3281" s="155"/>
      <c r="E3281" s="155"/>
      <c r="F3281" s="155"/>
      <c r="G3281" s="155"/>
      <c r="H3281" s="155"/>
      <c r="I3281" s="155"/>
      <c r="J3281" s="155"/>
      <c r="K3281" s="155"/>
      <c r="L3281" s="155"/>
      <c r="M3281" s="155"/>
      <c r="N3281" s="155"/>
      <c r="O3281" s="155"/>
      <c r="P3281" s="155"/>
      <c r="Q3281" s="155"/>
      <c r="R3281" s="155"/>
      <c r="S3281" s="155"/>
      <c r="T3281" s="155"/>
      <c r="U3281" s="155"/>
      <c r="V3281" s="155"/>
      <c r="W3281" s="155"/>
      <c r="GL3281" s="155"/>
      <c r="GM3281" s="155"/>
      <c r="GN3281" s="155"/>
      <c r="GO3281" s="155"/>
      <c r="GP3281" s="155"/>
      <c r="GQ3281" s="155"/>
      <c r="GR3281" s="155"/>
      <c r="GS3281" s="155"/>
      <c r="GT3281" s="155"/>
      <c r="GU3281" s="155"/>
      <c r="GV3281" s="155"/>
      <c r="GW3281" s="155"/>
      <c r="GX3281" s="155"/>
      <c r="GY3281" s="155"/>
      <c r="GZ3281" s="155"/>
      <c r="HA3281" s="155"/>
      <c r="HB3281" s="155"/>
      <c r="HC3281" s="155"/>
      <c r="HD3281" s="155"/>
      <c r="HE3281" s="155"/>
    </row>
    <row r="3282" spans="2:213" s="156" customFormat="1" hidden="1">
      <c r="B3282" s="155"/>
      <c r="C3282" s="155"/>
      <c r="D3282" s="155"/>
      <c r="E3282" s="155"/>
      <c r="F3282" s="155"/>
      <c r="G3282" s="155"/>
      <c r="H3282" s="155"/>
      <c r="I3282" s="155"/>
      <c r="J3282" s="155"/>
      <c r="K3282" s="155"/>
      <c r="L3282" s="155"/>
      <c r="M3282" s="155"/>
      <c r="N3282" s="155"/>
      <c r="O3282" s="155"/>
      <c r="P3282" s="155"/>
      <c r="Q3282" s="155"/>
      <c r="R3282" s="155"/>
      <c r="S3282" s="155"/>
      <c r="T3282" s="155"/>
      <c r="U3282" s="155"/>
      <c r="V3282" s="155"/>
      <c r="W3282" s="155"/>
      <c r="GL3282" s="155"/>
      <c r="GM3282" s="155"/>
      <c r="GN3282" s="155"/>
      <c r="GO3282" s="155"/>
      <c r="GP3282" s="155"/>
      <c r="GQ3282" s="155"/>
      <c r="GR3282" s="155"/>
      <c r="GS3282" s="155"/>
      <c r="GT3282" s="155"/>
      <c r="GU3282" s="155"/>
      <c r="GV3282" s="155"/>
      <c r="GW3282" s="155"/>
      <c r="GX3282" s="155"/>
      <c r="GY3282" s="155"/>
      <c r="GZ3282" s="155"/>
      <c r="HA3282" s="155"/>
      <c r="HB3282" s="155"/>
      <c r="HC3282" s="155"/>
      <c r="HD3282" s="155"/>
      <c r="HE3282" s="155"/>
    </row>
    <row r="3283" spans="2:213" s="156" customFormat="1" hidden="1">
      <c r="B3283" s="155"/>
      <c r="C3283" s="155"/>
      <c r="D3283" s="155"/>
      <c r="E3283" s="155"/>
      <c r="F3283" s="155"/>
      <c r="G3283" s="155"/>
      <c r="H3283" s="155"/>
      <c r="I3283" s="155"/>
      <c r="J3283" s="155"/>
      <c r="K3283" s="155"/>
      <c r="L3283" s="155"/>
      <c r="M3283" s="155"/>
      <c r="N3283" s="155"/>
      <c r="O3283" s="155"/>
      <c r="P3283" s="155"/>
      <c r="Q3283" s="155"/>
      <c r="R3283" s="155"/>
      <c r="S3283" s="155"/>
      <c r="T3283" s="155"/>
      <c r="U3283" s="155"/>
      <c r="V3283" s="155"/>
      <c r="W3283" s="155"/>
      <c r="GL3283" s="155"/>
      <c r="GM3283" s="155"/>
      <c r="GN3283" s="155"/>
      <c r="GO3283" s="155"/>
      <c r="GP3283" s="155"/>
      <c r="GQ3283" s="155"/>
      <c r="GR3283" s="155"/>
      <c r="GS3283" s="155"/>
      <c r="GT3283" s="155"/>
      <c r="GU3283" s="155"/>
      <c r="GV3283" s="155"/>
      <c r="GW3283" s="155"/>
      <c r="GX3283" s="155"/>
      <c r="GY3283" s="155"/>
      <c r="GZ3283" s="155"/>
      <c r="HA3283" s="155"/>
      <c r="HB3283" s="155"/>
      <c r="HC3283" s="155"/>
      <c r="HD3283" s="155"/>
      <c r="HE3283" s="155"/>
    </row>
    <row r="3284" spans="2:213" s="156" customFormat="1" hidden="1">
      <c r="B3284" s="155"/>
      <c r="C3284" s="155"/>
      <c r="D3284" s="155"/>
      <c r="E3284" s="155"/>
      <c r="F3284" s="155"/>
      <c r="G3284" s="155"/>
      <c r="H3284" s="155"/>
      <c r="I3284" s="155"/>
      <c r="J3284" s="155"/>
      <c r="K3284" s="155"/>
      <c r="L3284" s="155"/>
      <c r="M3284" s="155"/>
      <c r="N3284" s="155"/>
      <c r="O3284" s="155"/>
      <c r="P3284" s="155"/>
      <c r="Q3284" s="155"/>
      <c r="R3284" s="155"/>
      <c r="S3284" s="155"/>
      <c r="T3284" s="155"/>
      <c r="U3284" s="155"/>
      <c r="V3284" s="155"/>
      <c r="W3284" s="155"/>
      <c r="GL3284" s="155"/>
      <c r="GM3284" s="155"/>
      <c r="GN3284" s="155"/>
      <c r="GO3284" s="155"/>
      <c r="GP3284" s="155"/>
      <c r="GQ3284" s="155"/>
      <c r="GR3284" s="155"/>
      <c r="GS3284" s="155"/>
      <c r="GT3284" s="155"/>
      <c r="GU3284" s="155"/>
      <c r="GV3284" s="155"/>
      <c r="GW3284" s="155"/>
      <c r="GX3284" s="155"/>
      <c r="GY3284" s="155"/>
      <c r="GZ3284" s="155"/>
      <c r="HA3284" s="155"/>
      <c r="HB3284" s="155"/>
      <c r="HC3284" s="155"/>
      <c r="HD3284" s="155"/>
      <c r="HE3284" s="155"/>
    </row>
    <row r="3285" spans="2:213" s="156" customFormat="1" hidden="1">
      <c r="B3285" s="155"/>
      <c r="C3285" s="155"/>
      <c r="D3285" s="155"/>
      <c r="E3285" s="155"/>
      <c r="F3285" s="155"/>
      <c r="G3285" s="155"/>
      <c r="H3285" s="155"/>
      <c r="I3285" s="155"/>
      <c r="J3285" s="155"/>
      <c r="K3285" s="155"/>
      <c r="L3285" s="155"/>
      <c r="M3285" s="155"/>
      <c r="N3285" s="155"/>
      <c r="O3285" s="155"/>
      <c r="P3285" s="155"/>
      <c r="Q3285" s="155"/>
      <c r="R3285" s="155"/>
      <c r="S3285" s="155"/>
      <c r="T3285" s="155"/>
      <c r="U3285" s="155"/>
      <c r="V3285" s="155"/>
      <c r="W3285" s="155"/>
      <c r="GL3285" s="155"/>
      <c r="GM3285" s="155"/>
      <c r="GN3285" s="155"/>
      <c r="GO3285" s="155"/>
      <c r="GP3285" s="155"/>
      <c r="GQ3285" s="155"/>
      <c r="GR3285" s="155"/>
      <c r="GS3285" s="155"/>
      <c r="GT3285" s="155"/>
      <c r="GU3285" s="155"/>
      <c r="GV3285" s="155"/>
      <c r="GW3285" s="155"/>
      <c r="GX3285" s="155"/>
      <c r="GY3285" s="155"/>
      <c r="GZ3285" s="155"/>
      <c r="HA3285" s="155"/>
      <c r="HB3285" s="155"/>
      <c r="HC3285" s="155"/>
      <c r="HD3285" s="155"/>
      <c r="HE3285" s="155"/>
    </row>
    <row r="3286" spans="2:213" s="156" customFormat="1" hidden="1">
      <c r="B3286" s="155"/>
      <c r="C3286" s="155"/>
      <c r="D3286" s="155"/>
      <c r="E3286" s="155"/>
      <c r="F3286" s="155"/>
      <c r="G3286" s="155"/>
      <c r="H3286" s="155"/>
      <c r="I3286" s="155"/>
      <c r="J3286" s="155"/>
      <c r="K3286" s="155"/>
      <c r="L3286" s="155"/>
      <c r="M3286" s="155"/>
      <c r="N3286" s="155"/>
      <c r="O3286" s="155"/>
      <c r="P3286" s="155"/>
      <c r="Q3286" s="155"/>
      <c r="R3286" s="155"/>
      <c r="S3286" s="155"/>
      <c r="T3286" s="155"/>
      <c r="U3286" s="155"/>
      <c r="V3286" s="155"/>
      <c r="W3286" s="155"/>
      <c r="GL3286" s="155"/>
      <c r="GM3286" s="155"/>
      <c r="GN3286" s="155"/>
      <c r="GO3286" s="155"/>
      <c r="GP3286" s="155"/>
      <c r="GQ3286" s="155"/>
      <c r="GR3286" s="155"/>
      <c r="GS3286" s="155"/>
      <c r="GT3286" s="155"/>
      <c r="GU3286" s="155"/>
      <c r="GV3286" s="155"/>
      <c r="GW3286" s="155"/>
      <c r="GX3286" s="155"/>
      <c r="GY3286" s="155"/>
      <c r="GZ3286" s="155"/>
      <c r="HA3286" s="155"/>
      <c r="HB3286" s="155"/>
      <c r="HC3286" s="155"/>
      <c r="HD3286" s="155"/>
      <c r="HE3286" s="155"/>
    </row>
    <row r="3287" spans="2:213" s="156" customFormat="1" hidden="1">
      <c r="B3287" s="155"/>
      <c r="C3287" s="155"/>
      <c r="D3287" s="155"/>
      <c r="E3287" s="155"/>
      <c r="F3287" s="155"/>
      <c r="G3287" s="155"/>
      <c r="H3287" s="155"/>
      <c r="I3287" s="155"/>
      <c r="J3287" s="155"/>
      <c r="K3287" s="155"/>
      <c r="L3287" s="155"/>
      <c r="M3287" s="155"/>
      <c r="N3287" s="155"/>
      <c r="O3287" s="155"/>
      <c r="P3287" s="155"/>
      <c r="Q3287" s="155"/>
      <c r="R3287" s="155"/>
      <c r="S3287" s="155"/>
      <c r="T3287" s="155"/>
      <c r="U3287" s="155"/>
      <c r="V3287" s="155"/>
      <c r="W3287" s="155"/>
      <c r="GL3287" s="155"/>
      <c r="GM3287" s="155"/>
      <c r="GN3287" s="155"/>
      <c r="GO3287" s="155"/>
      <c r="GP3287" s="155"/>
      <c r="GQ3287" s="155"/>
      <c r="GR3287" s="155"/>
      <c r="GS3287" s="155"/>
      <c r="GT3287" s="155"/>
      <c r="GU3287" s="155"/>
      <c r="GV3287" s="155"/>
      <c r="GW3287" s="155"/>
      <c r="GX3287" s="155"/>
      <c r="GY3287" s="155"/>
      <c r="GZ3287" s="155"/>
      <c r="HA3287" s="155"/>
      <c r="HB3287" s="155"/>
      <c r="HC3287" s="155"/>
      <c r="HD3287" s="155"/>
      <c r="HE3287" s="155"/>
    </row>
    <row r="3288" spans="2:213" s="156" customFormat="1" hidden="1">
      <c r="B3288" s="155"/>
      <c r="C3288" s="155"/>
      <c r="D3288" s="155"/>
      <c r="E3288" s="155"/>
      <c r="F3288" s="155"/>
      <c r="G3288" s="155"/>
      <c r="H3288" s="155"/>
      <c r="I3288" s="155"/>
      <c r="J3288" s="155"/>
      <c r="K3288" s="155"/>
      <c r="L3288" s="155"/>
      <c r="M3288" s="155"/>
      <c r="N3288" s="155"/>
      <c r="O3288" s="155"/>
      <c r="P3288" s="155"/>
      <c r="Q3288" s="155"/>
      <c r="R3288" s="155"/>
      <c r="S3288" s="155"/>
      <c r="T3288" s="155"/>
      <c r="U3288" s="155"/>
      <c r="V3288" s="155"/>
      <c r="W3288" s="155"/>
      <c r="GL3288" s="155"/>
      <c r="GM3288" s="155"/>
      <c r="GN3288" s="155"/>
      <c r="GO3288" s="155"/>
      <c r="GP3288" s="155"/>
      <c r="GQ3288" s="155"/>
      <c r="GR3288" s="155"/>
      <c r="GS3288" s="155"/>
      <c r="GT3288" s="155"/>
      <c r="GU3288" s="155"/>
      <c r="GV3288" s="155"/>
      <c r="GW3288" s="155"/>
      <c r="GX3288" s="155"/>
      <c r="GY3288" s="155"/>
      <c r="GZ3288" s="155"/>
      <c r="HA3288" s="155"/>
      <c r="HB3288" s="155"/>
      <c r="HC3288" s="155"/>
      <c r="HD3288" s="155"/>
      <c r="HE3288" s="155"/>
    </row>
    <row r="3289" spans="2:213" s="156" customFormat="1" hidden="1">
      <c r="B3289" s="155"/>
      <c r="C3289" s="155"/>
      <c r="D3289" s="155"/>
      <c r="E3289" s="155"/>
      <c r="F3289" s="155"/>
      <c r="G3289" s="155"/>
      <c r="H3289" s="155"/>
      <c r="I3289" s="155"/>
      <c r="J3289" s="155"/>
      <c r="K3289" s="155"/>
      <c r="L3289" s="155"/>
      <c r="M3289" s="155"/>
      <c r="N3289" s="155"/>
      <c r="O3289" s="155"/>
      <c r="P3289" s="155"/>
      <c r="Q3289" s="155"/>
      <c r="R3289" s="155"/>
      <c r="S3289" s="155"/>
      <c r="T3289" s="155"/>
      <c r="U3289" s="155"/>
      <c r="V3289" s="155"/>
      <c r="W3289" s="155"/>
      <c r="GL3289" s="155"/>
      <c r="GM3289" s="155"/>
      <c r="GN3289" s="155"/>
      <c r="GO3289" s="155"/>
      <c r="GP3289" s="155"/>
      <c r="GQ3289" s="155"/>
      <c r="GR3289" s="155"/>
      <c r="GS3289" s="155"/>
      <c r="GT3289" s="155"/>
      <c r="GU3289" s="155"/>
      <c r="GV3289" s="155"/>
      <c r="GW3289" s="155"/>
      <c r="GX3289" s="155"/>
      <c r="GY3289" s="155"/>
      <c r="GZ3289" s="155"/>
      <c r="HA3289" s="155"/>
      <c r="HB3289" s="155"/>
      <c r="HC3289" s="155"/>
      <c r="HD3289" s="155"/>
      <c r="HE3289" s="155"/>
    </row>
    <row r="3290" spans="2:213" s="156" customFormat="1" hidden="1">
      <c r="B3290" s="155"/>
      <c r="C3290" s="155"/>
      <c r="D3290" s="155"/>
      <c r="E3290" s="155"/>
      <c r="F3290" s="155"/>
      <c r="G3290" s="155"/>
      <c r="H3290" s="155"/>
      <c r="I3290" s="155"/>
      <c r="J3290" s="155"/>
      <c r="K3290" s="155"/>
      <c r="L3290" s="155"/>
      <c r="M3290" s="155"/>
      <c r="N3290" s="155"/>
      <c r="O3290" s="155"/>
      <c r="P3290" s="155"/>
      <c r="Q3290" s="155"/>
      <c r="R3290" s="155"/>
      <c r="S3290" s="155"/>
      <c r="T3290" s="155"/>
      <c r="U3290" s="155"/>
      <c r="V3290" s="155"/>
      <c r="W3290" s="155"/>
      <c r="GL3290" s="155"/>
      <c r="GM3290" s="155"/>
      <c r="GN3290" s="155"/>
      <c r="GO3290" s="155"/>
      <c r="GP3290" s="155"/>
      <c r="GQ3290" s="155"/>
      <c r="GR3290" s="155"/>
      <c r="GS3290" s="155"/>
      <c r="GT3290" s="155"/>
      <c r="GU3290" s="155"/>
      <c r="GV3290" s="155"/>
      <c r="GW3290" s="155"/>
      <c r="GX3290" s="155"/>
      <c r="GY3290" s="155"/>
      <c r="GZ3290" s="155"/>
      <c r="HA3290" s="155"/>
      <c r="HB3290" s="155"/>
      <c r="HC3290" s="155"/>
      <c r="HD3290" s="155"/>
      <c r="HE3290" s="155"/>
    </row>
    <row r="3291" spans="2:213" s="156" customFormat="1" hidden="1">
      <c r="B3291" s="155"/>
      <c r="C3291" s="155"/>
      <c r="D3291" s="155"/>
      <c r="E3291" s="155"/>
      <c r="F3291" s="155"/>
      <c r="G3291" s="155"/>
      <c r="H3291" s="155"/>
      <c r="I3291" s="155"/>
      <c r="J3291" s="155"/>
      <c r="K3291" s="155"/>
      <c r="L3291" s="155"/>
      <c r="M3291" s="155"/>
      <c r="N3291" s="155"/>
      <c r="O3291" s="155"/>
      <c r="P3291" s="155"/>
      <c r="Q3291" s="155"/>
      <c r="R3291" s="155"/>
      <c r="S3291" s="155"/>
      <c r="T3291" s="155"/>
      <c r="U3291" s="155"/>
      <c r="V3291" s="155"/>
      <c r="W3291" s="155"/>
      <c r="GL3291" s="155"/>
      <c r="GM3291" s="155"/>
      <c r="GN3291" s="155"/>
      <c r="GO3291" s="155"/>
      <c r="GP3291" s="155"/>
      <c r="GQ3291" s="155"/>
      <c r="GR3291" s="155"/>
      <c r="GS3291" s="155"/>
      <c r="GT3291" s="155"/>
      <c r="GU3291" s="155"/>
      <c r="GV3291" s="155"/>
      <c r="GW3291" s="155"/>
      <c r="GX3291" s="155"/>
      <c r="GY3291" s="155"/>
      <c r="GZ3291" s="155"/>
      <c r="HA3291" s="155"/>
      <c r="HB3291" s="155"/>
      <c r="HC3291" s="155"/>
      <c r="HD3291" s="155"/>
      <c r="HE3291" s="155"/>
    </row>
    <row r="3292" spans="2:213" s="156" customFormat="1" hidden="1">
      <c r="B3292" s="155"/>
      <c r="C3292" s="155"/>
      <c r="D3292" s="155"/>
      <c r="E3292" s="155"/>
      <c r="F3292" s="155"/>
      <c r="G3292" s="155"/>
      <c r="H3292" s="155"/>
      <c r="I3292" s="155"/>
      <c r="J3292" s="155"/>
      <c r="K3292" s="155"/>
      <c r="L3292" s="155"/>
      <c r="M3292" s="155"/>
      <c r="N3292" s="155"/>
      <c r="O3292" s="155"/>
      <c r="P3292" s="155"/>
      <c r="Q3292" s="155"/>
      <c r="R3292" s="155"/>
      <c r="S3292" s="155"/>
      <c r="T3292" s="155"/>
      <c r="U3292" s="155"/>
      <c r="V3292" s="155"/>
      <c r="W3292" s="155"/>
      <c r="GL3292" s="155"/>
      <c r="GM3292" s="155"/>
      <c r="GN3292" s="155"/>
      <c r="GO3292" s="155"/>
      <c r="GP3292" s="155"/>
      <c r="GQ3292" s="155"/>
      <c r="GR3292" s="155"/>
      <c r="GS3292" s="155"/>
      <c r="GT3292" s="155"/>
      <c r="GU3292" s="155"/>
      <c r="GV3292" s="155"/>
      <c r="GW3292" s="155"/>
      <c r="GX3292" s="155"/>
      <c r="GY3292" s="155"/>
      <c r="GZ3292" s="155"/>
      <c r="HA3292" s="155"/>
      <c r="HB3292" s="155"/>
      <c r="HC3292" s="155"/>
      <c r="HD3292" s="155"/>
      <c r="HE3292" s="155"/>
    </row>
    <row r="3293" spans="2:213" s="156" customFormat="1" hidden="1">
      <c r="B3293" s="155"/>
      <c r="C3293" s="155"/>
      <c r="D3293" s="155"/>
      <c r="E3293" s="155"/>
      <c r="F3293" s="155"/>
      <c r="G3293" s="155"/>
      <c r="H3293" s="155"/>
      <c r="I3293" s="155"/>
      <c r="J3293" s="155"/>
      <c r="K3293" s="155"/>
      <c r="L3293" s="155"/>
      <c r="M3293" s="155"/>
      <c r="N3293" s="155"/>
      <c r="O3293" s="155"/>
      <c r="P3293" s="155"/>
      <c r="Q3293" s="155"/>
      <c r="R3293" s="155"/>
      <c r="S3293" s="155"/>
      <c r="T3293" s="155"/>
      <c r="U3293" s="155"/>
      <c r="V3293" s="155"/>
      <c r="W3293" s="155"/>
      <c r="GL3293" s="155"/>
      <c r="GM3293" s="155"/>
      <c r="GN3293" s="155"/>
      <c r="GO3293" s="155"/>
      <c r="GP3293" s="155"/>
      <c r="GQ3293" s="155"/>
      <c r="GR3293" s="155"/>
      <c r="GS3293" s="155"/>
      <c r="GT3293" s="155"/>
      <c r="GU3293" s="155"/>
      <c r="GV3293" s="155"/>
      <c r="GW3293" s="155"/>
      <c r="GX3293" s="155"/>
      <c r="GY3293" s="155"/>
      <c r="GZ3293" s="155"/>
      <c r="HA3293" s="155"/>
      <c r="HB3293" s="155"/>
      <c r="HC3293" s="155"/>
      <c r="HD3293" s="155"/>
      <c r="HE3293" s="155"/>
    </row>
    <row r="3294" spans="2:213" s="156" customFormat="1" hidden="1">
      <c r="B3294" s="155"/>
      <c r="C3294" s="155"/>
      <c r="D3294" s="155"/>
      <c r="E3294" s="155"/>
      <c r="F3294" s="155"/>
      <c r="G3294" s="155"/>
      <c r="H3294" s="155"/>
      <c r="I3294" s="155"/>
      <c r="J3294" s="155"/>
      <c r="K3294" s="155"/>
      <c r="L3294" s="155"/>
      <c r="M3294" s="155"/>
      <c r="N3294" s="155"/>
      <c r="O3294" s="155"/>
      <c r="P3294" s="155"/>
      <c r="Q3294" s="155"/>
      <c r="R3294" s="155"/>
      <c r="S3294" s="155"/>
      <c r="T3294" s="155"/>
      <c r="U3294" s="155"/>
      <c r="V3294" s="155"/>
      <c r="W3294" s="155"/>
      <c r="GL3294" s="155"/>
      <c r="GM3294" s="155"/>
      <c r="GN3294" s="155"/>
      <c r="GO3294" s="155"/>
      <c r="GP3294" s="155"/>
      <c r="GQ3294" s="155"/>
      <c r="GR3294" s="155"/>
      <c r="GS3294" s="155"/>
      <c r="GT3294" s="155"/>
      <c r="GU3294" s="155"/>
      <c r="GV3294" s="155"/>
      <c r="GW3294" s="155"/>
      <c r="GX3294" s="155"/>
      <c r="GY3294" s="155"/>
      <c r="GZ3294" s="155"/>
      <c r="HA3294" s="155"/>
      <c r="HB3294" s="155"/>
      <c r="HC3294" s="155"/>
      <c r="HD3294" s="155"/>
      <c r="HE3294" s="155"/>
    </row>
    <row r="3295" spans="2:213" s="156" customFormat="1" hidden="1">
      <c r="B3295" s="155"/>
      <c r="C3295" s="155"/>
      <c r="D3295" s="155"/>
      <c r="E3295" s="155"/>
      <c r="F3295" s="155"/>
      <c r="G3295" s="155"/>
      <c r="H3295" s="155"/>
      <c r="I3295" s="155"/>
      <c r="J3295" s="155"/>
      <c r="K3295" s="155"/>
      <c r="L3295" s="155"/>
      <c r="M3295" s="155"/>
      <c r="N3295" s="155"/>
      <c r="O3295" s="155"/>
      <c r="P3295" s="155"/>
      <c r="Q3295" s="155"/>
      <c r="R3295" s="155"/>
      <c r="S3295" s="155"/>
      <c r="T3295" s="155"/>
      <c r="U3295" s="155"/>
      <c r="V3295" s="155"/>
      <c r="W3295" s="155"/>
      <c r="GL3295" s="155"/>
      <c r="GM3295" s="155"/>
      <c r="GN3295" s="155"/>
      <c r="GO3295" s="155"/>
      <c r="GP3295" s="155"/>
      <c r="GQ3295" s="155"/>
      <c r="GR3295" s="155"/>
      <c r="GS3295" s="155"/>
      <c r="GT3295" s="155"/>
      <c r="GU3295" s="155"/>
      <c r="GV3295" s="155"/>
      <c r="GW3295" s="155"/>
      <c r="GX3295" s="155"/>
      <c r="GY3295" s="155"/>
      <c r="GZ3295" s="155"/>
      <c r="HA3295" s="155"/>
      <c r="HB3295" s="155"/>
      <c r="HC3295" s="155"/>
      <c r="HD3295" s="155"/>
      <c r="HE3295" s="155"/>
    </row>
    <row r="3296" spans="2:213" s="156" customFormat="1" hidden="1">
      <c r="B3296" s="155"/>
      <c r="C3296" s="155"/>
      <c r="D3296" s="155"/>
      <c r="E3296" s="155"/>
      <c r="F3296" s="155"/>
      <c r="G3296" s="155"/>
      <c r="H3296" s="155"/>
      <c r="I3296" s="155"/>
      <c r="J3296" s="155"/>
      <c r="K3296" s="155"/>
      <c r="L3296" s="155"/>
      <c r="M3296" s="155"/>
      <c r="N3296" s="155"/>
      <c r="O3296" s="155"/>
      <c r="P3296" s="155"/>
      <c r="Q3296" s="155"/>
      <c r="R3296" s="155"/>
      <c r="S3296" s="155"/>
      <c r="T3296" s="155"/>
      <c r="U3296" s="155"/>
      <c r="V3296" s="155"/>
      <c r="W3296" s="155"/>
      <c r="GL3296" s="155"/>
      <c r="GM3296" s="155"/>
      <c r="GN3296" s="155"/>
      <c r="GO3296" s="155"/>
      <c r="GP3296" s="155"/>
      <c r="GQ3296" s="155"/>
      <c r="GR3296" s="155"/>
      <c r="GS3296" s="155"/>
      <c r="GT3296" s="155"/>
      <c r="GU3296" s="155"/>
      <c r="GV3296" s="155"/>
      <c r="GW3296" s="155"/>
      <c r="GX3296" s="155"/>
      <c r="GY3296" s="155"/>
      <c r="GZ3296" s="155"/>
      <c r="HA3296" s="155"/>
      <c r="HB3296" s="155"/>
      <c r="HC3296" s="155"/>
      <c r="HD3296" s="155"/>
      <c r="HE3296" s="155"/>
    </row>
    <row r="3297" spans="2:213" s="156" customFormat="1" hidden="1">
      <c r="B3297" s="155"/>
      <c r="C3297" s="155"/>
      <c r="D3297" s="155"/>
      <c r="E3297" s="155"/>
      <c r="F3297" s="155"/>
      <c r="G3297" s="155"/>
      <c r="H3297" s="155"/>
      <c r="I3297" s="155"/>
      <c r="J3297" s="155"/>
      <c r="K3297" s="155"/>
      <c r="L3297" s="155"/>
      <c r="M3297" s="155"/>
      <c r="N3297" s="155"/>
      <c r="O3297" s="155"/>
      <c r="P3297" s="155"/>
      <c r="Q3297" s="155"/>
      <c r="R3297" s="155"/>
      <c r="S3297" s="155"/>
      <c r="T3297" s="155"/>
      <c r="U3297" s="155"/>
      <c r="V3297" s="155"/>
      <c r="W3297" s="155"/>
      <c r="GL3297" s="155"/>
      <c r="GM3297" s="155"/>
      <c r="GN3297" s="155"/>
      <c r="GO3297" s="155"/>
      <c r="GP3297" s="155"/>
      <c r="GQ3297" s="155"/>
      <c r="GR3297" s="155"/>
      <c r="GS3297" s="155"/>
      <c r="GT3297" s="155"/>
      <c r="GU3297" s="155"/>
      <c r="GV3297" s="155"/>
      <c r="GW3297" s="155"/>
      <c r="GX3297" s="155"/>
      <c r="GY3297" s="155"/>
      <c r="GZ3297" s="155"/>
      <c r="HA3297" s="155"/>
      <c r="HB3297" s="155"/>
      <c r="HC3297" s="155"/>
      <c r="HD3297" s="155"/>
      <c r="HE3297" s="155"/>
    </row>
    <row r="3298" spans="2:213" s="156" customFormat="1" hidden="1">
      <c r="B3298" s="155"/>
      <c r="C3298" s="155"/>
      <c r="D3298" s="155"/>
      <c r="E3298" s="155"/>
      <c r="F3298" s="155"/>
      <c r="G3298" s="155"/>
      <c r="H3298" s="155"/>
      <c r="I3298" s="155"/>
      <c r="J3298" s="155"/>
      <c r="K3298" s="155"/>
      <c r="L3298" s="155"/>
      <c r="M3298" s="155"/>
      <c r="N3298" s="155"/>
      <c r="O3298" s="155"/>
      <c r="P3298" s="155"/>
      <c r="Q3298" s="155"/>
      <c r="R3298" s="155"/>
      <c r="S3298" s="155"/>
      <c r="T3298" s="155"/>
      <c r="U3298" s="155"/>
      <c r="V3298" s="155"/>
      <c r="W3298" s="155"/>
      <c r="GL3298" s="155"/>
      <c r="GM3298" s="155"/>
      <c r="GN3298" s="155"/>
      <c r="GO3298" s="155"/>
      <c r="GP3298" s="155"/>
      <c r="GQ3298" s="155"/>
      <c r="GR3298" s="155"/>
      <c r="GS3298" s="155"/>
      <c r="GT3298" s="155"/>
      <c r="GU3298" s="155"/>
      <c r="GV3298" s="155"/>
      <c r="GW3298" s="155"/>
      <c r="GX3298" s="155"/>
      <c r="GY3298" s="155"/>
      <c r="GZ3298" s="155"/>
      <c r="HA3298" s="155"/>
      <c r="HB3298" s="155"/>
      <c r="HC3298" s="155"/>
      <c r="HD3298" s="155"/>
      <c r="HE3298" s="155"/>
    </row>
    <row r="3299" spans="2:213" s="156" customFormat="1" hidden="1">
      <c r="B3299" s="155"/>
      <c r="C3299" s="155"/>
      <c r="D3299" s="155"/>
      <c r="E3299" s="155"/>
      <c r="F3299" s="155"/>
      <c r="G3299" s="155"/>
      <c r="H3299" s="155"/>
      <c r="I3299" s="155"/>
      <c r="J3299" s="155"/>
      <c r="K3299" s="155"/>
      <c r="L3299" s="155"/>
      <c r="M3299" s="155"/>
      <c r="N3299" s="155"/>
      <c r="O3299" s="155"/>
      <c r="P3299" s="155"/>
      <c r="Q3299" s="155"/>
      <c r="R3299" s="155"/>
      <c r="S3299" s="155"/>
      <c r="T3299" s="155"/>
      <c r="U3299" s="155"/>
      <c r="V3299" s="155"/>
      <c r="W3299" s="155"/>
      <c r="GL3299" s="155"/>
      <c r="GM3299" s="155"/>
      <c r="GN3299" s="155"/>
      <c r="GO3299" s="155"/>
      <c r="GP3299" s="155"/>
      <c r="GQ3299" s="155"/>
      <c r="GR3299" s="155"/>
      <c r="GS3299" s="155"/>
      <c r="GT3299" s="155"/>
      <c r="GU3299" s="155"/>
      <c r="GV3299" s="155"/>
      <c r="GW3299" s="155"/>
      <c r="GX3299" s="155"/>
      <c r="GY3299" s="155"/>
      <c r="GZ3299" s="155"/>
      <c r="HA3299" s="155"/>
      <c r="HB3299" s="155"/>
      <c r="HC3299" s="155"/>
      <c r="HD3299" s="155"/>
      <c r="HE3299" s="155"/>
    </row>
    <row r="3300" spans="2:213" s="156" customFormat="1" hidden="1">
      <c r="B3300" s="155"/>
      <c r="C3300" s="155"/>
      <c r="D3300" s="155"/>
      <c r="E3300" s="155"/>
      <c r="F3300" s="155"/>
      <c r="G3300" s="155"/>
      <c r="H3300" s="155"/>
      <c r="I3300" s="155"/>
      <c r="J3300" s="155"/>
      <c r="K3300" s="155"/>
      <c r="L3300" s="155"/>
      <c r="M3300" s="155"/>
      <c r="N3300" s="155"/>
      <c r="O3300" s="155"/>
      <c r="P3300" s="155"/>
      <c r="Q3300" s="155"/>
      <c r="R3300" s="155"/>
      <c r="S3300" s="155"/>
      <c r="T3300" s="155"/>
      <c r="U3300" s="155"/>
      <c r="V3300" s="155"/>
      <c r="W3300" s="155"/>
      <c r="GL3300" s="155"/>
      <c r="GM3300" s="155"/>
      <c r="GN3300" s="155"/>
      <c r="GO3300" s="155"/>
      <c r="GP3300" s="155"/>
      <c r="GQ3300" s="155"/>
      <c r="GR3300" s="155"/>
      <c r="GS3300" s="155"/>
      <c r="GT3300" s="155"/>
      <c r="GU3300" s="155"/>
      <c r="GV3300" s="155"/>
      <c r="GW3300" s="155"/>
      <c r="GX3300" s="155"/>
      <c r="GY3300" s="155"/>
      <c r="GZ3300" s="155"/>
      <c r="HA3300" s="155"/>
      <c r="HB3300" s="155"/>
      <c r="HC3300" s="155"/>
      <c r="HD3300" s="155"/>
      <c r="HE3300" s="155"/>
    </row>
    <row r="3301" spans="2:213" s="156" customFormat="1" hidden="1">
      <c r="B3301" s="155"/>
      <c r="C3301" s="155"/>
      <c r="D3301" s="155"/>
      <c r="E3301" s="155"/>
      <c r="F3301" s="155"/>
      <c r="G3301" s="155"/>
      <c r="H3301" s="155"/>
      <c r="I3301" s="155"/>
      <c r="J3301" s="155"/>
      <c r="K3301" s="155"/>
      <c r="L3301" s="155"/>
      <c r="M3301" s="155"/>
      <c r="N3301" s="155"/>
      <c r="O3301" s="155"/>
      <c r="P3301" s="155"/>
      <c r="Q3301" s="155"/>
      <c r="R3301" s="155"/>
      <c r="S3301" s="155"/>
      <c r="T3301" s="155"/>
      <c r="U3301" s="155"/>
      <c r="V3301" s="155"/>
      <c r="W3301" s="155"/>
      <c r="GL3301" s="155"/>
      <c r="GM3301" s="155"/>
      <c r="GN3301" s="155"/>
      <c r="GO3301" s="155"/>
      <c r="GP3301" s="155"/>
      <c r="GQ3301" s="155"/>
      <c r="GR3301" s="155"/>
      <c r="GS3301" s="155"/>
      <c r="GT3301" s="155"/>
      <c r="GU3301" s="155"/>
      <c r="GV3301" s="155"/>
      <c r="GW3301" s="155"/>
      <c r="GX3301" s="155"/>
      <c r="GY3301" s="155"/>
      <c r="GZ3301" s="155"/>
      <c r="HA3301" s="155"/>
      <c r="HB3301" s="155"/>
      <c r="HC3301" s="155"/>
      <c r="HD3301" s="155"/>
      <c r="HE3301" s="155"/>
    </row>
    <row r="3302" spans="2:213" s="156" customFormat="1" hidden="1">
      <c r="B3302" s="155"/>
      <c r="C3302" s="155"/>
      <c r="D3302" s="155"/>
      <c r="E3302" s="155"/>
      <c r="F3302" s="155"/>
      <c r="G3302" s="155"/>
      <c r="H3302" s="155"/>
      <c r="I3302" s="155"/>
      <c r="J3302" s="155"/>
      <c r="K3302" s="155"/>
      <c r="L3302" s="155"/>
      <c r="M3302" s="155"/>
      <c r="N3302" s="155"/>
      <c r="O3302" s="155"/>
      <c r="P3302" s="155"/>
      <c r="Q3302" s="155"/>
      <c r="R3302" s="155"/>
      <c r="S3302" s="155"/>
      <c r="T3302" s="155"/>
      <c r="U3302" s="155"/>
      <c r="V3302" s="155"/>
      <c r="W3302" s="155"/>
      <c r="GL3302" s="155"/>
      <c r="GM3302" s="155"/>
      <c r="GN3302" s="155"/>
      <c r="GO3302" s="155"/>
      <c r="GP3302" s="155"/>
      <c r="GQ3302" s="155"/>
      <c r="GR3302" s="155"/>
      <c r="GS3302" s="155"/>
      <c r="GT3302" s="155"/>
      <c r="GU3302" s="155"/>
      <c r="GV3302" s="155"/>
      <c r="GW3302" s="155"/>
      <c r="GX3302" s="155"/>
      <c r="GY3302" s="155"/>
      <c r="GZ3302" s="155"/>
      <c r="HA3302" s="155"/>
      <c r="HB3302" s="155"/>
      <c r="HC3302" s="155"/>
      <c r="HD3302" s="155"/>
      <c r="HE3302" s="155"/>
    </row>
    <row r="3303" spans="2:213" s="156" customFormat="1" hidden="1">
      <c r="B3303" s="155"/>
      <c r="C3303" s="155"/>
      <c r="D3303" s="155"/>
      <c r="E3303" s="155"/>
      <c r="F3303" s="155"/>
      <c r="G3303" s="155"/>
      <c r="H3303" s="155"/>
      <c r="I3303" s="155"/>
      <c r="J3303" s="155"/>
      <c r="K3303" s="155"/>
      <c r="L3303" s="155"/>
      <c r="M3303" s="155"/>
      <c r="N3303" s="155"/>
      <c r="O3303" s="155"/>
      <c r="P3303" s="155"/>
      <c r="Q3303" s="155"/>
      <c r="R3303" s="155"/>
      <c r="S3303" s="155"/>
      <c r="T3303" s="155"/>
      <c r="U3303" s="155"/>
      <c r="V3303" s="155"/>
      <c r="W3303" s="155"/>
      <c r="GL3303" s="155"/>
      <c r="GM3303" s="155"/>
      <c r="GN3303" s="155"/>
      <c r="GO3303" s="155"/>
      <c r="GP3303" s="155"/>
      <c r="GQ3303" s="155"/>
      <c r="GR3303" s="155"/>
      <c r="GS3303" s="155"/>
      <c r="GT3303" s="155"/>
      <c r="GU3303" s="155"/>
      <c r="GV3303" s="155"/>
      <c r="GW3303" s="155"/>
      <c r="GX3303" s="155"/>
      <c r="GY3303" s="155"/>
      <c r="GZ3303" s="155"/>
      <c r="HA3303" s="155"/>
      <c r="HB3303" s="155"/>
      <c r="HC3303" s="155"/>
      <c r="HD3303" s="155"/>
      <c r="HE3303" s="155"/>
    </row>
    <row r="3304" spans="2:213" s="156" customFormat="1" hidden="1">
      <c r="B3304" s="155"/>
      <c r="C3304" s="155"/>
      <c r="D3304" s="155"/>
      <c r="E3304" s="155"/>
      <c r="F3304" s="155"/>
      <c r="G3304" s="155"/>
      <c r="H3304" s="155"/>
      <c r="I3304" s="155"/>
      <c r="J3304" s="155"/>
      <c r="K3304" s="155"/>
      <c r="L3304" s="155"/>
      <c r="M3304" s="155"/>
      <c r="N3304" s="155"/>
      <c r="O3304" s="155"/>
      <c r="P3304" s="155"/>
      <c r="Q3304" s="155"/>
      <c r="R3304" s="155"/>
      <c r="S3304" s="155"/>
      <c r="T3304" s="155"/>
      <c r="U3304" s="155"/>
      <c r="V3304" s="155"/>
      <c r="W3304" s="155"/>
      <c r="GL3304" s="155"/>
      <c r="GM3304" s="155"/>
      <c r="GN3304" s="155"/>
      <c r="GO3304" s="155"/>
      <c r="GP3304" s="155"/>
      <c r="GQ3304" s="155"/>
      <c r="GR3304" s="155"/>
      <c r="GS3304" s="155"/>
      <c r="GT3304" s="155"/>
      <c r="GU3304" s="155"/>
      <c r="GV3304" s="155"/>
      <c r="GW3304" s="155"/>
      <c r="GX3304" s="155"/>
      <c r="GY3304" s="155"/>
      <c r="GZ3304" s="155"/>
      <c r="HA3304" s="155"/>
      <c r="HB3304" s="155"/>
      <c r="HC3304" s="155"/>
      <c r="HD3304" s="155"/>
      <c r="HE3304" s="155"/>
    </row>
    <row r="3305" spans="2:213" s="156" customFormat="1" hidden="1">
      <c r="B3305" s="155"/>
      <c r="C3305" s="155"/>
      <c r="D3305" s="155"/>
      <c r="E3305" s="155"/>
      <c r="F3305" s="155"/>
      <c r="G3305" s="155"/>
      <c r="H3305" s="155"/>
      <c r="I3305" s="155"/>
      <c r="J3305" s="155"/>
      <c r="K3305" s="155"/>
      <c r="L3305" s="155"/>
      <c r="M3305" s="155"/>
      <c r="N3305" s="155"/>
      <c r="O3305" s="155"/>
      <c r="P3305" s="155"/>
      <c r="Q3305" s="155"/>
      <c r="R3305" s="155"/>
      <c r="S3305" s="155"/>
      <c r="T3305" s="155"/>
      <c r="U3305" s="155"/>
      <c r="V3305" s="155"/>
      <c r="W3305" s="155"/>
      <c r="GL3305" s="155"/>
      <c r="GM3305" s="155"/>
      <c r="GN3305" s="155"/>
      <c r="GO3305" s="155"/>
      <c r="GP3305" s="155"/>
      <c r="GQ3305" s="155"/>
      <c r="GR3305" s="155"/>
      <c r="GS3305" s="155"/>
      <c r="GT3305" s="155"/>
      <c r="GU3305" s="155"/>
      <c r="GV3305" s="155"/>
      <c r="GW3305" s="155"/>
      <c r="GX3305" s="155"/>
      <c r="GY3305" s="155"/>
      <c r="GZ3305" s="155"/>
      <c r="HA3305" s="155"/>
      <c r="HB3305" s="155"/>
      <c r="HC3305" s="155"/>
      <c r="HD3305" s="155"/>
      <c r="HE3305" s="155"/>
    </row>
    <row r="3306" spans="2:213" s="156" customFormat="1" hidden="1">
      <c r="B3306" s="155"/>
      <c r="C3306" s="155"/>
      <c r="D3306" s="155"/>
      <c r="E3306" s="155"/>
      <c r="F3306" s="155"/>
      <c r="G3306" s="155"/>
      <c r="H3306" s="155"/>
      <c r="I3306" s="155"/>
      <c r="J3306" s="155"/>
      <c r="K3306" s="155"/>
      <c r="L3306" s="155"/>
      <c r="M3306" s="155"/>
      <c r="N3306" s="155"/>
      <c r="O3306" s="155"/>
      <c r="P3306" s="155"/>
      <c r="Q3306" s="155"/>
      <c r="R3306" s="155"/>
      <c r="S3306" s="155"/>
      <c r="T3306" s="155"/>
      <c r="U3306" s="155"/>
      <c r="V3306" s="155"/>
      <c r="W3306" s="155"/>
      <c r="GL3306" s="155"/>
      <c r="GM3306" s="155"/>
      <c r="GN3306" s="155"/>
      <c r="GO3306" s="155"/>
      <c r="GP3306" s="155"/>
      <c r="GQ3306" s="155"/>
      <c r="GR3306" s="155"/>
      <c r="GS3306" s="155"/>
      <c r="GT3306" s="155"/>
      <c r="GU3306" s="155"/>
      <c r="GV3306" s="155"/>
      <c r="GW3306" s="155"/>
      <c r="GX3306" s="155"/>
      <c r="GY3306" s="155"/>
      <c r="GZ3306" s="155"/>
      <c r="HA3306" s="155"/>
      <c r="HB3306" s="155"/>
      <c r="HC3306" s="155"/>
      <c r="HD3306" s="155"/>
      <c r="HE3306" s="155"/>
    </row>
    <row r="3307" spans="2:213" s="156" customFormat="1" hidden="1">
      <c r="B3307" s="155"/>
      <c r="C3307" s="155"/>
      <c r="D3307" s="155"/>
      <c r="E3307" s="155"/>
      <c r="F3307" s="155"/>
      <c r="G3307" s="155"/>
      <c r="H3307" s="155"/>
      <c r="I3307" s="155"/>
      <c r="J3307" s="155"/>
      <c r="K3307" s="155"/>
      <c r="L3307" s="155"/>
      <c r="M3307" s="155"/>
      <c r="N3307" s="155"/>
      <c r="O3307" s="155"/>
      <c r="P3307" s="155"/>
      <c r="Q3307" s="155"/>
      <c r="R3307" s="155"/>
      <c r="S3307" s="155"/>
      <c r="T3307" s="155"/>
      <c r="U3307" s="155"/>
      <c r="V3307" s="155"/>
      <c r="W3307" s="155"/>
      <c r="GL3307" s="155"/>
      <c r="GM3307" s="155"/>
      <c r="GN3307" s="155"/>
      <c r="GO3307" s="155"/>
      <c r="GP3307" s="155"/>
      <c r="GQ3307" s="155"/>
      <c r="GR3307" s="155"/>
      <c r="GS3307" s="155"/>
      <c r="GT3307" s="155"/>
      <c r="GU3307" s="155"/>
      <c r="GV3307" s="155"/>
      <c r="GW3307" s="155"/>
      <c r="GX3307" s="155"/>
      <c r="GY3307" s="155"/>
      <c r="GZ3307" s="155"/>
      <c r="HA3307" s="155"/>
      <c r="HB3307" s="155"/>
      <c r="HC3307" s="155"/>
      <c r="HD3307" s="155"/>
      <c r="HE3307" s="155"/>
    </row>
    <row r="3308" spans="2:213" s="156" customFormat="1" hidden="1">
      <c r="B3308" s="155"/>
      <c r="C3308" s="155"/>
      <c r="D3308" s="155"/>
      <c r="E3308" s="155"/>
      <c r="F3308" s="155"/>
      <c r="G3308" s="155"/>
      <c r="H3308" s="155"/>
      <c r="I3308" s="155"/>
      <c r="J3308" s="155"/>
      <c r="K3308" s="155"/>
      <c r="L3308" s="155"/>
      <c r="M3308" s="155"/>
      <c r="N3308" s="155"/>
      <c r="O3308" s="155"/>
      <c r="P3308" s="155"/>
      <c r="Q3308" s="155"/>
      <c r="R3308" s="155"/>
      <c r="S3308" s="155"/>
      <c r="T3308" s="155"/>
      <c r="U3308" s="155"/>
      <c r="V3308" s="155"/>
      <c r="W3308" s="155"/>
      <c r="GL3308" s="155"/>
      <c r="GM3308" s="155"/>
      <c r="GN3308" s="155"/>
      <c r="GO3308" s="155"/>
      <c r="GP3308" s="155"/>
      <c r="GQ3308" s="155"/>
      <c r="GR3308" s="155"/>
      <c r="GS3308" s="155"/>
      <c r="GT3308" s="155"/>
      <c r="GU3308" s="155"/>
      <c r="GV3308" s="155"/>
      <c r="GW3308" s="155"/>
      <c r="GX3308" s="155"/>
      <c r="GY3308" s="155"/>
      <c r="GZ3308" s="155"/>
      <c r="HA3308" s="155"/>
      <c r="HB3308" s="155"/>
      <c r="HC3308" s="155"/>
      <c r="HD3308" s="155"/>
      <c r="HE3308" s="155"/>
    </row>
    <row r="3309" spans="2:213" s="156" customFormat="1" hidden="1">
      <c r="B3309" s="155"/>
      <c r="C3309" s="155"/>
      <c r="D3309" s="155"/>
      <c r="E3309" s="155"/>
      <c r="F3309" s="155"/>
      <c r="G3309" s="155"/>
      <c r="H3309" s="155"/>
      <c r="I3309" s="155"/>
      <c r="J3309" s="155"/>
      <c r="K3309" s="155"/>
      <c r="L3309" s="155"/>
      <c r="M3309" s="155"/>
      <c r="N3309" s="155"/>
      <c r="O3309" s="155"/>
      <c r="P3309" s="155"/>
      <c r="Q3309" s="155"/>
      <c r="R3309" s="155"/>
      <c r="S3309" s="155"/>
      <c r="T3309" s="155"/>
      <c r="U3309" s="155"/>
      <c r="V3309" s="155"/>
      <c r="W3309" s="155"/>
      <c r="GL3309" s="155"/>
      <c r="GM3309" s="155"/>
      <c r="GN3309" s="155"/>
      <c r="GO3309" s="155"/>
      <c r="GP3309" s="155"/>
      <c r="GQ3309" s="155"/>
      <c r="GR3309" s="155"/>
      <c r="GS3309" s="155"/>
      <c r="GT3309" s="155"/>
      <c r="GU3309" s="155"/>
      <c r="GV3309" s="155"/>
      <c r="GW3309" s="155"/>
      <c r="GX3309" s="155"/>
      <c r="GY3309" s="155"/>
      <c r="GZ3309" s="155"/>
      <c r="HA3309" s="155"/>
      <c r="HB3309" s="155"/>
      <c r="HC3309" s="155"/>
      <c r="HD3309" s="155"/>
      <c r="HE3309" s="155"/>
    </row>
    <row r="3310" spans="2:213" s="156" customFormat="1" hidden="1">
      <c r="B3310" s="155"/>
      <c r="C3310" s="155"/>
      <c r="D3310" s="155"/>
      <c r="E3310" s="155"/>
      <c r="F3310" s="155"/>
      <c r="G3310" s="155"/>
      <c r="H3310" s="155"/>
      <c r="I3310" s="155"/>
      <c r="J3310" s="155"/>
      <c r="K3310" s="155"/>
      <c r="L3310" s="155"/>
      <c r="M3310" s="155"/>
      <c r="N3310" s="155"/>
      <c r="O3310" s="155"/>
      <c r="P3310" s="155"/>
      <c r="Q3310" s="155"/>
      <c r="R3310" s="155"/>
      <c r="S3310" s="155"/>
      <c r="T3310" s="155"/>
      <c r="U3310" s="155"/>
      <c r="V3310" s="155"/>
      <c r="W3310" s="155"/>
      <c r="GL3310" s="155"/>
      <c r="GM3310" s="155"/>
      <c r="GN3310" s="155"/>
      <c r="GO3310" s="155"/>
      <c r="GP3310" s="155"/>
      <c r="GQ3310" s="155"/>
      <c r="GR3310" s="155"/>
      <c r="GS3310" s="155"/>
      <c r="GT3310" s="155"/>
      <c r="GU3310" s="155"/>
      <c r="GV3310" s="155"/>
      <c r="GW3310" s="155"/>
      <c r="GX3310" s="155"/>
      <c r="GY3310" s="155"/>
      <c r="GZ3310" s="155"/>
      <c r="HA3310" s="155"/>
      <c r="HB3310" s="155"/>
      <c r="HC3310" s="155"/>
      <c r="HD3310" s="155"/>
      <c r="HE3310" s="155"/>
    </row>
    <row r="3311" spans="2:213" s="156" customFormat="1" hidden="1">
      <c r="B3311" s="155"/>
      <c r="C3311" s="155"/>
      <c r="D3311" s="155"/>
      <c r="E3311" s="155"/>
      <c r="F3311" s="155"/>
      <c r="G3311" s="155"/>
      <c r="H3311" s="155"/>
      <c r="I3311" s="155"/>
      <c r="J3311" s="155"/>
      <c r="K3311" s="155"/>
      <c r="L3311" s="155"/>
      <c r="M3311" s="155"/>
      <c r="N3311" s="155"/>
      <c r="O3311" s="155"/>
      <c r="P3311" s="155"/>
      <c r="Q3311" s="155"/>
      <c r="R3311" s="155"/>
      <c r="S3311" s="155"/>
      <c r="T3311" s="155"/>
      <c r="U3311" s="155"/>
      <c r="V3311" s="155"/>
      <c r="W3311" s="155"/>
      <c r="GL3311" s="155"/>
      <c r="GM3311" s="155"/>
      <c r="GN3311" s="155"/>
      <c r="GO3311" s="155"/>
      <c r="GP3311" s="155"/>
      <c r="GQ3311" s="155"/>
      <c r="GR3311" s="155"/>
      <c r="GS3311" s="155"/>
      <c r="GT3311" s="155"/>
      <c r="GU3311" s="155"/>
      <c r="GV3311" s="155"/>
      <c r="GW3311" s="155"/>
      <c r="GX3311" s="155"/>
      <c r="GY3311" s="155"/>
      <c r="GZ3311" s="155"/>
      <c r="HA3311" s="155"/>
      <c r="HB3311" s="155"/>
      <c r="HC3311" s="155"/>
      <c r="HD3311" s="155"/>
      <c r="HE3311" s="155"/>
    </row>
    <row r="3312" spans="2:213" s="156" customFormat="1" hidden="1">
      <c r="B3312" s="155"/>
      <c r="C3312" s="155"/>
      <c r="D3312" s="155"/>
      <c r="E3312" s="155"/>
      <c r="F3312" s="155"/>
      <c r="G3312" s="155"/>
      <c r="H3312" s="155"/>
      <c r="I3312" s="155"/>
      <c r="J3312" s="155"/>
      <c r="K3312" s="155"/>
      <c r="L3312" s="155"/>
      <c r="M3312" s="155"/>
      <c r="N3312" s="155"/>
      <c r="O3312" s="155"/>
      <c r="P3312" s="155"/>
      <c r="Q3312" s="155"/>
      <c r="R3312" s="155"/>
      <c r="S3312" s="155"/>
      <c r="T3312" s="155"/>
      <c r="U3312" s="155"/>
      <c r="V3312" s="155"/>
      <c r="W3312" s="155"/>
      <c r="GL3312" s="155"/>
      <c r="GM3312" s="155"/>
      <c r="GN3312" s="155"/>
      <c r="GO3312" s="155"/>
      <c r="GP3312" s="155"/>
      <c r="GQ3312" s="155"/>
      <c r="GR3312" s="155"/>
      <c r="GS3312" s="155"/>
      <c r="GT3312" s="155"/>
      <c r="GU3312" s="155"/>
      <c r="GV3312" s="155"/>
      <c r="GW3312" s="155"/>
      <c r="GX3312" s="155"/>
      <c r="GY3312" s="155"/>
      <c r="GZ3312" s="155"/>
      <c r="HA3312" s="155"/>
      <c r="HB3312" s="155"/>
      <c r="HC3312" s="155"/>
      <c r="HD3312" s="155"/>
      <c r="HE3312" s="155"/>
    </row>
    <row r="3313" spans="2:213" s="156" customFormat="1" hidden="1">
      <c r="B3313" s="155"/>
      <c r="C3313" s="155"/>
      <c r="D3313" s="155"/>
      <c r="E3313" s="155"/>
      <c r="F3313" s="155"/>
      <c r="G3313" s="155"/>
      <c r="H3313" s="155"/>
      <c r="I3313" s="155"/>
      <c r="J3313" s="155"/>
      <c r="K3313" s="155"/>
      <c r="L3313" s="155"/>
      <c r="M3313" s="155"/>
      <c r="N3313" s="155"/>
      <c r="O3313" s="155"/>
      <c r="P3313" s="155"/>
      <c r="Q3313" s="155"/>
      <c r="R3313" s="155"/>
      <c r="S3313" s="155"/>
      <c r="T3313" s="155"/>
      <c r="U3313" s="155"/>
      <c r="V3313" s="155"/>
      <c r="W3313" s="155"/>
      <c r="GL3313" s="155"/>
      <c r="GM3313" s="155"/>
      <c r="GN3313" s="155"/>
      <c r="GO3313" s="155"/>
      <c r="GP3313" s="155"/>
      <c r="GQ3313" s="155"/>
      <c r="GR3313" s="155"/>
      <c r="GS3313" s="155"/>
      <c r="GT3313" s="155"/>
      <c r="GU3313" s="155"/>
      <c r="GV3313" s="155"/>
      <c r="GW3313" s="155"/>
      <c r="GX3313" s="155"/>
      <c r="GY3313" s="155"/>
      <c r="GZ3313" s="155"/>
      <c r="HA3313" s="155"/>
      <c r="HB3313" s="155"/>
      <c r="HC3313" s="155"/>
      <c r="HD3313" s="155"/>
      <c r="HE3313" s="155"/>
    </row>
    <row r="3314" spans="2:213" s="156" customFormat="1" hidden="1">
      <c r="B3314" s="155"/>
      <c r="C3314" s="155"/>
      <c r="D3314" s="155"/>
      <c r="E3314" s="155"/>
      <c r="F3314" s="155"/>
      <c r="G3314" s="155"/>
      <c r="H3314" s="155"/>
      <c r="I3314" s="155"/>
      <c r="J3314" s="155"/>
      <c r="K3314" s="155"/>
      <c r="L3314" s="155"/>
      <c r="M3314" s="155"/>
      <c r="N3314" s="155"/>
      <c r="O3314" s="155"/>
      <c r="P3314" s="155"/>
      <c r="Q3314" s="155"/>
      <c r="R3314" s="155"/>
      <c r="S3314" s="155"/>
      <c r="T3314" s="155"/>
      <c r="U3314" s="155"/>
      <c r="V3314" s="155"/>
      <c r="W3314" s="155"/>
      <c r="GL3314" s="155"/>
      <c r="GM3314" s="155"/>
      <c r="GN3314" s="155"/>
      <c r="GO3314" s="155"/>
      <c r="GP3314" s="155"/>
      <c r="GQ3314" s="155"/>
      <c r="GR3314" s="155"/>
      <c r="GS3314" s="155"/>
      <c r="GT3314" s="155"/>
      <c r="GU3314" s="155"/>
      <c r="GV3314" s="155"/>
      <c r="GW3314" s="155"/>
      <c r="GX3314" s="155"/>
      <c r="GY3314" s="155"/>
      <c r="GZ3314" s="155"/>
      <c r="HA3314" s="155"/>
      <c r="HB3314" s="155"/>
      <c r="HC3314" s="155"/>
      <c r="HD3314" s="155"/>
      <c r="HE3314" s="155"/>
    </row>
    <row r="3315" spans="2:213" s="156" customFormat="1" hidden="1">
      <c r="B3315" s="155"/>
      <c r="C3315" s="155"/>
      <c r="D3315" s="155"/>
      <c r="E3315" s="155"/>
      <c r="F3315" s="155"/>
      <c r="G3315" s="155"/>
      <c r="H3315" s="155"/>
      <c r="I3315" s="155"/>
      <c r="J3315" s="155"/>
      <c r="K3315" s="155"/>
      <c r="L3315" s="155"/>
      <c r="M3315" s="155"/>
      <c r="N3315" s="155"/>
      <c r="O3315" s="155"/>
      <c r="P3315" s="155"/>
      <c r="Q3315" s="155"/>
      <c r="R3315" s="155"/>
      <c r="S3315" s="155"/>
      <c r="T3315" s="155"/>
      <c r="U3315" s="155"/>
      <c r="V3315" s="155"/>
      <c r="W3315" s="155"/>
      <c r="GL3315" s="155"/>
      <c r="GM3315" s="155"/>
      <c r="GN3315" s="155"/>
      <c r="GO3315" s="155"/>
      <c r="GP3315" s="155"/>
      <c r="GQ3315" s="155"/>
      <c r="GR3315" s="155"/>
      <c r="GS3315" s="155"/>
      <c r="GT3315" s="155"/>
      <c r="GU3315" s="155"/>
      <c r="GV3315" s="155"/>
      <c r="GW3315" s="155"/>
      <c r="GX3315" s="155"/>
      <c r="GY3315" s="155"/>
      <c r="GZ3315" s="155"/>
      <c r="HA3315" s="155"/>
      <c r="HB3315" s="155"/>
      <c r="HC3315" s="155"/>
      <c r="HD3315" s="155"/>
      <c r="HE3315" s="155"/>
    </row>
    <row r="3316" spans="2:213" s="156" customFormat="1" hidden="1">
      <c r="B3316" s="155"/>
      <c r="C3316" s="155"/>
      <c r="D3316" s="155"/>
      <c r="E3316" s="155"/>
      <c r="F3316" s="155"/>
      <c r="G3316" s="155"/>
      <c r="H3316" s="155"/>
      <c r="I3316" s="155"/>
      <c r="J3316" s="155"/>
      <c r="K3316" s="155"/>
      <c r="L3316" s="155"/>
      <c r="M3316" s="155"/>
      <c r="N3316" s="155"/>
      <c r="O3316" s="155"/>
      <c r="P3316" s="155"/>
      <c r="Q3316" s="155"/>
      <c r="R3316" s="155"/>
      <c r="S3316" s="155"/>
      <c r="T3316" s="155"/>
      <c r="U3316" s="155"/>
      <c r="V3316" s="155"/>
      <c r="W3316" s="155"/>
      <c r="GL3316" s="155"/>
      <c r="GM3316" s="155"/>
      <c r="GN3316" s="155"/>
      <c r="GO3316" s="155"/>
      <c r="GP3316" s="155"/>
      <c r="GQ3316" s="155"/>
      <c r="GR3316" s="155"/>
      <c r="GS3316" s="155"/>
      <c r="GT3316" s="155"/>
      <c r="GU3316" s="155"/>
      <c r="GV3316" s="155"/>
      <c r="GW3316" s="155"/>
      <c r="GX3316" s="155"/>
      <c r="GY3316" s="155"/>
      <c r="GZ3316" s="155"/>
      <c r="HA3316" s="155"/>
      <c r="HB3316" s="155"/>
      <c r="HC3316" s="155"/>
      <c r="HD3316" s="155"/>
      <c r="HE3316" s="155"/>
    </row>
    <row r="3317" spans="2:213" s="156" customFormat="1" hidden="1">
      <c r="B3317" s="155"/>
      <c r="C3317" s="155"/>
      <c r="D3317" s="155"/>
      <c r="E3317" s="155"/>
      <c r="F3317" s="155"/>
      <c r="G3317" s="155"/>
      <c r="H3317" s="155"/>
      <c r="I3317" s="155"/>
      <c r="J3317" s="155"/>
      <c r="K3317" s="155"/>
      <c r="L3317" s="155"/>
      <c r="M3317" s="155"/>
      <c r="N3317" s="155"/>
      <c r="O3317" s="155"/>
      <c r="P3317" s="155"/>
      <c r="Q3317" s="155"/>
      <c r="R3317" s="155"/>
      <c r="S3317" s="155"/>
      <c r="T3317" s="155"/>
      <c r="U3317" s="155"/>
      <c r="V3317" s="155"/>
      <c r="W3317" s="155"/>
      <c r="GL3317" s="155"/>
      <c r="GM3317" s="155"/>
      <c r="GN3317" s="155"/>
      <c r="GO3317" s="155"/>
      <c r="GP3317" s="155"/>
      <c r="GQ3317" s="155"/>
      <c r="GR3317" s="155"/>
      <c r="GS3317" s="155"/>
      <c r="GT3317" s="155"/>
      <c r="GU3317" s="155"/>
      <c r="GV3317" s="155"/>
      <c r="GW3317" s="155"/>
      <c r="GX3317" s="155"/>
      <c r="GY3317" s="155"/>
      <c r="GZ3317" s="155"/>
      <c r="HA3317" s="155"/>
      <c r="HB3317" s="155"/>
      <c r="HC3317" s="155"/>
      <c r="HD3317" s="155"/>
      <c r="HE3317" s="155"/>
    </row>
    <row r="3318" spans="2:213" s="156" customFormat="1" hidden="1">
      <c r="B3318" s="155"/>
      <c r="C3318" s="155"/>
      <c r="D3318" s="155"/>
      <c r="E3318" s="155"/>
      <c r="F3318" s="155"/>
      <c r="G3318" s="155"/>
      <c r="H3318" s="155"/>
      <c r="I3318" s="155"/>
      <c r="J3318" s="155"/>
      <c r="K3318" s="155"/>
      <c r="L3318" s="155"/>
      <c r="M3318" s="155"/>
      <c r="N3318" s="155"/>
      <c r="O3318" s="155"/>
      <c r="P3318" s="155"/>
      <c r="Q3318" s="155"/>
      <c r="R3318" s="155"/>
      <c r="S3318" s="155"/>
      <c r="T3318" s="155"/>
      <c r="U3318" s="155"/>
      <c r="V3318" s="155"/>
      <c r="W3318" s="155"/>
      <c r="GL3318" s="155"/>
      <c r="GM3318" s="155"/>
      <c r="GN3318" s="155"/>
      <c r="GO3318" s="155"/>
      <c r="GP3318" s="155"/>
      <c r="GQ3318" s="155"/>
      <c r="GR3318" s="155"/>
      <c r="GS3318" s="155"/>
      <c r="GT3318" s="155"/>
      <c r="GU3318" s="155"/>
      <c r="GV3318" s="155"/>
      <c r="GW3318" s="155"/>
      <c r="GX3318" s="155"/>
      <c r="GY3318" s="155"/>
      <c r="GZ3318" s="155"/>
      <c r="HA3318" s="155"/>
      <c r="HB3318" s="155"/>
      <c r="HC3318" s="155"/>
      <c r="HD3318" s="155"/>
      <c r="HE3318" s="155"/>
    </row>
    <row r="3319" spans="2:213" s="156" customFormat="1" hidden="1">
      <c r="B3319" s="155"/>
      <c r="C3319" s="155"/>
      <c r="D3319" s="155"/>
      <c r="E3319" s="155"/>
      <c r="F3319" s="155"/>
      <c r="G3319" s="155"/>
      <c r="H3319" s="155"/>
      <c r="I3319" s="155"/>
      <c r="J3319" s="155"/>
      <c r="K3319" s="155"/>
      <c r="L3319" s="155"/>
      <c r="M3319" s="155"/>
      <c r="N3319" s="155"/>
      <c r="O3319" s="155"/>
      <c r="P3319" s="155"/>
      <c r="Q3319" s="155"/>
      <c r="R3319" s="155"/>
      <c r="S3319" s="155"/>
      <c r="T3319" s="155"/>
      <c r="U3319" s="155"/>
      <c r="V3319" s="155"/>
      <c r="W3319" s="155"/>
      <c r="GL3319" s="155"/>
      <c r="GM3319" s="155"/>
      <c r="GN3319" s="155"/>
      <c r="GO3319" s="155"/>
      <c r="GP3319" s="155"/>
      <c r="GQ3319" s="155"/>
      <c r="GR3319" s="155"/>
      <c r="GS3319" s="155"/>
      <c r="GT3319" s="155"/>
      <c r="GU3319" s="155"/>
      <c r="GV3319" s="155"/>
      <c r="GW3319" s="155"/>
      <c r="GX3319" s="155"/>
      <c r="GY3319" s="155"/>
      <c r="GZ3319" s="155"/>
      <c r="HA3319" s="155"/>
      <c r="HB3319" s="155"/>
      <c r="HC3319" s="155"/>
      <c r="HD3319" s="155"/>
      <c r="HE3319" s="155"/>
    </row>
    <row r="3320" spans="2:213" s="156" customFormat="1" hidden="1">
      <c r="B3320" s="155"/>
      <c r="C3320" s="155"/>
      <c r="D3320" s="155"/>
      <c r="E3320" s="155"/>
      <c r="F3320" s="155"/>
      <c r="G3320" s="155"/>
      <c r="H3320" s="155"/>
      <c r="I3320" s="155"/>
      <c r="J3320" s="155"/>
      <c r="K3320" s="155"/>
      <c r="L3320" s="155"/>
      <c r="M3320" s="155"/>
      <c r="N3320" s="155"/>
      <c r="O3320" s="155"/>
      <c r="P3320" s="155"/>
      <c r="Q3320" s="155"/>
      <c r="R3320" s="155"/>
      <c r="S3320" s="155"/>
      <c r="T3320" s="155"/>
      <c r="U3320" s="155"/>
      <c r="V3320" s="155"/>
      <c r="W3320" s="155"/>
      <c r="GL3320" s="155"/>
      <c r="GM3320" s="155"/>
      <c r="GN3320" s="155"/>
      <c r="GO3320" s="155"/>
      <c r="GP3320" s="155"/>
      <c r="GQ3320" s="155"/>
      <c r="GR3320" s="155"/>
      <c r="GS3320" s="155"/>
      <c r="GT3320" s="155"/>
      <c r="GU3320" s="155"/>
      <c r="GV3320" s="155"/>
      <c r="GW3320" s="155"/>
      <c r="GX3320" s="155"/>
      <c r="GY3320" s="155"/>
      <c r="GZ3320" s="155"/>
      <c r="HA3320" s="155"/>
      <c r="HB3320" s="155"/>
      <c r="HC3320" s="155"/>
      <c r="HD3320" s="155"/>
      <c r="HE3320" s="155"/>
    </row>
    <row r="3321" spans="2:213" s="156" customFormat="1" hidden="1">
      <c r="B3321" s="155"/>
      <c r="C3321" s="155"/>
      <c r="D3321" s="155"/>
      <c r="E3321" s="155"/>
      <c r="F3321" s="155"/>
      <c r="G3321" s="155"/>
      <c r="H3321" s="155"/>
      <c r="I3321" s="155"/>
      <c r="J3321" s="155"/>
      <c r="K3321" s="155"/>
      <c r="L3321" s="155"/>
      <c r="M3321" s="155"/>
      <c r="N3321" s="155"/>
      <c r="O3321" s="155"/>
      <c r="P3321" s="155"/>
      <c r="Q3321" s="155"/>
      <c r="R3321" s="155"/>
      <c r="S3321" s="155"/>
      <c r="T3321" s="155"/>
      <c r="U3321" s="155"/>
      <c r="V3321" s="155"/>
      <c r="W3321" s="155"/>
      <c r="GL3321" s="155"/>
      <c r="GM3321" s="155"/>
      <c r="GN3321" s="155"/>
      <c r="GO3321" s="155"/>
      <c r="GP3321" s="155"/>
      <c r="GQ3321" s="155"/>
      <c r="GR3321" s="155"/>
      <c r="GS3321" s="155"/>
      <c r="GT3321" s="155"/>
      <c r="GU3321" s="155"/>
      <c r="GV3321" s="155"/>
      <c r="GW3321" s="155"/>
      <c r="GX3321" s="155"/>
      <c r="GY3321" s="155"/>
      <c r="GZ3321" s="155"/>
      <c r="HA3321" s="155"/>
      <c r="HB3321" s="155"/>
      <c r="HC3321" s="155"/>
      <c r="HD3321" s="155"/>
      <c r="HE3321" s="155"/>
    </row>
    <row r="3322" spans="2:213" s="156" customFormat="1" hidden="1">
      <c r="B3322" s="155"/>
      <c r="C3322" s="155"/>
      <c r="D3322" s="155"/>
      <c r="E3322" s="155"/>
      <c r="F3322" s="155"/>
      <c r="G3322" s="155"/>
      <c r="H3322" s="155"/>
      <c r="I3322" s="155"/>
      <c r="J3322" s="155"/>
      <c r="K3322" s="155"/>
      <c r="L3322" s="155"/>
      <c r="M3322" s="155"/>
      <c r="N3322" s="155"/>
      <c r="O3322" s="155"/>
      <c r="P3322" s="155"/>
      <c r="Q3322" s="155"/>
      <c r="R3322" s="155"/>
      <c r="S3322" s="155"/>
      <c r="T3322" s="155"/>
      <c r="U3322" s="155"/>
      <c r="V3322" s="155"/>
      <c r="W3322" s="155"/>
      <c r="GL3322" s="155"/>
      <c r="GM3322" s="155"/>
      <c r="GN3322" s="155"/>
      <c r="GO3322" s="155"/>
      <c r="GP3322" s="155"/>
      <c r="GQ3322" s="155"/>
      <c r="GR3322" s="155"/>
      <c r="GS3322" s="155"/>
      <c r="GT3322" s="155"/>
      <c r="GU3322" s="155"/>
      <c r="GV3322" s="155"/>
      <c r="GW3322" s="155"/>
      <c r="GX3322" s="155"/>
      <c r="GY3322" s="155"/>
      <c r="GZ3322" s="155"/>
      <c r="HA3322" s="155"/>
      <c r="HB3322" s="155"/>
      <c r="HC3322" s="155"/>
      <c r="HD3322" s="155"/>
      <c r="HE3322" s="155"/>
    </row>
    <row r="3323" spans="2:213" s="156" customFormat="1" hidden="1">
      <c r="B3323" s="155"/>
      <c r="C3323" s="155"/>
      <c r="D3323" s="155"/>
      <c r="E3323" s="155"/>
      <c r="F3323" s="155"/>
      <c r="G3323" s="155"/>
      <c r="H3323" s="155"/>
      <c r="I3323" s="155"/>
      <c r="J3323" s="155"/>
      <c r="K3323" s="155"/>
      <c r="L3323" s="155"/>
      <c r="M3323" s="155"/>
      <c r="N3323" s="155"/>
      <c r="O3323" s="155"/>
      <c r="P3323" s="155"/>
      <c r="Q3323" s="155"/>
      <c r="R3323" s="155"/>
      <c r="S3323" s="155"/>
      <c r="T3323" s="155"/>
      <c r="U3323" s="155"/>
      <c r="V3323" s="155"/>
      <c r="W3323" s="155"/>
      <c r="GL3323" s="155"/>
      <c r="GM3323" s="155"/>
      <c r="GN3323" s="155"/>
      <c r="GO3323" s="155"/>
      <c r="GP3323" s="155"/>
      <c r="GQ3323" s="155"/>
      <c r="GR3323" s="155"/>
      <c r="GS3323" s="155"/>
      <c r="GT3323" s="155"/>
      <c r="GU3323" s="155"/>
      <c r="GV3323" s="155"/>
      <c r="GW3323" s="155"/>
      <c r="GX3323" s="155"/>
      <c r="GY3323" s="155"/>
      <c r="GZ3323" s="155"/>
      <c r="HA3323" s="155"/>
      <c r="HB3323" s="155"/>
      <c r="HC3323" s="155"/>
      <c r="HD3323" s="155"/>
      <c r="HE3323" s="155"/>
    </row>
    <row r="3324" spans="2:213" s="156" customFormat="1" hidden="1">
      <c r="B3324" s="155"/>
      <c r="C3324" s="155"/>
      <c r="D3324" s="155"/>
      <c r="E3324" s="155"/>
      <c r="F3324" s="155"/>
      <c r="G3324" s="155"/>
      <c r="H3324" s="155"/>
      <c r="I3324" s="155"/>
      <c r="J3324" s="155"/>
      <c r="K3324" s="155"/>
      <c r="L3324" s="155"/>
      <c r="M3324" s="155"/>
      <c r="N3324" s="155"/>
      <c r="O3324" s="155"/>
      <c r="P3324" s="155"/>
      <c r="Q3324" s="155"/>
      <c r="R3324" s="155"/>
      <c r="S3324" s="155"/>
      <c r="T3324" s="155"/>
      <c r="U3324" s="155"/>
      <c r="V3324" s="155"/>
      <c r="W3324" s="155"/>
      <c r="GL3324" s="155"/>
      <c r="GM3324" s="155"/>
      <c r="GN3324" s="155"/>
      <c r="GO3324" s="155"/>
      <c r="GP3324" s="155"/>
      <c r="GQ3324" s="155"/>
      <c r="GR3324" s="155"/>
      <c r="GS3324" s="155"/>
      <c r="GT3324" s="155"/>
      <c r="GU3324" s="155"/>
      <c r="GV3324" s="155"/>
      <c r="GW3324" s="155"/>
      <c r="GX3324" s="155"/>
      <c r="GY3324" s="155"/>
      <c r="GZ3324" s="155"/>
      <c r="HA3324" s="155"/>
      <c r="HB3324" s="155"/>
      <c r="HC3324" s="155"/>
      <c r="HD3324" s="155"/>
      <c r="HE3324" s="155"/>
    </row>
    <row r="3325" spans="2:213" s="156" customFormat="1" hidden="1">
      <c r="B3325" s="155"/>
      <c r="C3325" s="155"/>
      <c r="D3325" s="155"/>
      <c r="E3325" s="155"/>
      <c r="F3325" s="155"/>
      <c r="G3325" s="155"/>
      <c r="H3325" s="155"/>
      <c r="I3325" s="155"/>
      <c r="J3325" s="155"/>
      <c r="K3325" s="155"/>
      <c r="L3325" s="155"/>
      <c r="M3325" s="155"/>
      <c r="N3325" s="155"/>
      <c r="O3325" s="155"/>
      <c r="P3325" s="155"/>
      <c r="Q3325" s="155"/>
      <c r="R3325" s="155"/>
      <c r="S3325" s="155"/>
      <c r="T3325" s="155"/>
      <c r="U3325" s="155"/>
      <c r="V3325" s="155"/>
      <c r="W3325" s="155"/>
      <c r="GL3325" s="155"/>
      <c r="GM3325" s="155"/>
      <c r="GN3325" s="155"/>
      <c r="GO3325" s="155"/>
      <c r="GP3325" s="155"/>
      <c r="GQ3325" s="155"/>
      <c r="GR3325" s="155"/>
      <c r="GS3325" s="155"/>
      <c r="GT3325" s="155"/>
      <c r="GU3325" s="155"/>
      <c r="GV3325" s="155"/>
      <c r="GW3325" s="155"/>
      <c r="GX3325" s="155"/>
      <c r="GY3325" s="155"/>
      <c r="GZ3325" s="155"/>
      <c r="HA3325" s="155"/>
      <c r="HB3325" s="155"/>
      <c r="HC3325" s="155"/>
      <c r="HD3325" s="155"/>
      <c r="HE3325" s="155"/>
    </row>
    <row r="3326" spans="2:213" s="156" customFormat="1" hidden="1">
      <c r="B3326" s="155"/>
      <c r="C3326" s="155"/>
      <c r="D3326" s="155"/>
      <c r="E3326" s="155"/>
      <c r="F3326" s="155"/>
      <c r="G3326" s="155"/>
      <c r="H3326" s="155"/>
      <c r="I3326" s="155"/>
      <c r="J3326" s="155"/>
      <c r="K3326" s="155"/>
      <c r="L3326" s="155"/>
      <c r="M3326" s="155"/>
      <c r="N3326" s="155"/>
      <c r="O3326" s="155"/>
      <c r="P3326" s="155"/>
      <c r="Q3326" s="155"/>
      <c r="R3326" s="155"/>
      <c r="S3326" s="155"/>
      <c r="T3326" s="155"/>
      <c r="U3326" s="155"/>
      <c r="V3326" s="155"/>
      <c r="W3326" s="155"/>
      <c r="GL3326" s="155"/>
      <c r="GM3326" s="155"/>
      <c r="GN3326" s="155"/>
      <c r="GO3326" s="155"/>
      <c r="GP3326" s="155"/>
      <c r="GQ3326" s="155"/>
      <c r="GR3326" s="155"/>
      <c r="GS3326" s="155"/>
      <c r="GT3326" s="155"/>
      <c r="GU3326" s="155"/>
      <c r="GV3326" s="155"/>
      <c r="GW3326" s="155"/>
      <c r="GX3326" s="155"/>
      <c r="GY3326" s="155"/>
      <c r="GZ3326" s="155"/>
      <c r="HA3326" s="155"/>
      <c r="HB3326" s="155"/>
      <c r="HC3326" s="155"/>
      <c r="HD3326" s="155"/>
      <c r="HE3326" s="155"/>
    </row>
    <row r="3327" spans="2:213" s="156" customFormat="1" hidden="1">
      <c r="B3327" s="155"/>
      <c r="C3327" s="155"/>
      <c r="D3327" s="155"/>
      <c r="E3327" s="155"/>
      <c r="F3327" s="155"/>
      <c r="G3327" s="155"/>
      <c r="H3327" s="155"/>
      <c r="I3327" s="155"/>
      <c r="J3327" s="155"/>
      <c r="K3327" s="155"/>
      <c r="L3327" s="155"/>
      <c r="M3327" s="155"/>
      <c r="N3327" s="155"/>
      <c r="O3327" s="155"/>
      <c r="P3327" s="155"/>
      <c r="Q3327" s="155"/>
      <c r="R3327" s="155"/>
      <c r="S3327" s="155"/>
      <c r="T3327" s="155"/>
      <c r="U3327" s="155"/>
      <c r="V3327" s="155"/>
      <c r="W3327" s="155"/>
      <c r="GL3327" s="155"/>
      <c r="GM3327" s="155"/>
      <c r="GN3327" s="155"/>
      <c r="GO3327" s="155"/>
      <c r="GP3327" s="155"/>
      <c r="GQ3327" s="155"/>
      <c r="GR3327" s="155"/>
      <c r="GS3327" s="155"/>
      <c r="GT3327" s="155"/>
      <c r="GU3327" s="155"/>
      <c r="GV3327" s="155"/>
      <c r="GW3327" s="155"/>
      <c r="GX3327" s="155"/>
      <c r="GY3327" s="155"/>
      <c r="GZ3327" s="155"/>
      <c r="HA3327" s="155"/>
      <c r="HB3327" s="155"/>
      <c r="HC3327" s="155"/>
      <c r="HD3327" s="155"/>
      <c r="HE3327" s="155"/>
    </row>
    <row r="3328" spans="2:213" s="156" customFormat="1" hidden="1">
      <c r="B3328" s="155"/>
      <c r="C3328" s="155"/>
      <c r="D3328" s="155"/>
      <c r="E3328" s="155"/>
      <c r="F3328" s="155"/>
      <c r="G3328" s="155"/>
      <c r="H3328" s="155"/>
      <c r="I3328" s="155"/>
      <c r="J3328" s="155"/>
      <c r="K3328" s="155"/>
      <c r="L3328" s="155"/>
      <c r="M3328" s="155"/>
      <c r="N3328" s="155"/>
      <c r="O3328" s="155"/>
      <c r="P3328" s="155"/>
      <c r="Q3328" s="155"/>
      <c r="R3328" s="155"/>
      <c r="S3328" s="155"/>
      <c r="T3328" s="155"/>
      <c r="U3328" s="155"/>
      <c r="V3328" s="155"/>
      <c r="W3328" s="155"/>
      <c r="GL3328" s="155"/>
      <c r="GM3328" s="155"/>
      <c r="GN3328" s="155"/>
      <c r="GO3328" s="155"/>
      <c r="GP3328" s="155"/>
      <c r="GQ3328" s="155"/>
      <c r="GR3328" s="155"/>
      <c r="GS3328" s="155"/>
      <c r="GT3328" s="155"/>
      <c r="GU3328" s="155"/>
      <c r="GV3328" s="155"/>
      <c r="GW3328" s="155"/>
      <c r="GX3328" s="155"/>
      <c r="GY3328" s="155"/>
      <c r="GZ3328" s="155"/>
      <c r="HA3328" s="155"/>
      <c r="HB3328" s="155"/>
      <c r="HC3328" s="155"/>
      <c r="HD3328" s="155"/>
      <c r="HE3328" s="155"/>
    </row>
    <row r="3329" spans="2:213" s="156" customFormat="1" hidden="1">
      <c r="B3329" s="155"/>
      <c r="C3329" s="155"/>
      <c r="D3329" s="155"/>
      <c r="E3329" s="155"/>
      <c r="F3329" s="155"/>
      <c r="G3329" s="155"/>
      <c r="H3329" s="155"/>
      <c r="I3329" s="155"/>
      <c r="J3329" s="155"/>
      <c r="K3329" s="155"/>
      <c r="L3329" s="155"/>
      <c r="M3329" s="155"/>
      <c r="N3329" s="155"/>
      <c r="O3329" s="155"/>
      <c r="P3329" s="155"/>
      <c r="Q3329" s="155"/>
      <c r="R3329" s="155"/>
      <c r="S3329" s="155"/>
      <c r="T3329" s="155"/>
      <c r="U3329" s="155"/>
      <c r="V3329" s="155"/>
      <c r="W3329" s="155"/>
      <c r="GL3329" s="155"/>
      <c r="GM3329" s="155"/>
      <c r="GN3329" s="155"/>
      <c r="GO3329" s="155"/>
      <c r="GP3329" s="155"/>
      <c r="GQ3329" s="155"/>
      <c r="GR3329" s="155"/>
      <c r="GS3329" s="155"/>
      <c r="GT3329" s="155"/>
      <c r="GU3329" s="155"/>
      <c r="GV3329" s="155"/>
      <c r="GW3329" s="155"/>
      <c r="GX3329" s="155"/>
      <c r="GY3329" s="155"/>
      <c r="GZ3329" s="155"/>
      <c r="HA3329" s="155"/>
      <c r="HB3329" s="155"/>
      <c r="HC3329" s="155"/>
      <c r="HD3329" s="155"/>
      <c r="HE3329" s="155"/>
    </row>
    <row r="3330" spans="2:213" s="156" customFormat="1" hidden="1">
      <c r="B3330" s="155"/>
      <c r="C3330" s="155"/>
      <c r="D3330" s="155"/>
      <c r="E3330" s="155"/>
      <c r="F3330" s="155"/>
      <c r="G3330" s="155"/>
      <c r="H3330" s="155"/>
      <c r="I3330" s="155"/>
      <c r="J3330" s="155"/>
      <c r="K3330" s="155"/>
      <c r="L3330" s="155"/>
      <c r="M3330" s="155"/>
      <c r="N3330" s="155"/>
      <c r="O3330" s="155"/>
      <c r="P3330" s="155"/>
      <c r="Q3330" s="155"/>
      <c r="R3330" s="155"/>
      <c r="S3330" s="155"/>
      <c r="T3330" s="155"/>
      <c r="U3330" s="155"/>
      <c r="V3330" s="155"/>
      <c r="W3330" s="155"/>
      <c r="GL3330" s="155"/>
      <c r="GM3330" s="155"/>
      <c r="GN3330" s="155"/>
      <c r="GO3330" s="155"/>
      <c r="GP3330" s="155"/>
      <c r="GQ3330" s="155"/>
      <c r="GR3330" s="155"/>
      <c r="GS3330" s="155"/>
      <c r="GT3330" s="155"/>
      <c r="GU3330" s="155"/>
      <c r="GV3330" s="155"/>
      <c r="GW3330" s="155"/>
      <c r="GX3330" s="155"/>
      <c r="GY3330" s="155"/>
      <c r="GZ3330" s="155"/>
      <c r="HA3330" s="155"/>
      <c r="HB3330" s="155"/>
      <c r="HC3330" s="155"/>
      <c r="HD3330" s="155"/>
      <c r="HE3330" s="155"/>
    </row>
    <row r="3331" spans="2:213" s="156" customFormat="1" hidden="1">
      <c r="B3331" s="155"/>
      <c r="C3331" s="155"/>
      <c r="D3331" s="155"/>
      <c r="E3331" s="155"/>
      <c r="F3331" s="155"/>
      <c r="G3331" s="155"/>
      <c r="H3331" s="155"/>
      <c r="I3331" s="155"/>
      <c r="J3331" s="155"/>
      <c r="K3331" s="155"/>
      <c r="L3331" s="155"/>
      <c r="M3331" s="155"/>
      <c r="N3331" s="155"/>
      <c r="O3331" s="155"/>
      <c r="P3331" s="155"/>
      <c r="Q3331" s="155"/>
      <c r="R3331" s="155"/>
      <c r="S3331" s="155"/>
      <c r="T3331" s="155"/>
      <c r="U3331" s="155"/>
      <c r="V3331" s="155"/>
      <c r="W3331" s="155"/>
      <c r="GL3331" s="155"/>
      <c r="GM3331" s="155"/>
      <c r="GN3331" s="155"/>
      <c r="GO3331" s="155"/>
      <c r="GP3331" s="155"/>
      <c r="GQ3331" s="155"/>
      <c r="GR3331" s="155"/>
      <c r="GS3331" s="155"/>
      <c r="GT3331" s="155"/>
      <c r="GU3331" s="155"/>
      <c r="GV3331" s="155"/>
      <c r="GW3331" s="155"/>
      <c r="GX3331" s="155"/>
      <c r="GY3331" s="155"/>
      <c r="GZ3331" s="155"/>
      <c r="HA3331" s="155"/>
      <c r="HB3331" s="155"/>
      <c r="HC3331" s="155"/>
      <c r="HD3331" s="155"/>
      <c r="HE3331" s="155"/>
    </row>
    <row r="3332" spans="2:213" s="156" customFormat="1" hidden="1">
      <c r="B3332" s="155"/>
      <c r="C3332" s="155"/>
      <c r="D3332" s="155"/>
      <c r="E3332" s="155"/>
      <c r="F3332" s="155"/>
      <c r="G3332" s="155"/>
      <c r="H3332" s="155"/>
      <c r="I3332" s="155"/>
      <c r="J3332" s="155"/>
      <c r="K3332" s="155"/>
      <c r="L3332" s="155"/>
      <c r="M3332" s="155"/>
      <c r="N3332" s="155"/>
      <c r="O3332" s="155"/>
      <c r="P3332" s="155"/>
      <c r="Q3332" s="155"/>
      <c r="R3332" s="155"/>
      <c r="S3332" s="155"/>
      <c r="T3332" s="155"/>
      <c r="U3332" s="155"/>
      <c r="V3332" s="155"/>
      <c r="W3332" s="155"/>
      <c r="GL3332" s="155"/>
      <c r="GM3332" s="155"/>
      <c r="GN3332" s="155"/>
      <c r="GO3332" s="155"/>
      <c r="GP3332" s="155"/>
      <c r="GQ3332" s="155"/>
      <c r="GR3332" s="155"/>
      <c r="GS3332" s="155"/>
      <c r="GT3332" s="155"/>
      <c r="GU3332" s="155"/>
      <c r="GV3332" s="155"/>
      <c r="GW3332" s="155"/>
      <c r="GX3332" s="155"/>
      <c r="GY3332" s="155"/>
      <c r="GZ3332" s="155"/>
      <c r="HA3332" s="155"/>
      <c r="HB3332" s="155"/>
      <c r="HC3332" s="155"/>
      <c r="HD3332" s="155"/>
      <c r="HE3332" s="155"/>
    </row>
    <row r="3333" spans="2:213" s="156" customFormat="1" hidden="1">
      <c r="B3333" s="155"/>
      <c r="C3333" s="155"/>
      <c r="D3333" s="155"/>
      <c r="E3333" s="155"/>
      <c r="F3333" s="155"/>
      <c r="G3333" s="155"/>
      <c r="H3333" s="155"/>
      <c r="I3333" s="155"/>
      <c r="J3333" s="155"/>
      <c r="K3333" s="155"/>
      <c r="L3333" s="155"/>
      <c r="M3333" s="155"/>
      <c r="N3333" s="155"/>
      <c r="O3333" s="155"/>
      <c r="P3333" s="155"/>
      <c r="Q3333" s="155"/>
      <c r="R3333" s="155"/>
      <c r="S3333" s="155"/>
      <c r="T3333" s="155"/>
      <c r="U3333" s="155"/>
      <c r="V3333" s="155"/>
      <c r="W3333" s="155"/>
      <c r="GL3333" s="155"/>
      <c r="GM3333" s="155"/>
      <c r="GN3333" s="155"/>
      <c r="GO3333" s="155"/>
      <c r="GP3333" s="155"/>
      <c r="GQ3333" s="155"/>
      <c r="GR3333" s="155"/>
      <c r="GS3333" s="155"/>
      <c r="GT3333" s="155"/>
      <c r="GU3333" s="155"/>
      <c r="GV3333" s="155"/>
      <c r="GW3333" s="155"/>
      <c r="GX3333" s="155"/>
      <c r="GY3333" s="155"/>
      <c r="GZ3333" s="155"/>
      <c r="HA3333" s="155"/>
      <c r="HB3333" s="155"/>
      <c r="HC3333" s="155"/>
      <c r="HD3333" s="155"/>
      <c r="HE3333" s="155"/>
    </row>
    <row r="3334" spans="2:213" s="156" customFormat="1" hidden="1">
      <c r="B3334" s="155"/>
      <c r="C3334" s="155"/>
      <c r="D3334" s="155"/>
      <c r="E3334" s="155"/>
      <c r="F3334" s="155"/>
      <c r="G3334" s="155"/>
      <c r="H3334" s="155"/>
      <c r="I3334" s="155"/>
      <c r="J3334" s="155"/>
      <c r="K3334" s="155"/>
      <c r="L3334" s="155"/>
      <c r="M3334" s="155"/>
      <c r="N3334" s="155"/>
      <c r="O3334" s="155"/>
      <c r="P3334" s="155"/>
      <c r="Q3334" s="155"/>
      <c r="R3334" s="155"/>
      <c r="S3334" s="155"/>
      <c r="T3334" s="155"/>
      <c r="U3334" s="155"/>
      <c r="V3334" s="155"/>
      <c r="W3334" s="155"/>
      <c r="GL3334" s="155"/>
      <c r="GM3334" s="155"/>
      <c r="GN3334" s="155"/>
      <c r="GO3334" s="155"/>
      <c r="GP3334" s="155"/>
      <c r="GQ3334" s="155"/>
      <c r="GR3334" s="155"/>
      <c r="GS3334" s="155"/>
      <c r="GT3334" s="155"/>
      <c r="GU3334" s="155"/>
      <c r="GV3334" s="155"/>
      <c r="GW3334" s="155"/>
      <c r="GX3334" s="155"/>
      <c r="GY3334" s="155"/>
      <c r="GZ3334" s="155"/>
      <c r="HA3334" s="155"/>
      <c r="HB3334" s="155"/>
      <c r="HC3334" s="155"/>
      <c r="HD3334" s="155"/>
      <c r="HE3334" s="155"/>
    </row>
    <row r="3335" spans="2:213" s="156" customFormat="1" hidden="1">
      <c r="B3335" s="155"/>
      <c r="C3335" s="155"/>
      <c r="D3335" s="155"/>
      <c r="E3335" s="155"/>
      <c r="F3335" s="155"/>
      <c r="G3335" s="155"/>
      <c r="H3335" s="155"/>
      <c r="I3335" s="155"/>
      <c r="J3335" s="155"/>
      <c r="K3335" s="155"/>
      <c r="L3335" s="155"/>
      <c r="M3335" s="155"/>
      <c r="N3335" s="155"/>
      <c r="O3335" s="155"/>
      <c r="P3335" s="155"/>
      <c r="Q3335" s="155"/>
      <c r="R3335" s="155"/>
      <c r="S3335" s="155"/>
      <c r="T3335" s="155"/>
      <c r="U3335" s="155"/>
      <c r="V3335" s="155"/>
      <c r="W3335" s="155"/>
      <c r="GL3335" s="155"/>
      <c r="GM3335" s="155"/>
      <c r="GN3335" s="155"/>
      <c r="GO3335" s="155"/>
      <c r="GP3335" s="155"/>
      <c r="GQ3335" s="155"/>
      <c r="GR3335" s="155"/>
      <c r="GS3335" s="155"/>
      <c r="GT3335" s="155"/>
      <c r="GU3335" s="155"/>
      <c r="GV3335" s="155"/>
      <c r="GW3335" s="155"/>
      <c r="GX3335" s="155"/>
      <c r="GY3335" s="155"/>
      <c r="GZ3335" s="155"/>
      <c r="HA3335" s="155"/>
      <c r="HB3335" s="155"/>
      <c r="HC3335" s="155"/>
      <c r="HD3335" s="155"/>
      <c r="HE3335" s="155"/>
    </row>
    <row r="3336" spans="2:213" s="156" customFormat="1" hidden="1">
      <c r="B3336" s="155"/>
      <c r="C3336" s="155"/>
      <c r="D3336" s="155"/>
      <c r="E3336" s="155"/>
      <c r="F3336" s="155"/>
      <c r="G3336" s="155"/>
      <c r="H3336" s="155"/>
      <c r="I3336" s="155"/>
      <c r="J3336" s="155"/>
      <c r="K3336" s="155"/>
      <c r="L3336" s="155"/>
      <c r="M3336" s="155"/>
      <c r="N3336" s="155"/>
      <c r="O3336" s="155"/>
      <c r="P3336" s="155"/>
      <c r="Q3336" s="155"/>
      <c r="R3336" s="155"/>
      <c r="S3336" s="155"/>
      <c r="T3336" s="155"/>
      <c r="U3336" s="155"/>
      <c r="V3336" s="155"/>
      <c r="W3336" s="155"/>
      <c r="GL3336" s="155"/>
      <c r="GM3336" s="155"/>
      <c r="GN3336" s="155"/>
      <c r="GO3336" s="155"/>
      <c r="GP3336" s="155"/>
      <c r="GQ3336" s="155"/>
      <c r="GR3336" s="155"/>
      <c r="GS3336" s="155"/>
      <c r="GT3336" s="155"/>
      <c r="GU3336" s="155"/>
      <c r="GV3336" s="155"/>
      <c r="GW3336" s="155"/>
      <c r="GX3336" s="155"/>
      <c r="GY3336" s="155"/>
      <c r="GZ3336" s="155"/>
      <c r="HA3336" s="155"/>
      <c r="HB3336" s="155"/>
      <c r="HC3336" s="155"/>
      <c r="HD3336" s="155"/>
      <c r="HE3336" s="155"/>
    </row>
    <row r="3337" spans="2:213" s="156" customFormat="1" hidden="1">
      <c r="B3337" s="155"/>
      <c r="C3337" s="155"/>
      <c r="D3337" s="155"/>
      <c r="E3337" s="155"/>
      <c r="F3337" s="155"/>
      <c r="G3337" s="155"/>
      <c r="H3337" s="155"/>
      <c r="I3337" s="155"/>
      <c r="J3337" s="155"/>
      <c r="K3337" s="155"/>
      <c r="L3337" s="155"/>
      <c r="M3337" s="155"/>
      <c r="N3337" s="155"/>
      <c r="O3337" s="155"/>
      <c r="P3337" s="155"/>
      <c r="Q3337" s="155"/>
      <c r="R3337" s="155"/>
      <c r="S3337" s="155"/>
      <c r="T3337" s="155"/>
      <c r="U3337" s="155"/>
      <c r="V3337" s="155"/>
      <c r="W3337" s="155"/>
      <c r="GL3337" s="155"/>
      <c r="GM3337" s="155"/>
      <c r="GN3337" s="155"/>
      <c r="GO3337" s="155"/>
      <c r="GP3337" s="155"/>
      <c r="GQ3337" s="155"/>
      <c r="GR3337" s="155"/>
      <c r="GS3337" s="155"/>
      <c r="GT3337" s="155"/>
      <c r="GU3337" s="155"/>
      <c r="GV3337" s="155"/>
      <c r="GW3337" s="155"/>
      <c r="GX3337" s="155"/>
      <c r="GY3337" s="155"/>
      <c r="GZ3337" s="155"/>
      <c r="HA3337" s="155"/>
      <c r="HB3337" s="155"/>
      <c r="HC3337" s="155"/>
      <c r="HD3337" s="155"/>
      <c r="HE3337" s="155"/>
    </row>
    <row r="3338" spans="2:213" s="156" customFormat="1" hidden="1">
      <c r="B3338" s="155"/>
      <c r="C3338" s="155"/>
      <c r="D3338" s="155"/>
      <c r="E3338" s="155"/>
      <c r="F3338" s="155"/>
      <c r="G3338" s="155"/>
      <c r="H3338" s="155"/>
      <c r="I3338" s="155"/>
      <c r="J3338" s="155"/>
      <c r="K3338" s="155"/>
      <c r="L3338" s="155"/>
      <c r="M3338" s="155"/>
      <c r="N3338" s="155"/>
      <c r="O3338" s="155"/>
      <c r="P3338" s="155"/>
      <c r="Q3338" s="155"/>
      <c r="R3338" s="155"/>
      <c r="S3338" s="155"/>
      <c r="T3338" s="155"/>
      <c r="U3338" s="155"/>
      <c r="V3338" s="155"/>
      <c r="W3338" s="155"/>
      <c r="GL3338" s="155"/>
      <c r="GM3338" s="155"/>
      <c r="GN3338" s="155"/>
      <c r="GO3338" s="155"/>
      <c r="GP3338" s="155"/>
      <c r="GQ3338" s="155"/>
      <c r="GR3338" s="155"/>
      <c r="GS3338" s="155"/>
      <c r="GT3338" s="155"/>
      <c r="GU3338" s="155"/>
      <c r="GV3338" s="155"/>
      <c r="GW3338" s="155"/>
      <c r="GX3338" s="155"/>
      <c r="GY3338" s="155"/>
      <c r="GZ3338" s="155"/>
      <c r="HA3338" s="155"/>
      <c r="HB3338" s="155"/>
      <c r="HC3338" s="155"/>
      <c r="HD3338" s="155"/>
      <c r="HE3338" s="155"/>
    </row>
    <row r="3339" spans="2:213" s="156" customFormat="1" hidden="1">
      <c r="B3339" s="155"/>
      <c r="C3339" s="155"/>
      <c r="D3339" s="155"/>
      <c r="E3339" s="155"/>
      <c r="F3339" s="155"/>
      <c r="G3339" s="155"/>
      <c r="H3339" s="155"/>
      <c r="I3339" s="155"/>
      <c r="J3339" s="155"/>
      <c r="K3339" s="155"/>
      <c r="L3339" s="155"/>
      <c r="M3339" s="155"/>
      <c r="N3339" s="155"/>
      <c r="O3339" s="155"/>
      <c r="P3339" s="155"/>
      <c r="Q3339" s="155"/>
      <c r="R3339" s="155"/>
      <c r="S3339" s="155"/>
      <c r="T3339" s="155"/>
      <c r="U3339" s="155"/>
      <c r="V3339" s="155"/>
      <c r="W3339" s="155"/>
      <c r="GL3339" s="155"/>
      <c r="GM3339" s="155"/>
      <c r="GN3339" s="155"/>
      <c r="GO3339" s="155"/>
      <c r="GP3339" s="155"/>
      <c r="GQ3339" s="155"/>
      <c r="GR3339" s="155"/>
      <c r="GS3339" s="155"/>
      <c r="GT3339" s="155"/>
      <c r="GU3339" s="155"/>
      <c r="GV3339" s="155"/>
      <c r="GW3339" s="155"/>
      <c r="GX3339" s="155"/>
      <c r="GY3339" s="155"/>
      <c r="GZ3339" s="155"/>
      <c r="HA3339" s="155"/>
      <c r="HB3339" s="155"/>
      <c r="HC3339" s="155"/>
      <c r="HD3339" s="155"/>
      <c r="HE3339" s="155"/>
    </row>
    <row r="3340" spans="2:213" s="156" customFormat="1" hidden="1">
      <c r="B3340" s="155"/>
      <c r="C3340" s="155"/>
      <c r="D3340" s="155"/>
      <c r="E3340" s="155"/>
      <c r="F3340" s="155"/>
      <c r="G3340" s="155"/>
      <c r="H3340" s="155"/>
      <c r="I3340" s="155"/>
      <c r="J3340" s="155"/>
      <c r="K3340" s="155"/>
      <c r="L3340" s="155"/>
      <c r="M3340" s="155"/>
      <c r="N3340" s="155"/>
      <c r="O3340" s="155"/>
      <c r="P3340" s="155"/>
      <c r="Q3340" s="155"/>
      <c r="R3340" s="155"/>
      <c r="S3340" s="155"/>
      <c r="T3340" s="155"/>
      <c r="U3340" s="155"/>
      <c r="V3340" s="155"/>
      <c r="W3340" s="155"/>
      <c r="GL3340" s="155"/>
      <c r="GM3340" s="155"/>
      <c r="GN3340" s="155"/>
      <c r="GO3340" s="155"/>
      <c r="GP3340" s="155"/>
      <c r="GQ3340" s="155"/>
      <c r="GR3340" s="155"/>
      <c r="GS3340" s="155"/>
      <c r="GT3340" s="155"/>
      <c r="GU3340" s="155"/>
      <c r="GV3340" s="155"/>
      <c r="GW3340" s="155"/>
      <c r="GX3340" s="155"/>
      <c r="GY3340" s="155"/>
      <c r="GZ3340" s="155"/>
      <c r="HA3340" s="155"/>
      <c r="HB3340" s="155"/>
      <c r="HC3340" s="155"/>
      <c r="HD3340" s="155"/>
      <c r="HE3340" s="155"/>
    </row>
    <row r="3341" spans="2:213" s="156" customFormat="1" hidden="1">
      <c r="B3341" s="155"/>
      <c r="C3341" s="155"/>
      <c r="D3341" s="155"/>
      <c r="E3341" s="155"/>
      <c r="F3341" s="155"/>
      <c r="G3341" s="155"/>
      <c r="H3341" s="155"/>
      <c r="I3341" s="155"/>
      <c r="J3341" s="155"/>
      <c r="K3341" s="155"/>
      <c r="L3341" s="155"/>
      <c r="M3341" s="155"/>
      <c r="N3341" s="155"/>
      <c r="O3341" s="155"/>
      <c r="P3341" s="155"/>
      <c r="Q3341" s="155"/>
      <c r="R3341" s="155"/>
      <c r="S3341" s="155"/>
      <c r="T3341" s="155"/>
      <c r="U3341" s="155"/>
      <c r="V3341" s="155"/>
      <c r="W3341" s="155"/>
      <c r="GL3341" s="155"/>
      <c r="GM3341" s="155"/>
      <c r="GN3341" s="155"/>
      <c r="GO3341" s="155"/>
      <c r="GP3341" s="155"/>
      <c r="GQ3341" s="155"/>
      <c r="GR3341" s="155"/>
      <c r="GS3341" s="155"/>
      <c r="GT3341" s="155"/>
      <c r="GU3341" s="155"/>
      <c r="GV3341" s="155"/>
      <c r="GW3341" s="155"/>
      <c r="GX3341" s="155"/>
      <c r="GY3341" s="155"/>
      <c r="GZ3341" s="155"/>
      <c r="HA3341" s="155"/>
      <c r="HB3341" s="155"/>
      <c r="HC3341" s="155"/>
      <c r="HD3341" s="155"/>
      <c r="HE3341" s="155"/>
    </row>
    <row r="3342" spans="2:213" s="156" customFormat="1" hidden="1">
      <c r="B3342" s="155"/>
      <c r="C3342" s="155"/>
      <c r="D3342" s="155"/>
      <c r="E3342" s="155"/>
      <c r="F3342" s="155"/>
      <c r="G3342" s="155"/>
      <c r="H3342" s="155"/>
      <c r="I3342" s="155"/>
      <c r="J3342" s="155"/>
      <c r="K3342" s="155"/>
      <c r="L3342" s="155"/>
      <c r="M3342" s="155"/>
      <c r="N3342" s="155"/>
      <c r="O3342" s="155"/>
      <c r="P3342" s="155"/>
      <c r="Q3342" s="155"/>
      <c r="R3342" s="155"/>
      <c r="S3342" s="155"/>
      <c r="T3342" s="155"/>
      <c r="U3342" s="155"/>
      <c r="V3342" s="155"/>
      <c r="W3342" s="155"/>
      <c r="GL3342" s="155"/>
      <c r="GM3342" s="155"/>
      <c r="GN3342" s="155"/>
      <c r="GO3342" s="155"/>
      <c r="GP3342" s="155"/>
      <c r="GQ3342" s="155"/>
      <c r="GR3342" s="155"/>
      <c r="GS3342" s="155"/>
      <c r="GT3342" s="155"/>
      <c r="GU3342" s="155"/>
      <c r="GV3342" s="155"/>
      <c r="GW3342" s="155"/>
      <c r="GX3342" s="155"/>
      <c r="GY3342" s="155"/>
      <c r="GZ3342" s="155"/>
      <c r="HA3342" s="155"/>
      <c r="HB3342" s="155"/>
      <c r="HC3342" s="155"/>
      <c r="HD3342" s="155"/>
      <c r="HE3342" s="155"/>
    </row>
    <row r="3343" spans="2:213" s="156" customFormat="1" hidden="1">
      <c r="B3343" s="155"/>
      <c r="C3343" s="155"/>
      <c r="D3343" s="155"/>
      <c r="E3343" s="155"/>
      <c r="F3343" s="155"/>
      <c r="G3343" s="155"/>
      <c r="H3343" s="155"/>
      <c r="I3343" s="155"/>
      <c r="J3343" s="155"/>
      <c r="K3343" s="155"/>
      <c r="L3343" s="155"/>
      <c r="M3343" s="155"/>
      <c r="N3343" s="155"/>
      <c r="O3343" s="155"/>
      <c r="P3343" s="155"/>
      <c r="Q3343" s="155"/>
      <c r="R3343" s="155"/>
      <c r="S3343" s="155"/>
      <c r="T3343" s="155"/>
      <c r="U3343" s="155"/>
      <c r="V3343" s="155"/>
      <c r="W3343" s="155"/>
      <c r="GL3343" s="155"/>
      <c r="GM3343" s="155"/>
      <c r="GN3343" s="155"/>
      <c r="GO3343" s="155"/>
      <c r="GP3343" s="155"/>
      <c r="GQ3343" s="155"/>
      <c r="GR3343" s="155"/>
      <c r="GS3343" s="155"/>
      <c r="GT3343" s="155"/>
      <c r="GU3343" s="155"/>
      <c r="GV3343" s="155"/>
      <c r="GW3343" s="155"/>
      <c r="GX3343" s="155"/>
      <c r="GY3343" s="155"/>
      <c r="GZ3343" s="155"/>
      <c r="HA3343" s="155"/>
      <c r="HB3343" s="155"/>
      <c r="HC3343" s="155"/>
      <c r="HD3343" s="155"/>
      <c r="HE3343" s="155"/>
    </row>
    <row r="3344" spans="2:213" s="156" customFormat="1" hidden="1">
      <c r="B3344" s="155"/>
      <c r="C3344" s="155"/>
      <c r="D3344" s="155"/>
      <c r="E3344" s="155"/>
      <c r="F3344" s="155"/>
      <c r="G3344" s="155"/>
      <c r="H3344" s="155"/>
      <c r="I3344" s="155"/>
      <c r="J3344" s="155"/>
      <c r="K3344" s="155"/>
      <c r="L3344" s="155"/>
      <c r="M3344" s="155"/>
      <c r="N3344" s="155"/>
      <c r="O3344" s="155"/>
      <c r="P3344" s="155"/>
      <c r="Q3344" s="155"/>
      <c r="R3344" s="155"/>
      <c r="S3344" s="155"/>
      <c r="T3344" s="155"/>
      <c r="U3344" s="155"/>
      <c r="V3344" s="155"/>
      <c r="W3344" s="155"/>
      <c r="GL3344" s="155"/>
      <c r="GM3344" s="155"/>
      <c r="GN3344" s="155"/>
      <c r="GO3344" s="155"/>
      <c r="GP3344" s="155"/>
      <c r="GQ3344" s="155"/>
      <c r="GR3344" s="155"/>
      <c r="GS3344" s="155"/>
      <c r="GT3344" s="155"/>
      <c r="GU3344" s="155"/>
      <c r="GV3344" s="155"/>
      <c r="GW3344" s="155"/>
      <c r="GX3344" s="155"/>
      <c r="GY3344" s="155"/>
      <c r="GZ3344" s="155"/>
      <c r="HA3344" s="155"/>
      <c r="HB3344" s="155"/>
      <c r="HC3344" s="155"/>
      <c r="HD3344" s="155"/>
      <c r="HE3344" s="155"/>
    </row>
    <row r="3345" spans="2:213" s="156" customFormat="1" hidden="1">
      <c r="B3345" s="155"/>
      <c r="C3345" s="155"/>
      <c r="D3345" s="155"/>
      <c r="E3345" s="155"/>
      <c r="F3345" s="155"/>
      <c r="G3345" s="155"/>
      <c r="H3345" s="155"/>
      <c r="I3345" s="155"/>
      <c r="J3345" s="155"/>
      <c r="K3345" s="155"/>
      <c r="L3345" s="155"/>
      <c r="M3345" s="155"/>
      <c r="N3345" s="155"/>
      <c r="O3345" s="155"/>
      <c r="P3345" s="155"/>
      <c r="Q3345" s="155"/>
      <c r="R3345" s="155"/>
      <c r="S3345" s="155"/>
      <c r="T3345" s="155"/>
      <c r="U3345" s="155"/>
      <c r="V3345" s="155"/>
      <c r="W3345" s="155"/>
      <c r="GL3345" s="155"/>
      <c r="GM3345" s="155"/>
      <c r="GN3345" s="155"/>
      <c r="GO3345" s="155"/>
      <c r="GP3345" s="155"/>
      <c r="GQ3345" s="155"/>
      <c r="GR3345" s="155"/>
      <c r="GS3345" s="155"/>
      <c r="GT3345" s="155"/>
      <c r="GU3345" s="155"/>
      <c r="GV3345" s="155"/>
      <c r="GW3345" s="155"/>
      <c r="GX3345" s="155"/>
      <c r="GY3345" s="155"/>
      <c r="GZ3345" s="155"/>
      <c r="HA3345" s="155"/>
      <c r="HB3345" s="155"/>
      <c r="HC3345" s="155"/>
      <c r="HD3345" s="155"/>
      <c r="HE3345" s="155"/>
    </row>
    <row r="3346" spans="2:213" s="156" customFormat="1" hidden="1">
      <c r="B3346" s="155"/>
      <c r="C3346" s="155"/>
      <c r="D3346" s="155"/>
      <c r="E3346" s="155"/>
      <c r="F3346" s="155"/>
      <c r="G3346" s="155"/>
      <c r="H3346" s="155"/>
      <c r="I3346" s="155"/>
      <c r="J3346" s="155"/>
      <c r="K3346" s="155"/>
      <c r="L3346" s="155"/>
      <c r="M3346" s="155"/>
      <c r="N3346" s="155"/>
      <c r="O3346" s="155"/>
      <c r="P3346" s="155"/>
      <c r="Q3346" s="155"/>
      <c r="R3346" s="155"/>
      <c r="S3346" s="155"/>
      <c r="T3346" s="155"/>
      <c r="U3346" s="155"/>
      <c r="V3346" s="155"/>
      <c r="W3346" s="155"/>
      <c r="GL3346" s="155"/>
      <c r="GM3346" s="155"/>
      <c r="GN3346" s="155"/>
      <c r="GO3346" s="155"/>
      <c r="GP3346" s="155"/>
      <c r="GQ3346" s="155"/>
      <c r="GR3346" s="155"/>
      <c r="GS3346" s="155"/>
      <c r="GT3346" s="155"/>
      <c r="GU3346" s="155"/>
      <c r="GV3346" s="155"/>
      <c r="GW3346" s="155"/>
      <c r="GX3346" s="155"/>
      <c r="GY3346" s="155"/>
      <c r="GZ3346" s="155"/>
      <c r="HA3346" s="155"/>
      <c r="HB3346" s="155"/>
      <c r="HC3346" s="155"/>
      <c r="HD3346" s="155"/>
      <c r="HE3346" s="155"/>
    </row>
    <row r="3347" spans="2:213" s="156" customFormat="1" hidden="1">
      <c r="B3347" s="155"/>
      <c r="C3347" s="155"/>
      <c r="D3347" s="155"/>
      <c r="E3347" s="155"/>
      <c r="F3347" s="155"/>
      <c r="G3347" s="155"/>
      <c r="H3347" s="155"/>
      <c r="I3347" s="155"/>
      <c r="J3347" s="155"/>
      <c r="K3347" s="155"/>
      <c r="L3347" s="155"/>
      <c r="M3347" s="155"/>
      <c r="N3347" s="155"/>
      <c r="O3347" s="155"/>
      <c r="P3347" s="155"/>
      <c r="Q3347" s="155"/>
      <c r="R3347" s="155"/>
      <c r="S3347" s="155"/>
      <c r="T3347" s="155"/>
      <c r="U3347" s="155"/>
      <c r="V3347" s="155"/>
      <c r="W3347" s="155"/>
      <c r="GL3347" s="155"/>
      <c r="GM3347" s="155"/>
      <c r="GN3347" s="155"/>
      <c r="GO3347" s="155"/>
      <c r="GP3347" s="155"/>
      <c r="GQ3347" s="155"/>
      <c r="GR3347" s="155"/>
      <c r="GS3347" s="155"/>
      <c r="GT3347" s="155"/>
      <c r="GU3347" s="155"/>
      <c r="GV3347" s="155"/>
      <c r="GW3347" s="155"/>
      <c r="GX3347" s="155"/>
      <c r="GY3347" s="155"/>
      <c r="GZ3347" s="155"/>
      <c r="HA3347" s="155"/>
      <c r="HB3347" s="155"/>
      <c r="HC3347" s="155"/>
      <c r="HD3347" s="155"/>
      <c r="HE3347" s="155"/>
    </row>
    <row r="3348" spans="2:213" s="156" customFormat="1" hidden="1">
      <c r="B3348" s="155"/>
      <c r="C3348" s="155"/>
      <c r="D3348" s="155"/>
      <c r="E3348" s="155"/>
      <c r="F3348" s="155"/>
      <c r="G3348" s="155"/>
      <c r="H3348" s="155"/>
      <c r="I3348" s="155"/>
      <c r="J3348" s="155"/>
      <c r="K3348" s="155"/>
      <c r="L3348" s="155"/>
      <c r="M3348" s="155"/>
      <c r="N3348" s="155"/>
      <c r="O3348" s="155"/>
      <c r="P3348" s="155"/>
      <c r="Q3348" s="155"/>
      <c r="R3348" s="155"/>
      <c r="S3348" s="155"/>
      <c r="T3348" s="155"/>
      <c r="U3348" s="155"/>
      <c r="V3348" s="155"/>
      <c r="W3348" s="155"/>
      <c r="GL3348" s="155"/>
      <c r="GM3348" s="155"/>
      <c r="GN3348" s="155"/>
      <c r="GO3348" s="155"/>
      <c r="GP3348" s="155"/>
      <c r="GQ3348" s="155"/>
      <c r="GR3348" s="155"/>
      <c r="GS3348" s="155"/>
      <c r="GT3348" s="155"/>
      <c r="GU3348" s="155"/>
      <c r="GV3348" s="155"/>
      <c r="GW3348" s="155"/>
      <c r="GX3348" s="155"/>
      <c r="GY3348" s="155"/>
      <c r="GZ3348" s="155"/>
      <c r="HA3348" s="155"/>
      <c r="HB3348" s="155"/>
      <c r="HC3348" s="155"/>
      <c r="HD3348" s="155"/>
      <c r="HE3348" s="155"/>
    </row>
    <row r="3349" spans="2:213" s="156" customFormat="1" hidden="1">
      <c r="B3349" s="155"/>
      <c r="C3349" s="155"/>
      <c r="D3349" s="155"/>
      <c r="E3349" s="155"/>
      <c r="F3349" s="155"/>
      <c r="G3349" s="155"/>
      <c r="H3349" s="155"/>
      <c r="I3349" s="155"/>
      <c r="J3349" s="155"/>
      <c r="K3349" s="155"/>
      <c r="L3349" s="155"/>
      <c r="M3349" s="155"/>
      <c r="N3349" s="155"/>
      <c r="O3349" s="155"/>
      <c r="P3349" s="155"/>
      <c r="Q3349" s="155"/>
      <c r="R3349" s="155"/>
      <c r="S3349" s="155"/>
      <c r="T3349" s="155"/>
      <c r="U3349" s="155"/>
      <c r="V3349" s="155"/>
      <c r="W3349" s="155"/>
      <c r="GL3349" s="155"/>
      <c r="GM3349" s="155"/>
      <c r="GN3349" s="155"/>
      <c r="GO3349" s="155"/>
      <c r="GP3349" s="155"/>
      <c r="GQ3349" s="155"/>
      <c r="GR3349" s="155"/>
      <c r="GS3349" s="155"/>
      <c r="GT3349" s="155"/>
      <c r="GU3349" s="155"/>
      <c r="GV3349" s="155"/>
      <c r="GW3349" s="155"/>
      <c r="GX3349" s="155"/>
      <c r="GY3349" s="155"/>
      <c r="GZ3349" s="155"/>
      <c r="HA3349" s="155"/>
      <c r="HB3349" s="155"/>
      <c r="HC3349" s="155"/>
      <c r="HD3349" s="155"/>
      <c r="HE3349" s="155"/>
    </row>
    <row r="3350" spans="2:213" s="156" customFormat="1" hidden="1">
      <c r="B3350" s="155"/>
      <c r="C3350" s="155"/>
      <c r="D3350" s="155"/>
      <c r="E3350" s="155"/>
      <c r="F3350" s="155"/>
      <c r="G3350" s="155"/>
      <c r="H3350" s="155"/>
      <c r="I3350" s="155"/>
      <c r="J3350" s="155"/>
      <c r="K3350" s="155"/>
      <c r="L3350" s="155"/>
      <c r="M3350" s="155"/>
      <c r="N3350" s="155"/>
      <c r="O3350" s="155"/>
      <c r="P3350" s="155"/>
      <c r="Q3350" s="155"/>
      <c r="R3350" s="155"/>
      <c r="S3350" s="155"/>
      <c r="T3350" s="155"/>
      <c r="U3350" s="155"/>
      <c r="V3350" s="155"/>
      <c r="W3350" s="155"/>
      <c r="GL3350" s="155"/>
      <c r="GM3350" s="155"/>
      <c r="GN3350" s="155"/>
      <c r="GO3350" s="155"/>
      <c r="GP3350" s="155"/>
      <c r="GQ3350" s="155"/>
      <c r="GR3350" s="155"/>
      <c r="GS3350" s="155"/>
      <c r="GT3350" s="155"/>
      <c r="GU3350" s="155"/>
      <c r="GV3350" s="155"/>
      <c r="GW3350" s="155"/>
      <c r="GX3350" s="155"/>
      <c r="GY3350" s="155"/>
      <c r="GZ3350" s="155"/>
      <c r="HA3350" s="155"/>
      <c r="HB3350" s="155"/>
      <c r="HC3350" s="155"/>
      <c r="HD3350" s="155"/>
      <c r="HE3350" s="155"/>
    </row>
    <row r="3351" spans="2:213" s="156" customFormat="1" hidden="1">
      <c r="B3351" s="155"/>
      <c r="C3351" s="155"/>
      <c r="D3351" s="155"/>
      <c r="E3351" s="155"/>
      <c r="F3351" s="155"/>
      <c r="G3351" s="155"/>
      <c r="H3351" s="155"/>
      <c r="I3351" s="155"/>
      <c r="J3351" s="155"/>
      <c r="K3351" s="155"/>
      <c r="L3351" s="155"/>
      <c r="M3351" s="155"/>
      <c r="N3351" s="155"/>
      <c r="O3351" s="155"/>
      <c r="P3351" s="155"/>
      <c r="Q3351" s="155"/>
      <c r="R3351" s="155"/>
      <c r="S3351" s="155"/>
      <c r="T3351" s="155"/>
      <c r="U3351" s="155"/>
      <c r="V3351" s="155"/>
      <c r="W3351" s="155"/>
      <c r="GL3351" s="155"/>
      <c r="GM3351" s="155"/>
      <c r="GN3351" s="155"/>
      <c r="GO3351" s="155"/>
      <c r="GP3351" s="155"/>
      <c r="GQ3351" s="155"/>
      <c r="GR3351" s="155"/>
      <c r="GS3351" s="155"/>
      <c r="GT3351" s="155"/>
      <c r="GU3351" s="155"/>
      <c r="GV3351" s="155"/>
      <c r="GW3351" s="155"/>
      <c r="GX3351" s="155"/>
      <c r="GY3351" s="155"/>
      <c r="GZ3351" s="155"/>
      <c r="HA3351" s="155"/>
      <c r="HB3351" s="155"/>
      <c r="HC3351" s="155"/>
      <c r="HD3351" s="155"/>
      <c r="HE3351" s="155"/>
    </row>
    <row r="3352" spans="2:213" s="156" customFormat="1" hidden="1">
      <c r="B3352" s="155"/>
      <c r="C3352" s="155"/>
      <c r="D3352" s="155"/>
      <c r="E3352" s="155"/>
      <c r="F3352" s="155"/>
      <c r="G3352" s="155"/>
      <c r="H3352" s="155"/>
      <c r="I3352" s="155"/>
      <c r="J3352" s="155"/>
      <c r="K3352" s="155"/>
      <c r="L3352" s="155"/>
      <c r="M3352" s="155"/>
      <c r="N3352" s="155"/>
      <c r="O3352" s="155"/>
      <c r="P3352" s="155"/>
      <c r="Q3352" s="155"/>
      <c r="R3352" s="155"/>
      <c r="S3352" s="155"/>
      <c r="T3352" s="155"/>
      <c r="U3352" s="155"/>
      <c r="V3352" s="155"/>
      <c r="W3352" s="155"/>
      <c r="GL3352" s="155"/>
      <c r="GM3352" s="155"/>
      <c r="GN3352" s="155"/>
      <c r="GO3352" s="155"/>
      <c r="GP3352" s="155"/>
      <c r="GQ3352" s="155"/>
      <c r="GR3352" s="155"/>
      <c r="GS3352" s="155"/>
      <c r="GT3352" s="155"/>
      <c r="GU3352" s="155"/>
      <c r="GV3352" s="155"/>
      <c r="GW3352" s="155"/>
      <c r="GX3352" s="155"/>
      <c r="GY3352" s="155"/>
      <c r="GZ3352" s="155"/>
      <c r="HA3352" s="155"/>
      <c r="HB3352" s="155"/>
      <c r="HC3352" s="155"/>
      <c r="HD3352" s="155"/>
      <c r="HE3352" s="155"/>
    </row>
    <row r="3353" spans="2:213" s="156" customFormat="1" hidden="1">
      <c r="B3353" s="155"/>
      <c r="C3353" s="155"/>
      <c r="D3353" s="155"/>
      <c r="E3353" s="155"/>
      <c r="F3353" s="155"/>
      <c r="G3353" s="155"/>
      <c r="H3353" s="155"/>
      <c r="I3353" s="155"/>
      <c r="J3353" s="155"/>
      <c r="K3353" s="155"/>
      <c r="L3353" s="155"/>
      <c r="M3353" s="155"/>
      <c r="N3353" s="155"/>
      <c r="O3353" s="155"/>
      <c r="P3353" s="155"/>
      <c r="Q3353" s="155"/>
      <c r="R3353" s="155"/>
      <c r="S3353" s="155"/>
      <c r="T3353" s="155"/>
      <c r="U3353" s="155"/>
      <c r="V3353" s="155"/>
      <c r="W3353" s="155"/>
      <c r="GL3353" s="155"/>
      <c r="GM3353" s="155"/>
      <c r="GN3353" s="155"/>
      <c r="GO3353" s="155"/>
      <c r="GP3353" s="155"/>
      <c r="GQ3353" s="155"/>
      <c r="GR3353" s="155"/>
      <c r="GS3353" s="155"/>
      <c r="GT3353" s="155"/>
      <c r="GU3353" s="155"/>
      <c r="GV3353" s="155"/>
      <c r="GW3353" s="155"/>
      <c r="GX3353" s="155"/>
      <c r="GY3353" s="155"/>
      <c r="GZ3353" s="155"/>
      <c r="HA3353" s="155"/>
      <c r="HB3353" s="155"/>
      <c r="HC3353" s="155"/>
      <c r="HD3353" s="155"/>
      <c r="HE3353" s="155"/>
    </row>
    <row r="3354" spans="2:213" s="156" customFormat="1" hidden="1">
      <c r="B3354" s="155"/>
      <c r="C3354" s="155"/>
      <c r="D3354" s="155"/>
      <c r="E3354" s="155"/>
      <c r="F3354" s="155"/>
      <c r="G3354" s="155"/>
      <c r="H3354" s="155"/>
      <c r="I3354" s="155"/>
      <c r="J3354" s="155"/>
      <c r="K3354" s="155"/>
      <c r="L3354" s="155"/>
      <c r="M3354" s="155"/>
      <c r="N3354" s="155"/>
      <c r="O3354" s="155"/>
      <c r="P3354" s="155"/>
      <c r="Q3354" s="155"/>
      <c r="R3354" s="155"/>
      <c r="S3354" s="155"/>
      <c r="T3354" s="155"/>
      <c r="U3354" s="155"/>
      <c r="V3354" s="155"/>
      <c r="W3354" s="155"/>
      <c r="GL3354" s="155"/>
      <c r="GM3354" s="155"/>
      <c r="GN3354" s="155"/>
      <c r="GO3354" s="155"/>
      <c r="GP3354" s="155"/>
      <c r="GQ3354" s="155"/>
      <c r="GR3354" s="155"/>
      <c r="GS3354" s="155"/>
      <c r="GT3354" s="155"/>
      <c r="GU3354" s="155"/>
      <c r="GV3354" s="155"/>
      <c r="GW3354" s="155"/>
      <c r="GX3354" s="155"/>
      <c r="GY3354" s="155"/>
      <c r="GZ3354" s="155"/>
      <c r="HA3354" s="155"/>
      <c r="HB3354" s="155"/>
      <c r="HC3354" s="155"/>
      <c r="HD3354" s="155"/>
      <c r="HE3354" s="155"/>
    </row>
    <row r="3355" spans="2:213" s="156" customFormat="1" hidden="1">
      <c r="B3355" s="155"/>
      <c r="C3355" s="155"/>
      <c r="D3355" s="155"/>
      <c r="E3355" s="155"/>
      <c r="F3355" s="155"/>
      <c r="G3355" s="155"/>
      <c r="H3355" s="155"/>
      <c r="I3355" s="155"/>
      <c r="J3355" s="155"/>
      <c r="K3355" s="155"/>
      <c r="L3355" s="155"/>
      <c r="M3355" s="155"/>
      <c r="N3355" s="155"/>
      <c r="O3355" s="155"/>
      <c r="P3355" s="155"/>
      <c r="Q3355" s="155"/>
      <c r="R3355" s="155"/>
      <c r="S3355" s="155"/>
      <c r="T3355" s="155"/>
      <c r="U3355" s="155"/>
      <c r="V3355" s="155"/>
      <c r="W3355" s="155"/>
      <c r="GL3355" s="155"/>
      <c r="GM3355" s="155"/>
      <c r="GN3355" s="155"/>
      <c r="GO3355" s="155"/>
      <c r="GP3355" s="155"/>
      <c r="GQ3355" s="155"/>
      <c r="GR3355" s="155"/>
      <c r="GS3355" s="155"/>
      <c r="GT3355" s="155"/>
      <c r="GU3355" s="155"/>
      <c r="GV3355" s="155"/>
      <c r="GW3355" s="155"/>
      <c r="GX3355" s="155"/>
      <c r="GY3355" s="155"/>
      <c r="GZ3355" s="155"/>
      <c r="HA3355" s="155"/>
      <c r="HB3355" s="155"/>
      <c r="HC3355" s="155"/>
      <c r="HD3355" s="155"/>
      <c r="HE3355" s="155"/>
    </row>
    <row r="3356" spans="2:213" s="156" customFormat="1" hidden="1">
      <c r="B3356" s="155"/>
      <c r="C3356" s="155"/>
      <c r="D3356" s="155"/>
      <c r="E3356" s="155"/>
      <c r="F3356" s="155"/>
      <c r="G3356" s="155"/>
      <c r="H3356" s="155"/>
      <c r="I3356" s="155"/>
      <c r="J3356" s="155"/>
      <c r="K3356" s="155"/>
      <c r="L3356" s="155"/>
      <c r="M3356" s="155"/>
      <c r="N3356" s="155"/>
      <c r="O3356" s="155"/>
      <c r="P3356" s="155"/>
      <c r="Q3356" s="155"/>
      <c r="R3356" s="155"/>
      <c r="S3356" s="155"/>
      <c r="T3356" s="155"/>
      <c r="U3356" s="155"/>
      <c r="V3356" s="155"/>
      <c r="W3356" s="155"/>
      <c r="GL3356" s="155"/>
      <c r="GM3356" s="155"/>
      <c r="GN3356" s="155"/>
      <c r="GO3356" s="155"/>
      <c r="GP3356" s="155"/>
      <c r="GQ3356" s="155"/>
      <c r="GR3356" s="155"/>
      <c r="GS3356" s="155"/>
      <c r="GT3356" s="155"/>
      <c r="GU3356" s="155"/>
      <c r="GV3356" s="155"/>
      <c r="GW3356" s="155"/>
      <c r="GX3356" s="155"/>
      <c r="GY3356" s="155"/>
      <c r="GZ3356" s="155"/>
      <c r="HA3356" s="155"/>
      <c r="HB3356" s="155"/>
      <c r="HC3356" s="155"/>
      <c r="HD3356" s="155"/>
      <c r="HE3356" s="155"/>
    </row>
    <row r="3357" spans="2:213" s="156" customFormat="1" hidden="1">
      <c r="B3357" s="155"/>
      <c r="C3357" s="155"/>
      <c r="D3357" s="155"/>
      <c r="E3357" s="155"/>
      <c r="F3357" s="155"/>
      <c r="G3357" s="155"/>
      <c r="H3357" s="155"/>
      <c r="I3357" s="155"/>
      <c r="J3357" s="155"/>
      <c r="K3357" s="155"/>
      <c r="L3357" s="155"/>
      <c r="M3357" s="155"/>
      <c r="N3357" s="155"/>
      <c r="O3357" s="155"/>
      <c r="P3357" s="155"/>
      <c r="Q3357" s="155"/>
      <c r="R3357" s="155"/>
      <c r="S3357" s="155"/>
      <c r="T3357" s="155"/>
      <c r="U3357" s="155"/>
      <c r="V3357" s="155"/>
      <c r="W3357" s="155"/>
      <c r="GL3357" s="155"/>
      <c r="GM3357" s="155"/>
      <c r="GN3357" s="155"/>
      <c r="GO3357" s="155"/>
      <c r="GP3357" s="155"/>
      <c r="GQ3357" s="155"/>
      <c r="GR3357" s="155"/>
      <c r="GS3357" s="155"/>
      <c r="GT3357" s="155"/>
      <c r="GU3357" s="155"/>
      <c r="GV3357" s="155"/>
      <c r="GW3357" s="155"/>
      <c r="GX3357" s="155"/>
      <c r="GY3357" s="155"/>
      <c r="GZ3357" s="155"/>
      <c r="HA3357" s="155"/>
      <c r="HB3357" s="155"/>
      <c r="HC3357" s="155"/>
      <c r="HD3357" s="155"/>
      <c r="HE3357" s="155"/>
    </row>
    <row r="3358" spans="2:213" s="156" customFormat="1" hidden="1">
      <c r="B3358" s="155"/>
      <c r="C3358" s="155"/>
      <c r="D3358" s="155"/>
      <c r="E3358" s="155"/>
      <c r="F3358" s="155"/>
      <c r="G3358" s="155"/>
      <c r="H3358" s="155"/>
      <c r="I3358" s="155"/>
      <c r="J3358" s="155"/>
      <c r="K3358" s="155"/>
      <c r="L3358" s="155"/>
      <c r="M3358" s="155"/>
      <c r="N3358" s="155"/>
      <c r="O3358" s="155"/>
      <c r="P3358" s="155"/>
      <c r="Q3358" s="155"/>
      <c r="R3358" s="155"/>
      <c r="S3358" s="155"/>
      <c r="T3358" s="155"/>
      <c r="U3358" s="155"/>
      <c r="V3358" s="155"/>
      <c r="W3358" s="155"/>
      <c r="GL3358" s="155"/>
      <c r="GM3358" s="155"/>
      <c r="GN3358" s="155"/>
      <c r="GO3358" s="155"/>
      <c r="GP3358" s="155"/>
      <c r="GQ3358" s="155"/>
      <c r="GR3358" s="155"/>
      <c r="GS3358" s="155"/>
      <c r="GT3358" s="155"/>
      <c r="GU3358" s="155"/>
      <c r="GV3358" s="155"/>
      <c r="GW3358" s="155"/>
      <c r="GX3358" s="155"/>
      <c r="GY3358" s="155"/>
      <c r="GZ3358" s="155"/>
      <c r="HA3358" s="155"/>
      <c r="HB3358" s="155"/>
      <c r="HC3358" s="155"/>
      <c r="HD3358" s="155"/>
      <c r="HE3358" s="155"/>
    </row>
    <row r="3359" spans="2:213" s="156" customFormat="1" hidden="1">
      <c r="B3359" s="155"/>
      <c r="C3359" s="155"/>
      <c r="D3359" s="155"/>
      <c r="E3359" s="155"/>
      <c r="F3359" s="155"/>
      <c r="G3359" s="155"/>
      <c r="H3359" s="155"/>
      <c r="I3359" s="155"/>
      <c r="J3359" s="155"/>
      <c r="K3359" s="155"/>
      <c r="L3359" s="155"/>
      <c r="M3359" s="155"/>
      <c r="N3359" s="155"/>
      <c r="O3359" s="155"/>
      <c r="P3359" s="155"/>
      <c r="Q3359" s="155"/>
      <c r="R3359" s="155"/>
      <c r="S3359" s="155"/>
      <c r="T3359" s="155"/>
      <c r="U3359" s="155"/>
      <c r="V3359" s="155"/>
      <c r="W3359" s="155"/>
      <c r="GL3359" s="155"/>
      <c r="GM3359" s="155"/>
      <c r="GN3359" s="155"/>
      <c r="GO3359" s="155"/>
      <c r="GP3359" s="155"/>
      <c r="GQ3359" s="155"/>
      <c r="GR3359" s="155"/>
      <c r="GS3359" s="155"/>
      <c r="GT3359" s="155"/>
      <c r="GU3359" s="155"/>
      <c r="GV3359" s="155"/>
      <c r="GW3359" s="155"/>
      <c r="GX3359" s="155"/>
      <c r="GY3359" s="155"/>
      <c r="GZ3359" s="155"/>
      <c r="HA3359" s="155"/>
      <c r="HB3359" s="155"/>
      <c r="HC3359" s="155"/>
      <c r="HD3359" s="155"/>
      <c r="HE3359" s="155"/>
    </row>
    <row r="3360" spans="2:213" s="156" customFormat="1" hidden="1">
      <c r="B3360" s="155"/>
      <c r="C3360" s="155"/>
      <c r="D3360" s="155"/>
      <c r="E3360" s="155"/>
      <c r="F3360" s="155"/>
      <c r="G3360" s="155"/>
      <c r="H3360" s="155"/>
      <c r="I3360" s="155"/>
      <c r="J3360" s="155"/>
      <c r="K3360" s="155"/>
      <c r="L3360" s="155"/>
      <c r="M3360" s="155"/>
      <c r="N3360" s="155"/>
      <c r="O3360" s="155"/>
      <c r="P3360" s="155"/>
      <c r="Q3360" s="155"/>
      <c r="R3360" s="155"/>
      <c r="S3360" s="155"/>
      <c r="T3360" s="155"/>
      <c r="U3360" s="155"/>
      <c r="V3360" s="155"/>
      <c r="W3360" s="155"/>
      <c r="GL3360" s="155"/>
      <c r="GM3360" s="155"/>
      <c r="GN3360" s="155"/>
      <c r="GO3360" s="155"/>
      <c r="GP3360" s="155"/>
      <c r="GQ3360" s="155"/>
      <c r="GR3360" s="155"/>
      <c r="GS3360" s="155"/>
      <c r="GT3360" s="155"/>
      <c r="GU3360" s="155"/>
      <c r="GV3360" s="155"/>
      <c r="GW3360" s="155"/>
      <c r="GX3360" s="155"/>
      <c r="GY3360" s="155"/>
      <c r="GZ3360" s="155"/>
      <c r="HA3360" s="155"/>
      <c r="HB3360" s="155"/>
      <c r="HC3360" s="155"/>
      <c r="HD3360" s="155"/>
      <c r="HE3360" s="155"/>
    </row>
    <row r="3361" spans="2:213" s="156" customFormat="1" hidden="1">
      <c r="B3361" s="155"/>
      <c r="C3361" s="155"/>
      <c r="D3361" s="155"/>
      <c r="E3361" s="155"/>
      <c r="F3361" s="155"/>
      <c r="G3361" s="155"/>
      <c r="H3361" s="155"/>
      <c r="I3361" s="155"/>
      <c r="J3361" s="155"/>
      <c r="K3361" s="155"/>
      <c r="L3361" s="155"/>
      <c r="M3361" s="155"/>
      <c r="N3361" s="155"/>
      <c r="O3361" s="155"/>
      <c r="P3361" s="155"/>
      <c r="Q3361" s="155"/>
      <c r="R3361" s="155"/>
      <c r="S3361" s="155"/>
      <c r="T3361" s="155"/>
      <c r="U3361" s="155"/>
      <c r="V3361" s="155"/>
      <c r="W3361" s="155"/>
      <c r="GL3361" s="155"/>
      <c r="GM3361" s="155"/>
      <c r="GN3361" s="155"/>
      <c r="GO3361" s="155"/>
      <c r="GP3361" s="155"/>
      <c r="GQ3361" s="155"/>
      <c r="GR3361" s="155"/>
      <c r="GS3361" s="155"/>
      <c r="GT3361" s="155"/>
      <c r="GU3361" s="155"/>
      <c r="GV3361" s="155"/>
      <c r="GW3361" s="155"/>
      <c r="GX3361" s="155"/>
      <c r="GY3361" s="155"/>
      <c r="GZ3361" s="155"/>
      <c r="HA3361" s="155"/>
      <c r="HB3361" s="155"/>
      <c r="HC3361" s="155"/>
      <c r="HD3361" s="155"/>
      <c r="HE3361" s="155"/>
    </row>
    <row r="3362" spans="2:213" s="156" customFormat="1" hidden="1">
      <c r="B3362" s="155"/>
      <c r="C3362" s="155"/>
      <c r="D3362" s="155"/>
      <c r="E3362" s="155"/>
      <c r="F3362" s="155"/>
      <c r="G3362" s="155"/>
      <c r="H3362" s="155"/>
      <c r="I3362" s="155"/>
      <c r="J3362" s="155"/>
      <c r="K3362" s="155"/>
      <c r="L3362" s="155"/>
      <c r="M3362" s="155"/>
      <c r="N3362" s="155"/>
      <c r="O3362" s="155"/>
      <c r="P3362" s="155"/>
      <c r="Q3362" s="155"/>
      <c r="R3362" s="155"/>
      <c r="S3362" s="155"/>
      <c r="T3362" s="155"/>
      <c r="U3362" s="155"/>
      <c r="V3362" s="155"/>
      <c r="W3362" s="155"/>
      <c r="GL3362" s="155"/>
      <c r="GM3362" s="155"/>
      <c r="GN3362" s="155"/>
      <c r="GO3362" s="155"/>
      <c r="GP3362" s="155"/>
      <c r="GQ3362" s="155"/>
      <c r="GR3362" s="155"/>
      <c r="GS3362" s="155"/>
      <c r="GT3362" s="155"/>
      <c r="GU3362" s="155"/>
      <c r="GV3362" s="155"/>
      <c r="GW3362" s="155"/>
      <c r="GX3362" s="155"/>
      <c r="GY3362" s="155"/>
      <c r="GZ3362" s="155"/>
      <c r="HA3362" s="155"/>
      <c r="HB3362" s="155"/>
      <c r="HC3362" s="155"/>
      <c r="HD3362" s="155"/>
      <c r="HE3362" s="155"/>
    </row>
    <row r="3363" spans="2:213" s="156" customFormat="1" hidden="1">
      <c r="B3363" s="155"/>
      <c r="C3363" s="155"/>
      <c r="D3363" s="155"/>
      <c r="E3363" s="155"/>
      <c r="F3363" s="155"/>
      <c r="G3363" s="155"/>
      <c r="H3363" s="155"/>
      <c r="I3363" s="155"/>
      <c r="J3363" s="155"/>
      <c r="K3363" s="155"/>
      <c r="L3363" s="155"/>
      <c r="M3363" s="155"/>
      <c r="N3363" s="155"/>
      <c r="O3363" s="155"/>
      <c r="P3363" s="155"/>
      <c r="Q3363" s="155"/>
      <c r="R3363" s="155"/>
      <c r="S3363" s="155"/>
      <c r="T3363" s="155"/>
      <c r="U3363" s="155"/>
      <c r="V3363" s="155"/>
      <c r="W3363" s="155"/>
      <c r="GL3363" s="155"/>
      <c r="GM3363" s="155"/>
      <c r="GN3363" s="155"/>
      <c r="GO3363" s="155"/>
      <c r="GP3363" s="155"/>
      <c r="GQ3363" s="155"/>
      <c r="GR3363" s="155"/>
      <c r="GS3363" s="155"/>
      <c r="GT3363" s="155"/>
      <c r="GU3363" s="155"/>
      <c r="GV3363" s="155"/>
      <c r="GW3363" s="155"/>
      <c r="GX3363" s="155"/>
      <c r="GY3363" s="155"/>
      <c r="GZ3363" s="155"/>
      <c r="HA3363" s="155"/>
      <c r="HB3363" s="155"/>
      <c r="HC3363" s="155"/>
      <c r="HD3363" s="155"/>
      <c r="HE3363" s="155"/>
    </row>
    <row r="3364" spans="2:213" s="156" customFormat="1" hidden="1">
      <c r="B3364" s="155"/>
      <c r="C3364" s="155"/>
      <c r="D3364" s="155"/>
      <c r="E3364" s="155"/>
      <c r="F3364" s="155"/>
      <c r="G3364" s="155"/>
      <c r="H3364" s="155"/>
      <c r="I3364" s="155"/>
      <c r="J3364" s="155"/>
      <c r="K3364" s="155"/>
      <c r="L3364" s="155"/>
      <c r="M3364" s="155"/>
      <c r="N3364" s="155"/>
      <c r="O3364" s="155"/>
      <c r="P3364" s="155"/>
      <c r="Q3364" s="155"/>
      <c r="R3364" s="155"/>
      <c r="S3364" s="155"/>
      <c r="T3364" s="155"/>
      <c r="U3364" s="155"/>
      <c r="V3364" s="155"/>
      <c r="W3364" s="155"/>
      <c r="GL3364" s="155"/>
      <c r="GM3364" s="155"/>
      <c r="GN3364" s="155"/>
      <c r="GO3364" s="155"/>
      <c r="GP3364" s="155"/>
      <c r="GQ3364" s="155"/>
      <c r="GR3364" s="155"/>
      <c r="GS3364" s="155"/>
      <c r="GT3364" s="155"/>
      <c r="GU3364" s="155"/>
      <c r="GV3364" s="155"/>
      <c r="GW3364" s="155"/>
      <c r="GX3364" s="155"/>
      <c r="GY3364" s="155"/>
      <c r="GZ3364" s="155"/>
      <c r="HA3364" s="155"/>
      <c r="HB3364" s="155"/>
      <c r="HC3364" s="155"/>
      <c r="HD3364" s="155"/>
      <c r="HE3364" s="155"/>
    </row>
    <row r="3365" spans="2:213" s="156" customFormat="1" hidden="1">
      <c r="B3365" s="155"/>
      <c r="C3365" s="155"/>
      <c r="D3365" s="155"/>
      <c r="E3365" s="155"/>
      <c r="F3365" s="155"/>
      <c r="G3365" s="155"/>
      <c r="H3365" s="155"/>
      <c r="I3365" s="155"/>
      <c r="J3365" s="155"/>
      <c r="K3365" s="155"/>
      <c r="L3365" s="155"/>
      <c r="M3365" s="155"/>
      <c r="N3365" s="155"/>
      <c r="O3365" s="155"/>
      <c r="P3365" s="155"/>
      <c r="Q3365" s="155"/>
      <c r="R3365" s="155"/>
      <c r="S3365" s="155"/>
      <c r="T3365" s="155"/>
      <c r="U3365" s="155"/>
      <c r="V3365" s="155"/>
      <c r="W3365" s="155"/>
      <c r="GL3365" s="155"/>
      <c r="GM3365" s="155"/>
      <c r="GN3365" s="155"/>
      <c r="GO3365" s="155"/>
      <c r="GP3365" s="155"/>
      <c r="GQ3365" s="155"/>
      <c r="GR3365" s="155"/>
      <c r="GS3365" s="155"/>
      <c r="GT3365" s="155"/>
      <c r="GU3365" s="155"/>
      <c r="GV3365" s="155"/>
      <c r="GW3365" s="155"/>
      <c r="GX3365" s="155"/>
      <c r="GY3365" s="155"/>
      <c r="GZ3365" s="155"/>
      <c r="HA3365" s="155"/>
      <c r="HB3365" s="155"/>
      <c r="HC3365" s="155"/>
      <c r="HD3365" s="155"/>
      <c r="HE3365" s="155"/>
    </row>
    <row r="3366" spans="2:213" s="156" customFormat="1" hidden="1">
      <c r="B3366" s="155"/>
      <c r="C3366" s="155"/>
      <c r="D3366" s="155"/>
      <c r="E3366" s="155"/>
      <c r="F3366" s="155"/>
      <c r="G3366" s="155"/>
      <c r="H3366" s="155"/>
      <c r="I3366" s="155"/>
      <c r="J3366" s="155"/>
      <c r="K3366" s="155"/>
      <c r="L3366" s="155"/>
      <c r="M3366" s="155"/>
      <c r="N3366" s="155"/>
      <c r="O3366" s="155"/>
      <c r="P3366" s="155"/>
      <c r="Q3366" s="155"/>
      <c r="R3366" s="155"/>
      <c r="S3366" s="155"/>
      <c r="T3366" s="155"/>
      <c r="U3366" s="155"/>
      <c r="V3366" s="155"/>
      <c r="W3366" s="155"/>
      <c r="GL3366" s="155"/>
      <c r="GM3366" s="155"/>
      <c r="GN3366" s="155"/>
      <c r="GO3366" s="155"/>
      <c r="GP3366" s="155"/>
      <c r="GQ3366" s="155"/>
      <c r="GR3366" s="155"/>
      <c r="GS3366" s="155"/>
      <c r="GT3366" s="155"/>
      <c r="GU3366" s="155"/>
      <c r="GV3366" s="155"/>
      <c r="GW3366" s="155"/>
      <c r="GX3366" s="155"/>
      <c r="GY3366" s="155"/>
      <c r="GZ3366" s="155"/>
      <c r="HA3366" s="155"/>
      <c r="HB3366" s="155"/>
      <c r="HC3366" s="155"/>
      <c r="HD3366" s="155"/>
      <c r="HE3366" s="155"/>
    </row>
    <row r="3367" spans="2:213" s="156" customFormat="1" hidden="1">
      <c r="B3367" s="155"/>
      <c r="C3367" s="155"/>
      <c r="D3367" s="155"/>
      <c r="E3367" s="155"/>
      <c r="F3367" s="155"/>
      <c r="G3367" s="155"/>
      <c r="H3367" s="155"/>
      <c r="I3367" s="155"/>
      <c r="J3367" s="155"/>
      <c r="K3367" s="155"/>
      <c r="L3367" s="155"/>
      <c r="M3367" s="155"/>
      <c r="N3367" s="155"/>
      <c r="O3367" s="155"/>
      <c r="P3367" s="155"/>
      <c r="Q3367" s="155"/>
      <c r="R3367" s="155"/>
      <c r="S3367" s="155"/>
      <c r="T3367" s="155"/>
      <c r="U3367" s="155"/>
      <c r="V3367" s="155"/>
      <c r="W3367" s="155"/>
      <c r="GL3367" s="155"/>
      <c r="GM3367" s="155"/>
      <c r="GN3367" s="155"/>
      <c r="GO3367" s="155"/>
      <c r="GP3367" s="155"/>
      <c r="GQ3367" s="155"/>
      <c r="GR3367" s="155"/>
      <c r="GS3367" s="155"/>
      <c r="GT3367" s="155"/>
      <c r="GU3367" s="155"/>
      <c r="GV3367" s="155"/>
      <c r="GW3367" s="155"/>
      <c r="GX3367" s="155"/>
      <c r="GY3367" s="155"/>
      <c r="GZ3367" s="155"/>
      <c r="HA3367" s="155"/>
      <c r="HB3367" s="155"/>
      <c r="HC3367" s="155"/>
      <c r="HD3367" s="155"/>
      <c r="HE3367" s="155"/>
    </row>
    <row r="3368" spans="2:213" s="156" customFormat="1" hidden="1">
      <c r="B3368" s="155"/>
      <c r="C3368" s="155"/>
      <c r="D3368" s="155"/>
      <c r="E3368" s="155"/>
      <c r="F3368" s="155"/>
      <c r="G3368" s="155"/>
      <c r="H3368" s="155"/>
      <c r="I3368" s="155"/>
      <c r="J3368" s="155"/>
      <c r="K3368" s="155"/>
      <c r="L3368" s="155"/>
      <c r="M3368" s="155"/>
      <c r="N3368" s="155"/>
      <c r="O3368" s="155"/>
      <c r="P3368" s="155"/>
      <c r="Q3368" s="155"/>
      <c r="R3368" s="155"/>
      <c r="S3368" s="155"/>
      <c r="T3368" s="155"/>
      <c r="U3368" s="155"/>
      <c r="V3368" s="155"/>
      <c r="W3368" s="155"/>
      <c r="GL3368" s="155"/>
      <c r="GM3368" s="155"/>
      <c r="GN3368" s="155"/>
      <c r="GO3368" s="155"/>
      <c r="GP3368" s="155"/>
      <c r="GQ3368" s="155"/>
      <c r="GR3368" s="155"/>
      <c r="GS3368" s="155"/>
      <c r="GT3368" s="155"/>
      <c r="GU3368" s="155"/>
      <c r="GV3368" s="155"/>
      <c r="GW3368" s="155"/>
      <c r="GX3368" s="155"/>
      <c r="GY3368" s="155"/>
      <c r="GZ3368" s="155"/>
      <c r="HA3368" s="155"/>
      <c r="HB3368" s="155"/>
      <c r="HC3368" s="155"/>
      <c r="HD3368" s="155"/>
      <c r="HE3368" s="155"/>
    </row>
    <row r="3369" spans="2:213" s="156" customFormat="1" hidden="1">
      <c r="B3369" s="155"/>
      <c r="C3369" s="155"/>
      <c r="D3369" s="155"/>
      <c r="E3369" s="155"/>
      <c r="F3369" s="155"/>
      <c r="G3369" s="155"/>
      <c r="H3369" s="155"/>
      <c r="I3369" s="155"/>
      <c r="J3369" s="155"/>
      <c r="K3369" s="155"/>
      <c r="L3369" s="155"/>
      <c r="M3369" s="155"/>
      <c r="N3369" s="155"/>
      <c r="O3369" s="155"/>
      <c r="P3369" s="155"/>
      <c r="Q3369" s="155"/>
      <c r="R3369" s="155"/>
      <c r="S3369" s="155"/>
      <c r="T3369" s="155"/>
      <c r="U3369" s="155"/>
      <c r="V3369" s="155"/>
      <c r="W3369" s="155"/>
      <c r="GL3369" s="155"/>
      <c r="GM3369" s="155"/>
      <c r="GN3369" s="155"/>
      <c r="GO3369" s="155"/>
      <c r="GP3369" s="155"/>
      <c r="GQ3369" s="155"/>
      <c r="GR3369" s="155"/>
      <c r="GS3369" s="155"/>
      <c r="GT3369" s="155"/>
      <c r="GU3369" s="155"/>
      <c r="GV3369" s="155"/>
      <c r="GW3369" s="155"/>
      <c r="GX3369" s="155"/>
      <c r="GY3369" s="155"/>
      <c r="GZ3369" s="155"/>
      <c r="HA3369" s="155"/>
      <c r="HB3369" s="155"/>
      <c r="HC3369" s="155"/>
      <c r="HD3369" s="155"/>
      <c r="HE3369" s="155"/>
    </row>
    <row r="3370" spans="2:213" s="156" customFormat="1" hidden="1">
      <c r="B3370" s="155"/>
      <c r="C3370" s="155"/>
      <c r="D3370" s="155"/>
      <c r="E3370" s="155"/>
      <c r="F3370" s="155"/>
      <c r="G3370" s="155"/>
      <c r="H3370" s="155"/>
      <c r="I3370" s="155"/>
      <c r="J3370" s="155"/>
      <c r="K3370" s="155"/>
      <c r="L3370" s="155"/>
      <c r="M3370" s="155"/>
      <c r="N3370" s="155"/>
      <c r="O3370" s="155"/>
      <c r="P3370" s="155"/>
      <c r="Q3370" s="155"/>
      <c r="R3370" s="155"/>
      <c r="S3370" s="155"/>
      <c r="T3370" s="155"/>
      <c r="U3370" s="155"/>
      <c r="V3370" s="155"/>
      <c r="W3370" s="155"/>
      <c r="GL3370" s="155"/>
      <c r="GM3370" s="155"/>
      <c r="GN3370" s="155"/>
      <c r="GO3370" s="155"/>
      <c r="GP3370" s="155"/>
      <c r="GQ3370" s="155"/>
      <c r="GR3370" s="155"/>
      <c r="GS3370" s="155"/>
      <c r="GT3370" s="155"/>
      <c r="GU3370" s="155"/>
      <c r="GV3370" s="155"/>
      <c r="GW3370" s="155"/>
      <c r="GX3370" s="155"/>
      <c r="GY3370" s="155"/>
      <c r="GZ3370" s="155"/>
      <c r="HA3370" s="155"/>
      <c r="HB3370" s="155"/>
      <c r="HC3370" s="155"/>
      <c r="HD3370" s="155"/>
      <c r="HE3370" s="155"/>
    </row>
    <row r="3371" spans="2:213" s="156" customFormat="1" hidden="1">
      <c r="B3371" s="155"/>
      <c r="C3371" s="155"/>
      <c r="D3371" s="155"/>
      <c r="E3371" s="155"/>
      <c r="F3371" s="155"/>
      <c r="G3371" s="155"/>
      <c r="H3371" s="155"/>
      <c r="I3371" s="155"/>
      <c r="J3371" s="155"/>
      <c r="K3371" s="155"/>
      <c r="L3371" s="155"/>
      <c r="M3371" s="155"/>
      <c r="N3371" s="155"/>
      <c r="O3371" s="155"/>
      <c r="P3371" s="155"/>
      <c r="Q3371" s="155"/>
      <c r="R3371" s="155"/>
      <c r="S3371" s="155"/>
      <c r="T3371" s="155"/>
      <c r="U3371" s="155"/>
      <c r="V3371" s="155"/>
      <c r="W3371" s="155"/>
      <c r="GL3371" s="155"/>
      <c r="GM3371" s="155"/>
      <c r="GN3371" s="155"/>
      <c r="GO3371" s="155"/>
      <c r="GP3371" s="155"/>
      <c r="GQ3371" s="155"/>
      <c r="GR3371" s="155"/>
      <c r="GS3371" s="155"/>
      <c r="GT3371" s="155"/>
      <c r="GU3371" s="155"/>
      <c r="GV3371" s="155"/>
      <c r="GW3371" s="155"/>
      <c r="GX3371" s="155"/>
      <c r="GY3371" s="155"/>
      <c r="GZ3371" s="155"/>
      <c r="HA3371" s="155"/>
      <c r="HB3371" s="155"/>
      <c r="HC3371" s="155"/>
      <c r="HD3371" s="155"/>
      <c r="HE3371" s="155"/>
    </row>
    <row r="3372" spans="2:213" s="156" customFormat="1" hidden="1">
      <c r="B3372" s="155"/>
      <c r="C3372" s="155"/>
      <c r="D3372" s="155"/>
      <c r="E3372" s="155"/>
      <c r="F3372" s="155"/>
      <c r="G3372" s="155"/>
      <c r="H3372" s="155"/>
      <c r="I3372" s="155"/>
      <c r="J3372" s="155"/>
      <c r="K3372" s="155"/>
      <c r="L3372" s="155"/>
      <c r="M3372" s="155"/>
      <c r="N3372" s="155"/>
      <c r="O3372" s="155"/>
      <c r="P3372" s="155"/>
      <c r="Q3372" s="155"/>
      <c r="R3372" s="155"/>
      <c r="S3372" s="155"/>
      <c r="T3372" s="155"/>
      <c r="U3372" s="155"/>
      <c r="V3372" s="155"/>
      <c r="W3372" s="155"/>
      <c r="GL3372" s="155"/>
      <c r="GM3372" s="155"/>
      <c r="GN3372" s="155"/>
      <c r="GO3372" s="155"/>
      <c r="GP3372" s="155"/>
      <c r="GQ3372" s="155"/>
      <c r="GR3372" s="155"/>
      <c r="GS3372" s="155"/>
      <c r="GT3372" s="155"/>
      <c r="GU3372" s="155"/>
      <c r="GV3372" s="155"/>
      <c r="GW3372" s="155"/>
      <c r="GX3372" s="155"/>
      <c r="GY3372" s="155"/>
      <c r="GZ3372" s="155"/>
      <c r="HA3372" s="155"/>
      <c r="HB3372" s="155"/>
      <c r="HC3372" s="155"/>
      <c r="HD3372" s="155"/>
      <c r="HE3372" s="155"/>
    </row>
    <row r="3373" spans="2:213" s="156" customFormat="1" hidden="1">
      <c r="B3373" s="155"/>
      <c r="C3373" s="155"/>
      <c r="D3373" s="155"/>
      <c r="E3373" s="155"/>
      <c r="F3373" s="155"/>
      <c r="G3373" s="155"/>
      <c r="H3373" s="155"/>
      <c r="I3373" s="155"/>
      <c r="J3373" s="155"/>
      <c r="K3373" s="155"/>
      <c r="L3373" s="155"/>
      <c r="M3373" s="155"/>
      <c r="N3373" s="155"/>
      <c r="O3373" s="155"/>
      <c r="P3373" s="155"/>
      <c r="Q3373" s="155"/>
      <c r="R3373" s="155"/>
      <c r="S3373" s="155"/>
      <c r="T3373" s="155"/>
      <c r="U3373" s="155"/>
      <c r="V3373" s="155"/>
      <c r="W3373" s="155"/>
      <c r="GL3373" s="155"/>
      <c r="GM3373" s="155"/>
      <c r="GN3373" s="155"/>
      <c r="GO3373" s="155"/>
      <c r="GP3373" s="155"/>
      <c r="GQ3373" s="155"/>
      <c r="GR3373" s="155"/>
      <c r="GS3373" s="155"/>
      <c r="GT3373" s="155"/>
      <c r="GU3373" s="155"/>
      <c r="GV3373" s="155"/>
      <c r="GW3373" s="155"/>
      <c r="GX3373" s="155"/>
      <c r="GY3373" s="155"/>
      <c r="GZ3373" s="155"/>
      <c r="HA3373" s="155"/>
      <c r="HB3373" s="155"/>
      <c r="HC3373" s="155"/>
      <c r="HD3373" s="155"/>
      <c r="HE3373" s="155"/>
    </row>
    <row r="3374" spans="2:213" s="156" customFormat="1" hidden="1">
      <c r="B3374" s="155"/>
      <c r="C3374" s="155"/>
      <c r="D3374" s="155"/>
      <c r="E3374" s="155"/>
      <c r="F3374" s="155"/>
      <c r="G3374" s="155"/>
      <c r="H3374" s="155"/>
      <c r="I3374" s="155"/>
      <c r="J3374" s="155"/>
      <c r="K3374" s="155"/>
      <c r="L3374" s="155"/>
      <c r="M3374" s="155"/>
      <c r="N3374" s="155"/>
      <c r="O3374" s="155"/>
      <c r="P3374" s="155"/>
      <c r="Q3374" s="155"/>
      <c r="R3374" s="155"/>
      <c r="S3374" s="155"/>
      <c r="T3374" s="155"/>
      <c r="U3374" s="155"/>
      <c r="V3374" s="155"/>
      <c r="W3374" s="155"/>
      <c r="GL3374" s="155"/>
      <c r="GM3374" s="155"/>
      <c r="GN3374" s="155"/>
      <c r="GO3374" s="155"/>
      <c r="GP3374" s="155"/>
      <c r="GQ3374" s="155"/>
      <c r="GR3374" s="155"/>
      <c r="GS3374" s="155"/>
      <c r="GT3374" s="155"/>
      <c r="GU3374" s="155"/>
      <c r="GV3374" s="155"/>
      <c r="GW3374" s="155"/>
      <c r="GX3374" s="155"/>
      <c r="GY3374" s="155"/>
      <c r="GZ3374" s="155"/>
      <c r="HA3374" s="155"/>
      <c r="HB3374" s="155"/>
      <c r="HC3374" s="155"/>
      <c r="HD3374" s="155"/>
      <c r="HE3374" s="155"/>
    </row>
    <row r="3375" spans="2:213" s="156" customFormat="1" hidden="1">
      <c r="B3375" s="155"/>
      <c r="C3375" s="155"/>
      <c r="D3375" s="155"/>
      <c r="E3375" s="155"/>
      <c r="F3375" s="155"/>
      <c r="G3375" s="155"/>
      <c r="H3375" s="155"/>
      <c r="I3375" s="155"/>
      <c r="J3375" s="155"/>
      <c r="K3375" s="155"/>
      <c r="L3375" s="155"/>
      <c r="M3375" s="155"/>
      <c r="N3375" s="155"/>
      <c r="O3375" s="155"/>
      <c r="P3375" s="155"/>
      <c r="Q3375" s="155"/>
      <c r="R3375" s="155"/>
      <c r="S3375" s="155"/>
      <c r="T3375" s="155"/>
      <c r="U3375" s="155"/>
      <c r="V3375" s="155"/>
      <c r="W3375" s="155"/>
      <c r="GL3375" s="155"/>
      <c r="GM3375" s="155"/>
      <c r="GN3375" s="155"/>
      <c r="GO3375" s="155"/>
      <c r="GP3375" s="155"/>
      <c r="GQ3375" s="155"/>
      <c r="GR3375" s="155"/>
      <c r="GS3375" s="155"/>
      <c r="GT3375" s="155"/>
      <c r="GU3375" s="155"/>
      <c r="GV3375" s="155"/>
      <c r="GW3375" s="155"/>
      <c r="GX3375" s="155"/>
      <c r="GY3375" s="155"/>
      <c r="GZ3375" s="155"/>
      <c r="HA3375" s="155"/>
      <c r="HB3375" s="155"/>
      <c r="HC3375" s="155"/>
      <c r="HD3375" s="155"/>
      <c r="HE3375" s="155"/>
    </row>
    <row r="3376" spans="2:213" s="156" customFormat="1" hidden="1">
      <c r="B3376" s="155"/>
      <c r="C3376" s="155"/>
      <c r="D3376" s="155"/>
      <c r="E3376" s="155"/>
      <c r="F3376" s="155"/>
      <c r="G3376" s="155"/>
      <c r="H3376" s="155"/>
      <c r="I3376" s="155"/>
      <c r="J3376" s="155"/>
      <c r="K3376" s="155"/>
      <c r="L3376" s="155"/>
      <c r="M3376" s="155"/>
      <c r="N3376" s="155"/>
      <c r="O3376" s="155"/>
      <c r="P3376" s="155"/>
      <c r="Q3376" s="155"/>
      <c r="R3376" s="155"/>
      <c r="S3376" s="155"/>
      <c r="T3376" s="155"/>
      <c r="U3376" s="155"/>
      <c r="V3376" s="155"/>
      <c r="W3376" s="155"/>
      <c r="GL3376" s="155"/>
      <c r="GM3376" s="155"/>
      <c r="GN3376" s="155"/>
      <c r="GO3376" s="155"/>
      <c r="GP3376" s="155"/>
      <c r="GQ3376" s="155"/>
      <c r="GR3376" s="155"/>
      <c r="GS3376" s="155"/>
      <c r="GT3376" s="155"/>
      <c r="GU3376" s="155"/>
      <c r="GV3376" s="155"/>
      <c r="GW3376" s="155"/>
      <c r="GX3376" s="155"/>
      <c r="GY3376" s="155"/>
      <c r="GZ3376" s="155"/>
      <c r="HA3376" s="155"/>
      <c r="HB3376" s="155"/>
      <c r="HC3376" s="155"/>
      <c r="HD3376" s="155"/>
      <c r="HE3376" s="155"/>
    </row>
    <row r="3377" spans="2:213" s="156" customFormat="1" hidden="1">
      <c r="B3377" s="155"/>
      <c r="C3377" s="155"/>
      <c r="D3377" s="155"/>
      <c r="E3377" s="155"/>
      <c r="F3377" s="155"/>
      <c r="G3377" s="155"/>
      <c r="H3377" s="155"/>
      <c r="I3377" s="155"/>
      <c r="J3377" s="155"/>
      <c r="K3377" s="155"/>
      <c r="L3377" s="155"/>
      <c r="M3377" s="155"/>
      <c r="N3377" s="155"/>
      <c r="O3377" s="155"/>
      <c r="P3377" s="155"/>
      <c r="Q3377" s="155"/>
      <c r="R3377" s="155"/>
      <c r="S3377" s="155"/>
      <c r="T3377" s="155"/>
      <c r="U3377" s="155"/>
      <c r="V3377" s="155"/>
      <c r="W3377" s="155"/>
      <c r="GL3377" s="155"/>
      <c r="GM3377" s="155"/>
      <c r="GN3377" s="155"/>
      <c r="GO3377" s="155"/>
      <c r="GP3377" s="155"/>
      <c r="GQ3377" s="155"/>
      <c r="GR3377" s="155"/>
      <c r="GS3377" s="155"/>
      <c r="GT3377" s="155"/>
      <c r="GU3377" s="155"/>
      <c r="GV3377" s="155"/>
      <c r="GW3377" s="155"/>
      <c r="GX3377" s="155"/>
      <c r="GY3377" s="155"/>
      <c r="GZ3377" s="155"/>
      <c r="HA3377" s="155"/>
      <c r="HB3377" s="155"/>
      <c r="HC3377" s="155"/>
      <c r="HD3377" s="155"/>
      <c r="HE3377" s="155"/>
    </row>
    <row r="3378" spans="2:213" s="156" customFormat="1" hidden="1">
      <c r="B3378" s="155"/>
      <c r="C3378" s="155"/>
      <c r="D3378" s="155"/>
      <c r="E3378" s="155"/>
      <c r="F3378" s="155"/>
      <c r="G3378" s="155"/>
      <c r="H3378" s="155"/>
      <c r="I3378" s="155"/>
      <c r="J3378" s="155"/>
      <c r="K3378" s="155"/>
      <c r="L3378" s="155"/>
      <c r="M3378" s="155"/>
      <c r="N3378" s="155"/>
      <c r="O3378" s="155"/>
      <c r="P3378" s="155"/>
      <c r="Q3378" s="155"/>
      <c r="R3378" s="155"/>
      <c r="S3378" s="155"/>
      <c r="T3378" s="155"/>
      <c r="U3378" s="155"/>
      <c r="V3378" s="155"/>
      <c r="W3378" s="155"/>
      <c r="GL3378" s="155"/>
      <c r="GM3378" s="155"/>
      <c r="GN3378" s="155"/>
      <c r="GO3378" s="155"/>
      <c r="GP3378" s="155"/>
      <c r="GQ3378" s="155"/>
      <c r="GR3378" s="155"/>
      <c r="GS3378" s="155"/>
      <c r="GT3378" s="155"/>
      <c r="GU3378" s="155"/>
      <c r="GV3378" s="155"/>
      <c r="GW3378" s="155"/>
      <c r="GX3378" s="155"/>
      <c r="GY3378" s="155"/>
      <c r="GZ3378" s="155"/>
      <c r="HA3378" s="155"/>
      <c r="HB3378" s="155"/>
      <c r="HC3378" s="155"/>
      <c r="HD3378" s="155"/>
      <c r="HE3378" s="155"/>
    </row>
    <row r="3379" spans="2:213" s="156" customFormat="1" hidden="1">
      <c r="B3379" s="155"/>
      <c r="C3379" s="155"/>
      <c r="D3379" s="155"/>
      <c r="E3379" s="155"/>
      <c r="F3379" s="155"/>
      <c r="G3379" s="155"/>
      <c r="H3379" s="155"/>
      <c r="I3379" s="155"/>
      <c r="J3379" s="155"/>
      <c r="K3379" s="155"/>
      <c r="L3379" s="155"/>
      <c r="M3379" s="155"/>
      <c r="N3379" s="155"/>
      <c r="O3379" s="155"/>
      <c r="P3379" s="155"/>
      <c r="Q3379" s="155"/>
      <c r="R3379" s="155"/>
      <c r="S3379" s="155"/>
      <c r="T3379" s="155"/>
      <c r="U3379" s="155"/>
      <c r="V3379" s="155"/>
      <c r="W3379" s="155"/>
      <c r="GL3379" s="155"/>
      <c r="GM3379" s="155"/>
      <c r="GN3379" s="155"/>
      <c r="GO3379" s="155"/>
      <c r="GP3379" s="155"/>
      <c r="GQ3379" s="155"/>
      <c r="GR3379" s="155"/>
      <c r="GS3379" s="155"/>
      <c r="GT3379" s="155"/>
      <c r="GU3379" s="155"/>
      <c r="GV3379" s="155"/>
      <c r="GW3379" s="155"/>
      <c r="GX3379" s="155"/>
      <c r="GY3379" s="155"/>
      <c r="GZ3379" s="155"/>
      <c r="HA3379" s="155"/>
      <c r="HB3379" s="155"/>
      <c r="HC3379" s="155"/>
      <c r="HD3379" s="155"/>
      <c r="HE3379" s="155"/>
    </row>
    <row r="3380" spans="2:213" s="156" customFormat="1" hidden="1">
      <c r="B3380" s="155"/>
      <c r="C3380" s="155"/>
      <c r="D3380" s="155"/>
      <c r="E3380" s="155"/>
      <c r="F3380" s="155"/>
      <c r="G3380" s="155"/>
      <c r="H3380" s="155"/>
      <c r="I3380" s="155"/>
      <c r="J3380" s="155"/>
      <c r="K3380" s="155"/>
      <c r="L3380" s="155"/>
      <c r="M3380" s="155"/>
      <c r="N3380" s="155"/>
      <c r="O3380" s="155"/>
      <c r="P3380" s="155"/>
      <c r="Q3380" s="155"/>
      <c r="R3380" s="155"/>
      <c r="S3380" s="155"/>
      <c r="T3380" s="155"/>
      <c r="U3380" s="155"/>
      <c r="V3380" s="155"/>
      <c r="W3380" s="155"/>
      <c r="GL3380" s="155"/>
      <c r="GM3380" s="155"/>
      <c r="GN3380" s="155"/>
      <c r="GO3380" s="155"/>
      <c r="GP3380" s="155"/>
      <c r="GQ3380" s="155"/>
      <c r="GR3380" s="155"/>
      <c r="GS3380" s="155"/>
      <c r="GT3380" s="155"/>
      <c r="GU3380" s="155"/>
      <c r="GV3380" s="155"/>
      <c r="GW3380" s="155"/>
      <c r="GX3380" s="155"/>
      <c r="GY3380" s="155"/>
      <c r="GZ3380" s="155"/>
      <c r="HA3380" s="155"/>
      <c r="HB3380" s="155"/>
      <c r="HC3380" s="155"/>
      <c r="HD3380" s="155"/>
      <c r="HE3380" s="155"/>
    </row>
    <row r="3381" spans="2:213" s="156" customFormat="1" hidden="1">
      <c r="B3381" s="155"/>
      <c r="C3381" s="155"/>
      <c r="D3381" s="155"/>
      <c r="E3381" s="155"/>
      <c r="F3381" s="155"/>
      <c r="G3381" s="155"/>
      <c r="H3381" s="155"/>
      <c r="I3381" s="155"/>
      <c r="J3381" s="155"/>
      <c r="K3381" s="155"/>
      <c r="L3381" s="155"/>
      <c r="M3381" s="155"/>
      <c r="N3381" s="155"/>
      <c r="O3381" s="155"/>
      <c r="P3381" s="155"/>
      <c r="Q3381" s="155"/>
      <c r="R3381" s="155"/>
      <c r="S3381" s="155"/>
      <c r="T3381" s="155"/>
      <c r="U3381" s="155"/>
      <c r="V3381" s="155"/>
      <c r="W3381" s="155"/>
      <c r="GL3381" s="155"/>
      <c r="GM3381" s="155"/>
      <c r="GN3381" s="155"/>
      <c r="GO3381" s="155"/>
      <c r="GP3381" s="155"/>
      <c r="GQ3381" s="155"/>
      <c r="GR3381" s="155"/>
      <c r="GS3381" s="155"/>
      <c r="GT3381" s="155"/>
      <c r="GU3381" s="155"/>
      <c r="GV3381" s="155"/>
      <c r="GW3381" s="155"/>
      <c r="GX3381" s="155"/>
      <c r="GY3381" s="155"/>
      <c r="GZ3381" s="155"/>
      <c r="HA3381" s="155"/>
      <c r="HB3381" s="155"/>
      <c r="HC3381" s="155"/>
      <c r="HD3381" s="155"/>
      <c r="HE3381" s="155"/>
    </row>
    <row r="3382" spans="2:213" s="156" customFormat="1" hidden="1">
      <c r="B3382" s="155"/>
      <c r="C3382" s="155"/>
      <c r="D3382" s="155"/>
      <c r="E3382" s="155"/>
      <c r="F3382" s="155"/>
      <c r="G3382" s="155"/>
      <c r="H3382" s="155"/>
      <c r="I3382" s="155"/>
      <c r="J3382" s="155"/>
      <c r="K3382" s="155"/>
      <c r="L3382" s="155"/>
      <c r="M3382" s="155"/>
      <c r="N3382" s="155"/>
      <c r="O3382" s="155"/>
      <c r="P3382" s="155"/>
      <c r="Q3382" s="155"/>
      <c r="R3382" s="155"/>
      <c r="S3382" s="155"/>
      <c r="T3382" s="155"/>
      <c r="U3382" s="155"/>
      <c r="V3382" s="155"/>
      <c r="W3382" s="155"/>
      <c r="GL3382" s="155"/>
      <c r="GM3382" s="155"/>
      <c r="GN3382" s="155"/>
      <c r="GO3382" s="155"/>
      <c r="GP3382" s="155"/>
      <c r="GQ3382" s="155"/>
      <c r="GR3382" s="155"/>
      <c r="GS3382" s="155"/>
      <c r="GT3382" s="155"/>
      <c r="GU3382" s="155"/>
      <c r="GV3382" s="155"/>
      <c r="GW3382" s="155"/>
      <c r="GX3382" s="155"/>
      <c r="GY3382" s="155"/>
      <c r="GZ3382" s="155"/>
      <c r="HA3382" s="155"/>
      <c r="HB3382" s="155"/>
      <c r="HC3382" s="155"/>
      <c r="HD3382" s="155"/>
      <c r="HE3382" s="155"/>
    </row>
    <row r="3383" spans="2:213" s="156" customFormat="1" hidden="1">
      <c r="B3383" s="155"/>
      <c r="C3383" s="155"/>
      <c r="D3383" s="155"/>
      <c r="E3383" s="155"/>
      <c r="F3383" s="155"/>
      <c r="G3383" s="155"/>
      <c r="H3383" s="155"/>
      <c r="I3383" s="155"/>
      <c r="J3383" s="155"/>
      <c r="K3383" s="155"/>
      <c r="L3383" s="155"/>
      <c r="M3383" s="155"/>
      <c r="N3383" s="155"/>
      <c r="O3383" s="155"/>
      <c r="P3383" s="155"/>
      <c r="Q3383" s="155"/>
      <c r="R3383" s="155"/>
      <c r="S3383" s="155"/>
      <c r="T3383" s="155"/>
      <c r="U3383" s="155"/>
      <c r="V3383" s="155"/>
      <c r="W3383" s="155"/>
      <c r="GL3383" s="155"/>
      <c r="GM3383" s="155"/>
      <c r="GN3383" s="155"/>
      <c r="GO3383" s="155"/>
      <c r="GP3383" s="155"/>
      <c r="GQ3383" s="155"/>
      <c r="GR3383" s="155"/>
      <c r="GS3383" s="155"/>
      <c r="GT3383" s="155"/>
      <c r="GU3383" s="155"/>
      <c r="GV3383" s="155"/>
      <c r="GW3383" s="155"/>
      <c r="GX3383" s="155"/>
      <c r="GY3383" s="155"/>
      <c r="GZ3383" s="155"/>
      <c r="HA3383" s="155"/>
      <c r="HB3383" s="155"/>
      <c r="HC3383" s="155"/>
      <c r="HD3383" s="155"/>
      <c r="HE3383" s="155"/>
    </row>
    <row r="3384" spans="2:213" s="156" customFormat="1" hidden="1">
      <c r="B3384" s="155"/>
      <c r="C3384" s="155"/>
      <c r="D3384" s="155"/>
      <c r="E3384" s="155"/>
      <c r="F3384" s="155"/>
      <c r="G3384" s="155"/>
      <c r="H3384" s="155"/>
      <c r="I3384" s="155"/>
      <c r="J3384" s="155"/>
      <c r="K3384" s="155"/>
      <c r="L3384" s="155"/>
      <c r="M3384" s="155"/>
      <c r="N3384" s="155"/>
      <c r="O3384" s="155"/>
      <c r="P3384" s="155"/>
      <c r="Q3384" s="155"/>
      <c r="R3384" s="155"/>
      <c r="S3384" s="155"/>
      <c r="T3384" s="155"/>
      <c r="U3384" s="155"/>
      <c r="V3384" s="155"/>
      <c r="W3384" s="155"/>
      <c r="GL3384" s="155"/>
      <c r="GM3384" s="155"/>
      <c r="GN3384" s="155"/>
      <c r="GO3384" s="155"/>
      <c r="GP3384" s="155"/>
      <c r="GQ3384" s="155"/>
      <c r="GR3384" s="155"/>
      <c r="GS3384" s="155"/>
      <c r="GT3384" s="155"/>
      <c r="GU3384" s="155"/>
      <c r="GV3384" s="155"/>
      <c r="GW3384" s="155"/>
      <c r="GX3384" s="155"/>
      <c r="GY3384" s="155"/>
      <c r="GZ3384" s="155"/>
      <c r="HA3384" s="155"/>
      <c r="HB3384" s="155"/>
      <c r="HC3384" s="155"/>
      <c r="HD3384" s="155"/>
      <c r="HE3384" s="155"/>
    </row>
    <row r="3385" spans="2:213" s="156" customFormat="1" hidden="1">
      <c r="B3385" s="155"/>
      <c r="C3385" s="155"/>
      <c r="D3385" s="155"/>
      <c r="E3385" s="155"/>
      <c r="F3385" s="155"/>
      <c r="G3385" s="155"/>
      <c r="H3385" s="155"/>
      <c r="I3385" s="155"/>
      <c r="J3385" s="155"/>
      <c r="K3385" s="155"/>
      <c r="L3385" s="155"/>
      <c r="M3385" s="155"/>
      <c r="N3385" s="155"/>
      <c r="O3385" s="155"/>
      <c r="P3385" s="155"/>
      <c r="Q3385" s="155"/>
      <c r="R3385" s="155"/>
      <c r="S3385" s="155"/>
      <c r="T3385" s="155"/>
      <c r="U3385" s="155"/>
      <c r="V3385" s="155"/>
      <c r="W3385" s="155"/>
      <c r="GL3385" s="155"/>
      <c r="GM3385" s="155"/>
      <c r="GN3385" s="155"/>
      <c r="GO3385" s="155"/>
      <c r="GP3385" s="155"/>
      <c r="GQ3385" s="155"/>
      <c r="GR3385" s="155"/>
      <c r="GS3385" s="155"/>
      <c r="GT3385" s="155"/>
      <c r="GU3385" s="155"/>
      <c r="GV3385" s="155"/>
      <c r="GW3385" s="155"/>
      <c r="GX3385" s="155"/>
      <c r="GY3385" s="155"/>
      <c r="GZ3385" s="155"/>
      <c r="HA3385" s="155"/>
      <c r="HB3385" s="155"/>
      <c r="HC3385" s="155"/>
      <c r="HD3385" s="155"/>
      <c r="HE3385" s="155"/>
    </row>
    <row r="3386" spans="2:213" s="156" customFormat="1" hidden="1">
      <c r="B3386" s="155"/>
      <c r="C3386" s="155"/>
      <c r="D3386" s="155"/>
      <c r="E3386" s="155"/>
      <c r="F3386" s="155"/>
      <c r="G3386" s="155"/>
      <c r="H3386" s="155"/>
      <c r="I3386" s="155"/>
      <c r="J3386" s="155"/>
      <c r="K3386" s="155"/>
      <c r="L3386" s="155"/>
      <c r="M3386" s="155"/>
      <c r="N3386" s="155"/>
      <c r="O3386" s="155"/>
      <c r="P3386" s="155"/>
      <c r="Q3386" s="155"/>
      <c r="R3386" s="155"/>
      <c r="S3386" s="155"/>
      <c r="T3386" s="155"/>
      <c r="U3386" s="155"/>
      <c r="V3386" s="155"/>
      <c r="W3386" s="155"/>
      <c r="GL3386" s="155"/>
      <c r="GM3386" s="155"/>
      <c r="GN3386" s="155"/>
      <c r="GO3386" s="155"/>
      <c r="GP3386" s="155"/>
      <c r="GQ3386" s="155"/>
      <c r="GR3386" s="155"/>
      <c r="GS3386" s="155"/>
      <c r="GT3386" s="155"/>
      <c r="GU3386" s="155"/>
      <c r="GV3386" s="155"/>
      <c r="GW3386" s="155"/>
      <c r="GX3386" s="155"/>
      <c r="GY3386" s="155"/>
      <c r="GZ3386" s="155"/>
      <c r="HA3386" s="155"/>
      <c r="HB3386" s="155"/>
      <c r="HC3386" s="155"/>
      <c r="HD3386" s="155"/>
      <c r="HE3386" s="155"/>
    </row>
    <row r="3387" spans="2:213" s="156" customFormat="1" hidden="1">
      <c r="B3387" s="155"/>
      <c r="C3387" s="155"/>
      <c r="D3387" s="155"/>
      <c r="E3387" s="155"/>
      <c r="F3387" s="155"/>
      <c r="G3387" s="155"/>
      <c r="H3387" s="155"/>
      <c r="I3387" s="155"/>
      <c r="J3387" s="155"/>
      <c r="K3387" s="155"/>
      <c r="L3387" s="155"/>
      <c r="M3387" s="155"/>
      <c r="N3387" s="155"/>
      <c r="O3387" s="155"/>
      <c r="P3387" s="155"/>
      <c r="Q3387" s="155"/>
      <c r="R3387" s="155"/>
      <c r="S3387" s="155"/>
      <c r="T3387" s="155"/>
      <c r="U3387" s="155"/>
      <c r="V3387" s="155"/>
      <c r="W3387" s="155"/>
      <c r="GL3387" s="155"/>
      <c r="GM3387" s="155"/>
      <c r="GN3387" s="155"/>
      <c r="GO3387" s="155"/>
      <c r="GP3387" s="155"/>
      <c r="GQ3387" s="155"/>
      <c r="GR3387" s="155"/>
      <c r="GS3387" s="155"/>
      <c r="GT3387" s="155"/>
      <c r="GU3387" s="155"/>
      <c r="GV3387" s="155"/>
      <c r="GW3387" s="155"/>
      <c r="GX3387" s="155"/>
      <c r="GY3387" s="155"/>
      <c r="GZ3387" s="155"/>
      <c r="HA3387" s="155"/>
      <c r="HB3387" s="155"/>
      <c r="HC3387" s="155"/>
      <c r="HD3387" s="155"/>
      <c r="HE3387" s="155"/>
    </row>
    <row r="3388" spans="2:213" s="156" customFormat="1" hidden="1">
      <c r="B3388" s="155"/>
      <c r="C3388" s="155"/>
      <c r="D3388" s="155"/>
      <c r="E3388" s="155"/>
      <c r="F3388" s="155"/>
      <c r="G3388" s="155"/>
      <c r="H3388" s="155"/>
      <c r="I3388" s="155"/>
      <c r="J3388" s="155"/>
      <c r="K3388" s="155"/>
      <c r="L3388" s="155"/>
      <c r="M3388" s="155"/>
      <c r="N3388" s="155"/>
      <c r="O3388" s="155"/>
      <c r="P3388" s="155"/>
      <c r="Q3388" s="155"/>
      <c r="R3388" s="155"/>
      <c r="S3388" s="155"/>
      <c r="T3388" s="155"/>
      <c r="U3388" s="155"/>
      <c r="V3388" s="155"/>
      <c r="W3388" s="155"/>
      <c r="GL3388" s="155"/>
      <c r="GM3388" s="155"/>
      <c r="GN3388" s="155"/>
      <c r="GO3388" s="155"/>
      <c r="GP3388" s="155"/>
      <c r="GQ3388" s="155"/>
      <c r="GR3388" s="155"/>
      <c r="GS3388" s="155"/>
      <c r="GT3388" s="155"/>
      <c r="GU3388" s="155"/>
      <c r="GV3388" s="155"/>
      <c r="GW3388" s="155"/>
      <c r="GX3388" s="155"/>
      <c r="GY3388" s="155"/>
      <c r="GZ3388" s="155"/>
      <c r="HA3388" s="155"/>
      <c r="HB3388" s="155"/>
      <c r="HC3388" s="155"/>
      <c r="HD3388" s="155"/>
      <c r="HE3388" s="155"/>
    </row>
    <row r="3389" spans="2:213" s="156" customFormat="1" hidden="1">
      <c r="B3389" s="155"/>
      <c r="C3389" s="155"/>
      <c r="D3389" s="155"/>
      <c r="E3389" s="155"/>
      <c r="F3389" s="155"/>
      <c r="G3389" s="155"/>
      <c r="H3389" s="155"/>
      <c r="I3389" s="155"/>
      <c r="J3389" s="155"/>
      <c r="K3389" s="155"/>
      <c r="L3389" s="155"/>
      <c r="M3389" s="155"/>
      <c r="N3389" s="155"/>
      <c r="O3389" s="155"/>
      <c r="P3389" s="155"/>
      <c r="Q3389" s="155"/>
      <c r="R3389" s="155"/>
      <c r="S3389" s="155"/>
      <c r="T3389" s="155"/>
      <c r="U3389" s="155"/>
      <c r="V3389" s="155"/>
      <c r="W3389" s="155"/>
      <c r="GL3389" s="155"/>
      <c r="GM3389" s="155"/>
      <c r="GN3389" s="155"/>
      <c r="GO3389" s="155"/>
      <c r="GP3389" s="155"/>
      <c r="GQ3389" s="155"/>
      <c r="GR3389" s="155"/>
      <c r="GS3389" s="155"/>
      <c r="GT3389" s="155"/>
      <c r="GU3389" s="155"/>
      <c r="GV3389" s="155"/>
      <c r="GW3389" s="155"/>
      <c r="GX3389" s="155"/>
      <c r="GY3389" s="155"/>
      <c r="GZ3389" s="155"/>
      <c r="HA3389" s="155"/>
      <c r="HB3389" s="155"/>
      <c r="HC3389" s="155"/>
      <c r="HD3389" s="155"/>
      <c r="HE3389" s="155"/>
    </row>
    <row r="3390" spans="2:213" s="156" customFormat="1" hidden="1">
      <c r="B3390" s="155"/>
      <c r="C3390" s="155"/>
      <c r="D3390" s="155"/>
      <c r="E3390" s="155"/>
      <c r="F3390" s="155"/>
      <c r="G3390" s="155"/>
      <c r="H3390" s="155"/>
      <c r="I3390" s="155"/>
      <c r="J3390" s="155"/>
      <c r="K3390" s="155"/>
      <c r="L3390" s="155"/>
      <c r="M3390" s="155"/>
      <c r="N3390" s="155"/>
      <c r="O3390" s="155"/>
      <c r="P3390" s="155"/>
      <c r="Q3390" s="155"/>
      <c r="R3390" s="155"/>
      <c r="S3390" s="155"/>
      <c r="T3390" s="155"/>
      <c r="U3390" s="155"/>
      <c r="V3390" s="155"/>
      <c r="W3390" s="155"/>
      <c r="GL3390" s="155"/>
      <c r="GM3390" s="155"/>
      <c r="GN3390" s="155"/>
      <c r="GO3390" s="155"/>
      <c r="GP3390" s="155"/>
      <c r="GQ3390" s="155"/>
      <c r="GR3390" s="155"/>
      <c r="GS3390" s="155"/>
      <c r="GT3390" s="155"/>
      <c r="GU3390" s="155"/>
      <c r="GV3390" s="155"/>
      <c r="GW3390" s="155"/>
      <c r="GX3390" s="155"/>
      <c r="GY3390" s="155"/>
      <c r="GZ3390" s="155"/>
      <c r="HA3390" s="155"/>
      <c r="HB3390" s="155"/>
      <c r="HC3390" s="155"/>
      <c r="HD3390" s="155"/>
      <c r="HE3390" s="155"/>
    </row>
    <row r="3391" spans="2:213" s="156" customFormat="1" hidden="1">
      <c r="B3391" s="155"/>
      <c r="C3391" s="155"/>
      <c r="D3391" s="155"/>
      <c r="E3391" s="155"/>
      <c r="F3391" s="155"/>
      <c r="G3391" s="155"/>
      <c r="H3391" s="155"/>
      <c r="I3391" s="155"/>
      <c r="J3391" s="155"/>
      <c r="K3391" s="155"/>
      <c r="L3391" s="155"/>
      <c r="M3391" s="155"/>
      <c r="N3391" s="155"/>
      <c r="O3391" s="155"/>
      <c r="P3391" s="155"/>
      <c r="Q3391" s="155"/>
      <c r="R3391" s="155"/>
      <c r="S3391" s="155"/>
      <c r="T3391" s="155"/>
      <c r="U3391" s="155"/>
      <c r="V3391" s="155"/>
      <c r="W3391" s="155"/>
      <c r="GL3391" s="155"/>
      <c r="GM3391" s="155"/>
      <c r="GN3391" s="155"/>
      <c r="GO3391" s="155"/>
      <c r="GP3391" s="155"/>
      <c r="GQ3391" s="155"/>
      <c r="GR3391" s="155"/>
      <c r="GS3391" s="155"/>
      <c r="GT3391" s="155"/>
      <c r="GU3391" s="155"/>
      <c r="GV3391" s="155"/>
      <c r="GW3391" s="155"/>
      <c r="GX3391" s="155"/>
      <c r="GY3391" s="155"/>
      <c r="GZ3391" s="155"/>
      <c r="HA3391" s="155"/>
      <c r="HB3391" s="155"/>
      <c r="HC3391" s="155"/>
      <c r="HD3391" s="155"/>
      <c r="HE3391" s="155"/>
    </row>
    <row r="3392" spans="2:213" s="156" customFormat="1" hidden="1">
      <c r="B3392" s="155"/>
      <c r="C3392" s="155"/>
      <c r="D3392" s="155"/>
      <c r="E3392" s="155"/>
      <c r="F3392" s="155"/>
      <c r="G3392" s="155"/>
      <c r="H3392" s="155"/>
      <c r="I3392" s="155"/>
      <c r="J3392" s="155"/>
      <c r="K3392" s="155"/>
      <c r="L3392" s="155"/>
      <c r="M3392" s="155"/>
      <c r="N3392" s="155"/>
      <c r="O3392" s="155"/>
      <c r="P3392" s="155"/>
      <c r="Q3392" s="155"/>
      <c r="R3392" s="155"/>
      <c r="S3392" s="155"/>
      <c r="T3392" s="155"/>
      <c r="U3392" s="155"/>
      <c r="V3392" s="155"/>
      <c r="W3392" s="155"/>
      <c r="GL3392" s="155"/>
      <c r="GM3392" s="155"/>
      <c r="GN3392" s="155"/>
      <c r="GO3392" s="155"/>
      <c r="GP3392" s="155"/>
      <c r="GQ3392" s="155"/>
      <c r="GR3392" s="155"/>
      <c r="GS3392" s="155"/>
      <c r="GT3392" s="155"/>
      <c r="GU3392" s="155"/>
      <c r="GV3392" s="155"/>
      <c r="GW3392" s="155"/>
      <c r="GX3392" s="155"/>
      <c r="GY3392" s="155"/>
      <c r="GZ3392" s="155"/>
      <c r="HA3392" s="155"/>
      <c r="HB3392" s="155"/>
      <c r="HC3392" s="155"/>
      <c r="HD3392" s="155"/>
      <c r="HE3392" s="155"/>
    </row>
    <row r="3393" spans="2:213" s="156" customFormat="1" hidden="1">
      <c r="B3393" s="155"/>
      <c r="C3393" s="155"/>
      <c r="D3393" s="155"/>
      <c r="E3393" s="155"/>
      <c r="F3393" s="155"/>
      <c r="G3393" s="155"/>
      <c r="H3393" s="155"/>
      <c r="I3393" s="155"/>
      <c r="J3393" s="155"/>
      <c r="K3393" s="155"/>
      <c r="L3393" s="155"/>
      <c r="M3393" s="155"/>
      <c r="N3393" s="155"/>
      <c r="O3393" s="155"/>
      <c r="P3393" s="155"/>
      <c r="Q3393" s="155"/>
      <c r="R3393" s="155"/>
      <c r="S3393" s="155"/>
      <c r="T3393" s="155"/>
      <c r="U3393" s="155"/>
      <c r="V3393" s="155"/>
      <c r="W3393" s="155"/>
      <c r="GL3393" s="155"/>
      <c r="GM3393" s="155"/>
      <c r="GN3393" s="155"/>
      <c r="GO3393" s="155"/>
      <c r="GP3393" s="155"/>
      <c r="GQ3393" s="155"/>
      <c r="GR3393" s="155"/>
      <c r="GS3393" s="155"/>
      <c r="GT3393" s="155"/>
      <c r="GU3393" s="155"/>
      <c r="GV3393" s="155"/>
      <c r="GW3393" s="155"/>
      <c r="GX3393" s="155"/>
      <c r="GY3393" s="155"/>
      <c r="GZ3393" s="155"/>
      <c r="HA3393" s="155"/>
      <c r="HB3393" s="155"/>
      <c r="HC3393" s="155"/>
      <c r="HD3393" s="155"/>
      <c r="HE3393" s="155"/>
    </row>
    <row r="3394" spans="2:213" s="156" customFormat="1" hidden="1">
      <c r="B3394" s="155"/>
      <c r="C3394" s="155"/>
      <c r="D3394" s="155"/>
      <c r="E3394" s="155"/>
      <c r="F3394" s="155"/>
      <c r="G3394" s="155"/>
      <c r="H3394" s="155"/>
      <c r="I3394" s="155"/>
      <c r="J3394" s="155"/>
      <c r="K3394" s="155"/>
      <c r="L3394" s="155"/>
      <c r="M3394" s="155"/>
      <c r="N3394" s="155"/>
      <c r="O3394" s="155"/>
      <c r="P3394" s="155"/>
      <c r="Q3394" s="155"/>
      <c r="R3394" s="155"/>
      <c r="S3394" s="155"/>
      <c r="T3394" s="155"/>
      <c r="U3394" s="155"/>
      <c r="V3394" s="155"/>
      <c r="W3394" s="155"/>
      <c r="GL3394" s="155"/>
      <c r="GM3394" s="155"/>
      <c r="GN3394" s="155"/>
      <c r="GO3394" s="155"/>
      <c r="GP3394" s="155"/>
      <c r="GQ3394" s="155"/>
      <c r="GR3394" s="155"/>
      <c r="GS3394" s="155"/>
      <c r="GT3394" s="155"/>
      <c r="GU3394" s="155"/>
      <c r="GV3394" s="155"/>
      <c r="GW3394" s="155"/>
      <c r="GX3394" s="155"/>
      <c r="GY3394" s="155"/>
      <c r="GZ3394" s="155"/>
      <c r="HA3394" s="155"/>
      <c r="HB3394" s="155"/>
      <c r="HC3394" s="155"/>
      <c r="HD3394" s="155"/>
      <c r="HE3394" s="155"/>
    </row>
    <row r="3395" spans="2:213" s="156" customFormat="1" hidden="1">
      <c r="B3395" s="155"/>
      <c r="C3395" s="155"/>
      <c r="D3395" s="155"/>
      <c r="E3395" s="155"/>
      <c r="F3395" s="155"/>
      <c r="G3395" s="155"/>
      <c r="H3395" s="155"/>
      <c r="I3395" s="155"/>
      <c r="J3395" s="155"/>
      <c r="K3395" s="155"/>
      <c r="L3395" s="155"/>
      <c r="M3395" s="155"/>
      <c r="N3395" s="155"/>
      <c r="O3395" s="155"/>
      <c r="P3395" s="155"/>
      <c r="Q3395" s="155"/>
      <c r="R3395" s="155"/>
      <c r="S3395" s="155"/>
      <c r="T3395" s="155"/>
      <c r="U3395" s="155"/>
      <c r="V3395" s="155"/>
      <c r="W3395" s="155"/>
      <c r="GL3395" s="155"/>
      <c r="GM3395" s="155"/>
      <c r="GN3395" s="155"/>
      <c r="GO3395" s="155"/>
      <c r="GP3395" s="155"/>
      <c r="GQ3395" s="155"/>
      <c r="GR3395" s="155"/>
      <c r="GS3395" s="155"/>
      <c r="GT3395" s="155"/>
      <c r="GU3395" s="155"/>
      <c r="GV3395" s="155"/>
      <c r="GW3395" s="155"/>
      <c r="GX3395" s="155"/>
      <c r="GY3395" s="155"/>
      <c r="GZ3395" s="155"/>
      <c r="HA3395" s="155"/>
      <c r="HB3395" s="155"/>
      <c r="HC3395" s="155"/>
      <c r="HD3395" s="155"/>
      <c r="HE3395" s="155"/>
    </row>
    <row r="3396" spans="2:213" s="156" customFormat="1" hidden="1">
      <c r="B3396" s="155"/>
      <c r="C3396" s="155"/>
      <c r="D3396" s="155"/>
      <c r="E3396" s="155"/>
      <c r="F3396" s="155"/>
      <c r="G3396" s="155"/>
      <c r="H3396" s="155"/>
      <c r="I3396" s="155"/>
      <c r="J3396" s="155"/>
      <c r="K3396" s="155"/>
      <c r="L3396" s="155"/>
      <c r="M3396" s="155"/>
      <c r="N3396" s="155"/>
      <c r="O3396" s="155"/>
      <c r="P3396" s="155"/>
      <c r="Q3396" s="155"/>
      <c r="R3396" s="155"/>
      <c r="S3396" s="155"/>
      <c r="T3396" s="155"/>
      <c r="U3396" s="155"/>
      <c r="V3396" s="155"/>
      <c r="W3396" s="155"/>
      <c r="GL3396" s="155"/>
      <c r="GM3396" s="155"/>
      <c r="GN3396" s="155"/>
      <c r="GO3396" s="155"/>
      <c r="GP3396" s="155"/>
      <c r="GQ3396" s="155"/>
      <c r="GR3396" s="155"/>
      <c r="GS3396" s="155"/>
      <c r="GT3396" s="155"/>
      <c r="GU3396" s="155"/>
      <c r="GV3396" s="155"/>
      <c r="GW3396" s="155"/>
      <c r="GX3396" s="155"/>
      <c r="GY3396" s="155"/>
      <c r="GZ3396" s="155"/>
      <c r="HA3396" s="155"/>
      <c r="HB3396" s="155"/>
      <c r="HC3396" s="155"/>
      <c r="HD3396" s="155"/>
      <c r="HE3396" s="155"/>
    </row>
    <row r="3397" spans="2:213" s="156" customFormat="1" hidden="1">
      <c r="B3397" s="155"/>
      <c r="C3397" s="155"/>
      <c r="D3397" s="155"/>
      <c r="E3397" s="155"/>
      <c r="F3397" s="155"/>
      <c r="G3397" s="155"/>
      <c r="H3397" s="155"/>
      <c r="I3397" s="155"/>
      <c r="J3397" s="155"/>
      <c r="K3397" s="155"/>
      <c r="L3397" s="155"/>
      <c r="M3397" s="155"/>
      <c r="N3397" s="155"/>
      <c r="O3397" s="155"/>
      <c r="P3397" s="155"/>
      <c r="Q3397" s="155"/>
      <c r="R3397" s="155"/>
      <c r="S3397" s="155"/>
      <c r="T3397" s="155"/>
      <c r="U3397" s="155"/>
      <c r="V3397" s="155"/>
      <c r="W3397" s="155"/>
      <c r="GL3397" s="155"/>
      <c r="GM3397" s="155"/>
      <c r="GN3397" s="155"/>
      <c r="GO3397" s="155"/>
      <c r="GP3397" s="155"/>
      <c r="GQ3397" s="155"/>
      <c r="GR3397" s="155"/>
      <c r="GS3397" s="155"/>
      <c r="GT3397" s="155"/>
      <c r="GU3397" s="155"/>
      <c r="GV3397" s="155"/>
      <c r="GW3397" s="155"/>
      <c r="GX3397" s="155"/>
      <c r="GY3397" s="155"/>
      <c r="GZ3397" s="155"/>
      <c r="HA3397" s="155"/>
      <c r="HB3397" s="155"/>
      <c r="HC3397" s="155"/>
      <c r="HD3397" s="155"/>
      <c r="HE3397" s="155"/>
    </row>
    <row r="3398" spans="2:213" s="156" customFormat="1" hidden="1">
      <c r="B3398" s="155"/>
      <c r="C3398" s="155"/>
      <c r="D3398" s="155"/>
      <c r="E3398" s="155"/>
      <c r="F3398" s="155"/>
      <c r="G3398" s="155"/>
      <c r="H3398" s="155"/>
      <c r="I3398" s="155"/>
      <c r="J3398" s="155"/>
      <c r="K3398" s="155"/>
      <c r="L3398" s="155"/>
      <c r="M3398" s="155"/>
      <c r="N3398" s="155"/>
      <c r="O3398" s="155"/>
      <c r="P3398" s="155"/>
      <c r="Q3398" s="155"/>
      <c r="R3398" s="155"/>
      <c r="S3398" s="155"/>
      <c r="T3398" s="155"/>
      <c r="U3398" s="155"/>
      <c r="V3398" s="155"/>
      <c r="W3398" s="155"/>
      <c r="GL3398" s="155"/>
      <c r="GM3398" s="155"/>
      <c r="GN3398" s="155"/>
      <c r="GO3398" s="155"/>
      <c r="GP3398" s="155"/>
      <c r="GQ3398" s="155"/>
      <c r="GR3398" s="155"/>
      <c r="GS3398" s="155"/>
      <c r="GT3398" s="155"/>
      <c r="GU3398" s="155"/>
      <c r="GV3398" s="155"/>
      <c r="GW3398" s="155"/>
      <c r="GX3398" s="155"/>
      <c r="GY3398" s="155"/>
      <c r="GZ3398" s="155"/>
      <c r="HA3398" s="155"/>
      <c r="HB3398" s="155"/>
      <c r="HC3398" s="155"/>
      <c r="HD3398" s="155"/>
      <c r="HE3398" s="155"/>
    </row>
    <row r="3399" spans="2:213" s="156" customFormat="1" hidden="1">
      <c r="B3399" s="155"/>
      <c r="C3399" s="155"/>
      <c r="D3399" s="155"/>
      <c r="E3399" s="155"/>
      <c r="F3399" s="155"/>
      <c r="G3399" s="155"/>
      <c r="H3399" s="155"/>
      <c r="I3399" s="155"/>
      <c r="J3399" s="155"/>
      <c r="K3399" s="155"/>
      <c r="L3399" s="155"/>
      <c r="M3399" s="155"/>
      <c r="N3399" s="155"/>
      <c r="O3399" s="155"/>
      <c r="P3399" s="155"/>
      <c r="Q3399" s="155"/>
      <c r="R3399" s="155"/>
      <c r="S3399" s="155"/>
      <c r="T3399" s="155"/>
      <c r="U3399" s="155"/>
      <c r="V3399" s="155"/>
      <c r="W3399" s="155"/>
      <c r="GL3399" s="155"/>
      <c r="GM3399" s="155"/>
      <c r="GN3399" s="155"/>
      <c r="GO3399" s="155"/>
      <c r="GP3399" s="155"/>
      <c r="GQ3399" s="155"/>
      <c r="GR3399" s="155"/>
      <c r="GS3399" s="155"/>
      <c r="GT3399" s="155"/>
      <c r="GU3399" s="155"/>
      <c r="GV3399" s="155"/>
      <c r="GW3399" s="155"/>
      <c r="GX3399" s="155"/>
      <c r="GY3399" s="155"/>
      <c r="GZ3399" s="155"/>
      <c r="HA3399" s="155"/>
      <c r="HB3399" s="155"/>
      <c r="HC3399" s="155"/>
      <c r="HD3399" s="155"/>
      <c r="HE3399" s="155"/>
    </row>
    <row r="3400" spans="2:213" s="156" customFormat="1" hidden="1">
      <c r="B3400" s="155"/>
      <c r="C3400" s="155"/>
      <c r="D3400" s="155"/>
      <c r="E3400" s="155"/>
      <c r="F3400" s="155"/>
      <c r="G3400" s="155"/>
      <c r="H3400" s="155"/>
      <c r="I3400" s="155"/>
      <c r="J3400" s="155"/>
      <c r="K3400" s="155"/>
      <c r="L3400" s="155"/>
      <c r="M3400" s="155"/>
      <c r="N3400" s="155"/>
      <c r="O3400" s="155"/>
      <c r="P3400" s="155"/>
      <c r="Q3400" s="155"/>
      <c r="R3400" s="155"/>
      <c r="S3400" s="155"/>
      <c r="T3400" s="155"/>
      <c r="U3400" s="155"/>
      <c r="V3400" s="155"/>
      <c r="W3400" s="155"/>
      <c r="GL3400" s="155"/>
      <c r="GM3400" s="155"/>
      <c r="GN3400" s="155"/>
      <c r="GO3400" s="155"/>
      <c r="GP3400" s="155"/>
      <c r="GQ3400" s="155"/>
      <c r="GR3400" s="155"/>
      <c r="GS3400" s="155"/>
      <c r="GT3400" s="155"/>
      <c r="GU3400" s="155"/>
      <c r="GV3400" s="155"/>
      <c r="GW3400" s="155"/>
      <c r="GX3400" s="155"/>
      <c r="GY3400" s="155"/>
      <c r="GZ3400" s="155"/>
      <c r="HA3400" s="155"/>
      <c r="HB3400" s="155"/>
      <c r="HC3400" s="155"/>
      <c r="HD3400" s="155"/>
      <c r="HE3400" s="155"/>
    </row>
    <row r="3401" spans="2:213" s="156" customFormat="1" hidden="1">
      <c r="B3401" s="155"/>
      <c r="C3401" s="155"/>
      <c r="D3401" s="155"/>
      <c r="E3401" s="155"/>
      <c r="F3401" s="155"/>
      <c r="G3401" s="155"/>
      <c r="H3401" s="155"/>
      <c r="I3401" s="155"/>
      <c r="J3401" s="155"/>
      <c r="K3401" s="155"/>
      <c r="L3401" s="155"/>
      <c r="M3401" s="155"/>
      <c r="N3401" s="155"/>
      <c r="O3401" s="155"/>
      <c r="P3401" s="155"/>
      <c r="Q3401" s="155"/>
      <c r="R3401" s="155"/>
      <c r="S3401" s="155"/>
      <c r="T3401" s="155"/>
      <c r="U3401" s="155"/>
      <c r="V3401" s="155"/>
      <c r="W3401" s="155"/>
      <c r="GL3401" s="155"/>
      <c r="GM3401" s="155"/>
      <c r="GN3401" s="155"/>
      <c r="GO3401" s="155"/>
      <c r="GP3401" s="155"/>
      <c r="GQ3401" s="155"/>
      <c r="GR3401" s="155"/>
      <c r="GS3401" s="155"/>
      <c r="GT3401" s="155"/>
      <c r="GU3401" s="155"/>
      <c r="GV3401" s="155"/>
      <c r="GW3401" s="155"/>
      <c r="GX3401" s="155"/>
      <c r="GY3401" s="155"/>
      <c r="GZ3401" s="155"/>
      <c r="HA3401" s="155"/>
      <c r="HB3401" s="155"/>
      <c r="HC3401" s="155"/>
      <c r="HD3401" s="155"/>
      <c r="HE3401" s="155"/>
    </row>
    <row r="3402" spans="2:213" s="156" customFormat="1" hidden="1">
      <c r="B3402" s="155"/>
      <c r="C3402" s="155"/>
      <c r="D3402" s="155"/>
      <c r="E3402" s="155"/>
      <c r="F3402" s="155"/>
      <c r="G3402" s="155"/>
      <c r="H3402" s="155"/>
      <c r="I3402" s="155"/>
      <c r="J3402" s="155"/>
      <c r="K3402" s="155"/>
      <c r="L3402" s="155"/>
      <c r="M3402" s="155"/>
      <c r="N3402" s="155"/>
      <c r="O3402" s="155"/>
      <c r="P3402" s="155"/>
      <c r="Q3402" s="155"/>
      <c r="R3402" s="155"/>
      <c r="S3402" s="155"/>
      <c r="T3402" s="155"/>
      <c r="U3402" s="155"/>
      <c r="V3402" s="155"/>
      <c r="W3402" s="155"/>
      <c r="GL3402" s="155"/>
      <c r="GM3402" s="155"/>
      <c r="GN3402" s="155"/>
      <c r="GO3402" s="155"/>
      <c r="GP3402" s="155"/>
      <c r="GQ3402" s="155"/>
      <c r="GR3402" s="155"/>
      <c r="GS3402" s="155"/>
      <c r="GT3402" s="155"/>
      <c r="GU3402" s="155"/>
      <c r="GV3402" s="155"/>
      <c r="GW3402" s="155"/>
      <c r="GX3402" s="155"/>
      <c r="GY3402" s="155"/>
      <c r="GZ3402" s="155"/>
      <c r="HA3402" s="155"/>
      <c r="HB3402" s="155"/>
      <c r="HC3402" s="155"/>
      <c r="HD3402" s="155"/>
      <c r="HE3402" s="155"/>
    </row>
    <row r="3403" spans="2:213" s="156" customFormat="1" hidden="1">
      <c r="B3403" s="155"/>
      <c r="C3403" s="155"/>
      <c r="D3403" s="155"/>
      <c r="E3403" s="155"/>
      <c r="F3403" s="155"/>
      <c r="G3403" s="155"/>
      <c r="H3403" s="155"/>
      <c r="I3403" s="155"/>
      <c r="J3403" s="155"/>
      <c r="K3403" s="155"/>
      <c r="L3403" s="155"/>
      <c r="M3403" s="155"/>
      <c r="N3403" s="155"/>
      <c r="O3403" s="155"/>
      <c r="P3403" s="155"/>
      <c r="Q3403" s="155"/>
      <c r="R3403" s="155"/>
      <c r="S3403" s="155"/>
      <c r="T3403" s="155"/>
      <c r="U3403" s="155"/>
      <c r="V3403" s="155"/>
      <c r="W3403" s="155"/>
      <c r="GL3403" s="155"/>
      <c r="GM3403" s="155"/>
      <c r="GN3403" s="155"/>
      <c r="GO3403" s="155"/>
      <c r="GP3403" s="155"/>
      <c r="GQ3403" s="155"/>
      <c r="GR3403" s="155"/>
      <c r="GS3403" s="155"/>
      <c r="GT3403" s="155"/>
      <c r="GU3403" s="155"/>
      <c r="GV3403" s="155"/>
      <c r="GW3403" s="155"/>
      <c r="GX3403" s="155"/>
      <c r="GY3403" s="155"/>
      <c r="GZ3403" s="155"/>
      <c r="HA3403" s="155"/>
      <c r="HB3403" s="155"/>
      <c r="HC3403" s="155"/>
      <c r="HD3403" s="155"/>
      <c r="HE3403" s="155"/>
    </row>
    <row r="3404" spans="2:213" s="156" customFormat="1" hidden="1">
      <c r="B3404" s="155"/>
      <c r="C3404" s="155"/>
      <c r="D3404" s="155"/>
      <c r="E3404" s="155"/>
      <c r="F3404" s="155"/>
      <c r="G3404" s="155"/>
      <c r="H3404" s="155"/>
      <c r="I3404" s="155"/>
      <c r="J3404" s="155"/>
      <c r="K3404" s="155"/>
      <c r="L3404" s="155"/>
      <c r="M3404" s="155"/>
      <c r="N3404" s="155"/>
      <c r="O3404" s="155"/>
      <c r="P3404" s="155"/>
      <c r="Q3404" s="155"/>
      <c r="R3404" s="155"/>
      <c r="S3404" s="155"/>
      <c r="T3404" s="155"/>
      <c r="U3404" s="155"/>
      <c r="V3404" s="155"/>
      <c r="W3404" s="155"/>
      <c r="GL3404" s="155"/>
      <c r="GM3404" s="155"/>
      <c r="GN3404" s="155"/>
      <c r="GO3404" s="155"/>
      <c r="GP3404" s="155"/>
      <c r="GQ3404" s="155"/>
      <c r="GR3404" s="155"/>
      <c r="GS3404" s="155"/>
      <c r="GT3404" s="155"/>
      <c r="GU3404" s="155"/>
      <c r="GV3404" s="155"/>
      <c r="GW3404" s="155"/>
      <c r="GX3404" s="155"/>
      <c r="GY3404" s="155"/>
      <c r="GZ3404" s="155"/>
      <c r="HA3404" s="155"/>
      <c r="HB3404" s="155"/>
      <c r="HC3404" s="155"/>
      <c r="HD3404" s="155"/>
      <c r="HE3404" s="155"/>
    </row>
    <row r="3405" spans="2:213" s="156" customFormat="1" hidden="1">
      <c r="B3405" s="155"/>
      <c r="C3405" s="155"/>
      <c r="D3405" s="155"/>
      <c r="E3405" s="155"/>
      <c r="F3405" s="155"/>
      <c r="G3405" s="155"/>
      <c r="H3405" s="155"/>
      <c r="I3405" s="155"/>
      <c r="J3405" s="155"/>
      <c r="K3405" s="155"/>
      <c r="L3405" s="155"/>
      <c r="M3405" s="155"/>
      <c r="N3405" s="155"/>
      <c r="O3405" s="155"/>
      <c r="P3405" s="155"/>
      <c r="Q3405" s="155"/>
      <c r="R3405" s="155"/>
      <c r="S3405" s="155"/>
      <c r="T3405" s="155"/>
      <c r="U3405" s="155"/>
      <c r="V3405" s="155"/>
      <c r="W3405" s="155"/>
      <c r="GL3405" s="155"/>
      <c r="GM3405" s="155"/>
      <c r="GN3405" s="155"/>
      <c r="GO3405" s="155"/>
      <c r="GP3405" s="155"/>
      <c r="GQ3405" s="155"/>
      <c r="GR3405" s="155"/>
      <c r="GS3405" s="155"/>
      <c r="GT3405" s="155"/>
      <c r="GU3405" s="155"/>
      <c r="GV3405" s="155"/>
      <c r="GW3405" s="155"/>
      <c r="GX3405" s="155"/>
      <c r="GY3405" s="155"/>
      <c r="GZ3405" s="155"/>
      <c r="HA3405" s="155"/>
      <c r="HB3405" s="155"/>
      <c r="HC3405" s="155"/>
      <c r="HD3405" s="155"/>
      <c r="HE3405" s="155"/>
    </row>
    <row r="3406" spans="2:213" s="156" customFormat="1" hidden="1">
      <c r="B3406" s="155"/>
      <c r="C3406" s="155"/>
      <c r="D3406" s="155"/>
      <c r="E3406" s="155"/>
      <c r="F3406" s="155"/>
      <c r="G3406" s="155"/>
      <c r="H3406" s="155"/>
      <c r="I3406" s="155"/>
      <c r="J3406" s="155"/>
      <c r="K3406" s="155"/>
      <c r="L3406" s="155"/>
      <c r="M3406" s="155"/>
      <c r="N3406" s="155"/>
      <c r="O3406" s="155"/>
      <c r="P3406" s="155"/>
      <c r="Q3406" s="155"/>
      <c r="R3406" s="155"/>
      <c r="S3406" s="155"/>
      <c r="T3406" s="155"/>
      <c r="U3406" s="155"/>
      <c r="V3406" s="155"/>
      <c r="W3406" s="155"/>
      <c r="GL3406" s="155"/>
      <c r="GM3406" s="155"/>
      <c r="GN3406" s="155"/>
      <c r="GO3406" s="155"/>
      <c r="GP3406" s="155"/>
      <c r="GQ3406" s="155"/>
      <c r="GR3406" s="155"/>
      <c r="GS3406" s="155"/>
      <c r="GT3406" s="155"/>
      <c r="GU3406" s="155"/>
      <c r="GV3406" s="155"/>
      <c r="GW3406" s="155"/>
      <c r="GX3406" s="155"/>
      <c r="GY3406" s="155"/>
      <c r="GZ3406" s="155"/>
      <c r="HA3406" s="155"/>
      <c r="HB3406" s="155"/>
      <c r="HC3406" s="155"/>
      <c r="HD3406" s="155"/>
      <c r="HE3406" s="155"/>
    </row>
    <row r="3407" spans="2:213" s="156" customFormat="1" hidden="1">
      <c r="B3407" s="155"/>
      <c r="C3407" s="155"/>
      <c r="D3407" s="155"/>
      <c r="E3407" s="155"/>
      <c r="F3407" s="155"/>
      <c r="G3407" s="155"/>
      <c r="H3407" s="155"/>
      <c r="I3407" s="155"/>
      <c r="J3407" s="155"/>
      <c r="K3407" s="155"/>
      <c r="L3407" s="155"/>
      <c r="M3407" s="155"/>
      <c r="N3407" s="155"/>
      <c r="O3407" s="155"/>
      <c r="P3407" s="155"/>
      <c r="Q3407" s="155"/>
      <c r="R3407" s="155"/>
      <c r="S3407" s="155"/>
      <c r="T3407" s="155"/>
      <c r="U3407" s="155"/>
      <c r="V3407" s="155"/>
      <c r="W3407" s="155"/>
      <c r="GL3407" s="155"/>
      <c r="GM3407" s="155"/>
      <c r="GN3407" s="155"/>
      <c r="GO3407" s="155"/>
      <c r="GP3407" s="155"/>
      <c r="GQ3407" s="155"/>
      <c r="GR3407" s="155"/>
      <c r="GS3407" s="155"/>
      <c r="GT3407" s="155"/>
      <c r="GU3407" s="155"/>
      <c r="GV3407" s="155"/>
      <c r="GW3407" s="155"/>
      <c r="GX3407" s="155"/>
      <c r="GY3407" s="155"/>
      <c r="GZ3407" s="155"/>
      <c r="HA3407" s="155"/>
      <c r="HB3407" s="155"/>
      <c r="HC3407" s="155"/>
      <c r="HD3407" s="155"/>
      <c r="HE3407" s="155"/>
    </row>
    <row r="3408" spans="2:213" s="156" customFormat="1" hidden="1">
      <c r="B3408" s="155"/>
      <c r="C3408" s="155"/>
      <c r="D3408" s="155"/>
      <c r="E3408" s="155"/>
      <c r="F3408" s="155"/>
      <c r="G3408" s="155"/>
      <c r="H3408" s="155"/>
      <c r="I3408" s="155"/>
      <c r="J3408" s="155"/>
      <c r="K3408" s="155"/>
      <c r="L3408" s="155"/>
      <c r="M3408" s="155"/>
      <c r="N3408" s="155"/>
      <c r="O3408" s="155"/>
      <c r="P3408" s="155"/>
      <c r="Q3408" s="155"/>
      <c r="R3408" s="155"/>
      <c r="S3408" s="155"/>
      <c r="T3408" s="155"/>
      <c r="U3408" s="155"/>
      <c r="V3408" s="155"/>
      <c r="W3408" s="155"/>
      <c r="GL3408" s="155"/>
      <c r="GM3408" s="155"/>
      <c r="GN3408" s="155"/>
      <c r="GO3408" s="155"/>
      <c r="GP3408" s="155"/>
      <c r="GQ3408" s="155"/>
      <c r="GR3408" s="155"/>
      <c r="GS3408" s="155"/>
      <c r="GT3408" s="155"/>
      <c r="GU3408" s="155"/>
      <c r="GV3408" s="155"/>
      <c r="GW3408" s="155"/>
      <c r="GX3408" s="155"/>
      <c r="GY3408" s="155"/>
      <c r="GZ3408" s="155"/>
      <c r="HA3408" s="155"/>
      <c r="HB3408" s="155"/>
      <c r="HC3408" s="155"/>
      <c r="HD3408" s="155"/>
      <c r="HE3408" s="155"/>
    </row>
    <row r="3409" spans="2:213" s="156" customFormat="1" hidden="1">
      <c r="B3409" s="155"/>
      <c r="C3409" s="155"/>
      <c r="D3409" s="155"/>
      <c r="E3409" s="155"/>
      <c r="F3409" s="155"/>
      <c r="G3409" s="155"/>
      <c r="H3409" s="155"/>
      <c r="I3409" s="155"/>
      <c r="J3409" s="155"/>
      <c r="K3409" s="155"/>
      <c r="L3409" s="155"/>
      <c r="M3409" s="155"/>
      <c r="N3409" s="155"/>
      <c r="O3409" s="155"/>
      <c r="P3409" s="155"/>
      <c r="Q3409" s="155"/>
      <c r="R3409" s="155"/>
      <c r="S3409" s="155"/>
      <c r="T3409" s="155"/>
      <c r="U3409" s="155"/>
      <c r="V3409" s="155"/>
      <c r="W3409" s="155"/>
      <c r="GL3409" s="155"/>
      <c r="GM3409" s="155"/>
      <c r="GN3409" s="155"/>
      <c r="GO3409" s="155"/>
      <c r="GP3409" s="155"/>
      <c r="GQ3409" s="155"/>
      <c r="GR3409" s="155"/>
      <c r="GS3409" s="155"/>
      <c r="GT3409" s="155"/>
      <c r="GU3409" s="155"/>
      <c r="GV3409" s="155"/>
      <c r="GW3409" s="155"/>
      <c r="GX3409" s="155"/>
      <c r="GY3409" s="155"/>
      <c r="GZ3409" s="155"/>
      <c r="HA3409" s="155"/>
      <c r="HB3409" s="155"/>
      <c r="HC3409" s="155"/>
      <c r="HD3409" s="155"/>
      <c r="HE3409" s="155"/>
    </row>
    <row r="3410" spans="2:213" s="156" customFormat="1" hidden="1">
      <c r="B3410" s="155"/>
      <c r="C3410" s="155"/>
      <c r="D3410" s="155"/>
      <c r="E3410" s="155"/>
      <c r="F3410" s="155"/>
      <c r="G3410" s="155"/>
      <c r="H3410" s="155"/>
      <c r="I3410" s="155"/>
      <c r="J3410" s="155"/>
      <c r="K3410" s="155"/>
      <c r="L3410" s="155"/>
      <c r="M3410" s="155"/>
      <c r="N3410" s="155"/>
      <c r="O3410" s="155"/>
      <c r="P3410" s="155"/>
      <c r="Q3410" s="155"/>
      <c r="R3410" s="155"/>
      <c r="S3410" s="155"/>
      <c r="T3410" s="155"/>
      <c r="U3410" s="155"/>
      <c r="V3410" s="155"/>
      <c r="W3410" s="155"/>
      <c r="GL3410" s="155"/>
      <c r="GM3410" s="155"/>
      <c r="GN3410" s="155"/>
      <c r="GO3410" s="155"/>
      <c r="GP3410" s="155"/>
      <c r="GQ3410" s="155"/>
      <c r="GR3410" s="155"/>
      <c r="GS3410" s="155"/>
      <c r="GT3410" s="155"/>
      <c r="GU3410" s="155"/>
      <c r="GV3410" s="155"/>
      <c r="GW3410" s="155"/>
      <c r="GX3410" s="155"/>
      <c r="GY3410" s="155"/>
      <c r="GZ3410" s="155"/>
      <c r="HA3410" s="155"/>
      <c r="HB3410" s="155"/>
      <c r="HC3410" s="155"/>
      <c r="HD3410" s="155"/>
      <c r="HE3410" s="155"/>
    </row>
    <row r="3411" spans="2:213" s="156" customFormat="1" hidden="1">
      <c r="B3411" s="155"/>
      <c r="C3411" s="155"/>
      <c r="D3411" s="155"/>
      <c r="E3411" s="155"/>
      <c r="F3411" s="155"/>
      <c r="G3411" s="155"/>
      <c r="H3411" s="155"/>
      <c r="I3411" s="155"/>
      <c r="J3411" s="155"/>
      <c r="K3411" s="155"/>
      <c r="L3411" s="155"/>
      <c r="M3411" s="155"/>
      <c r="N3411" s="155"/>
      <c r="O3411" s="155"/>
      <c r="P3411" s="155"/>
      <c r="Q3411" s="155"/>
      <c r="R3411" s="155"/>
      <c r="S3411" s="155"/>
      <c r="T3411" s="155"/>
      <c r="U3411" s="155"/>
      <c r="V3411" s="155"/>
      <c r="W3411" s="155"/>
      <c r="GL3411" s="155"/>
      <c r="GM3411" s="155"/>
      <c r="GN3411" s="155"/>
      <c r="GO3411" s="155"/>
      <c r="GP3411" s="155"/>
      <c r="GQ3411" s="155"/>
      <c r="GR3411" s="155"/>
      <c r="GS3411" s="155"/>
      <c r="GT3411" s="155"/>
      <c r="GU3411" s="155"/>
      <c r="GV3411" s="155"/>
      <c r="GW3411" s="155"/>
      <c r="GX3411" s="155"/>
      <c r="GY3411" s="155"/>
      <c r="GZ3411" s="155"/>
      <c r="HA3411" s="155"/>
      <c r="HB3411" s="155"/>
      <c r="HC3411" s="155"/>
      <c r="HD3411" s="155"/>
      <c r="HE3411" s="155"/>
    </row>
    <row r="3412" spans="2:213" s="156" customFormat="1" hidden="1">
      <c r="B3412" s="155"/>
      <c r="C3412" s="155"/>
      <c r="D3412" s="155"/>
      <c r="E3412" s="155"/>
      <c r="F3412" s="155"/>
      <c r="G3412" s="155"/>
      <c r="H3412" s="155"/>
      <c r="I3412" s="155"/>
      <c r="J3412" s="155"/>
      <c r="K3412" s="155"/>
      <c r="L3412" s="155"/>
      <c r="M3412" s="155"/>
      <c r="N3412" s="155"/>
      <c r="O3412" s="155"/>
      <c r="P3412" s="155"/>
      <c r="Q3412" s="155"/>
      <c r="R3412" s="155"/>
      <c r="S3412" s="155"/>
      <c r="T3412" s="155"/>
      <c r="U3412" s="155"/>
      <c r="V3412" s="155"/>
      <c r="W3412" s="155"/>
      <c r="GL3412" s="155"/>
      <c r="GM3412" s="155"/>
      <c r="GN3412" s="155"/>
      <c r="GO3412" s="155"/>
      <c r="GP3412" s="155"/>
      <c r="GQ3412" s="155"/>
      <c r="GR3412" s="155"/>
      <c r="GS3412" s="155"/>
      <c r="GT3412" s="155"/>
      <c r="GU3412" s="155"/>
      <c r="GV3412" s="155"/>
      <c r="GW3412" s="155"/>
      <c r="GX3412" s="155"/>
      <c r="GY3412" s="155"/>
      <c r="GZ3412" s="155"/>
      <c r="HA3412" s="155"/>
      <c r="HB3412" s="155"/>
      <c r="HC3412" s="155"/>
      <c r="HD3412" s="155"/>
      <c r="HE3412" s="155"/>
    </row>
    <row r="3413" spans="2:213" s="156" customFormat="1" hidden="1">
      <c r="B3413" s="155"/>
      <c r="C3413" s="155"/>
      <c r="D3413" s="155"/>
      <c r="E3413" s="155"/>
      <c r="F3413" s="155"/>
      <c r="G3413" s="155"/>
      <c r="H3413" s="155"/>
      <c r="I3413" s="155"/>
      <c r="J3413" s="155"/>
      <c r="K3413" s="155"/>
      <c r="L3413" s="155"/>
      <c r="M3413" s="155"/>
      <c r="N3413" s="155"/>
      <c r="O3413" s="155"/>
      <c r="P3413" s="155"/>
      <c r="Q3413" s="155"/>
      <c r="R3413" s="155"/>
      <c r="S3413" s="155"/>
      <c r="T3413" s="155"/>
      <c r="U3413" s="155"/>
      <c r="V3413" s="155"/>
      <c r="W3413" s="155"/>
      <c r="GL3413" s="155"/>
      <c r="GM3413" s="155"/>
      <c r="GN3413" s="155"/>
      <c r="GO3413" s="155"/>
      <c r="GP3413" s="155"/>
      <c r="GQ3413" s="155"/>
      <c r="GR3413" s="155"/>
      <c r="GS3413" s="155"/>
      <c r="GT3413" s="155"/>
      <c r="GU3413" s="155"/>
      <c r="GV3413" s="155"/>
      <c r="GW3413" s="155"/>
      <c r="GX3413" s="155"/>
      <c r="GY3413" s="155"/>
      <c r="GZ3413" s="155"/>
      <c r="HA3413" s="155"/>
      <c r="HB3413" s="155"/>
      <c r="HC3413" s="155"/>
      <c r="HD3413" s="155"/>
      <c r="HE3413" s="155"/>
    </row>
    <row r="3414" spans="2:213" s="156" customFormat="1" hidden="1">
      <c r="B3414" s="155"/>
      <c r="C3414" s="155"/>
      <c r="D3414" s="155"/>
      <c r="E3414" s="155"/>
      <c r="F3414" s="155"/>
      <c r="G3414" s="155"/>
      <c r="H3414" s="155"/>
      <c r="I3414" s="155"/>
      <c r="J3414" s="155"/>
      <c r="K3414" s="155"/>
      <c r="L3414" s="155"/>
      <c r="M3414" s="155"/>
      <c r="N3414" s="155"/>
      <c r="O3414" s="155"/>
      <c r="P3414" s="155"/>
      <c r="Q3414" s="155"/>
      <c r="R3414" s="155"/>
      <c r="S3414" s="155"/>
      <c r="T3414" s="155"/>
      <c r="U3414" s="155"/>
      <c r="V3414" s="155"/>
      <c r="W3414" s="155"/>
      <c r="GL3414" s="155"/>
      <c r="GM3414" s="155"/>
      <c r="GN3414" s="155"/>
      <c r="GO3414" s="155"/>
      <c r="GP3414" s="155"/>
      <c r="GQ3414" s="155"/>
      <c r="GR3414" s="155"/>
      <c r="GS3414" s="155"/>
      <c r="GT3414" s="155"/>
      <c r="GU3414" s="155"/>
      <c r="GV3414" s="155"/>
      <c r="GW3414" s="155"/>
      <c r="GX3414" s="155"/>
      <c r="GY3414" s="155"/>
      <c r="GZ3414" s="155"/>
      <c r="HA3414" s="155"/>
      <c r="HB3414" s="155"/>
      <c r="HC3414" s="155"/>
      <c r="HD3414" s="155"/>
      <c r="HE3414" s="155"/>
    </row>
    <row r="3415" spans="2:213" s="156" customFormat="1" hidden="1">
      <c r="B3415" s="155"/>
      <c r="C3415" s="155"/>
      <c r="D3415" s="155"/>
      <c r="E3415" s="155"/>
      <c r="F3415" s="155"/>
      <c r="G3415" s="155"/>
      <c r="H3415" s="155"/>
      <c r="I3415" s="155"/>
      <c r="J3415" s="155"/>
      <c r="K3415" s="155"/>
      <c r="L3415" s="155"/>
      <c r="M3415" s="155"/>
      <c r="N3415" s="155"/>
      <c r="O3415" s="155"/>
      <c r="P3415" s="155"/>
      <c r="Q3415" s="155"/>
      <c r="R3415" s="155"/>
      <c r="S3415" s="155"/>
      <c r="T3415" s="155"/>
      <c r="U3415" s="155"/>
      <c r="V3415" s="155"/>
      <c r="W3415" s="155"/>
      <c r="GL3415" s="155"/>
      <c r="GM3415" s="155"/>
      <c r="GN3415" s="155"/>
      <c r="GO3415" s="155"/>
      <c r="GP3415" s="155"/>
      <c r="GQ3415" s="155"/>
      <c r="GR3415" s="155"/>
      <c r="GS3415" s="155"/>
      <c r="GT3415" s="155"/>
      <c r="GU3415" s="155"/>
      <c r="GV3415" s="155"/>
      <c r="GW3415" s="155"/>
      <c r="GX3415" s="155"/>
      <c r="GY3415" s="155"/>
      <c r="GZ3415" s="155"/>
      <c r="HA3415" s="155"/>
      <c r="HB3415" s="155"/>
      <c r="HC3415" s="155"/>
      <c r="HD3415" s="155"/>
      <c r="HE3415" s="155"/>
    </row>
    <row r="3416" spans="2:213" s="156" customFormat="1" hidden="1">
      <c r="B3416" s="155"/>
      <c r="C3416" s="155"/>
      <c r="D3416" s="155"/>
      <c r="E3416" s="155"/>
      <c r="F3416" s="155"/>
      <c r="G3416" s="155"/>
      <c r="H3416" s="155"/>
      <c r="I3416" s="155"/>
      <c r="J3416" s="155"/>
      <c r="K3416" s="155"/>
      <c r="L3416" s="155"/>
      <c r="M3416" s="155"/>
      <c r="N3416" s="155"/>
      <c r="O3416" s="155"/>
      <c r="P3416" s="155"/>
      <c r="Q3416" s="155"/>
      <c r="R3416" s="155"/>
      <c r="S3416" s="155"/>
      <c r="T3416" s="155"/>
      <c r="U3416" s="155"/>
      <c r="V3416" s="155"/>
      <c r="W3416" s="155"/>
      <c r="GL3416" s="155"/>
      <c r="GM3416" s="155"/>
      <c r="GN3416" s="155"/>
      <c r="GO3416" s="155"/>
      <c r="GP3416" s="155"/>
      <c r="GQ3416" s="155"/>
      <c r="GR3416" s="155"/>
      <c r="GS3416" s="155"/>
      <c r="GT3416" s="155"/>
      <c r="GU3416" s="155"/>
      <c r="GV3416" s="155"/>
      <c r="GW3416" s="155"/>
      <c r="GX3416" s="155"/>
      <c r="GY3416" s="155"/>
      <c r="GZ3416" s="155"/>
      <c r="HA3416" s="155"/>
      <c r="HB3416" s="155"/>
      <c r="HC3416" s="155"/>
      <c r="HD3416" s="155"/>
      <c r="HE3416" s="155"/>
    </row>
    <row r="3417" spans="2:213" s="156" customFormat="1" hidden="1">
      <c r="B3417" s="155"/>
      <c r="C3417" s="155"/>
      <c r="D3417" s="155"/>
      <c r="E3417" s="155"/>
      <c r="F3417" s="155"/>
      <c r="G3417" s="155"/>
      <c r="H3417" s="155"/>
      <c r="I3417" s="155"/>
      <c r="J3417" s="155"/>
      <c r="K3417" s="155"/>
      <c r="L3417" s="155"/>
      <c r="M3417" s="155"/>
      <c r="N3417" s="155"/>
      <c r="O3417" s="155"/>
      <c r="P3417" s="155"/>
      <c r="Q3417" s="155"/>
      <c r="R3417" s="155"/>
      <c r="S3417" s="155"/>
      <c r="T3417" s="155"/>
      <c r="U3417" s="155"/>
      <c r="V3417" s="155"/>
      <c r="W3417" s="155"/>
      <c r="GL3417" s="155"/>
      <c r="GM3417" s="155"/>
      <c r="GN3417" s="155"/>
      <c r="GO3417" s="155"/>
      <c r="GP3417" s="155"/>
      <c r="GQ3417" s="155"/>
      <c r="GR3417" s="155"/>
      <c r="GS3417" s="155"/>
      <c r="GT3417" s="155"/>
      <c r="GU3417" s="155"/>
      <c r="GV3417" s="155"/>
      <c r="GW3417" s="155"/>
      <c r="GX3417" s="155"/>
      <c r="GY3417" s="155"/>
      <c r="GZ3417" s="155"/>
      <c r="HA3417" s="155"/>
      <c r="HB3417" s="155"/>
      <c r="HC3417" s="155"/>
      <c r="HD3417" s="155"/>
      <c r="HE3417" s="155"/>
    </row>
    <row r="3418" spans="2:213" s="156" customFormat="1" hidden="1">
      <c r="B3418" s="155"/>
      <c r="C3418" s="155"/>
      <c r="D3418" s="155"/>
      <c r="E3418" s="155"/>
      <c r="F3418" s="155"/>
      <c r="G3418" s="155"/>
      <c r="H3418" s="155"/>
      <c r="I3418" s="155"/>
      <c r="J3418" s="155"/>
      <c r="K3418" s="155"/>
      <c r="L3418" s="155"/>
      <c r="M3418" s="155"/>
      <c r="N3418" s="155"/>
      <c r="O3418" s="155"/>
      <c r="P3418" s="155"/>
      <c r="Q3418" s="155"/>
      <c r="R3418" s="155"/>
      <c r="S3418" s="155"/>
      <c r="T3418" s="155"/>
      <c r="U3418" s="155"/>
      <c r="V3418" s="155"/>
      <c r="W3418" s="155"/>
      <c r="GL3418" s="155"/>
      <c r="GM3418" s="155"/>
      <c r="GN3418" s="155"/>
      <c r="GO3418" s="155"/>
      <c r="GP3418" s="155"/>
      <c r="GQ3418" s="155"/>
      <c r="GR3418" s="155"/>
      <c r="GS3418" s="155"/>
      <c r="GT3418" s="155"/>
      <c r="GU3418" s="155"/>
      <c r="GV3418" s="155"/>
      <c r="GW3418" s="155"/>
      <c r="GX3418" s="155"/>
      <c r="GY3418" s="155"/>
      <c r="GZ3418" s="155"/>
      <c r="HA3418" s="155"/>
      <c r="HB3418" s="155"/>
      <c r="HC3418" s="155"/>
      <c r="HD3418" s="155"/>
      <c r="HE3418" s="155"/>
    </row>
    <row r="3419" spans="2:213" s="156" customFormat="1" hidden="1">
      <c r="B3419" s="155"/>
      <c r="C3419" s="155"/>
      <c r="D3419" s="155"/>
      <c r="E3419" s="155"/>
      <c r="F3419" s="155"/>
      <c r="G3419" s="155"/>
      <c r="H3419" s="155"/>
      <c r="I3419" s="155"/>
      <c r="J3419" s="155"/>
      <c r="K3419" s="155"/>
      <c r="L3419" s="155"/>
      <c r="M3419" s="155"/>
      <c r="N3419" s="155"/>
      <c r="O3419" s="155"/>
      <c r="P3419" s="155"/>
      <c r="Q3419" s="155"/>
      <c r="R3419" s="155"/>
      <c r="S3419" s="155"/>
      <c r="T3419" s="155"/>
      <c r="U3419" s="155"/>
      <c r="V3419" s="155"/>
      <c r="W3419" s="155"/>
      <c r="GL3419" s="155"/>
      <c r="GM3419" s="155"/>
      <c r="GN3419" s="155"/>
      <c r="GO3419" s="155"/>
      <c r="GP3419" s="155"/>
      <c r="GQ3419" s="155"/>
      <c r="GR3419" s="155"/>
      <c r="GS3419" s="155"/>
      <c r="GT3419" s="155"/>
      <c r="GU3419" s="155"/>
      <c r="GV3419" s="155"/>
      <c r="GW3419" s="155"/>
      <c r="GX3419" s="155"/>
      <c r="GY3419" s="155"/>
      <c r="GZ3419" s="155"/>
      <c r="HA3419" s="155"/>
      <c r="HB3419" s="155"/>
      <c r="HC3419" s="155"/>
      <c r="HD3419" s="155"/>
      <c r="HE3419" s="155"/>
    </row>
    <row r="3420" spans="2:213" s="156" customFormat="1" hidden="1">
      <c r="B3420" s="155"/>
      <c r="C3420" s="155"/>
      <c r="D3420" s="155"/>
      <c r="E3420" s="155"/>
      <c r="F3420" s="155"/>
      <c r="G3420" s="155"/>
      <c r="H3420" s="155"/>
      <c r="I3420" s="155"/>
      <c r="J3420" s="155"/>
      <c r="K3420" s="155"/>
      <c r="L3420" s="155"/>
      <c r="M3420" s="155"/>
      <c r="N3420" s="155"/>
      <c r="O3420" s="155"/>
      <c r="P3420" s="155"/>
      <c r="Q3420" s="155"/>
      <c r="R3420" s="155"/>
      <c r="S3420" s="155"/>
      <c r="T3420" s="155"/>
      <c r="U3420" s="155"/>
      <c r="V3420" s="155"/>
      <c r="W3420" s="155"/>
      <c r="GL3420" s="155"/>
      <c r="GM3420" s="155"/>
      <c r="GN3420" s="155"/>
      <c r="GO3420" s="155"/>
      <c r="GP3420" s="155"/>
      <c r="GQ3420" s="155"/>
      <c r="GR3420" s="155"/>
      <c r="GS3420" s="155"/>
      <c r="GT3420" s="155"/>
      <c r="GU3420" s="155"/>
      <c r="GV3420" s="155"/>
      <c r="GW3420" s="155"/>
      <c r="GX3420" s="155"/>
      <c r="GY3420" s="155"/>
      <c r="GZ3420" s="155"/>
      <c r="HA3420" s="155"/>
      <c r="HB3420" s="155"/>
      <c r="HC3420" s="155"/>
      <c r="HD3420" s="155"/>
      <c r="HE3420" s="155"/>
    </row>
    <row r="3421" spans="2:213" s="156" customFormat="1" hidden="1">
      <c r="B3421" s="155"/>
      <c r="C3421" s="155"/>
      <c r="D3421" s="155"/>
      <c r="E3421" s="155"/>
      <c r="F3421" s="155"/>
      <c r="G3421" s="155"/>
      <c r="H3421" s="155"/>
      <c r="I3421" s="155"/>
      <c r="J3421" s="155"/>
      <c r="K3421" s="155"/>
      <c r="L3421" s="155"/>
      <c r="M3421" s="155"/>
      <c r="N3421" s="155"/>
      <c r="O3421" s="155"/>
      <c r="P3421" s="155"/>
      <c r="Q3421" s="155"/>
      <c r="R3421" s="155"/>
      <c r="S3421" s="155"/>
      <c r="T3421" s="155"/>
      <c r="U3421" s="155"/>
      <c r="V3421" s="155"/>
      <c r="W3421" s="155"/>
      <c r="GL3421" s="155"/>
      <c r="GM3421" s="155"/>
      <c r="GN3421" s="155"/>
      <c r="GO3421" s="155"/>
      <c r="GP3421" s="155"/>
      <c r="GQ3421" s="155"/>
      <c r="GR3421" s="155"/>
      <c r="GS3421" s="155"/>
      <c r="GT3421" s="155"/>
      <c r="GU3421" s="155"/>
      <c r="GV3421" s="155"/>
      <c r="GW3421" s="155"/>
      <c r="GX3421" s="155"/>
      <c r="GY3421" s="155"/>
      <c r="GZ3421" s="155"/>
      <c r="HA3421" s="155"/>
      <c r="HB3421" s="155"/>
      <c r="HC3421" s="155"/>
      <c r="HD3421" s="155"/>
      <c r="HE3421" s="155"/>
    </row>
    <row r="3422" spans="2:213" s="156" customFormat="1" hidden="1">
      <c r="B3422" s="155"/>
      <c r="C3422" s="155"/>
      <c r="D3422" s="155"/>
      <c r="E3422" s="155"/>
      <c r="F3422" s="155"/>
      <c r="G3422" s="155"/>
      <c r="H3422" s="155"/>
      <c r="I3422" s="155"/>
      <c r="J3422" s="155"/>
      <c r="K3422" s="155"/>
      <c r="L3422" s="155"/>
      <c r="M3422" s="155"/>
      <c r="N3422" s="155"/>
      <c r="O3422" s="155"/>
      <c r="P3422" s="155"/>
      <c r="Q3422" s="155"/>
      <c r="R3422" s="155"/>
      <c r="S3422" s="155"/>
      <c r="T3422" s="155"/>
      <c r="U3422" s="155"/>
      <c r="V3422" s="155"/>
      <c r="W3422" s="155"/>
      <c r="GL3422" s="155"/>
      <c r="GM3422" s="155"/>
      <c r="GN3422" s="155"/>
      <c r="GO3422" s="155"/>
      <c r="GP3422" s="155"/>
      <c r="GQ3422" s="155"/>
      <c r="GR3422" s="155"/>
      <c r="GS3422" s="155"/>
      <c r="GT3422" s="155"/>
      <c r="GU3422" s="155"/>
      <c r="GV3422" s="155"/>
      <c r="GW3422" s="155"/>
      <c r="GX3422" s="155"/>
      <c r="GY3422" s="155"/>
      <c r="GZ3422" s="155"/>
      <c r="HA3422" s="155"/>
      <c r="HB3422" s="155"/>
      <c r="HC3422" s="155"/>
      <c r="HD3422" s="155"/>
      <c r="HE3422" s="155"/>
    </row>
    <row r="3423" spans="2:213" s="156" customFormat="1" hidden="1">
      <c r="B3423" s="155"/>
      <c r="C3423" s="155"/>
      <c r="D3423" s="155"/>
      <c r="E3423" s="155"/>
      <c r="F3423" s="155"/>
      <c r="G3423" s="155"/>
      <c r="H3423" s="155"/>
      <c r="I3423" s="155"/>
      <c r="J3423" s="155"/>
      <c r="K3423" s="155"/>
      <c r="L3423" s="155"/>
      <c r="M3423" s="155"/>
      <c r="N3423" s="155"/>
      <c r="O3423" s="155"/>
      <c r="P3423" s="155"/>
      <c r="Q3423" s="155"/>
      <c r="R3423" s="155"/>
      <c r="S3423" s="155"/>
      <c r="T3423" s="155"/>
      <c r="U3423" s="155"/>
      <c r="V3423" s="155"/>
      <c r="W3423" s="155"/>
      <c r="GL3423" s="155"/>
      <c r="GM3423" s="155"/>
      <c r="GN3423" s="155"/>
      <c r="GO3423" s="155"/>
      <c r="GP3423" s="155"/>
      <c r="GQ3423" s="155"/>
      <c r="GR3423" s="155"/>
      <c r="GS3423" s="155"/>
      <c r="GT3423" s="155"/>
      <c r="GU3423" s="155"/>
      <c r="GV3423" s="155"/>
      <c r="GW3423" s="155"/>
      <c r="GX3423" s="155"/>
      <c r="GY3423" s="155"/>
      <c r="GZ3423" s="155"/>
      <c r="HA3423" s="155"/>
      <c r="HB3423" s="155"/>
      <c r="HC3423" s="155"/>
      <c r="HD3423" s="155"/>
      <c r="HE3423" s="155"/>
    </row>
    <row r="3424" spans="2:213" s="156" customFormat="1" hidden="1">
      <c r="B3424" s="155"/>
      <c r="C3424" s="155"/>
      <c r="D3424" s="155"/>
      <c r="E3424" s="155"/>
      <c r="F3424" s="155"/>
      <c r="G3424" s="155"/>
      <c r="H3424" s="155"/>
      <c r="I3424" s="155"/>
      <c r="J3424" s="155"/>
      <c r="K3424" s="155"/>
      <c r="L3424" s="155"/>
      <c r="M3424" s="155"/>
      <c r="N3424" s="155"/>
      <c r="O3424" s="155"/>
      <c r="P3424" s="155"/>
      <c r="Q3424" s="155"/>
      <c r="R3424" s="155"/>
      <c r="S3424" s="155"/>
      <c r="T3424" s="155"/>
      <c r="U3424" s="155"/>
      <c r="V3424" s="155"/>
      <c r="W3424" s="155"/>
      <c r="GL3424" s="155"/>
      <c r="GM3424" s="155"/>
      <c r="GN3424" s="155"/>
      <c r="GO3424" s="155"/>
      <c r="GP3424" s="155"/>
      <c r="GQ3424" s="155"/>
      <c r="GR3424" s="155"/>
      <c r="GS3424" s="155"/>
      <c r="GT3424" s="155"/>
      <c r="GU3424" s="155"/>
      <c r="GV3424" s="155"/>
      <c r="GW3424" s="155"/>
      <c r="GX3424" s="155"/>
      <c r="GY3424" s="155"/>
      <c r="GZ3424" s="155"/>
      <c r="HA3424" s="155"/>
      <c r="HB3424" s="155"/>
      <c r="HC3424" s="155"/>
      <c r="HD3424" s="155"/>
      <c r="HE3424" s="155"/>
    </row>
    <row r="3425" spans="2:213" s="156" customFormat="1" hidden="1">
      <c r="B3425" s="155"/>
      <c r="C3425" s="155"/>
      <c r="D3425" s="155"/>
      <c r="E3425" s="155"/>
      <c r="F3425" s="155"/>
      <c r="G3425" s="155"/>
      <c r="H3425" s="155"/>
      <c r="I3425" s="155"/>
      <c r="J3425" s="155"/>
      <c r="K3425" s="155"/>
      <c r="L3425" s="155"/>
      <c r="M3425" s="155"/>
      <c r="N3425" s="155"/>
      <c r="O3425" s="155"/>
      <c r="P3425" s="155"/>
      <c r="Q3425" s="155"/>
      <c r="R3425" s="155"/>
      <c r="S3425" s="155"/>
      <c r="T3425" s="155"/>
      <c r="U3425" s="155"/>
      <c r="V3425" s="155"/>
      <c r="W3425" s="155"/>
      <c r="GL3425" s="155"/>
      <c r="GM3425" s="155"/>
      <c r="GN3425" s="155"/>
      <c r="GO3425" s="155"/>
      <c r="GP3425" s="155"/>
      <c r="GQ3425" s="155"/>
      <c r="GR3425" s="155"/>
      <c r="GS3425" s="155"/>
      <c r="GT3425" s="155"/>
      <c r="GU3425" s="155"/>
      <c r="GV3425" s="155"/>
      <c r="GW3425" s="155"/>
      <c r="GX3425" s="155"/>
      <c r="GY3425" s="155"/>
      <c r="GZ3425" s="155"/>
      <c r="HA3425" s="155"/>
      <c r="HB3425" s="155"/>
      <c r="HC3425" s="155"/>
      <c r="HD3425" s="155"/>
      <c r="HE3425" s="155"/>
    </row>
    <row r="3426" spans="2:213" s="156" customFormat="1" hidden="1">
      <c r="B3426" s="155"/>
      <c r="C3426" s="155"/>
      <c r="D3426" s="155"/>
      <c r="E3426" s="155"/>
      <c r="F3426" s="155"/>
      <c r="G3426" s="155"/>
      <c r="H3426" s="155"/>
      <c r="I3426" s="155"/>
      <c r="J3426" s="155"/>
      <c r="K3426" s="155"/>
      <c r="L3426" s="155"/>
      <c r="M3426" s="155"/>
      <c r="N3426" s="155"/>
      <c r="O3426" s="155"/>
      <c r="P3426" s="155"/>
      <c r="Q3426" s="155"/>
      <c r="R3426" s="155"/>
      <c r="S3426" s="155"/>
      <c r="T3426" s="155"/>
      <c r="U3426" s="155"/>
      <c r="V3426" s="155"/>
      <c r="W3426" s="155"/>
      <c r="GL3426" s="155"/>
      <c r="GM3426" s="155"/>
      <c r="GN3426" s="155"/>
      <c r="GO3426" s="155"/>
      <c r="GP3426" s="155"/>
      <c r="GQ3426" s="155"/>
      <c r="GR3426" s="155"/>
      <c r="GS3426" s="155"/>
      <c r="GT3426" s="155"/>
      <c r="GU3426" s="155"/>
      <c r="GV3426" s="155"/>
      <c r="GW3426" s="155"/>
      <c r="GX3426" s="155"/>
      <c r="GY3426" s="155"/>
      <c r="GZ3426" s="155"/>
      <c r="HA3426" s="155"/>
      <c r="HB3426" s="155"/>
      <c r="HC3426" s="155"/>
      <c r="HD3426" s="155"/>
      <c r="HE3426" s="155"/>
    </row>
    <row r="3427" spans="2:213" s="156" customFormat="1" hidden="1">
      <c r="B3427" s="155"/>
      <c r="C3427" s="155"/>
      <c r="D3427" s="155"/>
      <c r="E3427" s="155"/>
      <c r="F3427" s="155"/>
      <c r="G3427" s="155"/>
      <c r="H3427" s="155"/>
      <c r="I3427" s="155"/>
      <c r="J3427" s="155"/>
      <c r="K3427" s="155"/>
      <c r="L3427" s="155"/>
      <c r="M3427" s="155"/>
      <c r="N3427" s="155"/>
      <c r="O3427" s="155"/>
      <c r="P3427" s="155"/>
      <c r="Q3427" s="155"/>
      <c r="R3427" s="155"/>
      <c r="S3427" s="155"/>
      <c r="T3427" s="155"/>
      <c r="U3427" s="155"/>
      <c r="V3427" s="155"/>
      <c r="W3427" s="155"/>
      <c r="GL3427" s="155"/>
      <c r="GM3427" s="155"/>
      <c r="GN3427" s="155"/>
      <c r="GO3427" s="155"/>
      <c r="GP3427" s="155"/>
      <c r="GQ3427" s="155"/>
      <c r="GR3427" s="155"/>
      <c r="GS3427" s="155"/>
      <c r="GT3427" s="155"/>
      <c r="GU3427" s="155"/>
      <c r="GV3427" s="155"/>
      <c r="GW3427" s="155"/>
      <c r="GX3427" s="155"/>
      <c r="GY3427" s="155"/>
      <c r="GZ3427" s="155"/>
      <c r="HA3427" s="155"/>
      <c r="HB3427" s="155"/>
      <c r="HC3427" s="155"/>
      <c r="HD3427" s="155"/>
      <c r="HE3427" s="155"/>
    </row>
    <row r="3428" spans="2:213" s="156" customFormat="1" hidden="1">
      <c r="B3428" s="155"/>
      <c r="C3428" s="155"/>
      <c r="D3428" s="155"/>
      <c r="E3428" s="155"/>
      <c r="F3428" s="155"/>
      <c r="G3428" s="155"/>
      <c r="H3428" s="155"/>
      <c r="I3428" s="155"/>
      <c r="J3428" s="155"/>
      <c r="K3428" s="155"/>
      <c r="L3428" s="155"/>
      <c r="M3428" s="155"/>
      <c r="N3428" s="155"/>
      <c r="O3428" s="155"/>
      <c r="P3428" s="155"/>
      <c r="Q3428" s="155"/>
      <c r="R3428" s="155"/>
      <c r="S3428" s="155"/>
      <c r="T3428" s="155"/>
      <c r="U3428" s="155"/>
      <c r="V3428" s="155"/>
      <c r="W3428" s="155"/>
      <c r="GL3428" s="155"/>
      <c r="GM3428" s="155"/>
      <c r="GN3428" s="155"/>
      <c r="GO3428" s="155"/>
      <c r="GP3428" s="155"/>
      <c r="GQ3428" s="155"/>
      <c r="GR3428" s="155"/>
      <c r="GS3428" s="155"/>
      <c r="GT3428" s="155"/>
      <c r="GU3428" s="155"/>
      <c r="GV3428" s="155"/>
      <c r="GW3428" s="155"/>
      <c r="GX3428" s="155"/>
      <c r="GY3428" s="155"/>
      <c r="GZ3428" s="155"/>
      <c r="HA3428" s="155"/>
      <c r="HB3428" s="155"/>
      <c r="HC3428" s="155"/>
      <c r="HD3428" s="155"/>
      <c r="HE3428" s="155"/>
    </row>
    <row r="3429" spans="2:213" s="156" customFormat="1" hidden="1">
      <c r="B3429" s="155"/>
      <c r="C3429" s="155"/>
      <c r="D3429" s="155"/>
      <c r="E3429" s="155"/>
      <c r="F3429" s="155"/>
      <c r="G3429" s="155"/>
      <c r="H3429" s="155"/>
      <c r="I3429" s="155"/>
      <c r="J3429" s="155"/>
      <c r="K3429" s="155"/>
      <c r="L3429" s="155"/>
      <c r="M3429" s="155"/>
      <c r="N3429" s="155"/>
      <c r="O3429" s="155"/>
      <c r="P3429" s="155"/>
      <c r="Q3429" s="155"/>
      <c r="R3429" s="155"/>
      <c r="S3429" s="155"/>
      <c r="T3429" s="155"/>
      <c r="U3429" s="155"/>
      <c r="V3429" s="155"/>
      <c r="W3429" s="155"/>
      <c r="GL3429" s="155"/>
      <c r="GM3429" s="155"/>
      <c r="GN3429" s="155"/>
      <c r="GO3429" s="155"/>
      <c r="GP3429" s="155"/>
      <c r="GQ3429" s="155"/>
      <c r="GR3429" s="155"/>
      <c r="GS3429" s="155"/>
      <c r="GT3429" s="155"/>
      <c r="GU3429" s="155"/>
      <c r="GV3429" s="155"/>
      <c r="GW3429" s="155"/>
      <c r="GX3429" s="155"/>
      <c r="GY3429" s="155"/>
      <c r="GZ3429" s="155"/>
      <c r="HA3429" s="155"/>
      <c r="HB3429" s="155"/>
      <c r="HC3429" s="155"/>
      <c r="HD3429" s="155"/>
      <c r="HE3429" s="155"/>
    </row>
    <row r="3430" spans="2:213" s="156" customFormat="1" hidden="1">
      <c r="B3430" s="155"/>
      <c r="C3430" s="155"/>
      <c r="D3430" s="155"/>
      <c r="E3430" s="155"/>
      <c r="F3430" s="155"/>
      <c r="G3430" s="155"/>
      <c r="H3430" s="155"/>
      <c r="I3430" s="155"/>
      <c r="J3430" s="155"/>
      <c r="K3430" s="155"/>
      <c r="L3430" s="155"/>
      <c r="M3430" s="155"/>
      <c r="N3430" s="155"/>
      <c r="O3430" s="155"/>
      <c r="P3430" s="155"/>
      <c r="Q3430" s="155"/>
      <c r="R3430" s="155"/>
      <c r="S3430" s="155"/>
      <c r="T3430" s="155"/>
      <c r="U3430" s="155"/>
      <c r="V3430" s="155"/>
      <c r="W3430" s="155"/>
      <c r="GL3430" s="155"/>
      <c r="GM3430" s="155"/>
      <c r="GN3430" s="155"/>
      <c r="GO3430" s="155"/>
      <c r="GP3430" s="155"/>
      <c r="GQ3430" s="155"/>
      <c r="GR3430" s="155"/>
      <c r="GS3430" s="155"/>
      <c r="GT3430" s="155"/>
      <c r="GU3430" s="155"/>
      <c r="GV3430" s="155"/>
      <c r="GW3430" s="155"/>
      <c r="GX3430" s="155"/>
      <c r="GY3430" s="155"/>
      <c r="GZ3430" s="155"/>
      <c r="HA3430" s="155"/>
      <c r="HB3430" s="155"/>
      <c r="HC3430" s="155"/>
      <c r="HD3430" s="155"/>
      <c r="HE3430" s="155"/>
    </row>
    <row r="3431" spans="2:213" s="156" customFormat="1" hidden="1">
      <c r="B3431" s="155"/>
      <c r="C3431" s="155"/>
      <c r="D3431" s="155"/>
      <c r="E3431" s="155"/>
      <c r="F3431" s="155"/>
      <c r="G3431" s="155"/>
      <c r="H3431" s="155"/>
      <c r="I3431" s="155"/>
      <c r="J3431" s="155"/>
      <c r="K3431" s="155"/>
      <c r="L3431" s="155"/>
      <c r="M3431" s="155"/>
      <c r="N3431" s="155"/>
      <c r="O3431" s="155"/>
      <c r="P3431" s="155"/>
      <c r="Q3431" s="155"/>
      <c r="R3431" s="155"/>
      <c r="S3431" s="155"/>
      <c r="T3431" s="155"/>
      <c r="U3431" s="155"/>
      <c r="V3431" s="155"/>
      <c r="W3431" s="155"/>
      <c r="GL3431" s="155"/>
      <c r="GM3431" s="155"/>
      <c r="GN3431" s="155"/>
      <c r="GO3431" s="155"/>
      <c r="GP3431" s="155"/>
      <c r="GQ3431" s="155"/>
      <c r="GR3431" s="155"/>
      <c r="GS3431" s="155"/>
      <c r="GT3431" s="155"/>
      <c r="GU3431" s="155"/>
      <c r="GV3431" s="155"/>
      <c r="GW3431" s="155"/>
      <c r="GX3431" s="155"/>
      <c r="GY3431" s="155"/>
      <c r="GZ3431" s="155"/>
      <c r="HA3431" s="155"/>
      <c r="HB3431" s="155"/>
      <c r="HC3431" s="155"/>
      <c r="HD3431" s="155"/>
      <c r="HE3431" s="155"/>
    </row>
    <row r="3432" spans="2:213" s="156" customFormat="1" hidden="1">
      <c r="B3432" s="155"/>
      <c r="C3432" s="155"/>
      <c r="D3432" s="155"/>
      <c r="E3432" s="155"/>
      <c r="F3432" s="155"/>
      <c r="G3432" s="155"/>
      <c r="H3432" s="155"/>
      <c r="I3432" s="155"/>
      <c r="J3432" s="155"/>
      <c r="K3432" s="155"/>
      <c r="L3432" s="155"/>
      <c r="M3432" s="155"/>
      <c r="N3432" s="155"/>
      <c r="O3432" s="155"/>
      <c r="P3432" s="155"/>
      <c r="Q3432" s="155"/>
      <c r="R3432" s="155"/>
      <c r="S3432" s="155"/>
      <c r="T3432" s="155"/>
      <c r="U3432" s="155"/>
      <c r="V3432" s="155"/>
      <c r="W3432" s="155"/>
      <c r="GL3432" s="155"/>
      <c r="GM3432" s="155"/>
      <c r="GN3432" s="155"/>
      <c r="GO3432" s="155"/>
      <c r="GP3432" s="155"/>
      <c r="GQ3432" s="155"/>
      <c r="GR3432" s="155"/>
      <c r="GS3432" s="155"/>
      <c r="GT3432" s="155"/>
      <c r="GU3432" s="155"/>
      <c r="GV3432" s="155"/>
      <c r="GW3432" s="155"/>
      <c r="GX3432" s="155"/>
      <c r="GY3432" s="155"/>
      <c r="GZ3432" s="155"/>
      <c r="HA3432" s="155"/>
      <c r="HB3432" s="155"/>
      <c r="HC3432" s="155"/>
      <c r="HD3432" s="155"/>
      <c r="HE3432" s="155"/>
    </row>
    <row r="3433" spans="2:213" s="156" customFormat="1" hidden="1">
      <c r="B3433" s="155"/>
      <c r="C3433" s="155"/>
      <c r="D3433" s="155"/>
      <c r="E3433" s="155"/>
      <c r="F3433" s="155"/>
      <c r="G3433" s="155"/>
      <c r="H3433" s="155"/>
      <c r="I3433" s="155"/>
      <c r="J3433" s="155"/>
      <c r="K3433" s="155"/>
      <c r="L3433" s="155"/>
      <c r="M3433" s="155"/>
      <c r="N3433" s="155"/>
      <c r="O3433" s="155"/>
      <c r="P3433" s="155"/>
      <c r="Q3433" s="155"/>
      <c r="R3433" s="155"/>
      <c r="S3433" s="155"/>
      <c r="T3433" s="155"/>
      <c r="U3433" s="155"/>
      <c r="V3433" s="155"/>
      <c r="W3433" s="155"/>
      <c r="GL3433" s="155"/>
      <c r="GM3433" s="155"/>
      <c r="GN3433" s="155"/>
      <c r="GO3433" s="155"/>
      <c r="GP3433" s="155"/>
      <c r="GQ3433" s="155"/>
      <c r="GR3433" s="155"/>
      <c r="GS3433" s="155"/>
      <c r="GT3433" s="155"/>
      <c r="GU3433" s="155"/>
      <c r="GV3433" s="155"/>
      <c r="GW3433" s="155"/>
      <c r="GX3433" s="155"/>
      <c r="GY3433" s="155"/>
      <c r="GZ3433" s="155"/>
      <c r="HA3433" s="155"/>
      <c r="HB3433" s="155"/>
      <c r="HC3433" s="155"/>
      <c r="HD3433" s="155"/>
      <c r="HE3433" s="155"/>
    </row>
    <row r="3434" spans="2:213" s="156" customFormat="1" hidden="1">
      <c r="B3434" s="155"/>
      <c r="C3434" s="155"/>
      <c r="D3434" s="155"/>
      <c r="E3434" s="155"/>
      <c r="F3434" s="155"/>
      <c r="G3434" s="155"/>
      <c r="H3434" s="155"/>
      <c r="I3434" s="155"/>
      <c r="J3434" s="155"/>
      <c r="K3434" s="155"/>
      <c r="L3434" s="155"/>
      <c r="M3434" s="155"/>
      <c r="N3434" s="155"/>
      <c r="O3434" s="155"/>
      <c r="P3434" s="155"/>
      <c r="Q3434" s="155"/>
      <c r="R3434" s="155"/>
      <c r="S3434" s="155"/>
      <c r="T3434" s="155"/>
      <c r="U3434" s="155"/>
      <c r="V3434" s="155"/>
      <c r="W3434" s="155"/>
      <c r="GL3434" s="155"/>
      <c r="GM3434" s="155"/>
      <c r="GN3434" s="155"/>
      <c r="GO3434" s="155"/>
      <c r="GP3434" s="155"/>
      <c r="GQ3434" s="155"/>
      <c r="GR3434" s="155"/>
      <c r="GS3434" s="155"/>
      <c r="GT3434" s="155"/>
      <c r="GU3434" s="155"/>
      <c r="GV3434" s="155"/>
      <c r="GW3434" s="155"/>
      <c r="GX3434" s="155"/>
      <c r="GY3434" s="155"/>
      <c r="GZ3434" s="155"/>
      <c r="HA3434" s="155"/>
      <c r="HB3434" s="155"/>
      <c r="HC3434" s="155"/>
      <c r="HD3434" s="155"/>
      <c r="HE3434" s="155"/>
    </row>
    <row r="3435" spans="2:213" s="156" customFormat="1" hidden="1">
      <c r="B3435" s="155"/>
      <c r="C3435" s="155"/>
      <c r="D3435" s="155"/>
      <c r="E3435" s="155"/>
      <c r="F3435" s="155"/>
      <c r="G3435" s="155"/>
      <c r="H3435" s="155"/>
      <c r="I3435" s="155"/>
      <c r="J3435" s="155"/>
      <c r="K3435" s="155"/>
      <c r="L3435" s="155"/>
      <c r="M3435" s="155"/>
      <c r="N3435" s="155"/>
      <c r="O3435" s="155"/>
      <c r="P3435" s="155"/>
      <c r="Q3435" s="155"/>
      <c r="R3435" s="155"/>
      <c r="S3435" s="155"/>
      <c r="T3435" s="155"/>
      <c r="U3435" s="155"/>
      <c r="V3435" s="155"/>
      <c r="W3435" s="155"/>
      <c r="GL3435" s="155"/>
      <c r="GM3435" s="155"/>
      <c r="GN3435" s="155"/>
      <c r="GO3435" s="155"/>
      <c r="GP3435" s="155"/>
      <c r="GQ3435" s="155"/>
      <c r="GR3435" s="155"/>
      <c r="GS3435" s="155"/>
      <c r="GT3435" s="155"/>
      <c r="GU3435" s="155"/>
      <c r="GV3435" s="155"/>
      <c r="GW3435" s="155"/>
      <c r="GX3435" s="155"/>
      <c r="GY3435" s="155"/>
      <c r="GZ3435" s="155"/>
      <c r="HA3435" s="155"/>
      <c r="HB3435" s="155"/>
      <c r="HC3435" s="155"/>
      <c r="HD3435" s="155"/>
      <c r="HE3435" s="155"/>
    </row>
    <row r="3436" spans="2:213" s="156" customFormat="1" hidden="1">
      <c r="B3436" s="155"/>
      <c r="C3436" s="155"/>
      <c r="D3436" s="155"/>
      <c r="E3436" s="155"/>
      <c r="F3436" s="155"/>
      <c r="G3436" s="155"/>
      <c r="H3436" s="155"/>
      <c r="I3436" s="155"/>
      <c r="J3436" s="155"/>
      <c r="K3436" s="155"/>
      <c r="L3436" s="155"/>
      <c r="M3436" s="155"/>
      <c r="N3436" s="155"/>
      <c r="O3436" s="155"/>
      <c r="P3436" s="155"/>
      <c r="Q3436" s="155"/>
      <c r="R3436" s="155"/>
      <c r="S3436" s="155"/>
      <c r="T3436" s="155"/>
      <c r="U3436" s="155"/>
      <c r="V3436" s="155"/>
      <c r="W3436" s="155"/>
      <c r="GL3436" s="155"/>
      <c r="GM3436" s="155"/>
      <c r="GN3436" s="155"/>
      <c r="GO3436" s="155"/>
      <c r="GP3436" s="155"/>
      <c r="GQ3436" s="155"/>
      <c r="GR3436" s="155"/>
      <c r="GS3436" s="155"/>
      <c r="GT3436" s="155"/>
      <c r="GU3436" s="155"/>
      <c r="GV3436" s="155"/>
      <c r="GW3436" s="155"/>
      <c r="GX3436" s="155"/>
      <c r="GY3436" s="155"/>
      <c r="GZ3436" s="155"/>
      <c r="HA3436" s="155"/>
      <c r="HB3436" s="155"/>
      <c r="HC3436" s="155"/>
      <c r="HD3436" s="155"/>
      <c r="HE3436" s="155"/>
    </row>
    <row r="3437" spans="2:213" s="156" customFormat="1" hidden="1">
      <c r="B3437" s="155"/>
      <c r="C3437" s="155"/>
      <c r="D3437" s="155"/>
      <c r="E3437" s="155"/>
      <c r="F3437" s="155"/>
      <c r="G3437" s="155"/>
      <c r="H3437" s="155"/>
      <c r="I3437" s="155"/>
      <c r="J3437" s="155"/>
      <c r="K3437" s="155"/>
      <c r="L3437" s="155"/>
      <c r="M3437" s="155"/>
      <c r="N3437" s="155"/>
      <c r="O3437" s="155"/>
      <c r="P3437" s="155"/>
      <c r="Q3437" s="155"/>
      <c r="R3437" s="155"/>
      <c r="S3437" s="155"/>
      <c r="T3437" s="155"/>
      <c r="U3437" s="155"/>
      <c r="V3437" s="155"/>
      <c r="W3437" s="155"/>
      <c r="GL3437" s="155"/>
      <c r="GM3437" s="155"/>
      <c r="GN3437" s="155"/>
      <c r="GO3437" s="155"/>
      <c r="GP3437" s="155"/>
      <c r="GQ3437" s="155"/>
      <c r="GR3437" s="155"/>
      <c r="GS3437" s="155"/>
      <c r="GT3437" s="155"/>
      <c r="GU3437" s="155"/>
      <c r="GV3437" s="155"/>
      <c r="GW3437" s="155"/>
      <c r="GX3437" s="155"/>
      <c r="GY3437" s="155"/>
      <c r="GZ3437" s="155"/>
      <c r="HA3437" s="155"/>
      <c r="HB3437" s="155"/>
      <c r="HC3437" s="155"/>
      <c r="HD3437" s="155"/>
      <c r="HE3437" s="155"/>
    </row>
    <row r="3438" spans="2:213" s="156" customFormat="1" hidden="1">
      <c r="B3438" s="155"/>
      <c r="C3438" s="155"/>
      <c r="D3438" s="155"/>
      <c r="E3438" s="155"/>
      <c r="F3438" s="155"/>
      <c r="G3438" s="155"/>
      <c r="H3438" s="155"/>
      <c r="I3438" s="155"/>
      <c r="J3438" s="155"/>
      <c r="K3438" s="155"/>
      <c r="L3438" s="155"/>
      <c r="M3438" s="155"/>
      <c r="N3438" s="155"/>
      <c r="O3438" s="155"/>
      <c r="P3438" s="155"/>
      <c r="Q3438" s="155"/>
      <c r="R3438" s="155"/>
      <c r="S3438" s="155"/>
      <c r="T3438" s="155"/>
      <c r="U3438" s="155"/>
      <c r="V3438" s="155"/>
      <c r="W3438" s="155"/>
      <c r="GL3438" s="155"/>
      <c r="GM3438" s="155"/>
      <c r="GN3438" s="155"/>
      <c r="GO3438" s="155"/>
      <c r="GP3438" s="155"/>
      <c r="GQ3438" s="155"/>
      <c r="GR3438" s="155"/>
      <c r="GS3438" s="155"/>
      <c r="GT3438" s="155"/>
      <c r="GU3438" s="155"/>
      <c r="GV3438" s="155"/>
      <c r="GW3438" s="155"/>
      <c r="GX3438" s="155"/>
      <c r="GY3438" s="155"/>
      <c r="GZ3438" s="155"/>
      <c r="HA3438" s="155"/>
      <c r="HB3438" s="155"/>
      <c r="HC3438" s="155"/>
      <c r="HD3438" s="155"/>
      <c r="HE3438" s="155"/>
    </row>
    <row r="3439" spans="2:213" s="156" customFormat="1" hidden="1">
      <c r="B3439" s="155"/>
      <c r="C3439" s="155"/>
      <c r="D3439" s="155"/>
      <c r="E3439" s="155"/>
      <c r="F3439" s="155"/>
      <c r="G3439" s="155"/>
      <c r="H3439" s="155"/>
      <c r="I3439" s="155"/>
      <c r="J3439" s="155"/>
      <c r="K3439" s="155"/>
      <c r="L3439" s="155"/>
      <c r="M3439" s="155"/>
      <c r="N3439" s="155"/>
      <c r="O3439" s="155"/>
      <c r="P3439" s="155"/>
      <c r="Q3439" s="155"/>
      <c r="R3439" s="155"/>
      <c r="S3439" s="155"/>
      <c r="T3439" s="155"/>
      <c r="U3439" s="155"/>
      <c r="V3439" s="155"/>
      <c r="W3439" s="155"/>
      <c r="GL3439" s="155"/>
      <c r="GM3439" s="155"/>
      <c r="GN3439" s="155"/>
      <c r="GO3439" s="155"/>
      <c r="GP3439" s="155"/>
      <c r="GQ3439" s="155"/>
      <c r="GR3439" s="155"/>
      <c r="GS3439" s="155"/>
      <c r="GT3439" s="155"/>
      <c r="GU3439" s="155"/>
      <c r="GV3439" s="155"/>
      <c r="GW3439" s="155"/>
      <c r="GX3439" s="155"/>
      <c r="GY3439" s="155"/>
      <c r="GZ3439" s="155"/>
      <c r="HA3439" s="155"/>
      <c r="HB3439" s="155"/>
      <c r="HC3439" s="155"/>
      <c r="HD3439" s="155"/>
      <c r="HE3439" s="155"/>
    </row>
    <row r="3440" spans="2:213" s="156" customFormat="1" hidden="1">
      <c r="B3440" s="155"/>
      <c r="C3440" s="155"/>
      <c r="D3440" s="155"/>
      <c r="E3440" s="155"/>
      <c r="F3440" s="155"/>
      <c r="G3440" s="155"/>
      <c r="H3440" s="155"/>
      <c r="I3440" s="155"/>
      <c r="J3440" s="155"/>
      <c r="K3440" s="155"/>
      <c r="L3440" s="155"/>
      <c r="M3440" s="155"/>
      <c r="N3440" s="155"/>
      <c r="O3440" s="155"/>
      <c r="P3440" s="155"/>
      <c r="Q3440" s="155"/>
      <c r="R3440" s="155"/>
      <c r="S3440" s="155"/>
      <c r="T3440" s="155"/>
      <c r="U3440" s="155"/>
      <c r="V3440" s="155"/>
      <c r="W3440" s="155"/>
      <c r="GL3440" s="155"/>
      <c r="GM3440" s="155"/>
      <c r="GN3440" s="155"/>
      <c r="GO3440" s="155"/>
      <c r="GP3440" s="155"/>
      <c r="GQ3440" s="155"/>
      <c r="GR3440" s="155"/>
      <c r="GS3440" s="155"/>
      <c r="GT3440" s="155"/>
      <c r="GU3440" s="155"/>
      <c r="GV3440" s="155"/>
      <c r="GW3440" s="155"/>
      <c r="GX3440" s="155"/>
      <c r="GY3440" s="155"/>
      <c r="GZ3440" s="155"/>
      <c r="HA3440" s="155"/>
      <c r="HB3440" s="155"/>
      <c r="HC3440" s="155"/>
      <c r="HD3440" s="155"/>
      <c r="HE3440" s="155"/>
    </row>
    <row r="3441" spans="2:213" s="156" customFormat="1" hidden="1">
      <c r="B3441" s="155"/>
      <c r="C3441" s="155"/>
      <c r="D3441" s="155"/>
      <c r="E3441" s="155"/>
      <c r="F3441" s="155"/>
      <c r="G3441" s="155"/>
      <c r="H3441" s="155"/>
      <c r="I3441" s="155"/>
      <c r="J3441" s="155"/>
      <c r="K3441" s="155"/>
      <c r="L3441" s="155"/>
      <c r="M3441" s="155"/>
      <c r="N3441" s="155"/>
      <c r="O3441" s="155"/>
      <c r="P3441" s="155"/>
      <c r="Q3441" s="155"/>
      <c r="R3441" s="155"/>
      <c r="S3441" s="155"/>
      <c r="T3441" s="155"/>
      <c r="U3441" s="155"/>
      <c r="V3441" s="155"/>
      <c r="W3441" s="155"/>
      <c r="GL3441" s="155"/>
      <c r="GM3441" s="155"/>
      <c r="GN3441" s="155"/>
      <c r="GO3441" s="155"/>
      <c r="GP3441" s="155"/>
      <c r="GQ3441" s="155"/>
      <c r="GR3441" s="155"/>
      <c r="GS3441" s="155"/>
      <c r="GT3441" s="155"/>
      <c r="GU3441" s="155"/>
      <c r="GV3441" s="155"/>
      <c r="GW3441" s="155"/>
      <c r="GX3441" s="155"/>
      <c r="GY3441" s="155"/>
      <c r="GZ3441" s="155"/>
      <c r="HA3441" s="155"/>
      <c r="HB3441" s="155"/>
      <c r="HC3441" s="155"/>
      <c r="HD3441" s="155"/>
      <c r="HE3441" s="155"/>
    </row>
    <row r="3442" spans="2:213" s="156" customFormat="1" hidden="1">
      <c r="B3442" s="155"/>
      <c r="C3442" s="155"/>
      <c r="D3442" s="155"/>
      <c r="E3442" s="155"/>
      <c r="F3442" s="155"/>
      <c r="G3442" s="155"/>
      <c r="H3442" s="155"/>
      <c r="I3442" s="155"/>
      <c r="J3442" s="155"/>
      <c r="K3442" s="155"/>
      <c r="L3442" s="155"/>
      <c r="M3442" s="155"/>
      <c r="N3442" s="155"/>
      <c r="O3442" s="155"/>
      <c r="P3442" s="155"/>
      <c r="Q3442" s="155"/>
      <c r="R3442" s="155"/>
      <c r="S3442" s="155"/>
      <c r="T3442" s="155"/>
      <c r="U3442" s="155"/>
      <c r="V3442" s="155"/>
      <c r="W3442" s="155"/>
      <c r="GL3442" s="155"/>
      <c r="GM3442" s="155"/>
      <c r="GN3442" s="155"/>
      <c r="GO3442" s="155"/>
      <c r="GP3442" s="155"/>
      <c r="GQ3442" s="155"/>
      <c r="GR3442" s="155"/>
      <c r="GS3442" s="155"/>
      <c r="GT3442" s="155"/>
      <c r="GU3442" s="155"/>
      <c r="GV3442" s="155"/>
      <c r="GW3442" s="155"/>
      <c r="GX3442" s="155"/>
      <c r="GY3442" s="155"/>
      <c r="GZ3442" s="155"/>
      <c r="HA3442" s="155"/>
      <c r="HB3442" s="155"/>
      <c r="HC3442" s="155"/>
      <c r="HD3442" s="155"/>
      <c r="HE3442" s="155"/>
    </row>
    <row r="3443" spans="2:213" s="156" customFormat="1" hidden="1">
      <c r="B3443" s="155"/>
      <c r="C3443" s="155"/>
      <c r="D3443" s="155"/>
      <c r="E3443" s="155"/>
      <c r="F3443" s="155"/>
      <c r="G3443" s="155"/>
      <c r="H3443" s="155"/>
      <c r="I3443" s="155"/>
      <c r="J3443" s="155"/>
      <c r="K3443" s="155"/>
      <c r="L3443" s="155"/>
      <c r="M3443" s="155"/>
      <c r="N3443" s="155"/>
      <c r="O3443" s="155"/>
      <c r="P3443" s="155"/>
      <c r="Q3443" s="155"/>
      <c r="R3443" s="155"/>
      <c r="S3443" s="155"/>
      <c r="T3443" s="155"/>
      <c r="U3443" s="155"/>
      <c r="V3443" s="155"/>
      <c r="W3443" s="155"/>
      <c r="GL3443" s="155"/>
      <c r="GM3443" s="155"/>
      <c r="GN3443" s="155"/>
      <c r="GO3443" s="155"/>
      <c r="GP3443" s="155"/>
      <c r="GQ3443" s="155"/>
      <c r="GR3443" s="155"/>
      <c r="GS3443" s="155"/>
      <c r="GT3443" s="155"/>
      <c r="GU3443" s="155"/>
      <c r="GV3443" s="155"/>
      <c r="GW3443" s="155"/>
      <c r="GX3443" s="155"/>
      <c r="GY3443" s="155"/>
      <c r="GZ3443" s="155"/>
      <c r="HA3443" s="155"/>
      <c r="HB3443" s="155"/>
      <c r="HC3443" s="155"/>
      <c r="HD3443" s="155"/>
      <c r="HE3443" s="155"/>
    </row>
    <row r="3444" spans="2:213" s="156" customFormat="1" hidden="1">
      <c r="B3444" s="155"/>
      <c r="C3444" s="155"/>
      <c r="D3444" s="155"/>
      <c r="E3444" s="155"/>
      <c r="F3444" s="155"/>
      <c r="G3444" s="155"/>
      <c r="H3444" s="155"/>
      <c r="I3444" s="155"/>
      <c r="J3444" s="155"/>
      <c r="K3444" s="155"/>
      <c r="L3444" s="155"/>
      <c r="M3444" s="155"/>
      <c r="N3444" s="155"/>
      <c r="O3444" s="155"/>
      <c r="P3444" s="155"/>
      <c r="Q3444" s="155"/>
      <c r="R3444" s="155"/>
      <c r="S3444" s="155"/>
      <c r="T3444" s="155"/>
      <c r="U3444" s="155"/>
      <c r="V3444" s="155"/>
      <c r="W3444" s="155"/>
      <c r="GL3444" s="155"/>
      <c r="GM3444" s="155"/>
      <c r="GN3444" s="155"/>
      <c r="GO3444" s="155"/>
      <c r="GP3444" s="155"/>
      <c r="GQ3444" s="155"/>
      <c r="GR3444" s="155"/>
      <c r="GS3444" s="155"/>
      <c r="GT3444" s="155"/>
      <c r="GU3444" s="155"/>
      <c r="GV3444" s="155"/>
      <c r="GW3444" s="155"/>
      <c r="GX3444" s="155"/>
      <c r="GY3444" s="155"/>
      <c r="GZ3444" s="155"/>
      <c r="HA3444" s="155"/>
      <c r="HB3444" s="155"/>
      <c r="HC3444" s="155"/>
      <c r="HD3444" s="155"/>
      <c r="HE3444" s="155"/>
    </row>
    <row r="3445" spans="2:213" s="156" customFormat="1" hidden="1">
      <c r="B3445" s="155"/>
      <c r="C3445" s="155"/>
      <c r="D3445" s="155"/>
      <c r="E3445" s="155"/>
      <c r="F3445" s="155"/>
      <c r="G3445" s="155"/>
      <c r="H3445" s="155"/>
      <c r="I3445" s="155"/>
      <c r="J3445" s="155"/>
      <c r="K3445" s="155"/>
      <c r="L3445" s="155"/>
      <c r="M3445" s="155"/>
      <c r="N3445" s="155"/>
      <c r="O3445" s="155"/>
      <c r="P3445" s="155"/>
      <c r="Q3445" s="155"/>
      <c r="R3445" s="155"/>
      <c r="S3445" s="155"/>
      <c r="T3445" s="155"/>
      <c r="U3445" s="155"/>
      <c r="V3445" s="155"/>
      <c r="W3445" s="155"/>
      <c r="GL3445" s="155"/>
      <c r="GM3445" s="155"/>
      <c r="GN3445" s="155"/>
      <c r="GO3445" s="155"/>
      <c r="GP3445" s="155"/>
      <c r="GQ3445" s="155"/>
      <c r="GR3445" s="155"/>
      <c r="GS3445" s="155"/>
      <c r="GT3445" s="155"/>
      <c r="GU3445" s="155"/>
      <c r="GV3445" s="155"/>
      <c r="GW3445" s="155"/>
      <c r="GX3445" s="155"/>
      <c r="GY3445" s="155"/>
      <c r="GZ3445" s="155"/>
      <c r="HA3445" s="155"/>
      <c r="HB3445" s="155"/>
      <c r="HC3445" s="155"/>
      <c r="HD3445" s="155"/>
      <c r="HE3445" s="155"/>
    </row>
    <row r="3446" spans="2:213" s="156" customFormat="1" hidden="1">
      <c r="B3446" s="155"/>
      <c r="C3446" s="155"/>
      <c r="D3446" s="155"/>
      <c r="E3446" s="155"/>
      <c r="F3446" s="155"/>
      <c r="G3446" s="155"/>
      <c r="H3446" s="155"/>
      <c r="I3446" s="155"/>
      <c r="J3446" s="155"/>
      <c r="K3446" s="155"/>
      <c r="L3446" s="155"/>
      <c r="M3446" s="155"/>
      <c r="N3446" s="155"/>
      <c r="O3446" s="155"/>
      <c r="P3446" s="155"/>
      <c r="Q3446" s="155"/>
      <c r="R3446" s="155"/>
      <c r="S3446" s="155"/>
      <c r="T3446" s="155"/>
      <c r="U3446" s="155"/>
      <c r="V3446" s="155"/>
      <c r="W3446" s="155"/>
      <c r="GL3446" s="155"/>
      <c r="GM3446" s="155"/>
      <c r="GN3446" s="155"/>
      <c r="GO3446" s="155"/>
      <c r="GP3446" s="155"/>
      <c r="GQ3446" s="155"/>
      <c r="GR3446" s="155"/>
      <c r="GS3446" s="155"/>
      <c r="GT3446" s="155"/>
      <c r="GU3446" s="155"/>
      <c r="GV3446" s="155"/>
      <c r="GW3446" s="155"/>
      <c r="GX3446" s="155"/>
      <c r="GY3446" s="155"/>
      <c r="GZ3446" s="155"/>
      <c r="HA3446" s="155"/>
      <c r="HB3446" s="155"/>
      <c r="HC3446" s="155"/>
      <c r="HD3446" s="155"/>
      <c r="HE3446" s="155"/>
    </row>
    <row r="3447" spans="2:213" s="156" customFormat="1" hidden="1">
      <c r="B3447" s="155"/>
      <c r="C3447" s="155"/>
      <c r="D3447" s="155"/>
      <c r="E3447" s="155"/>
      <c r="F3447" s="155"/>
      <c r="G3447" s="155"/>
      <c r="H3447" s="155"/>
      <c r="I3447" s="155"/>
      <c r="J3447" s="155"/>
      <c r="K3447" s="155"/>
      <c r="L3447" s="155"/>
      <c r="M3447" s="155"/>
      <c r="N3447" s="155"/>
      <c r="O3447" s="155"/>
      <c r="P3447" s="155"/>
      <c r="Q3447" s="155"/>
      <c r="R3447" s="155"/>
      <c r="S3447" s="155"/>
      <c r="T3447" s="155"/>
      <c r="U3447" s="155"/>
      <c r="V3447" s="155"/>
      <c r="W3447" s="155"/>
      <c r="GL3447" s="155"/>
      <c r="GM3447" s="155"/>
      <c r="GN3447" s="155"/>
      <c r="GO3447" s="155"/>
      <c r="GP3447" s="155"/>
      <c r="GQ3447" s="155"/>
      <c r="GR3447" s="155"/>
      <c r="GS3447" s="155"/>
      <c r="GT3447" s="155"/>
      <c r="GU3447" s="155"/>
      <c r="GV3447" s="155"/>
      <c r="GW3447" s="155"/>
      <c r="GX3447" s="155"/>
      <c r="GY3447" s="155"/>
      <c r="GZ3447" s="155"/>
      <c r="HA3447" s="155"/>
      <c r="HB3447" s="155"/>
      <c r="HC3447" s="155"/>
      <c r="HD3447" s="155"/>
      <c r="HE3447" s="155"/>
    </row>
    <row r="3448" spans="2:213" s="156" customFormat="1" hidden="1">
      <c r="B3448" s="155"/>
      <c r="C3448" s="155"/>
      <c r="D3448" s="155"/>
      <c r="E3448" s="155"/>
      <c r="F3448" s="155"/>
      <c r="G3448" s="155"/>
      <c r="H3448" s="155"/>
      <c r="I3448" s="155"/>
      <c r="J3448" s="155"/>
      <c r="K3448" s="155"/>
      <c r="L3448" s="155"/>
      <c r="M3448" s="155"/>
      <c r="N3448" s="155"/>
      <c r="O3448" s="155"/>
      <c r="P3448" s="155"/>
      <c r="Q3448" s="155"/>
      <c r="R3448" s="155"/>
      <c r="S3448" s="155"/>
      <c r="T3448" s="155"/>
      <c r="U3448" s="155"/>
      <c r="V3448" s="155"/>
      <c r="W3448" s="155"/>
      <c r="GL3448" s="155"/>
      <c r="GM3448" s="155"/>
      <c r="GN3448" s="155"/>
      <c r="GO3448" s="155"/>
      <c r="GP3448" s="155"/>
      <c r="GQ3448" s="155"/>
      <c r="GR3448" s="155"/>
      <c r="GS3448" s="155"/>
      <c r="GT3448" s="155"/>
      <c r="GU3448" s="155"/>
      <c r="GV3448" s="155"/>
      <c r="GW3448" s="155"/>
      <c r="GX3448" s="155"/>
      <c r="GY3448" s="155"/>
      <c r="GZ3448" s="155"/>
      <c r="HA3448" s="155"/>
      <c r="HB3448" s="155"/>
      <c r="HC3448" s="155"/>
      <c r="HD3448" s="155"/>
      <c r="HE3448" s="155"/>
    </row>
    <row r="3449" spans="2:213" s="156" customFormat="1" hidden="1">
      <c r="B3449" s="155"/>
      <c r="C3449" s="155"/>
      <c r="D3449" s="155"/>
      <c r="E3449" s="155"/>
      <c r="F3449" s="155"/>
      <c r="G3449" s="155"/>
      <c r="H3449" s="155"/>
      <c r="I3449" s="155"/>
      <c r="J3449" s="155"/>
      <c r="K3449" s="155"/>
      <c r="L3449" s="155"/>
      <c r="M3449" s="155"/>
      <c r="N3449" s="155"/>
      <c r="O3449" s="155"/>
      <c r="P3449" s="155"/>
      <c r="Q3449" s="155"/>
      <c r="R3449" s="155"/>
      <c r="S3449" s="155"/>
      <c r="T3449" s="155"/>
      <c r="U3449" s="155"/>
      <c r="V3449" s="155"/>
      <c r="W3449" s="155"/>
      <c r="GL3449" s="155"/>
      <c r="GM3449" s="155"/>
      <c r="GN3449" s="155"/>
      <c r="GO3449" s="155"/>
      <c r="GP3449" s="155"/>
      <c r="GQ3449" s="155"/>
      <c r="GR3449" s="155"/>
      <c r="GS3449" s="155"/>
      <c r="GT3449" s="155"/>
      <c r="GU3449" s="155"/>
      <c r="GV3449" s="155"/>
      <c r="GW3449" s="155"/>
      <c r="GX3449" s="155"/>
      <c r="GY3449" s="155"/>
      <c r="GZ3449" s="155"/>
      <c r="HA3449" s="155"/>
      <c r="HB3449" s="155"/>
      <c r="HC3449" s="155"/>
      <c r="HD3449" s="155"/>
      <c r="HE3449" s="155"/>
    </row>
    <row r="3450" spans="2:213" s="156" customFormat="1" hidden="1">
      <c r="B3450" s="155"/>
      <c r="C3450" s="155"/>
      <c r="D3450" s="155"/>
      <c r="E3450" s="155"/>
      <c r="F3450" s="155"/>
      <c r="G3450" s="155"/>
      <c r="H3450" s="155"/>
      <c r="I3450" s="155"/>
      <c r="J3450" s="155"/>
      <c r="K3450" s="155"/>
      <c r="L3450" s="155"/>
      <c r="M3450" s="155"/>
      <c r="N3450" s="155"/>
      <c r="O3450" s="155"/>
      <c r="P3450" s="155"/>
      <c r="Q3450" s="155"/>
      <c r="R3450" s="155"/>
      <c r="S3450" s="155"/>
      <c r="T3450" s="155"/>
      <c r="U3450" s="155"/>
      <c r="V3450" s="155"/>
      <c r="W3450" s="155"/>
      <c r="GL3450" s="155"/>
      <c r="GM3450" s="155"/>
      <c r="GN3450" s="155"/>
      <c r="GO3450" s="155"/>
      <c r="GP3450" s="155"/>
      <c r="GQ3450" s="155"/>
      <c r="GR3450" s="155"/>
      <c r="GS3450" s="155"/>
      <c r="GT3450" s="155"/>
      <c r="GU3450" s="155"/>
      <c r="GV3450" s="155"/>
      <c r="GW3450" s="155"/>
      <c r="GX3450" s="155"/>
      <c r="GY3450" s="155"/>
      <c r="GZ3450" s="155"/>
      <c r="HA3450" s="155"/>
      <c r="HB3450" s="155"/>
      <c r="HC3450" s="155"/>
      <c r="HD3450" s="155"/>
      <c r="HE3450" s="155"/>
    </row>
    <row r="3451" spans="2:213" s="156" customFormat="1" hidden="1">
      <c r="B3451" s="155"/>
      <c r="C3451" s="155"/>
      <c r="D3451" s="155"/>
      <c r="E3451" s="155"/>
      <c r="F3451" s="155"/>
      <c r="G3451" s="155"/>
      <c r="H3451" s="155"/>
      <c r="I3451" s="155"/>
      <c r="J3451" s="155"/>
      <c r="K3451" s="155"/>
      <c r="L3451" s="155"/>
      <c r="M3451" s="155"/>
      <c r="N3451" s="155"/>
      <c r="O3451" s="155"/>
      <c r="P3451" s="155"/>
      <c r="Q3451" s="155"/>
      <c r="R3451" s="155"/>
      <c r="S3451" s="155"/>
      <c r="T3451" s="155"/>
      <c r="U3451" s="155"/>
      <c r="V3451" s="155"/>
      <c r="W3451" s="155"/>
      <c r="GL3451" s="155"/>
      <c r="GM3451" s="155"/>
      <c r="GN3451" s="155"/>
      <c r="GO3451" s="155"/>
      <c r="GP3451" s="155"/>
      <c r="GQ3451" s="155"/>
      <c r="GR3451" s="155"/>
      <c r="GS3451" s="155"/>
      <c r="GT3451" s="155"/>
      <c r="GU3451" s="155"/>
      <c r="GV3451" s="155"/>
      <c r="GW3451" s="155"/>
      <c r="GX3451" s="155"/>
      <c r="GY3451" s="155"/>
      <c r="GZ3451" s="155"/>
      <c r="HA3451" s="155"/>
      <c r="HB3451" s="155"/>
      <c r="HC3451" s="155"/>
      <c r="HD3451" s="155"/>
      <c r="HE3451" s="155"/>
    </row>
    <row r="3452" spans="2:213" s="156" customFormat="1" hidden="1">
      <c r="B3452" s="155"/>
      <c r="C3452" s="155"/>
      <c r="D3452" s="155"/>
      <c r="E3452" s="155"/>
      <c r="F3452" s="155"/>
      <c r="G3452" s="155"/>
      <c r="H3452" s="155"/>
      <c r="I3452" s="155"/>
      <c r="J3452" s="155"/>
      <c r="K3452" s="155"/>
      <c r="L3452" s="155"/>
      <c r="M3452" s="155"/>
      <c r="N3452" s="155"/>
      <c r="O3452" s="155"/>
      <c r="P3452" s="155"/>
      <c r="Q3452" s="155"/>
      <c r="R3452" s="155"/>
      <c r="S3452" s="155"/>
      <c r="T3452" s="155"/>
      <c r="U3452" s="155"/>
      <c r="V3452" s="155"/>
      <c r="W3452" s="155"/>
      <c r="GL3452" s="155"/>
      <c r="GM3452" s="155"/>
      <c r="GN3452" s="155"/>
      <c r="GO3452" s="155"/>
      <c r="GP3452" s="155"/>
      <c r="GQ3452" s="155"/>
      <c r="GR3452" s="155"/>
      <c r="GS3452" s="155"/>
      <c r="GT3452" s="155"/>
      <c r="GU3452" s="155"/>
      <c r="GV3452" s="155"/>
      <c r="GW3452" s="155"/>
      <c r="GX3452" s="155"/>
      <c r="GY3452" s="155"/>
      <c r="GZ3452" s="155"/>
      <c r="HA3452" s="155"/>
      <c r="HB3452" s="155"/>
      <c r="HC3452" s="155"/>
      <c r="HD3452" s="155"/>
      <c r="HE3452" s="155"/>
    </row>
    <row r="3453" spans="2:213" s="156" customFormat="1" hidden="1">
      <c r="B3453" s="155"/>
      <c r="C3453" s="155"/>
      <c r="D3453" s="155"/>
      <c r="E3453" s="155"/>
      <c r="F3453" s="155"/>
      <c r="G3453" s="155"/>
      <c r="H3453" s="155"/>
      <c r="I3453" s="155"/>
      <c r="J3453" s="155"/>
      <c r="K3453" s="155"/>
      <c r="L3453" s="155"/>
      <c r="M3453" s="155"/>
      <c r="N3453" s="155"/>
      <c r="O3453" s="155"/>
      <c r="P3453" s="155"/>
      <c r="Q3453" s="155"/>
      <c r="R3453" s="155"/>
      <c r="S3453" s="155"/>
      <c r="T3453" s="155"/>
      <c r="U3453" s="155"/>
      <c r="V3453" s="155"/>
      <c r="W3453" s="155"/>
      <c r="GL3453" s="155"/>
      <c r="GM3453" s="155"/>
      <c r="GN3453" s="155"/>
      <c r="GO3453" s="155"/>
      <c r="GP3453" s="155"/>
      <c r="GQ3453" s="155"/>
      <c r="GR3453" s="155"/>
      <c r="GS3453" s="155"/>
      <c r="GT3453" s="155"/>
      <c r="GU3453" s="155"/>
      <c r="GV3453" s="155"/>
      <c r="GW3453" s="155"/>
      <c r="GX3453" s="155"/>
      <c r="GY3453" s="155"/>
      <c r="GZ3453" s="155"/>
      <c r="HA3453" s="155"/>
      <c r="HB3453" s="155"/>
      <c r="HC3453" s="155"/>
      <c r="HD3453" s="155"/>
      <c r="HE3453" s="155"/>
    </row>
    <row r="3454" spans="2:213" s="156" customFormat="1" hidden="1">
      <c r="B3454" s="155"/>
      <c r="C3454" s="155"/>
      <c r="D3454" s="155"/>
      <c r="E3454" s="155"/>
      <c r="F3454" s="155"/>
      <c r="G3454" s="155"/>
      <c r="H3454" s="155"/>
      <c r="I3454" s="155"/>
      <c r="J3454" s="155"/>
      <c r="K3454" s="155"/>
      <c r="L3454" s="155"/>
      <c r="M3454" s="155"/>
      <c r="N3454" s="155"/>
      <c r="O3454" s="155"/>
      <c r="P3454" s="155"/>
      <c r="Q3454" s="155"/>
      <c r="R3454" s="155"/>
      <c r="S3454" s="155"/>
      <c r="T3454" s="155"/>
      <c r="U3454" s="155"/>
      <c r="V3454" s="155"/>
      <c r="W3454" s="155"/>
      <c r="GL3454" s="155"/>
      <c r="GM3454" s="155"/>
      <c r="GN3454" s="155"/>
      <c r="GO3454" s="155"/>
      <c r="GP3454" s="155"/>
      <c r="GQ3454" s="155"/>
      <c r="GR3454" s="155"/>
      <c r="GS3454" s="155"/>
      <c r="GT3454" s="155"/>
      <c r="GU3454" s="155"/>
      <c r="GV3454" s="155"/>
      <c r="GW3454" s="155"/>
      <c r="GX3454" s="155"/>
      <c r="GY3454" s="155"/>
      <c r="GZ3454" s="155"/>
      <c r="HA3454" s="155"/>
      <c r="HB3454" s="155"/>
      <c r="HC3454" s="155"/>
      <c r="HD3454" s="155"/>
      <c r="HE3454" s="155"/>
    </row>
    <row r="3455" spans="2:213" s="156" customFormat="1" hidden="1">
      <c r="B3455" s="155"/>
      <c r="C3455" s="155"/>
      <c r="D3455" s="155"/>
      <c r="E3455" s="155"/>
      <c r="F3455" s="155"/>
      <c r="G3455" s="155"/>
      <c r="H3455" s="155"/>
      <c r="I3455" s="155"/>
      <c r="J3455" s="155"/>
      <c r="K3455" s="155"/>
      <c r="L3455" s="155"/>
      <c r="M3455" s="155"/>
      <c r="N3455" s="155"/>
      <c r="O3455" s="155"/>
      <c r="P3455" s="155"/>
      <c r="Q3455" s="155"/>
      <c r="R3455" s="155"/>
      <c r="S3455" s="155"/>
      <c r="T3455" s="155"/>
      <c r="U3455" s="155"/>
      <c r="V3455" s="155"/>
      <c r="W3455" s="155"/>
      <c r="GL3455" s="155"/>
      <c r="GM3455" s="155"/>
      <c r="GN3455" s="155"/>
      <c r="GO3455" s="155"/>
      <c r="GP3455" s="155"/>
      <c r="GQ3455" s="155"/>
      <c r="GR3455" s="155"/>
      <c r="GS3455" s="155"/>
      <c r="GT3455" s="155"/>
      <c r="GU3455" s="155"/>
      <c r="GV3455" s="155"/>
      <c r="GW3455" s="155"/>
      <c r="GX3455" s="155"/>
      <c r="GY3455" s="155"/>
      <c r="GZ3455" s="155"/>
      <c r="HA3455" s="155"/>
      <c r="HB3455" s="155"/>
      <c r="HC3455" s="155"/>
      <c r="HD3455" s="155"/>
      <c r="HE3455" s="155"/>
    </row>
    <row r="3456" spans="2:213" s="156" customFormat="1" hidden="1">
      <c r="B3456" s="155"/>
      <c r="C3456" s="155"/>
      <c r="D3456" s="155"/>
      <c r="E3456" s="155"/>
      <c r="F3456" s="155"/>
      <c r="G3456" s="155"/>
      <c r="H3456" s="155"/>
      <c r="I3456" s="155"/>
      <c r="J3456" s="155"/>
      <c r="K3456" s="155"/>
      <c r="L3456" s="155"/>
      <c r="M3456" s="155"/>
      <c r="N3456" s="155"/>
      <c r="O3456" s="155"/>
      <c r="P3456" s="155"/>
      <c r="Q3456" s="155"/>
      <c r="R3456" s="155"/>
      <c r="S3456" s="155"/>
      <c r="T3456" s="155"/>
      <c r="U3456" s="155"/>
      <c r="V3456" s="155"/>
      <c r="W3456" s="155"/>
      <c r="GL3456" s="155"/>
      <c r="GM3456" s="155"/>
      <c r="GN3456" s="155"/>
      <c r="GO3456" s="155"/>
      <c r="GP3456" s="155"/>
      <c r="GQ3456" s="155"/>
      <c r="GR3456" s="155"/>
      <c r="GS3456" s="155"/>
      <c r="GT3456" s="155"/>
      <c r="GU3456" s="155"/>
      <c r="GV3456" s="155"/>
      <c r="GW3456" s="155"/>
      <c r="GX3456" s="155"/>
      <c r="GY3456" s="155"/>
      <c r="GZ3456" s="155"/>
      <c r="HA3456" s="155"/>
      <c r="HB3456" s="155"/>
      <c r="HC3456" s="155"/>
      <c r="HD3456" s="155"/>
      <c r="HE3456" s="155"/>
    </row>
    <row r="3457" spans="2:213" s="156" customFormat="1" hidden="1">
      <c r="B3457" s="155"/>
      <c r="C3457" s="155"/>
      <c r="D3457" s="155"/>
      <c r="E3457" s="155"/>
      <c r="F3457" s="155"/>
      <c r="G3457" s="155"/>
      <c r="H3457" s="155"/>
      <c r="I3457" s="155"/>
      <c r="J3457" s="155"/>
      <c r="K3457" s="155"/>
      <c r="L3457" s="155"/>
      <c r="M3457" s="155"/>
      <c r="N3457" s="155"/>
      <c r="O3457" s="155"/>
      <c r="P3457" s="155"/>
      <c r="Q3457" s="155"/>
      <c r="R3457" s="155"/>
      <c r="S3457" s="155"/>
      <c r="T3457" s="155"/>
      <c r="U3457" s="155"/>
      <c r="V3457" s="155"/>
      <c r="W3457" s="155"/>
      <c r="GL3457" s="155"/>
      <c r="GM3457" s="155"/>
      <c r="GN3457" s="155"/>
      <c r="GO3457" s="155"/>
      <c r="GP3457" s="155"/>
      <c r="GQ3457" s="155"/>
      <c r="GR3457" s="155"/>
      <c r="GS3457" s="155"/>
      <c r="GT3457" s="155"/>
      <c r="GU3457" s="155"/>
      <c r="GV3457" s="155"/>
      <c r="GW3457" s="155"/>
      <c r="GX3457" s="155"/>
      <c r="GY3457" s="155"/>
      <c r="GZ3457" s="155"/>
      <c r="HA3457" s="155"/>
      <c r="HB3457" s="155"/>
      <c r="HC3457" s="155"/>
      <c r="HD3457" s="155"/>
      <c r="HE3457" s="155"/>
    </row>
    <row r="3458" spans="2:213" s="156" customFormat="1" hidden="1">
      <c r="B3458" s="155"/>
      <c r="C3458" s="155"/>
      <c r="D3458" s="155"/>
      <c r="E3458" s="155"/>
      <c r="F3458" s="155"/>
      <c r="G3458" s="155"/>
      <c r="H3458" s="155"/>
      <c r="I3458" s="155"/>
      <c r="J3458" s="155"/>
      <c r="K3458" s="155"/>
      <c r="L3458" s="155"/>
      <c r="M3458" s="155"/>
      <c r="N3458" s="155"/>
      <c r="O3458" s="155"/>
      <c r="P3458" s="155"/>
      <c r="Q3458" s="155"/>
      <c r="R3458" s="155"/>
      <c r="S3458" s="155"/>
      <c r="T3458" s="155"/>
      <c r="U3458" s="155"/>
      <c r="V3458" s="155"/>
      <c r="W3458" s="155"/>
      <c r="GL3458" s="155"/>
      <c r="GM3458" s="155"/>
      <c r="GN3458" s="155"/>
      <c r="GO3458" s="155"/>
      <c r="GP3458" s="155"/>
      <c r="GQ3458" s="155"/>
      <c r="GR3458" s="155"/>
      <c r="GS3458" s="155"/>
      <c r="GT3458" s="155"/>
      <c r="GU3458" s="155"/>
      <c r="GV3458" s="155"/>
      <c r="GW3458" s="155"/>
      <c r="GX3458" s="155"/>
      <c r="GY3458" s="155"/>
      <c r="GZ3458" s="155"/>
      <c r="HA3458" s="155"/>
      <c r="HB3458" s="155"/>
      <c r="HC3458" s="155"/>
      <c r="HD3458" s="155"/>
      <c r="HE3458" s="155"/>
    </row>
    <row r="3459" spans="2:213" s="156" customFormat="1" hidden="1">
      <c r="B3459" s="155"/>
      <c r="C3459" s="155"/>
      <c r="D3459" s="155"/>
      <c r="E3459" s="155"/>
      <c r="F3459" s="155"/>
      <c r="G3459" s="155"/>
      <c r="H3459" s="155"/>
      <c r="I3459" s="155"/>
      <c r="J3459" s="155"/>
      <c r="K3459" s="155"/>
      <c r="L3459" s="155"/>
      <c r="M3459" s="155"/>
      <c r="N3459" s="155"/>
      <c r="O3459" s="155"/>
      <c r="P3459" s="155"/>
      <c r="Q3459" s="155"/>
      <c r="R3459" s="155"/>
      <c r="S3459" s="155"/>
      <c r="T3459" s="155"/>
      <c r="U3459" s="155"/>
      <c r="V3459" s="155"/>
      <c r="W3459" s="155"/>
      <c r="GL3459" s="155"/>
      <c r="GM3459" s="155"/>
      <c r="GN3459" s="155"/>
      <c r="GO3459" s="155"/>
      <c r="GP3459" s="155"/>
      <c r="GQ3459" s="155"/>
      <c r="GR3459" s="155"/>
      <c r="GS3459" s="155"/>
      <c r="GT3459" s="155"/>
      <c r="GU3459" s="155"/>
      <c r="GV3459" s="155"/>
      <c r="GW3459" s="155"/>
      <c r="GX3459" s="155"/>
      <c r="GY3459" s="155"/>
      <c r="GZ3459" s="155"/>
      <c r="HA3459" s="155"/>
      <c r="HB3459" s="155"/>
      <c r="HC3459" s="155"/>
      <c r="HD3459" s="155"/>
      <c r="HE3459" s="155"/>
    </row>
    <row r="3460" spans="2:213" s="156" customFormat="1" hidden="1">
      <c r="B3460" s="155"/>
      <c r="C3460" s="155"/>
      <c r="D3460" s="155"/>
      <c r="E3460" s="155"/>
      <c r="F3460" s="155"/>
      <c r="G3460" s="155"/>
      <c r="H3460" s="155"/>
      <c r="I3460" s="155"/>
      <c r="J3460" s="155"/>
      <c r="K3460" s="155"/>
      <c r="L3460" s="155"/>
      <c r="M3460" s="155"/>
      <c r="N3460" s="155"/>
      <c r="O3460" s="155"/>
      <c r="P3460" s="155"/>
      <c r="Q3460" s="155"/>
      <c r="R3460" s="155"/>
      <c r="S3460" s="155"/>
      <c r="T3460" s="155"/>
      <c r="U3460" s="155"/>
      <c r="V3460" s="155"/>
      <c r="W3460" s="155"/>
      <c r="GL3460" s="155"/>
      <c r="GM3460" s="155"/>
      <c r="GN3460" s="155"/>
      <c r="GO3460" s="155"/>
      <c r="GP3460" s="155"/>
      <c r="GQ3460" s="155"/>
      <c r="GR3460" s="155"/>
      <c r="GS3460" s="155"/>
      <c r="GT3460" s="155"/>
      <c r="GU3460" s="155"/>
      <c r="GV3460" s="155"/>
      <c r="GW3460" s="155"/>
      <c r="GX3460" s="155"/>
      <c r="GY3460" s="155"/>
      <c r="GZ3460" s="155"/>
      <c r="HA3460" s="155"/>
      <c r="HB3460" s="155"/>
      <c r="HC3460" s="155"/>
      <c r="HD3460" s="155"/>
      <c r="HE3460" s="155"/>
    </row>
    <row r="3461" spans="2:213" s="156" customFormat="1" hidden="1">
      <c r="B3461" s="155"/>
      <c r="C3461" s="155"/>
      <c r="D3461" s="155"/>
      <c r="E3461" s="155"/>
      <c r="F3461" s="155"/>
      <c r="G3461" s="155"/>
      <c r="H3461" s="155"/>
      <c r="I3461" s="155"/>
      <c r="J3461" s="155"/>
      <c r="K3461" s="155"/>
      <c r="L3461" s="155"/>
      <c r="M3461" s="155"/>
      <c r="N3461" s="155"/>
      <c r="O3461" s="155"/>
      <c r="P3461" s="155"/>
      <c r="Q3461" s="155"/>
      <c r="R3461" s="155"/>
      <c r="S3461" s="155"/>
      <c r="T3461" s="155"/>
      <c r="U3461" s="155"/>
      <c r="V3461" s="155"/>
      <c r="W3461" s="155"/>
      <c r="GL3461" s="155"/>
      <c r="GM3461" s="155"/>
      <c r="GN3461" s="155"/>
      <c r="GO3461" s="155"/>
      <c r="GP3461" s="155"/>
      <c r="GQ3461" s="155"/>
      <c r="GR3461" s="155"/>
      <c r="GS3461" s="155"/>
      <c r="GT3461" s="155"/>
      <c r="GU3461" s="155"/>
      <c r="GV3461" s="155"/>
      <c r="GW3461" s="155"/>
      <c r="GX3461" s="155"/>
      <c r="GY3461" s="155"/>
      <c r="GZ3461" s="155"/>
      <c r="HA3461" s="155"/>
      <c r="HB3461" s="155"/>
      <c r="HC3461" s="155"/>
      <c r="HD3461" s="155"/>
      <c r="HE3461" s="155"/>
    </row>
    <row r="3462" spans="2:213" s="156" customFormat="1" hidden="1">
      <c r="B3462" s="155"/>
      <c r="C3462" s="155"/>
      <c r="D3462" s="155"/>
      <c r="E3462" s="155"/>
      <c r="F3462" s="155"/>
      <c r="G3462" s="155"/>
      <c r="H3462" s="155"/>
      <c r="I3462" s="155"/>
      <c r="J3462" s="155"/>
      <c r="K3462" s="155"/>
      <c r="L3462" s="155"/>
      <c r="M3462" s="155"/>
      <c r="N3462" s="155"/>
      <c r="O3462" s="155"/>
      <c r="P3462" s="155"/>
      <c r="Q3462" s="155"/>
      <c r="R3462" s="155"/>
      <c r="S3462" s="155"/>
      <c r="T3462" s="155"/>
      <c r="U3462" s="155"/>
      <c r="V3462" s="155"/>
      <c r="W3462" s="155"/>
      <c r="GL3462" s="155"/>
      <c r="GM3462" s="155"/>
      <c r="GN3462" s="155"/>
      <c r="GO3462" s="155"/>
      <c r="GP3462" s="155"/>
      <c r="GQ3462" s="155"/>
      <c r="GR3462" s="155"/>
      <c r="GS3462" s="155"/>
      <c r="GT3462" s="155"/>
      <c r="GU3462" s="155"/>
      <c r="GV3462" s="155"/>
      <c r="GW3462" s="155"/>
      <c r="GX3462" s="155"/>
      <c r="GY3462" s="155"/>
      <c r="GZ3462" s="155"/>
      <c r="HA3462" s="155"/>
      <c r="HB3462" s="155"/>
      <c r="HC3462" s="155"/>
      <c r="HD3462" s="155"/>
      <c r="HE3462" s="155"/>
    </row>
    <row r="3463" spans="2:213" s="156" customFormat="1" hidden="1">
      <c r="B3463" s="155"/>
      <c r="C3463" s="155"/>
      <c r="D3463" s="155"/>
      <c r="E3463" s="155"/>
      <c r="F3463" s="155"/>
      <c r="G3463" s="155"/>
      <c r="H3463" s="155"/>
      <c r="I3463" s="155"/>
      <c r="J3463" s="155"/>
      <c r="K3463" s="155"/>
      <c r="L3463" s="155"/>
      <c r="M3463" s="155"/>
      <c r="N3463" s="155"/>
      <c r="O3463" s="155"/>
      <c r="P3463" s="155"/>
      <c r="Q3463" s="155"/>
      <c r="R3463" s="155"/>
      <c r="S3463" s="155"/>
      <c r="T3463" s="155"/>
      <c r="U3463" s="155"/>
      <c r="V3463" s="155"/>
      <c r="W3463" s="155"/>
      <c r="GL3463" s="155"/>
      <c r="GM3463" s="155"/>
      <c r="GN3463" s="155"/>
      <c r="GO3463" s="155"/>
      <c r="GP3463" s="155"/>
      <c r="GQ3463" s="155"/>
      <c r="GR3463" s="155"/>
      <c r="GS3463" s="155"/>
      <c r="GT3463" s="155"/>
      <c r="GU3463" s="155"/>
      <c r="GV3463" s="155"/>
      <c r="GW3463" s="155"/>
      <c r="GX3463" s="155"/>
      <c r="GY3463" s="155"/>
      <c r="GZ3463" s="155"/>
      <c r="HA3463" s="155"/>
      <c r="HB3463" s="155"/>
      <c r="HC3463" s="155"/>
      <c r="HD3463" s="155"/>
      <c r="HE3463" s="155"/>
    </row>
    <row r="3464" spans="2:213" s="156" customFormat="1" hidden="1">
      <c r="B3464" s="155"/>
      <c r="C3464" s="155"/>
      <c r="D3464" s="155"/>
      <c r="E3464" s="155"/>
      <c r="F3464" s="155"/>
      <c r="G3464" s="155"/>
      <c r="H3464" s="155"/>
      <c r="I3464" s="155"/>
      <c r="J3464" s="155"/>
      <c r="K3464" s="155"/>
      <c r="L3464" s="155"/>
      <c r="M3464" s="155"/>
      <c r="N3464" s="155"/>
      <c r="O3464" s="155"/>
      <c r="P3464" s="155"/>
      <c r="Q3464" s="155"/>
      <c r="R3464" s="155"/>
      <c r="S3464" s="155"/>
      <c r="T3464" s="155"/>
      <c r="U3464" s="155"/>
      <c r="V3464" s="155"/>
      <c r="W3464" s="155"/>
      <c r="GL3464" s="155"/>
      <c r="GM3464" s="155"/>
      <c r="GN3464" s="155"/>
      <c r="GO3464" s="155"/>
      <c r="GP3464" s="155"/>
      <c r="GQ3464" s="155"/>
      <c r="GR3464" s="155"/>
      <c r="GS3464" s="155"/>
      <c r="GT3464" s="155"/>
      <c r="GU3464" s="155"/>
      <c r="GV3464" s="155"/>
      <c r="GW3464" s="155"/>
      <c r="GX3464" s="155"/>
      <c r="GY3464" s="155"/>
      <c r="GZ3464" s="155"/>
      <c r="HA3464" s="155"/>
      <c r="HB3464" s="155"/>
      <c r="HC3464" s="155"/>
      <c r="HD3464" s="155"/>
      <c r="HE3464" s="155"/>
    </row>
    <row r="3465" spans="2:213" s="156" customFormat="1" hidden="1">
      <c r="B3465" s="155"/>
      <c r="C3465" s="155"/>
      <c r="D3465" s="155"/>
      <c r="E3465" s="155"/>
      <c r="F3465" s="155"/>
      <c r="G3465" s="155"/>
      <c r="H3465" s="155"/>
      <c r="I3465" s="155"/>
      <c r="J3465" s="155"/>
      <c r="K3465" s="155"/>
      <c r="L3465" s="155"/>
      <c r="M3465" s="155"/>
      <c r="N3465" s="155"/>
      <c r="O3465" s="155"/>
      <c r="P3465" s="155"/>
      <c r="Q3465" s="155"/>
      <c r="R3465" s="155"/>
      <c r="S3465" s="155"/>
      <c r="T3465" s="155"/>
      <c r="U3465" s="155"/>
      <c r="V3465" s="155"/>
      <c r="W3465" s="155"/>
      <c r="GL3465" s="155"/>
      <c r="GM3465" s="155"/>
      <c r="GN3465" s="155"/>
      <c r="GO3465" s="155"/>
      <c r="GP3465" s="155"/>
      <c r="GQ3465" s="155"/>
      <c r="GR3465" s="155"/>
      <c r="GS3465" s="155"/>
      <c r="GT3465" s="155"/>
      <c r="GU3465" s="155"/>
      <c r="GV3465" s="155"/>
      <c r="GW3465" s="155"/>
      <c r="GX3465" s="155"/>
      <c r="GY3465" s="155"/>
      <c r="GZ3465" s="155"/>
      <c r="HA3465" s="155"/>
      <c r="HB3465" s="155"/>
      <c r="HC3465" s="155"/>
      <c r="HD3465" s="155"/>
      <c r="HE3465" s="155"/>
    </row>
    <row r="3466" spans="2:213" s="156" customFormat="1" hidden="1">
      <c r="B3466" s="155"/>
      <c r="C3466" s="155"/>
      <c r="D3466" s="155"/>
      <c r="E3466" s="155"/>
      <c r="F3466" s="155"/>
      <c r="G3466" s="155"/>
      <c r="H3466" s="155"/>
      <c r="I3466" s="155"/>
      <c r="J3466" s="155"/>
      <c r="K3466" s="155"/>
      <c r="L3466" s="155"/>
      <c r="M3466" s="155"/>
      <c r="N3466" s="155"/>
      <c r="O3466" s="155"/>
      <c r="P3466" s="155"/>
      <c r="Q3466" s="155"/>
      <c r="R3466" s="155"/>
      <c r="S3466" s="155"/>
      <c r="T3466" s="155"/>
      <c r="U3466" s="155"/>
      <c r="V3466" s="155"/>
      <c r="W3466" s="155"/>
      <c r="GL3466" s="155"/>
      <c r="GM3466" s="155"/>
      <c r="GN3466" s="155"/>
      <c r="GO3466" s="155"/>
      <c r="GP3466" s="155"/>
      <c r="GQ3466" s="155"/>
      <c r="GR3466" s="155"/>
      <c r="GS3466" s="155"/>
      <c r="GT3466" s="155"/>
      <c r="GU3466" s="155"/>
      <c r="GV3466" s="155"/>
      <c r="GW3466" s="155"/>
      <c r="GX3466" s="155"/>
      <c r="GY3466" s="155"/>
      <c r="GZ3466" s="155"/>
      <c r="HA3466" s="155"/>
      <c r="HB3466" s="155"/>
      <c r="HC3466" s="155"/>
      <c r="HD3466" s="155"/>
      <c r="HE3466" s="155"/>
    </row>
    <row r="3467" spans="2:213" s="156" customFormat="1" hidden="1">
      <c r="B3467" s="155"/>
      <c r="C3467" s="155"/>
      <c r="D3467" s="155"/>
      <c r="E3467" s="155"/>
      <c r="F3467" s="155"/>
      <c r="G3467" s="155"/>
      <c r="H3467" s="155"/>
      <c r="I3467" s="155"/>
      <c r="J3467" s="155"/>
      <c r="K3467" s="155"/>
      <c r="L3467" s="155"/>
      <c r="M3467" s="155"/>
      <c r="N3467" s="155"/>
      <c r="O3467" s="155"/>
      <c r="P3467" s="155"/>
      <c r="Q3467" s="155"/>
      <c r="R3467" s="155"/>
      <c r="S3467" s="155"/>
      <c r="T3467" s="155"/>
      <c r="U3467" s="155"/>
      <c r="V3467" s="155"/>
      <c r="W3467" s="155"/>
      <c r="GL3467" s="155"/>
      <c r="GM3467" s="155"/>
      <c r="GN3467" s="155"/>
      <c r="GO3467" s="155"/>
      <c r="GP3467" s="155"/>
      <c r="GQ3467" s="155"/>
      <c r="GR3467" s="155"/>
      <c r="GS3467" s="155"/>
      <c r="GT3467" s="155"/>
      <c r="GU3467" s="155"/>
      <c r="GV3467" s="155"/>
      <c r="GW3467" s="155"/>
      <c r="GX3467" s="155"/>
      <c r="GY3467" s="155"/>
      <c r="GZ3467" s="155"/>
      <c r="HA3467" s="155"/>
      <c r="HB3467" s="155"/>
      <c r="HC3467" s="155"/>
      <c r="HD3467" s="155"/>
      <c r="HE3467" s="155"/>
    </row>
    <row r="3468" spans="2:213" s="156" customFormat="1" hidden="1">
      <c r="B3468" s="155"/>
      <c r="C3468" s="155"/>
      <c r="D3468" s="155"/>
      <c r="E3468" s="155"/>
      <c r="F3468" s="155"/>
      <c r="G3468" s="155"/>
      <c r="H3468" s="155"/>
      <c r="I3468" s="155"/>
      <c r="J3468" s="155"/>
      <c r="K3468" s="155"/>
      <c r="L3468" s="155"/>
      <c r="M3468" s="155"/>
      <c r="N3468" s="155"/>
      <c r="O3468" s="155"/>
      <c r="P3468" s="155"/>
      <c r="Q3468" s="155"/>
      <c r="R3468" s="155"/>
      <c r="S3468" s="155"/>
      <c r="T3468" s="155"/>
      <c r="U3468" s="155"/>
      <c r="V3468" s="155"/>
      <c r="W3468" s="155"/>
      <c r="GL3468" s="155"/>
      <c r="GM3468" s="155"/>
      <c r="GN3468" s="155"/>
      <c r="GO3468" s="155"/>
      <c r="GP3468" s="155"/>
      <c r="GQ3468" s="155"/>
      <c r="GR3468" s="155"/>
      <c r="GS3468" s="155"/>
      <c r="GT3468" s="155"/>
      <c r="GU3468" s="155"/>
      <c r="GV3468" s="155"/>
      <c r="GW3468" s="155"/>
      <c r="GX3468" s="155"/>
      <c r="GY3468" s="155"/>
      <c r="GZ3468" s="155"/>
      <c r="HA3468" s="155"/>
      <c r="HB3468" s="155"/>
      <c r="HC3468" s="155"/>
      <c r="HD3468" s="155"/>
      <c r="HE3468" s="155"/>
    </row>
    <row r="3469" spans="2:213" s="156" customFormat="1" hidden="1">
      <c r="B3469" s="155"/>
      <c r="C3469" s="155"/>
      <c r="D3469" s="155"/>
      <c r="E3469" s="155"/>
      <c r="F3469" s="155"/>
      <c r="G3469" s="155"/>
      <c r="H3469" s="155"/>
      <c r="I3469" s="155"/>
      <c r="J3469" s="155"/>
      <c r="K3469" s="155"/>
      <c r="L3469" s="155"/>
      <c r="M3469" s="155"/>
      <c r="N3469" s="155"/>
      <c r="O3469" s="155"/>
      <c r="P3469" s="155"/>
      <c r="Q3469" s="155"/>
      <c r="R3469" s="155"/>
      <c r="S3469" s="155"/>
      <c r="T3469" s="155"/>
      <c r="U3469" s="155"/>
      <c r="V3469" s="155"/>
      <c r="W3469" s="155"/>
      <c r="GL3469" s="155"/>
      <c r="GM3469" s="155"/>
      <c r="GN3469" s="155"/>
      <c r="GO3469" s="155"/>
      <c r="GP3469" s="155"/>
      <c r="GQ3469" s="155"/>
      <c r="GR3469" s="155"/>
      <c r="GS3469" s="155"/>
      <c r="GT3469" s="155"/>
      <c r="GU3469" s="155"/>
      <c r="GV3469" s="155"/>
      <c r="GW3469" s="155"/>
      <c r="GX3469" s="155"/>
      <c r="GY3469" s="155"/>
      <c r="GZ3469" s="155"/>
      <c r="HA3469" s="155"/>
      <c r="HB3469" s="155"/>
      <c r="HC3469" s="155"/>
      <c r="HD3469" s="155"/>
      <c r="HE3469" s="155"/>
    </row>
    <row r="3470" spans="2:213" s="156" customFormat="1" hidden="1">
      <c r="B3470" s="155"/>
      <c r="C3470" s="155"/>
      <c r="D3470" s="155"/>
      <c r="E3470" s="155"/>
      <c r="F3470" s="155"/>
      <c r="G3470" s="155"/>
      <c r="H3470" s="155"/>
      <c r="I3470" s="155"/>
      <c r="J3470" s="155"/>
      <c r="K3470" s="155"/>
      <c r="L3470" s="155"/>
      <c r="M3470" s="155"/>
      <c r="N3470" s="155"/>
      <c r="O3470" s="155"/>
      <c r="P3470" s="155"/>
      <c r="Q3470" s="155"/>
      <c r="R3470" s="155"/>
      <c r="S3470" s="155"/>
      <c r="T3470" s="155"/>
      <c r="U3470" s="155"/>
      <c r="V3470" s="155"/>
      <c r="W3470" s="155"/>
      <c r="GL3470" s="155"/>
      <c r="GM3470" s="155"/>
      <c r="GN3470" s="155"/>
      <c r="GO3470" s="155"/>
      <c r="GP3470" s="155"/>
      <c r="GQ3470" s="155"/>
      <c r="GR3470" s="155"/>
      <c r="GS3470" s="155"/>
      <c r="GT3470" s="155"/>
      <c r="GU3470" s="155"/>
      <c r="GV3470" s="155"/>
      <c r="GW3470" s="155"/>
      <c r="GX3470" s="155"/>
      <c r="GY3470" s="155"/>
      <c r="GZ3470" s="155"/>
      <c r="HA3470" s="155"/>
      <c r="HB3470" s="155"/>
      <c r="HC3470" s="155"/>
      <c r="HD3470" s="155"/>
      <c r="HE3470" s="155"/>
    </row>
    <row r="3471" spans="2:213" s="156" customFormat="1" hidden="1">
      <c r="B3471" s="155"/>
      <c r="C3471" s="155"/>
      <c r="D3471" s="155"/>
      <c r="E3471" s="155"/>
      <c r="F3471" s="155"/>
      <c r="G3471" s="155"/>
      <c r="H3471" s="155"/>
      <c r="I3471" s="155"/>
      <c r="J3471" s="155"/>
      <c r="K3471" s="155"/>
      <c r="L3471" s="155"/>
      <c r="M3471" s="155"/>
      <c r="N3471" s="155"/>
      <c r="O3471" s="155"/>
      <c r="P3471" s="155"/>
      <c r="Q3471" s="155"/>
      <c r="R3471" s="155"/>
      <c r="S3471" s="155"/>
      <c r="T3471" s="155"/>
      <c r="U3471" s="155"/>
      <c r="V3471" s="155"/>
      <c r="W3471" s="155"/>
      <c r="GL3471" s="155"/>
      <c r="GM3471" s="155"/>
      <c r="GN3471" s="155"/>
      <c r="GO3471" s="155"/>
      <c r="GP3471" s="155"/>
      <c r="GQ3471" s="155"/>
      <c r="GR3471" s="155"/>
      <c r="GS3471" s="155"/>
      <c r="GT3471" s="155"/>
      <c r="GU3471" s="155"/>
      <c r="GV3471" s="155"/>
      <c r="GW3471" s="155"/>
      <c r="GX3471" s="155"/>
      <c r="GY3471" s="155"/>
      <c r="GZ3471" s="155"/>
      <c r="HA3471" s="155"/>
      <c r="HB3471" s="155"/>
      <c r="HC3471" s="155"/>
      <c r="HD3471" s="155"/>
      <c r="HE3471" s="155"/>
    </row>
    <row r="3472" spans="2:213" s="156" customFormat="1" hidden="1">
      <c r="B3472" s="155"/>
      <c r="C3472" s="155"/>
      <c r="D3472" s="155"/>
      <c r="E3472" s="155"/>
      <c r="F3472" s="155"/>
      <c r="G3472" s="155"/>
      <c r="H3472" s="155"/>
      <c r="I3472" s="155"/>
      <c r="J3472" s="155"/>
      <c r="K3472" s="155"/>
      <c r="L3472" s="155"/>
      <c r="M3472" s="155"/>
      <c r="N3472" s="155"/>
      <c r="O3472" s="155"/>
      <c r="P3472" s="155"/>
      <c r="Q3472" s="155"/>
      <c r="R3472" s="155"/>
      <c r="S3472" s="155"/>
      <c r="T3472" s="155"/>
      <c r="U3472" s="155"/>
      <c r="V3472" s="155"/>
      <c r="W3472" s="155"/>
      <c r="GL3472" s="155"/>
      <c r="GM3472" s="155"/>
      <c r="GN3472" s="155"/>
      <c r="GO3472" s="155"/>
      <c r="GP3472" s="155"/>
      <c r="GQ3472" s="155"/>
      <c r="GR3472" s="155"/>
      <c r="GS3472" s="155"/>
      <c r="GT3472" s="155"/>
      <c r="GU3472" s="155"/>
      <c r="GV3472" s="155"/>
      <c r="GW3472" s="155"/>
      <c r="GX3472" s="155"/>
      <c r="GY3472" s="155"/>
      <c r="GZ3472" s="155"/>
      <c r="HA3472" s="155"/>
      <c r="HB3472" s="155"/>
      <c r="HC3472" s="155"/>
      <c r="HD3472" s="155"/>
      <c r="HE3472" s="155"/>
    </row>
    <row r="3473" spans="2:213" s="156" customFormat="1" hidden="1">
      <c r="B3473" s="155"/>
      <c r="C3473" s="155"/>
      <c r="D3473" s="155"/>
      <c r="E3473" s="155"/>
      <c r="F3473" s="155"/>
      <c r="G3473" s="155"/>
      <c r="H3473" s="155"/>
      <c r="I3473" s="155"/>
      <c r="J3473" s="155"/>
      <c r="K3473" s="155"/>
      <c r="L3473" s="155"/>
      <c r="M3473" s="155"/>
      <c r="N3473" s="155"/>
      <c r="O3473" s="155"/>
      <c r="P3473" s="155"/>
      <c r="Q3473" s="155"/>
      <c r="R3473" s="155"/>
      <c r="S3473" s="155"/>
      <c r="T3473" s="155"/>
      <c r="U3473" s="155"/>
      <c r="V3473" s="155"/>
      <c r="W3473" s="155"/>
      <c r="GL3473" s="155"/>
      <c r="GM3473" s="155"/>
      <c r="GN3473" s="155"/>
      <c r="GO3473" s="155"/>
      <c r="GP3473" s="155"/>
      <c r="GQ3473" s="155"/>
      <c r="GR3473" s="155"/>
      <c r="GS3473" s="155"/>
      <c r="GT3473" s="155"/>
      <c r="GU3473" s="155"/>
      <c r="GV3473" s="155"/>
      <c r="GW3473" s="155"/>
      <c r="GX3473" s="155"/>
      <c r="GY3473" s="155"/>
      <c r="GZ3473" s="155"/>
      <c r="HA3473" s="155"/>
      <c r="HB3473" s="155"/>
      <c r="HC3473" s="155"/>
      <c r="HD3473" s="155"/>
      <c r="HE3473" s="155"/>
    </row>
    <row r="3474" spans="2:213" s="156" customFormat="1" hidden="1">
      <c r="B3474" s="155"/>
      <c r="C3474" s="155"/>
      <c r="D3474" s="155"/>
      <c r="E3474" s="155"/>
      <c r="F3474" s="155"/>
      <c r="G3474" s="155"/>
      <c r="H3474" s="155"/>
      <c r="I3474" s="155"/>
      <c r="J3474" s="155"/>
      <c r="K3474" s="155"/>
      <c r="L3474" s="155"/>
      <c r="M3474" s="155"/>
      <c r="N3474" s="155"/>
      <c r="O3474" s="155"/>
      <c r="P3474" s="155"/>
      <c r="Q3474" s="155"/>
      <c r="R3474" s="155"/>
      <c r="S3474" s="155"/>
      <c r="T3474" s="155"/>
      <c r="U3474" s="155"/>
      <c r="V3474" s="155"/>
      <c r="W3474" s="155"/>
      <c r="GL3474" s="155"/>
      <c r="GM3474" s="155"/>
      <c r="GN3474" s="155"/>
      <c r="GO3474" s="155"/>
      <c r="GP3474" s="155"/>
      <c r="GQ3474" s="155"/>
      <c r="GR3474" s="155"/>
      <c r="GS3474" s="155"/>
      <c r="GT3474" s="155"/>
      <c r="GU3474" s="155"/>
      <c r="GV3474" s="155"/>
      <c r="GW3474" s="155"/>
      <c r="GX3474" s="155"/>
      <c r="GY3474" s="155"/>
      <c r="GZ3474" s="155"/>
      <c r="HA3474" s="155"/>
      <c r="HB3474" s="155"/>
      <c r="HC3474" s="155"/>
      <c r="HD3474" s="155"/>
      <c r="HE3474" s="155"/>
    </row>
    <row r="3475" spans="2:213" s="156" customFormat="1" hidden="1">
      <c r="B3475" s="155"/>
      <c r="C3475" s="155"/>
      <c r="D3475" s="155"/>
      <c r="E3475" s="155"/>
      <c r="F3475" s="155"/>
      <c r="G3475" s="155"/>
      <c r="H3475" s="155"/>
      <c r="I3475" s="155"/>
      <c r="J3475" s="155"/>
      <c r="K3475" s="155"/>
      <c r="L3475" s="155"/>
      <c r="M3475" s="155"/>
      <c r="N3475" s="155"/>
      <c r="O3475" s="155"/>
      <c r="P3475" s="155"/>
      <c r="Q3475" s="155"/>
      <c r="R3475" s="155"/>
      <c r="S3475" s="155"/>
      <c r="T3475" s="155"/>
      <c r="U3475" s="155"/>
      <c r="V3475" s="155"/>
      <c r="W3475" s="155"/>
      <c r="GL3475" s="155"/>
      <c r="GM3475" s="155"/>
      <c r="GN3475" s="155"/>
      <c r="GO3475" s="155"/>
      <c r="GP3475" s="155"/>
      <c r="GQ3475" s="155"/>
      <c r="GR3475" s="155"/>
      <c r="GS3475" s="155"/>
      <c r="GT3475" s="155"/>
      <c r="GU3475" s="155"/>
      <c r="GV3475" s="155"/>
      <c r="GW3475" s="155"/>
      <c r="GX3475" s="155"/>
      <c r="GY3475" s="155"/>
      <c r="GZ3475" s="155"/>
      <c r="HA3475" s="155"/>
      <c r="HB3475" s="155"/>
      <c r="HC3475" s="155"/>
      <c r="HD3475" s="155"/>
      <c r="HE3475" s="155"/>
    </row>
    <row r="3476" spans="2:213" s="156" customFormat="1" hidden="1">
      <c r="B3476" s="155"/>
      <c r="C3476" s="155"/>
      <c r="D3476" s="155"/>
      <c r="E3476" s="155"/>
      <c r="F3476" s="155"/>
      <c r="G3476" s="155"/>
      <c r="H3476" s="155"/>
      <c r="I3476" s="155"/>
      <c r="J3476" s="155"/>
      <c r="K3476" s="155"/>
      <c r="L3476" s="155"/>
      <c r="M3476" s="155"/>
      <c r="N3476" s="155"/>
      <c r="O3476" s="155"/>
      <c r="P3476" s="155"/>
      <c r="Q3476" s="155"/>
      <c r="R3476" s="155"/>
      <c r="S3476" s="155"/>
      <c r="T3476" s="155"/>
      <c r="U3476" s="155"/>
      <c r="V3476" s="155"/>
      <c r="W3476" s="155"/>
      <c r="GL3476" s="155"/>
      <c r="GM3476" s="155"/>
      <c r="GN3476" s="155"/>
      <c r="GO3476" s="155"/>
      <c r="GP3476" s="155"/>
      <c r="GQ3476" s="155"/>
      <c r="GR3476" s="155"/>
      <c r="GS3476" s="155"/>
      <c r="GT3476" s="155"/>
      <c r="GU3476" s="155"/>
      <c r="GV3476" s="155"/>
      <c r="GW3476" s="155"/>
      <c r="GX3476" s="155"/>
      <c r="GY3476" s="155"/>
      <c r="GZ3476" s="155"/>
      <c r="HA3476" s="155"/>
      <c r="HB3476" s="155"/>
      <c r="HC3476" s="155"/>
      <c r="HD3476" s="155"/>
      <c r="HE3476" s="155"/>
    </row>
    <row r="3477" spans="2:213" s="156" customFormat="1" hidden="1">
      <c r="B3477" s="155"/>
      <c r="C3477" s="155"/>
      <c r="D3477" s="155"/>
      <c r="E3477" s="155"/>
      <c r="F3477" s="155"/>
      <c r="G3477" s="155"/>
      <c r="H3477" s="155"/>
      <c r="I3477" s="155"/>
      <c r="J3477" s="155"/>
      <c r="K3477" s="155"/>
      <c r="L3477" s="155"/>
      <c r="M3477" s="155"/>
      <c r="N3477" s="155"/>
      <c r="O3477" s="155"/>
      <c r="P3477" s="155"/>
      <c r="Q3477" s="155"/>
      <c r="R3477" s="155"/>
      <c r="S3477" s="155"/>
      <c r="T3477" s="155"/>
      <c r="U3477" s="155"/>
      <c r="V3477" s="155"/>
      <c r="W3477" s="155"/>
      <c r="GL3477" s="155"/>
      <c r="GM3477" s="155"/>
      <c r="GN3477" s="155"/>
      <c r="GO3477" s="155"/>
      <c r="GP3477" s="155"/>
      <c r="GQ3477" s="155"/>
      <c r="GR3477" s="155"/>
      <c r="GS3477" s="155"/>
      <c r="GT3477" s="155"/>
      <c r="GU3477" s="155"/>
      <c r="GV3477" s="155"/>
      <c r="GW3477" s="155"/>
      <c r="GX3477" s="155"/>
      <c r="GY3477" s="155"/>
      <c r="GZ3477" s="155"/>
      <c r="HA3477" s="155"/>
      <c r="HB3477" s="155"/>
      <c r="HC3477" s="155"/>
      <c r="HD3477" s="155"/>
      <c r="HE3477" s="155"/>
    </row>
    <row r="3478" spans="2:213" s="156" customFormat="1" hidden="1">
      <c r="B3478" s="155"/>
      <c r="C3478" s="155"/>
      <c r="D3478" s="155"/>
      <c r="E3478" s="155"/>
      <c r="F3478" s="155"/>
      <c r="G3478" s="155"/>
      <c r="H3478" s="155"/>
      <c r="I3478" s="155"/>
      <c r="J3478" s="155"/>
      <c r="K3478" s="155"/>
      <c r="L3478" s="155"/>
      <c r="M3478" s="155"/>
      <c r="N3478" s="155"/>
      <c r="O3478" s="155"/>
      <c r="P3478" s="155"/>
      <c r="Q3478" s="155"/>
      <c r="R3478" s="155"/>
      <c r="S3478" s="155"/>
      <c r="T3478" s="155"/>
      <c r="U3478" s="155"/>
      <c r="V3478" s="155"/>
      <c r="W3478" s="155"/>
      <c r="GL3478" s="155"/>
      <c r="GM3478" s="155"/>
      <c r="GN3478" s="155"/>
      <c r="GO3478" s="155"/>
      <c r="GP3478" s="155"/>
      <c r="GQ3478" s="155"/>
      <c r="GR3478" s="155"/>
      <c r="GS3478" s="155"/>
      <c r="GT3478" s="155"/>
      <c r="GU3478" s="155"/>
      <c r="GV3478" s="155"/>
      <c r="GW3478" s="155"/>
      <c r="GX3478" s="155"/>
      <c r="GY3478" s="155"/>
      <c r="GZ3478" s="155"/>
      <c r="HA3478" s="155"/>
      <c r="HB3478" s="155"/>
      <c r="HC3478" s="155"/>
      <c r="HD3478" s="155"/>
      <c r="HE3478" s="155"/>
    </row>
    <row r="3479" spans="2:213" s="156" customFormat="1" hidden="1">
      <c r="B3479" s="155"/>
      <c r="C3479" s="155"/>
      <c r="D3479" s="155"/>
      <c r="E3479" s="155"/>
      <c r="F3479" s="155"/>
      <c r="G3479" s="155"/>
      <c r="H3479" s="155"/>
      <c r="I3479" s="155"/>
      <c r="J3479" s="155"/>
      <c r="K3479" s="155"/>
      <c r="L3479" s="155"/>
      <c r="M3479" s="155"/>
      <c r="N3479" s="155"/>
      <c r="O3479" s="155"/>
      <c r="P3479" s="155"/>
      <c r="Q3479" s="155"/>
      <c r="R3479" s="155"/>
      <c r="S3479" s="155"/>
      <c r="T3479" s="155"/>
      <c r="U3479" s="155"/>
      <c r="V3479" s="155"/>
      <c r="W3479" s="155"/>
      <c r="GL3479" s="155"/>
      <c r="GM3479" s="155"/>
      <c r="GN3479" s="155"/>
      <c r="GO3479" s="155"/>
      <c r="GP3479" s="155"/>
      <c r="GQ3479" s="155"/>
      <c r="GR3479" s="155"/>
      <c r="GS3479" s="155"/>
      <c r="GT3479" s="155"/>
      <c r="GU3479" s="155"/>
      <c r="GV3479" s="155"/>
      <c r="GW3479" s="155"/>
      <c r="GX3479" s="155"/>
      <c r="GY3479" s="155"/>
      <c r="GZ3479" s="155"/>
      <c r="HA3479" s="155"/>
      <c r="HB3479" s="155"/>
      <c r="HC3479" s="155"/>
      <c r="HD3479" s="155"/>
      <c r="HE3479" s="155"/>
    </row>
    <row r="3480" spans="2:213" s="156" customFormat="1" hidden="1">
      <c r="B3480" s="155"/>
      <c r="C3480" s="155"/>
      <c r="D3480" s="155"/>
      <c r="E3480" s="155"/>
      <c r="F3480" s="155"/>
      <c r="G3480" s="155"/>
      <c r="H3480" s="155"/>
      <c r="I3480" s="155"/>
      <c r="J3480" s="155"/>
      <c r="K3480" s="155"/>
      <c r="L3480" s="155"/>
      <c r="M3480" s="155"/>
      <c r="N3480" s="155"/>
      <c r="O3480" s="155"/>
      <c r="P3480" s="155"/>
      <c r="Q3480" s="155"/>
      <c r="R3480" s="155"/>
      <c r="S3480" s="155"/>
      <c r="T3480" s="155"/>
      <c r="U3480" s="155"/>
      <c r="V3480" s="155"/>
      <c r="W3480" s="155"/>
      <c r="GL3480" s="155"/>
      <c r="GM3480" s="155"/>
      <c r="GN3480" s="155"/>
      <c r="GO3480" s="155"/>
      <c r="GP3480" s="155"/>
      <c r="GQ3480" s="155"/>
      <c r="GR3480" s="155"/>
      <c r="GS3480" s="155"/>
      <c r="GT3480" s="155"/>
      <c r="GU3480" s="155"/>
      <c r="GV3480" s="155"/>
      <c r="GW3480" s="155"/>
      <c r="GX3480" s="155"/>
      <c r="GY3480" s="155"/>
      <c r="GZ3480" s="155"/>
      <c r="HA3480" s="155"/>
      <c r="HB3480" s="155"/>
      <c r="HC3480" s="155"/>
      <c r="HD3480" s="155"/>
      <c r="HE3480" s="155"/>
    </row>
    <row r="3481" spans="2:213" s="156" customFormat="1" hidden="1">
      <c r="B3481" s="155"/>
      <c r="C3481" s="155"/>
      <c r="D3481" s="155"/>
      <c r="E3481" s="155"/>
      <c r="F3481" s="155"/>
      <c r="G3481" s="155"/>
      <c r="H3481" s="155"/>
      <c r="I3481" s="155"/>
      <c r="J3481" s="155"/>
      <c r="K3481" s="155"/>
      <c r="L3481" s="155"/>
      <c r="M3481" s="155"/>
      <c r="N3481" s="155"/>
      <c r="O3481" s="155"/>
      <c r="P3481" s="155"/>
      <c r="Q3481" s="155"/>
      <c r="R3481" s="155"/>
      <c r="S3481" s="155"/>
      <c r="T3481" s="155"/>
      <c r="U3481" s="155"/>
      <c r="V3481" s="155"/>
      <c r="W3481" s="155"/>
      <c r="GL3481" s="155"/>
      <c r="GM3481" s="155"/>
      <c r="GN3481" s="155"/>
      <c r="GO3481" s="155"/>
      <c r="GP3481" s="155"/>
      <c r="GQ3481" s="155"/>
      <c r="GR3481" s="155"/>
      <c r="GS3481" s="155"/>
      <c r="GT3481" s="155"/>
      <c r="GU3481" s="155"/>
      <c r="GV3481" s="155"/>
      <c r="GW3481" s="155"/>
      <c r="GX3481" s="155"/>
      <c r="GY3481" s="155"/>
      <c r="GZ3481" s="155"/>
      <c r="HA3481" s="155"/>
      <c r="HB3481" s="155"/>
      <c r="HC3481" s="155"/>
      <c r="HD3481" s="155"/>
      <c r="HE3481" s="155"/>
    </row>
    <row r="3482" spans="2:213" s="156" customFormat="1" hidden="1">
      <c r="B3482" s="155"/>
      <c r="C3482" s="155"/>
      <c r="D3482" s="155"/>
      <c r="E3482" s="155"/>
      <c r="F3482" s="155"/>
      <c r="G3482" s="155"/>
      <c r="H3482" s="155"/>
      <c r="I3482" s="155"/>
      <c r="J3482" s="155"/>
      <c r="K3482" s="155"/>
      <c r="L3482" s="155"/>
      <c r="M3482" s="155"/>
      <c r="N3482" s="155"/>
      <c r="O3482" s="155"/>
      <c r="P3482" s="155"/>
      <c r="Q3482" s="155"/>
      <c r="R3482" s="155"/>
      <c r="S3482" s="155"/>
      <c r="T3482" s="155"/>
      <c r="U3482" s="155"/>
      <c r="V3482" s="155"/>
      <c r="W3482" s="155"/>
      <c r="GL3482" s="155"/>
      <c r="GM3482" s="155"/>
      <c r="GN3482" s="155"/>
      <c r="GO3482" s="155"/>
      <c r="GP3482" s="155"/>
      <c r="GQ3482" s="155"/>
      <c r="GR3482" s="155"/>
      <c r="GS3482" s="155"/>
      <c r="GT3482" s="155"/>
      <c r="GU3482" s="155"/>
      <c r="GV3482" s="155"/>
      <c r="GW3482" s="155"/>
      <c r="GX3482" s="155"/>
      <c r="GY3482" s="155"/>
      <c r="GZ3482" s="155"/>
      <c r="HA3482" s="155"/>
      <c r="HB3482" s="155"/>
      <c r="HC3482" s="155"/>
      <c r="HD3482" s="155"/>
      <c r="HE3482" s="155"/>
    </row>
    <row r="3483" spans="2:213" s="156" customFormat="1" hidden="1">
      <c r="B3483" s="155"/>
      <c r="C3483" s="155"/>
      <c r="D3483" s="155"/>
      <c r="E3483" s="155"/>
      <c r="F3483" s="155"/>
      <c r="G3483" s="155"/>
      <c r="H3483" s="155"/>
      <c r="I3483" s="155"/>
      <c r="J3483" s="155"/>
      <c r="K3483" s="155"/>
      <c r="L3483" s="155"/>
      <c r="M3483" s="155"/>
      <c r="N3483" s="155"/>
      <c r="O3483" s="155"/>
      <c r="P3483" s="155"/>
      <c r="Q3483" s="155"/>
      <c r="R3483" s="155"/>
      <c r="S3483" s="155"/>
      <c r="T3483" s="155"/>
      <c r="U3483" s="155"/>
      <c r="V3483" s="155"/>
      <c r="W3483" s="155"/>
      <c r="GL3483" s="155"/>
      <c r="GM3483" s="155"/>
      <c r="GN3483" s="155"/>
      <c r="GO3483" s="155"/>
      <c r="GP3483" s="155"/>
      <c r="GQ3483" s="155"/>
      <c r="GR3483" s="155"/>
      <c r="GS3483" s="155"/>
      <c r="GT3483" s="155"/>
      <c r="GU3483" s="155"/>
      <c r="GV3483" s="155"/>
      <c r="GW3483" s="155"/>
      <c r="GX3483" s="155"/>
      <c r="GY3483" s="155"/>
      <c r="GZ3483" s="155"/>
      <c r="HA3483" s="155"/>
      <c r="HB3483" s="155"/>
      <c r="HC3483" s="155"/>
      <c r="HD3483" s="155"/>
      <c r="HE3483" s="155"/>
    </row>
    <row r="3484" spans="2:213" s="156" customFormat="1" hidden="1">
      <c r="B3484" s="155"/>
      <c r="C3484" s="155"/>
      <c r="D3484" s="155"/>
      <c r="E3484" s="155"/>
      <c r="F3484" s="155"/>
      <c r="G3484" s="155"/>
      <c r="H3484" s="155"/>
      <c r="I3484" s="155"/>
      <c r="J3484" s="155"/>
      <c r="K3484" s="155"/>
      <c r="L3484" s="155"/>
      <c r="M3484" s="155"/>
      <c r="N3484" s="155"/>
      <c r="O3484" s="155"/>
      <c r="P3484" s="155"/>
      <c r="Q3484" s="155"/>
      <c r="R3484" s="155"/>
      <c r="S3484" s="155"/>
      <c r="T3484" s="155"/>
      <c r="U3484" s="155"/>
      <c r="V3484" s="155"/>
      <c r="W3484" s="155"/>
      <c r="GL3484" s="155"/>
      <c r="GM3484" s="155"/>
      <c r="GN3484" s="155"/>
      <c r="GO3484" s="155"/>
      <c r="GP3484" s="155"/>
      <c r="GQ3484" s="155"/>
      <c r="GR3484" s="155"/>
      <c r="GS3484" s="155"/>
      <c r="GT3484" s="155"/>
      <c r="GU3484" s="155"/>
      <c r="GV3484" s="155"/>
      <c r="GW3484" s="155"/>
      <c r="GX3484" s="155"/>
      <c r="GY3484" s="155"/>
      <c r="GZ3484" s="155"/>
      <c r="HA3484" s="155"/>
      <c r="HB3484" s="155"/>
      <c r="HC3484" s="155"/>
      <c r="HD3484" s="155"/>
      <c r="HE3484" s="155"/>
    </row>
    <row r="3485" spans="2:213" s="156" customFormat="1" hidden="1">
      <c r="B3485" s="155"/>
      <c r="C3485" s="155"/>
      <c r="D3485" s="155"/>
      <c r="E3485" s="155"/>
      <c r="F3485" s="155"/>
      <c r="G3485" s="155"/>
      <c r="H3485" s="155"/>
      <c r="I3485" s="155"/>
      <c r="J3485" s="155"/>
      <c r="K3485" s="155"/>
      <c r="L3485" s="155"/>
      <c r="M3485" s="155"/>
      <c r="N3485" s="155"/>
      <c r="O3485" s="155"/>
      <c r="P3485" s="155"/>
      <c r="Q3485" s="155"/>
      <c r="R3485" s="155"/>
      <c r="S3485" s="155"/>
      <c r="T3485" s="155"/>
      <c r="U3485" s="155"/>
      <c r="V3485" s="155"/>
      <c r="W3485" s="155"/>
      <c r="GL3485" s="155"/>
      <c r="GM3485" s="155"/>
      <c r="GN3485" s="155"/>
      <c r="GO3485" s="155"/>
      <c r="GP3485" s="155"/>
      <c r="GQ3485" s="155"/>
      <c r="GR3485" s="155"/>
      <c r="GS3485" s="155"/>
      <c r="GT3485" s="155"/>
      <c r="GU3485" s="155"/>
      <c r="GV3485" s="155"/>
      <c r="GW3485" s="155"/>
      <c r="GX3485" s="155"/>
      <c r="GY3485" s="155"/>
      <c r="GZ3485" s="155"/>
      <c r="HA3485" s="155"/>
      <c r="HB3485" s="155"/>
      <c r="HC3485" s="155"/>
      <c r="HD3485" s="155"/>
      <c r="HE3485" s="155"/>
    </row>
    <row r="3486" spans="2:213" s="156" customFormat="1" hidden="1">
      <c r="B3486" s="155"/>
      <c r="C3486" s="155"/>
      <c r="D3486" s="155"/>
      <c r="E3486" s="155"/>
      <c r="F3486" s="155"/>
      <c r="G3486" s="155"/>
      <c r="H3486" s="155"/>
      <c r="I3486" s="155"/>
      <c r="J3486" s="155"/>
      <c r="K3486" s="155"/>
      <c r="L3486" s="155"/>
      <c r="M3486" s="155"/>
      <c r="N3486" s="155"/>
      <c r="O3486" s="155"/>
      <c r="P3486" s="155"/>
      <c r="Q3486" s="155"/>
      <c r="R3486" s="155"/>
      <c r="S3486" s="155"/>
      <c r="T3486" s="155"/>
      <c r="U3486" s="155"/>
      <c r="V3486" s="155"/>
      <c r="W3486" s="155"/>
      <c r="GL3486" s="155"/>
      <c r="GM3486" s="155"/>
      <c r="GN3486" s="155"/>
      <c r="GO3486" s="155"/>
      <c r="GP3486" s="155"/>
      <c r="GQ3486" s="155"/>
      <c r="GR3486" s="155"/>
      <c r="GS3486" s="155"/>
      <c r="GT3486" s="155"/>
      <c r="GU3486" s="155"/>
      <c r="GV3486" s="155"/>
      <c r="GW3486" s="155"/>
      <c r="GX3486" s="155"/>
      <c r="GY3486" s="155"/>
      <c r="GZ3486" s="155"/>
      <c r="HA3486" s="155"/>
      <c r="HB3486" s="155"/>
      <c r="HC3486" s="155"/>
      <c r="HD3486" s="155"/>
      <c r="HE3486" s="155"/>
    </row>
    <row r="3487" spans="2:213" s="156" customFormat="1" hidden="1">
      <c r="B3487" s="155"/>
      <c r="C3487" s="155"/>
      <c r="D3487" s="155"/>
      <c r="E3487" s="155"/>
      <c r="F3487" s="155"/>
      <c r="G3487" s="155"/>
      <c r="H3487" s="155"/>
      <c r="I3487" s="155"/>
      <c r="J3487" s="155"/>
      <c r="K3487" s="155"/>
      <c r="L3487" s="155"/>
      <c r="M3487" s="155"/>
      <c r="N3487" s="155"/>
      <c r="O3487" s="155"/>
      <c r="P3487" s="155"/>
      <c r="Q3487" s="155"/>
      <c r="R3487" s="155"/>
      <c r="S3487" s="155"/>
      <c r="T3487" s="155"/>
      <c r="U3487" s="155"/>
      <c r="V3487" s="155"/>
      <c r="W3487" s="155"/>
      <c r="GL3487" s="155"/>
      <c r="GM3487" s="155"/>
      <c r="GN3487" s="155"/>
      <c r="GO3487" s="155"/>
      <c r="GP3487" s="155"/>
      <c r="GQ3487" s="155"/>
      <c r="GR3487" s="155"/>
      <c r="GS3487" s="155"/>
      <c r="GT3487" s="155"/>
      <c r="GU3487" s="155"/>
      <c r="GV3487" s="155"/>
      <c r="GW3487" s="155"/>
      <c r="GX3487" s="155"/>
      <c r="GY3487" s="155"/>
      <c r="GZ3487" s="155"/>
      <c r="HA3487" s="155"/>
      <c r="HB3487" s="155"/>
      <c r="HC3487" s="155"/>
      <c r="HD3487" s="155"/>
      <c r="HE3487" s="155"/>
    </row>
    <row r="3488" spans="2:213" s="156" customFormat="1" hidden="1">
      <c r="B3488" s="155"/>
      <c r="C3488" s="155"/>
      <c r="D3488" s="155"/>
      <c r="E3488" s="155"/>
      <c r="F3488" s="155"/>
      <c r="G3488" s="155"/>
      <c r="H3488" s="155"/>
      <c r="I3488" s="155"/>
      <c r="J3488" s="155"/>
      <c r="K3488" s="155"/>
      <c r="L3488" s="155"/>
      <c r="M3488" s="155"/>
      <c r="N3488" s="155"/>
      <c r="O3488" s="155"/>
      <c r="P3488" s="155"/>
      <c r="Q3488" s="155"/>
      <c r="R3488" s="155"/>
      <c r="S3488" s="155"/>
      <c r="T3488" s="155"/>
      <c r="U3488" s="155"/>
      <c r="V3488" s="155"/>
      <c r="W3488" s="155"/>
      <c r="GL3488" s="155"/>
      <c r="GM3488" s="155"/>
      <c r="GN3488" s="155"/>
      <c r="GO3488" s="155"/>
      <c r="GP3488" s="155"/>
      <c r="GQ3488" s="155"/>
      <c r="GR3488" s="155"/>
      <c r="GS3488" s="155"/>
      <c r="GT3488" s="155"/>
      <c r="GU3488" s="155"/>
      <c r="GV3488" s="155"/>
      <c r="GW3488" s="155"/>
      <c r="GX3488" s="155"/>
      <c r="GY3488" s="155"/>
      <c r="GZ3488" s="155"/>
      <c r="HA3488" s="155"/>
      <c r="HB3488" s="155"/>
      <c r="HC3488" s="155"/>
      <c r="HD3488" s="155"/>
      <c r="HE3488" s="155"/>
    </row>
    <row r="3489" spans="2:213" s="156" customFormat="1" hidden="1">
      <c r="B3489" s="155"/>
      <c r="C3489" s="155"/>
      <c r="D3489" s="155"/>
      <c r="E3489" s="155"/>
      <c r="F3489" s="155"/>
      <c r="G3489" s="155"/>
      <c r="H3489" s="155"/>
      <c r="I3489" s="155"/>
      <c r="J3489" s="155"/>
      <c r="K3489" s="155"/>
      <c r="L3489" s="155"/>
      <c r="M3489" s="155"/>
      <c r="N3489" s="155"/>
      <c r="O3489" s="155"/>
      <c r="P3489" s="155"/>
      <c r="Q3489" s="155"/>
      <c r="R3489" s="155"/>
      <c r="S3489" s="155"/>
      <c r="T3489" s="155"/>
      <c r="U3489" s="155"/>
      <c r="V3489" s="155"/>
      <c r="W3489" s="155"/>
      <c r="GL3489" s="155"/>
      <c r="GM3489" s="155"/>
      <c r="GN3489" s="155"/>
      <c r="GO3489" s="155"/>
      <c r="GP3489" s="155"/>
      <c r="GQ3489" s="155"/>
      <c r="GR3489" s="155"/>
      <c r="GS3489" s="155"/>
      <c r="GT3489" s="155"/>
      <c r="GU3489" s="155"/>
      <c r="GV3489" s="155"/>
      <c r="GW3489" s="155"/>
      <c r="GX3489" s="155"/>
      <c r="GY3489" s="155"/>
      <c r="GZ3489" s="155"/>
      <c r="HA3489" s="155"/>
      <c r="HB3489" s="155"/>
      <c r="HC3489" s="155"/>
      <c r="HD3489" s="155"/>
      <c r="HE3489" s="155"/>
    </row>
    <row r="3490" spans="2:213" s="156" customFormat="1" hidden="1">
      <c r="B3490" s="155"/>
      <c r="C3490" s="155"/>
      <c r="D3490" s="155"/>
      <c r="E3490" s="155"/>
      <c r="F3490" s="155"/>
      <c r="G3490" s="155"/>
      <c r="H3490" s="155"/>
      <c r="I3490" s="155"/>
      <c r="J3490" s="155"/>
      <c r="K3490" s="155"/>
      <c r="L3490" s="155"/>
      <c r="M3490" s="155"/>
      <c r="N3490" s="155"/>
      <c r="O3490" s="155"/>
      <c r="P3490" s="155"/>
      <c r="Q3490" s="155"/>
      <c r="R3490" s="155"/>
      <c r="S3490" s="155"/>
      <c r="T3490" s="155"/>
      <c r="U3490" s="155"/>
      <c r="V3490" s="155"/>
      <c r="W3490" s="155"/>
      <c r="GL3490" s="155"/>
      <c r="GM3490" s="155"/>
      <c r="GN3490" s="155"/>
      <c r="GO3490" s="155"/>
      <c r="GP3490" s="155"/>
      <c r="GQ3490" s="155"/>
      <c r="GR3490" s="155"/>
      <c r="GS3490" s="155"/>
      <c r="GT3490" s="155"/>
      <c r="GU3490" s="155"/>
      <c r="GV3490" s="155"/>
      <c r="GW3490" s="155"/>
      <c r="GX3490" s="155"/>
      <c r="GY3490" s="155"/>
      <c r="GZ3490" s="155"/>
      <c r="HA3490" s="155"/>
      <c r="HB3490" s="155"/>
      <c r="HC3490" s="155"/>
      <c r="HD3490" s="155"/>
      <c r="HE3490" s="155"/>
    </row>
    <row r="3491" spans="2:213" s="156" customFormat="1" hidden="1">
      <c r="B3491" s="155"/>
      <c r="C3491" s="155"/>
      <c r="D3491" s="155"/>
      <c r="E3491" s="155"/>
      <c r="F3491" s="155"/>
      <c r="G3491" s="155"/>
      <c r="H3491" s="155"/>
      <c r="I3491" s="155"/>
      <c r="J3491" s="155"/>
      <c r="K3491" s="155"/>
      <c r="L3491" s="155"/>
      <c r="M3491" s="155"/>
      <c r="N3491" s="155"/>
      <c r="O3491" s="155"/>
      <c r="P3491" s="155"/>
      <c r="Q3491" s="155"/>
      <c r="R3491" s="155"/>
      <c r="S3491" s="155"/>
      <c r="T3491" s="155"/>
      <c r="U3491" s="155"/>
      <c r="V3491" s="155"/>
      <c r="W3491" s="155"/>
      <c r="GL3491" s="155"/>
      <c r="GM3491" s="155"/>
      <c r="GN3491" s="155"/>
      <c r="GO3491" s="155"/>
      <c r="GP3491" s="155"/>
      <c r="GQ3491" s="155"/>
      <c r="GR3491" s="155"/>
      <c r="GS3491" s="155"/>
      <c r="GT3491" s="155"/>
      <c r="GU3491" s="155"/>
      <c r="GV3491" s="155"/>
      <c r="GW3491" s="155"/>
      <c r="GX3491" s="155"/>
      <c r="GY3491" s="155"/>
      <c r="GZ3491" s="155"/>
      <c r="HA3491" s="155"/>
      <c r="HB3491" s="155"/>
      <c r="HC3491" s="155"/>
      <c r="HD3491" s="155"/>
      <c r="HE3491" s="155"/>
    </row>
    <row r="3492" spans="2:213" s="156" customFormat="1" hidden="1">
      <c r="B3492" s="155"/>
      <c r="C3492" s="155"/>
      <c r="D3492" s="155"/>
      <c r="E3492" s="155"/>
      <c r="F3492" s="155"/>
      <c r="G3492" s="155"/>
      <c r="H3492" s="155"/>
      <c r="I3492" s="155"/>
      <c r="J3492" s="155"/>
      <c r="K3492" s="155"/>
      <c r="L3492" s="155"/>
      <c r="M3492" s="155"/>
      <c r="N3492" s="155"/>
      <c r="O3492" s="155"/>
      <c r="P3492" s="155"/>
      <c r="Q3492" s="155"/>
      <c r="R3492" s="155"/>
      <c r="S3492" s="155"/>
      <c r="T3492" s="155"/>
      <c r="U3492" s="155"/>
      <c r="V3492" s="155"/>
      <c r="W3492" s="155"/>
      <c r="GL3492" s="155"/>
      <c r="GM3492" s="155"/>
      <c r="GN3492" s="155"/>
      <c r="GO3492" s="155"/>
      <c r="GP3492" s="155"/>
      <c r="GQ3492" s="155"/>
      <c r="GR3492" s="155"/>
      <c r="GS3492" s="155"/>
      <c r="GT3492" s="155"/>
      <c r="GU3492" s="155"/>
      <c r="GV3492" s="155"/>
      <c r="GW3492" s="155"/>
      <c r="GX3492" s="155"/>
      <c r="GY3492" s="155"/>
      <c r="GZ3492" s="155"/>
      <c r="HA3492" s="155"/>
      <c r="HB3492" s="155"/>
      <c r="HC3492" s="155"/>
      <c r="HD3492" s="155"/>
      <c r="HE3492" s="155"/>
    </row>
    <row r="3493" spans="2:213" s="156" customFormat="1" hidden="1">
      <c r="B3493" s="155"/>
      <c r="C3493" s="155"/>
      <c r="D3493" s="155"/>
      <c r="E3493" s="155"/>
      <c r="F3493" s="155"/>
      <c r="G3493" s="155"/>
      <c r="H3493" s="155"/>
      <c r="I3493" s="155"/>
      <c r="J3493" s="155"/>
      <c r="K3493" s="155"/>
      <c r="L3493" s="155"/>
      <c r="M3493" s="155"/>
      <c r="N3493" s="155"/>
      <c r="O3493" s="155"/>
      <c r="P3493" s="155"/>
      <c r="Q3493" s="155"/>
      <c r="R3493" s="155"/>
      <c r="S3493" s="155"/>
      <c r="T3493" s="155"/>
      <c r="U3493" s="155"/>
      <c r="V3493" s="155"/>
      <c r="W3493" s="155"/>
      <c r="GL3493" s="155"/>
      <c r="GM3493" s="155"/>
      <c r="GN3493" s="155"/>
      <c r="GO3493" s="155"/>
      <c r="GP3493" s="155"/>
      <c r="GQ3493" s="155"/>
      <c r="GR3493" s="155"/>
      <c r="GS3493" s="155"/>
      <c r="GT3493" s="155"/>
      <c r="GU3493" s="155"/>
      <c r="GV3493" s="155"/>
      <c r="GW3493" s="155"/>
      <c r="GX3493" s="155"/>
      <c r="GY3493" s="155"/>
      <c r="GZ3493" s="155"/>
      <c r="HA3493" s="155"/>
      <c r="HB3493" s="155"/>
      <c r="HC3493" s="155"/>
      <c r="HD3493" s="155"/>
      <c r="HE3493" s="155"/>
    </row>
    <row r="3494" spans="2:213" s="156" customFormat="1" hidden="1">
      <c r="B3494" s="155"/>
      <c r="C3494" s="155"/>
      <c r="D3494" s="155"/>
      <c r="E3494" s="155"/>
      <c r="F3494" s="155"/>
      <c r="G3494" s="155"/>
      <c r="H3494" s="155"/>
      <c r="I3494" s="155"/>
      <c r="J3494" s="155"/>
      <c r="K3494" s="155"/>
      <c r="L3494" s="155"/>
      <c r="M3494" s="155"/>
      <c r="N3494" s="155"/>
      <c r="O3494" s="155"/>
      <c r="P3494" s="155"/>
      <c r="Q3494" s="155"/>
      <c r="R3494" s="155"/>
      <c r="S3494" s="155"/>
      <c r="T3494" s="155"/>
      <c r="U3494" s="155"/>
      <c r="V3494" s="155"/>
      <c r="W3494" s="155"/>
      <c r="GL3494" s="155"/>
      <c r="GM3494" s="155"/>
      <c r="GN3494" s="155"/>
      <c r="GO3494" s="155"/>
      <c r="GP3494" s="155"/>
      <c r="GQ3494" s="155"/>
      <c r="GR3494" s="155"/>
      <c r="GS3494" s="155"/>
      <c r="GT3494" s="155"/>
      <c r="GU3494" s="155"/>
      <c r="GV3494" s="155"/>
      <c r="GW3494" s="155"/>
      <c r="GX3494" s="155"/>
      <c r="GY3494" s="155"/>
      <c r="GZ3494" s="155"/>
      <c r="HA3494" s="155"/>
      <c r="HB3494" s="155"/>
      <c r="HC3494" s="155"/>
      <c r="HD3494" s="155"/>
      <c r="HE3494" s="155"/>
    </row>
    <row r="3495" spans="2:213" s="156" customFormat="1" hidden="1">
      <c r="B3495" s="155"/>
      <c r="C3495" s="155"/>
      <c r="D3495" s="155"/>
      <c r="E3495" s="155"/>
      <c r="F3495" s="155"/>
      <c r="G3495" s="155"/>
      <c r="H3495" s="155"/>
      <c r="I3495" s="155"/>
      <c r="J3495" s="155"/>
      <c r="K3495" s="155"/>
      <c r="L3495" s="155"/>
      <c r="M3495" s="155"/>
      <c r="N3495" s="155"/>
      <c r="O3495" s="155"/>
      <c r="P3495" s="155"/>
      <c r="Q3495" s="155"/>
      <c r="R3495" s="155"/>
      <c r="S3495" s="155"/>
      <c r="T3495" s="155"/>
      <c r="U3495" s="155"/>
      <c r="V3495" s="155"/>
      <c r="W3495" s="155"/>
      <c r="GL3495" s="155"/>
      <c r="GM3495" s="155"/>
      <c r="GN3495" s="155"/>
      <c r="GO3495" s="155"/>
      <c r="GP3495" s="155"/>
      <c r="GQ3495" s="155"/>
      <c r="GR3495" s="155"/>
      <c r="GS3495" s="155"/>
      <c r="GT3495" s="155"/>
      <c r="GU3495" s="155"/>
      <c r="GV3495" s="155"/>
      <c r="GW3495" s="155"/>
      <c r="GX3495" s="155"/>
      <c r="GY3495" s="155"/>
      <c r="GZ3495" s="155"/>
      <c r="HA3495" s="155"/>
      <c r="HB3495" s="155"/>
      <c r="HC3495" s="155"/>
      <c r="HD3495" s="155"/>
      <c r="HE3495" s="155"/>
    </row>
    <row r="3496" spans="2:213" s="156" customFormat="1" hidden="1">
      <c r="B3496" s="155"/>
      <c r="C3496" s="155"/>
      <c r="D3496" s="155"/>
      <c r="E3496" s="155"/>
      <c r="F3496" s="155"/>
      <c r="G3496" s="155"/>
      <c r="H3496" s="155"/>
      <c r="I3496" s="155"/>
      <c r="J3496" s="155"/>
      <c r="K3496" s="155"/>
      <c r="L3496" s="155"/>
      <c r="M3496" s="155"/>
      <c r="N3496" s="155"/>
      <c r="O3496" s="155"/>
      <c r="P3496" s="155"/>
      <c r="Q3496" s="155"/>
      <c r="R3496" s="155"/>
      <c r="S3496" s="155"/>
      <c r="T3496" s="155"/>
      <c r="U3496" s="155"/>
      <c r="V3496" s="155"/>
      <c r="W3496" s="155"/>
      <c r="GL3496" s="155"/>
      <c r="GM3496" s="155"/>
      <c r="GN3496" s="155"/>
      <c r="GO3496" s="155"/>
      <c r="GP3496" s="155"/>
      <c r="GQ3496" s="155"/>
      <c r="GR3496" s="155"/>
      <c r="GS3496" s="155"/>
      <c r="GT3496" s="155"/>
      <c r="GU3496" s="155"/>
      <c r="GV3496" s="155"/>
      <c r="GW3496" s="155"/>
      <c r="GX3496" s="155"/>
      <c r="GY3496" s="155"/>
      <c r="GZ3496" s="155"/>
      <c r="HA3496" s="155"/>
      <c r="HB3496" s="155"/>
      <c r="HC3496" s="155"/>
      <c r="HD3496" s="155"/>
      <c r="HE3496" s="155"/>
    </row>
    <row r="3497" spans="2:213" s="156" customFormat="1" hidden="1">
      <c r="B3497" s="155"/>
      <c r="C3497" s="155"/>
      <c r="D3497" s="155"/>
      <c r="E3497" s="155"/>
      <c r="F3497" s="155"/>
      <c r="G3497" s="155"/>
      <c r="H3497" s="155"/>
      <c r="I3497" s="155"/>
      <c r="J3497" s="155"/>
      <c r="K3497" s="155"/>
      <c r="L3497" s="155"/>
      <c r="M3497" s="155"/>
      <c r="N3497" s="155"/>
      <c r="O3497" s="155"/>
      <c r="P3497" s="155"/>
      <c r="Q3497" s="155"/>
      <c r="R3497" s="155"/>
      <c r="S3497" s="155"/>
      <c r="T3497" s="155"/>
      <c r="U3497" s="155"/>
      <c r="V3497" s="155"/>
      <c r="W3497" s="155"/>
      <c r="GL3497" s="155"/>
      <c r="GM3497" s="155"/>
      <c r="GN3497" s="155"/>
      <c r="GO3497" s="155"/>
      <c r="GP3497" s="155"/>
      <c r="GQ3497" s="155"/>
      <c r="GR3497" s="155"/>
      <c r="GS3497" s="155"/>
      <c r="GT3497" s="155"/>
      <c r="GU3497" s="155"/>
      <c r="GV3497" s="155"/>
      <c r="GW3497" s="155"/>
      <c r="GX3497" s="155"/>
      <c r="GY3497" s="155"/>
      <c r="GZ3497" s="155"/>
      <c r="HA3497" s="155"/>
      <c r="HB3497" s="155"/>
      <c r="HC3497" s="155"/>
      <c r="HD3497" s="155"/>
      <c r="HE3497" s="155"/>
    </row>
    <row r="3498" spans="2:213" s="156" customFormat="1" hidden="1">
      <c r="B3498" s="155"/>
      <c r="C3498" s="155"/>
      <c r="D3498" s="155"/>
      <c r="E3498" s="155"/>
      <c r="F3498" s="155"/>
      <c r="G3498" s="155"/>
      <c r="H3498" s="155"/>
      <c r="I3498" s="155"/>
      <c r="J3498" s="155"/>
      <c r="K3498" s="155"/>
      <c r="L3498" s="155"/>
      <c r="M3498" s="155"/>
      <c r="N3498" s="155"/>
      <c r="O3498" s="155"/>
      <c r="P3498" s="155"/>
      <c r="Q3498" s="155"/>
      <c r="R3498" s="155"/>
      <c r="S3498" s="155"/>
      <c r="T3498" s="155"/>
      <c r="U3498" s="155"/>
      <c r="V3498" s="155"/>
      <c r="W3498" s="155"/>
      <c r="GL3498" s="155"/>
      <c r="GM3498" s="155"/>
      <c r="GN3498" s="155"/>
      <c r="GO3498" s="155"/>
      <c r="GP3498" s="155"/>
      <c r="GQ3498" s="155"/>
      <c r="GR3498" s="155"/>
      <c r="GS3498" s="155"/>
      <c r="GT3498" s="155"/>
      <c r="GU3498" s="155"/>
      <c r="GV3498" s="155"/>
      <c r="GW3498" s="155"/>
      <c r="GX3498" s="155"/>
      <c r="GY3498" s="155"/>
      <c r="GZ3498" s="155"/>
      <c r="HA3498" s="155"/>
      <c r="HB3498" s="155"/>
      <c r="HC3498" s="155"/>
      <c r="HD3498" s="155"/>
      <c r="HE3498" s="155"/>
    </row>
    <row r="3499" spans="2:213" s="156" customFormat="1" hidden="1">
      <c r="B3499" s="155"/>
      <c r="C3499" s="155"/>
      <c r="D3499" s="155"/>
      <c r="E3499" s="155"/>
      <c r="F3499" s="155"/>
      <c r="G3499" s="155"/>
      <c r="H3499" s="155"/>
      <c r="I3499" s="155"/>
      <c r="J3499" s="155"/>
      <c r="K3499" s="155"/>
      <c r="L3499" s="155"/>
      <c r="M3499" s="155"/>
      <c r="N3499" s="155"/>
      <c r="O3499" s="155"/>
      <c r="P3499" s="155"/>
      <c r="Q3499" s="155"/>
      <c r="R3499" s="155"/>
      <c r="S3499" s="155"/>
      <c r="T3499" s="155"/>
      <c r="U3499" s="155"/>
      <c r="V3499" s="155"/>
      <c r="W3499" s="155"/>
      <c r="GL3499" s="155"/>
      <c r="GM3499" s="155"/>
      <c r="GN3499" s="155"/>
      <c r="GO3499" s="155"/>
      <c r="GP3499" s="155"/>
      <c r="GQ3499" s="155"/>
      <c r="GR3499" s="155"/>
      <c r="GS3499" s="155"/>
      <c r="GT3499" s="155"/>
      <c r="GU3499" s="155"/>
      <c r="GV3499" s="155"/>
      <c r="GW3499" s="155"/>
      <c r="GX3499" s="155"/>
      <c r="GY3499" s="155"/>
      <c r="GZ3499" s="155"/>
      <c r="HA3499" s="155"/>
      <c r="HB3499" s="155"/>
      <c r="HC3499" s="155"/>
      <c r="HD3499" s="155"/>
      <c r="HE3499" s="155"/>
    </row>
    <row r="3500" spans="2:213" s="156" customFormat="1" hidden="1">
      <c r="B3500" s="155"/>
      <c r="C3500" s="155"/>
      <c r="D3500" s="155"/>
      <c r="E3500" s="155"/>
      <c r="F3500" s="155"/>
      <c r="G3500" s="155"/>
      <c r="H3500" s="155"/>
      <c r="I3500" s="155"/>
      <c r="J3500" s="155"/>
      <c r="K3500" s="155"/>
      <c r="L3500" s="155"/>
      <c r="M3500" s="155"/>
      <c r="N3500" s="155"/>
      <c r="O3500" s="155"/>
      <c r="P3500" s="155"/>
      <c r="Q3500" s="155"/>
      <c r="R3500" s="155"/>
      <c r="S3500" s="155"/>
      <c r="T3500" s="155"/>
      <c r="U3500" s="155"/>
      <c r="V3500" s="155"/>
      <c r="W3500" s="155"/>
      <c r="GL3500" s="155"/>
      <c r="GM3500" s="155"/>
      <c r="GN3500" s="155"/>
      <c r="GO3500" s="155"/>
      <c r="GP3500" s="155"/>
      <c r="GQ3500" s="155"/>
      <c r="GR3500" s="155"/>
      <c r="GS3500" s="155"/>
      <c r="GT3500" s="155"/>
      <c r="GU3500" s="155"/>
      <c r="GV3500" s="155"/>
      <c r="GW3500" s="155"/>
      <c r="GX3500" s="155"/>
      <c r="GY3500" s="155"/>
      <c r="GZ3500" s="155"/>
      <c r="HA3500" s="155"/>
      <c r="HB3500" s="155"/>
      <c r="HC3500" s="155"/>
      <c r="HD3500" s="155"/>
      <c r="HE3500" s="155"/>
    </row>
    <row r="3501" spans="2:213" s="156" customFormat="1" hidden="1">
      <c r="B3501" s="155"/>
      <c r="C3501" s="155"/>
      <c r="D3501" s="155"/>
      <c r="E3501" s="155"/>
      <c r="F3501" s="155"/>
      <c r="G3501" s="155"/>
      <c r="H3501" s="155"/>
      <c r="I3501" s="155"/>
      <c r="J3501" s="155"/>
      <c r="K3501" s="155"/>
      <c r="L3501" s="155"/>
      <c r="M3501" s="155"/>
      <c r="N3501" s="155"/>
      <c r="O3501" s="155"/>
      <c r="P3501" s="155"/>
      <c r="Q3501" s="155"/>
      <c r="R3501" s="155"/>
      <c r="S3501" s="155"/>
      <c r="T3501" s="155"/>
      <c r="U3501" s="155"/>
      <c r="V3501" s="155"/>
      <c r="W3501" s="155"/>
      <c r="GL3501" s="155"/>
      <c r="GM3501" s="155"/>
      <c r="GN3501" s="155"/>
      <c r="GO3501" s="155"/>
      <c r="GP3501" s="155"/>
      <c r="GQ3501" s="155"/>
      <c r="GR3501" s="155"/>
      <c r="GS3501" s="155"/>
      <c r="GT3501" s="155"/>
      <c r="GU3501" s="155"/>
      <c r="GV3501" s="155"/>
      <c r="GW3501" s="155"/>
      <c r="GX3501" s="155"/>
      <c r="GY3501" s="155"/>
      <c r="GZ3501" s="155"/>
      <c r="HA3501" s="155"/>
      <c r="HB3501" s="155"/>
      <c r="HC3501" s="155"/>
      <c r="HD3501" s="155"/>
      <c r="HE3501" s="155"/>
    </row>
    <row r="3502" spans="2:213" s="156" customFormat="1" hidden="1">
      <c r="B3502" s="155"/>
      <c r="C3502" s="155"/>
      <c r="D3502" s="155"/>
      <c r="E3502" s="155"/>
      <c r="F3502" s="155"/>
      <c r="G3502" s="155"/>
      <c r="H3502" s="155"/>
      <c r="I3502" s="155"/>
      <c r="J3502" s="155"/>
      <c r="K3502" s="155"/>
      <c r="L3502" s="155"/>
      <c r="M3502" s="155"/>
      <c r="N3502" s="155"/>
      <c r="O3502" s="155"/>
      <c r="P3502" s="155"/>
      <c r="Q3502" s="155"/>
      <c r="R3502" s="155"/>
      <c r="S3502" s="155"/>
      <c r="T3502" s="155"/>
      <c r="U3502" s="155"/>
      <c r="V3502" s="155"/>
      <c r="W3502" s="155"/>
      <c r="GL3502" s="155"/>
      <c r="GM3502" s="155"/>
      <c r="GN3502" s="155"/>
      <c r="GO3502" s="155"/>
      <c r="GP3502" s="155"/>
      <c r="GQ3502" s="155"/>
      <c r="GR3502" s="155"/>
      <c r="GS3502" s="155"/>
      <c r="GT3502" s="155"/>
      <c r="GU3502" s="155"/>
      <c r="GV3502" s="155"/>
      <c r="GW3502" s="155"/>
      <c r="GX3502" s="155"/>
      <c r="GY3502" s="155"/>
      <c r="GZ3502" s="155"/>
      <c r="HA3502" s="155"/>
      <c r="HB3502" s="155"/>
      <c r="HC3502" s="155"/>
      <c r="HD3502" s="155"/>
      <c r="HE3502" s="155"/>
    </row>
    <row r="3503" spans="2:213" s="156" customFormat="1" hidden="1">
      <c r="B3503" s="155"/>
      <c r="C3503" s="155"/>
      <c r="D3503" s="155"/>
      <c r="E3503" s="155"/>
      <c r="F3503" s="155"/>
      <c r="G3503" s="155"/>
      <c r="H3503" s="155"/>
      <c r="I3503" s="155"/>
      <c r="J3503" s="155"/>
      <c r="K3503" s="155"/>
      <c r="L3503" s="155"/>
      <c r="M3503" s="155"/>
      <c r="N3503" s="155"/>
      <c r="O3503" s="155"/>
      <c r="P3503" s="155"/>
      <c r="Q3503" s="155"/>
      <c r="R3503" s="155"/>
      <c r="S3503" s="155"/>
      <c r="T3503" s="155"/>
      <c r="U3503" s="155"/>
      <c r="V3503" s="155"/>
      <c r="W3503" s="155"/>
      <c r="GL3503" s="155"/>
      <c r="GM3503" s="155"/>
      <c r="GN3503" s="155"/>
      <c r="GO3503" s="155"/>
      <c r="GP3503" s="155"/>
      <c r="GQ3503" s="155"/>
      <c r="GR3503" s="155"/>
      <c r="GS3503" s="155"/>
      <c r="GT3503" s="155"/>
      <c r="GU3503" s="155"/>
      <c r="GV3503" s="155"/>
      <c r="GW3503" s="155"/>
      <c r="GX3503" s="155"/>
      <c r="GY3503" s="155"/>
      <c r="GZ3503" s="155"/>
      <c r="HA3503" s="155"/>
      <c r="HB3503" s="155"/>
      <c r="HC3503" s="155"/>
      <c r="HD3503" s="155"/>
      <c r="HE3503" s="155"/>
    </row>
    <row r="3504" spans="2:213" s="156" customFormat="1" hidden="1">
      <c r="B3504" s="155"/>
      <c r="C3504" s="155"/>
      <c r="D3504" s="155"/>
      <c r="E3504" s="155"/>
      <c r="F3504" s="155"/>
      <c r="G3504" s="155"/>
      <c r="H3504" s="155"/>
      <c r="I3504" s="155"/>
      <c r="J3504" s="155"/>
      <c r="K3504" s="155"/>
      <c r="L3504" s="155"/>
      <c r="M3504" s="155"/>
      <c r="N3504" s="155"/>
      <c r="O3504" s="155"/>
      <c r="P3504" s="155"/>
      <c r="Q3504" s="155"/>
      <c r="R3504" s="155"/>
      <c r="S3504" s="155"/>
      <c r="T3504" s="155"/>
      <c r="U3504" s="155"/>
      <c r="V3504" s="155"/>
      <c r="W3504" s="155"/>
      <c r="GL3504" s="155"/>
      <c r="GM3504" s="155"/>
      <c r="GN3504" s="155"/>
      <c r="GO3504" s="155"/>
      <c r="GP3504" s="155"/>
      <c r="GQ3504" s="155"/>
      <c r="GR3504" s="155"/>
      <c r="GS3504" s="155"/>
      <c r="GT3504" s="155"/>
      <c r="GU3504" s="155"/>
      <c r="GV3504" s="155"/>
      <c r="GW3504" s="155"/>
      <c r="GX3504" s="155"/>
      <c r="GY3504" s="155"/>
      <c r="GZ3504" s="155"/>
      <c r="HA3504" s="155"/>
      <c r="HB3504" s="155"/>
      <c r="HC3504" s="155"/>
      <c r="HD3504" s="155"/>
      <c r="HE3504" s="155"/>
    </row>
    <row r="3505" spans="2:213" s="156" customFormat="1" hidden="1">
      <c r="B3505" s="155"/>
      <c r="C3505" s="155"/>
      <c r="D3505" s="155"/>
      <c r="E3505" s="155"/>
      <c r="F3505" s="155"/>
      <c r="G3505" s="155"/>
      <c r="H3505" s="155"/>
      <c r="I3505" s="155"/>
      <c r="J3505" s="155"/>
      <c r="K3505" s="155"/>
      <c r="L3505" s="155"/>
      <c r="M3505" s="155"/>
      <c r="N3505" s="155"/>
      <c r="O3505" s="155"/>
      <c r="P3505" s="155"/>
      <c r="Q3505" s="155"/>
      <c r="R3505" s="155"/>
      <c r="S3505" s="155"/>
      <c r="T3505" s="155"/>
      <c r="U3505" s="155"/>
      <c r="V3505" s="155"/>
      <c r="W3505" s="155"/>
      <c r="GL3505" s="155"/>
      <c r="GM3505" s="155"/>
      <c r="GN3505" s="155"/>
      <c r="GO3505" s="155"/>
      <c r="GP3505" s="155"/>
      <c r="GQ3505" s="155"/>
      <c r="GR3505" s="155"/>
      <c r="GS3505" s="155"/>
      <c r="GT3505" s="155"/>
      <c r="GU3505" s="155"/>
      <c r="GV3505" s="155"/>
      <c r="GW3505" s="155"/>
      <c r="GX3505" s="155"/>
      <c r="GY3505" s="155"/>
      <c r="GZ3505" s="155"/>
      <c r="HA3505" s="155"/>
      <c r="HB3505" s="155"/>
      <c r="HC3505" s="155"/>
      <c r="HD3505" s="155"/>
      <c r="HE3505" s="155"/>
    </row>
    <row r="3506" spans="2:213" s="156" customFormat="1" hidden="1">
      <c r="B3506" s="155"/>
      <c r="C3506" s="155"/>
      <c r="D3506" s="155"/>
      <c r="E3506" s="155"/>
      <c r="F3506" s="155"/>
      <c r="G3506" s="155"/>
      <c r="H3506" s="155"/>
      <c r="I3506" s="155"/>
      <c r="J3506" s="155"/>
      <c r="K3506" s="155"/>
      <c r="L3506" s="155"/>
      <c r="M3506" s="155"/>
      <c r="N3506" s="155"/>
      <c r="O3506" s="155"/>
      <c r="P3506" s="155"/>
      <c r="Q3506" s="155"/>
      <c r="R3506" s="155"/>
      <c r="S3506" s="155"/>
      <c r="T3506" s="155"/>
      <c r="U3506" s="155"/>
      <c r="V3506" s="155"/>
      <c r="W3506" s="155"/>
      <c r="GL3506" s="155"/>
      <c r="GM3506" s="155"/>
      <c r="GN3506" s="155"/>
      <c r="GO3506" s="155"/>
      <c r="GP3506" s="155"/>
      <c r="GQ3506" s="155"/>
      <c r="GR3506" s="155"/>
      <c r="GS3506" s="155"/>
      <c r="GT3506" s="155"/>
      <c r="GU3506" s="155"/>
      <c r="GV3506" s="155"/>
      <c r="GW3506" s="155"/>
      <c r="GX3506" s="155"/>
      <c r="GY3506" s="155"/>
      <c r="GZ3506" s="155"/>
      <c r="HA3506" s="155"/>
      <c r="HB3506" s="155"/>
      <c r="HC3506" s="155"/>
      <c r="HD3506" s="155"/>
      <c r="HE3506" s="155"/>
    </row>
    <row r="3507" spans="2:213" s="156" customFormat="1" hidden="1">
      <c r="B3507" s="155"/>
      <c r="C3507" s="155"/>
      <c r="D3507" s="155"/>
      <c r="E3507" s="155"/>
      <c r="F3507" s="155"/>
      <c r="G3507" s="155"/>
      <c r="H3507" s="155"/>
      <c r="I3507" s="155"/>
      <c r="J3507" s="155"/>
      <c r="K3507" s="155"/>
      <c r="L3507" s="155"/>
      <c r="M3507" s="155"/>
      <c r="N3507" s="155"/>
      <c r="O3507" s="155"/>
      <c r="P3507" s="155"/>
      <c r="Q3507" s="155"/>
      <c r="R3507" s="155"/>
      <c r="S3507" s="155"/>
      <c r="T3507" s="155"/>
      <c r="U3507" s="155"/>
      <c r="V3507" s="155"/>
      <c r="W3507" s="155"/>
      <c r="GL3507" s="155"/>
      <c r="GM3507" s="155"/>
      <c r="GN3507" s="155"/>
      <c r="GO3507" s="155"/>
      <c r="GP3507" s="155"/>
      <c r="GQ3507" s="155"/>
      <c r="GR3507" s="155"/>
      <c r="GS3507" s="155"/>
      <c r="GT3507" s="155"/>
      <c r="GU3507" s="155"/>
      <c r="GV3507" s="155"/>
      <c r="GW3507" s="155"/>
      <c r="GX3507" s="155"/>
      <c r="GY3507" s="155"/>
      <c r="GZ3507" s="155"/>
      <c r="HA3507" s="155"/>
      <c r="HB3507" s="155"/>
      <c r="HC3507" s="155"/>
      <c r="HD3507" s="155"/>
      <c r="HE3507" s="155"/>
    </row>
    <row r="3508" spans="2:213" s="156" customFormat="1" hidden="1">
      <c r="B3508" s="155"/>
      <c r="C3508" s="155"/>
      <c r="D3508" s="155"/>
      <c r="E3508" s="155"/>
      <c r="F3508" s="155"/>
      <c r="G3508" s="155"/>
      <c r="H3508" s="155"/>
      <c r="I3508" s="155"/>
      <c r="J3508" s="155"/>
      <c r="K3508" s="155"/>
      <c r="L3508" s="155"/>
      <c r="M3508" s="155"/>
      <c r="N3508" s="155"/>
      <c r="O3508" s="155"/>
      <c r="P3508" s="155"/>
      <c r="Q3508" s="155"/>
      <c r="R3508" s="155"/>
      <c r="S3508" s="155"/>
      <c r="T3508" s="155"/>
      <c r="U3508" s="155"/>
      <c r="V3508" s="155"/>
      <c r="W3508" s="155"/>
      <c r="GL3508" s="155"/>
      <c r="GM3508" s="155"/>
      <c r="GN3508" s="155"/>
      <c r="GO3508" s="155"/>
      <c r="GP3508" s="155"/>
      <c r="GQ3508" s="155"/>
      <c r="GR3508" s="155"/>
      <c r="GS3508" s="155"/>
      <c r="GT3508" s="155"/>
      <c r="GU3508" s="155"/>
      <c r="GV3508" s="155"/>
      <c r="GW3508" s="155"/>
      <c r="GX3508" s="155"/>
      <c r="GY3508" s="155"/>
      <c r="GZ3508" s="155"/>
      <c r="HA3508" s="155"/>
      <c r="HB3508" s="155"/>
      <c r="HC3508" s="155"/>
      <c r="HD3508" s="155"/>
      <c r="HE3508" s="155"/>
    </row>
    <row r="3509" spans="2:213" s="156" customFormat="1" hidden="1">
      <c r="B3509" s="155"/>
      <c r="C3509" s="155"/>
      <c r="D3509" s="155"/>
      <c r="E3509" s="155"/>
      <c r="F3509" s="155"/>
      <c r="G3509" s="155"/>
      <c r="H3509" s="155"/>
      <c r="I3509" s="155"/>
      <c r="J3509" s="155"/>
      <c r="K3509" s="155"/>
      <c r="L3509" s="155"/>
      <c r="M3509" s="155"/>
      <c r="N3509" s="155"/>
      <c r="O3509" s="155"/>
      <c r="P3509" s="155"/>
      <c r="Q3509" s="155"/>
      <c r="R3509" s="155"/>
      <c r="S3509" s="155"/>
      <c r="T3509" s="155"/>
      <c r="U3509" s="155"/>
      <c r="V3509" s="155"/>
      <c r="W3509" s="155"/>
      <c r="GL3509" s="155"/>
      <c r="GM3509" s="155"/>
      <c r="GN3509" s="155"/>
      <c r="GO3509" s="155"/>
      <c r="GP3509" s="155"/>
      <c r="GQ3509" s="155"/>
      <c r="GR3509" s="155"/>
      <c r="GS3509" s="155"/>
      <c r="GT3509" s="155"/>
      <c r="GU3509" s="155"/>
      <c r="GV3509" s="155"/>
      <c r="GW3509" s="155"/>
      <c r="GX3509" s="155"/>
      <c r="GY3509" s="155"/>
      <c r="GZ3509" s="155"/>
      <c r="HA3509" s="155"/>
      <c r="HB3509" s="155"/>
      <c r="HC3509" s="155"/>
      <c r="HD3509" s="155"/>
      <c r="HE3509" s="155"/>
    </row>
    <row r="3510" spans="2:213" s="156" customFormat="1" hidden="1">
      <c r="B3510" s="155"/>
      <c r="C3510" s="155"/>
      <c r="D3510" s="155"/>
      <c r="E3510" s="155"/>
      <c r="F3510" s="155"/>
      <c r="G3510" s="155"/>
      <c r="H3510" s="155"/>
      <c r="I3510" s="155"/>
      <c r="J3510" s="155"/>
      <c r="K3510" s="155"/>
      <c r="L3510" s="155"/>
      <c r="M3510" s="155"/>
      <c r="N3510" s="155"/>
      <c r="O3510" s="155"/>
      <c r="P3510" s="155"/>
      <c r="Q3510" s="155"/>
      <c r="R3510" s="155"/>
      <c r="S3510" s="155"/>
      <c r="T3510" s="155"/>
      <c r="U3510" s="155"/>
      <c r="V3510" s="155"/>
      <c r="W3510" s="155"/>
      <c r="GL3510" s="155"/>
      <c r="GM3510" s="155"/>
      <c r="GN3510" s="155"/>
      <c r="GO3510" s="155"/>
      <c r="GP3510" s="155"/>
      <c r="GQ3510" s="155"/>
      <c r="GR3510" s="155"/>
      <c r="GS3510" s="155"/>
      <c r="GT3510" s="155"/>
      <c r="GU3510" s="155"/>
      <c r="GV3510" s="155"/>
      <c r="GW3510" s="155"/>
      <c r="GX3510" s="155"/>
      <c r="GY3510" s="155"/>
      <c r="GZ3510" s="155"/>
      <c r="HA3510" s="155"/>
      <c r="HB3510" s="155"/>
      <c r="HC3510" s="155"/>
      <c r="HD3510" s="155"/>
      <c r="HE3510" s="155"/>
    </row>
    <row r="3511" spans="2:213" s="156" customFormat="1" hidden="1">
      <c r="B3511" s="155"/>
      <c r="C3511" s="155"/>
      <c r="D3511" s="155"/>
      <c r="E3511" s="155"/>
      <c r="F3511" s="155"/>
      <c r="G3511" s="155"/>
      <c r="H3511" s="155"/>
      <c r="I3511" s="155"/>
      <c r="J3511" s="155"/>
      <c r="K3511" s="155"/>
      <c r="L3511" s="155"/>
      <c r="M3511" s="155"/>
      <c r="N3511" s="155"/>
      <c r="O3511" s="155"/>
      <c r="P3511" s="155"/>
      <c r="Q3511" s="155"/>
      <c r="R3511" s="155"/>
      <c r="S3511" s="155"/>
      <c r="T3511" s="155"/>
      <c r="U3511" s="155"/>
      <c r="V3511" s="155"/>
      <c r="W3511" s="155"/>
      <c r="GL3511" s="155"/>
      <c r="GM3511" s="155"/>
      <c r="GN3511" s="155"/>
      <c r="GO3511" s="155"/>
      <c r="GP3511" s="155"/>
      <c r="GQ3511" s="155"/>
      <c r="GR3511" s="155"/>
      <c r="GS3511" s="155"/>
      <c r="GT3511" s="155"/>
      <c r="GU3511" s="155"/>
      <c r="GV3511" s="155"/>
      <c r="GW3511" s="155"/>
      <c r="GX3511" s="155"/>
      <c r="GY3511" s="155"/>
      <c r="GZ3511" s="155"/>
      <c r="HA3511" s="155"/>
      <c r="HB3511" s="155"/>
      <c r="HC3511" s="155"/>
      <c r="HD3511" s="155"/>
      <c r="HE3511" s="155"/>
    </row>
    <row r="3512" spans="2:213" s="156" customFormat="1" hidden="1">
      <c r="B3512" s="155"/>
      <c r="C3512" s="155"/>
      <c r="D3512" s="155"/>
      <c r="E3512" s="155"/>
      <c r="F3512" s="155"/>
      <c r="G3512" s="155"/>
      <c r="H3512" s="155"/>
      <c r="I3512" s="155"/>
      <c r="J3512" s="155"/>
      <c r="K3512" s="155"/>
      <c r="L3512" s="155"/>
      <c r="M3512" s="155"/>
      <c r="N3512" s="155"/>
      <c r="O3512" s="155"/>
      <c r="P3512" s="155"/>
      <c r="Q3512" s="155"/>
      <c r="R3512" s="155"/>
      <c r="S3512" s="155"/>
      <c r="T3512" s="155"/>
      <c r="U3512" s="155"/>
      <c r="V3512" s="155"/>
      <c r="W3512" s="155"/>
      <c r="GL3512" s="155"/>
      <c r="GM3512" s="155"/>
      <c r="GN3512" s="155"/>
      <c r="GO3512" s="155"/>
      <c r="GP3512" s="155"/>
      <c r="GQ3512" s="155"/>
      <c r="GR3512" s="155"/>
      <c r="GS3512" s="155"/>
      <c r="GT3512" s="155"/>
      <c r="GU3512" s="155"/>
      <c r="GV3512" s="155"/>
      <c r="GW3512" s="155"/>
      <c r="GX3512" s="155"/>
      <c r="GY3512" s="155"/>
      <c r="GZ3512" s="155"/>
      <c r="HA3512" s="155"/>
      <c r="HB3512" s="155"/>
      <c r="HC3512" s="155"/>
      <c r="HD3512" s="155"/>
      <c r="HE3512" s="155"/>
    </row>
    <row r="3513" spans="2:213" s="156" customFormat="1" hidden="1">
      <c r="B3513" s="155"/>
      <c r="C3513" s="155"/>
      <c r="D3513" s="155"/>
      <c r="E3513" s="155"/>
      <c r="F3513" s="155"/>
      <c r="G3513" s="155"/>
      <c r="H3513" s="155"/>
      <c r="I3513" s="155"/>
      <c r="J3513" s="155"/>
      <c r="K3513" s="155"/>
      <c r="L3513" s="155"/>
      <c r="M3513" s="155"/>
      <c r="N3513" s="155"/>
      <c r="O3513" s="155"/>
      <c r="P3513" s="155"/>
      <c r="Q3513" s="155"/>
      <c r="R3513" s="155"/>
      <c r="S3513" s="155"/>
      <c r="T3513" s="155"/>
      <c r="U3513" s="155"/>
      <c r="V3513" s="155"/>
      <c r="W3513" s="155"/>
      <c r="GL3513" s="155"/>
      <c r="GM3513" s="155"/>
      <c r="GN3513" s="155"/>
      <c r="GO3513" s="155"/>
      <c r="GP3513" s="155"/>
      <c r="GQ3513" s="155"/>
      <c r="GR3513" s="155"/>
      <c r="GS3513" s="155"/>
      <c r="GT3513" s="155"/>
      <c r="GU3513" s="155"/>
      <c r="GV3513" s="155"/>
      <c r="GW3513" s="155"/>
      <c r="GX3513" s="155"/>
      <c r="GY3513" s="155"/>
      <c r="GZ3513" s="155"/>
      <c r="HA3513" s="155"/>
      <c r="HB3513" s="155"/>
      <c r="HC3513" s="155"/>
      <c r="HD3513" s="155"/>
      <c r="HE3513" s="155"/>
    </row>
    <row r="3514" spans="2:213" s="156" customFormat="1" hidden="1">
      <c r="B3514" s="155"/>
      <c r="C3514" s="155"/>
      <c r="D3514" s="155"/>
      <c r="E3514" s="155"/>
      <c r="F3514" s="155"/>
      <c r="G3514" s="155"/>
      <c r="H3514" s="155"/>
      <c r="I3514" s="155"/>
      <c r="J3514" s="155"/>
      <c r="K3514" s="155"/>
      <c r="L3514" s="155"/>
      <c r="M3514" s="155"/>
      <c r="N3514" s="155"/>
      <c r="O3514" s="155"/>
      <c r="P3514" s="155"/>
      <c r="Q3514" s="155"/>
      <c r="R3514" s="155"/>
      <c r="S3514" s="155"/>
      <c r="T3514" s="155"/>
      <c r="U3514" s="155"/>
      <c r="V3514" s="155"/>
      <c r="W3514" s="155"/>
      <c r="GL3514" s="155"/>
      <c r="GM3514" s="155"/>
      <c r="GN3514" s="155"/>
      <c r="GO3514" s="155"/>
      <c r="GP3514" s="155"/>
      <c r="GQ3514" s="155"/>
      <c r="GR3514" s="155"/>
      <c r="GS3514" s="155"/>
      <c r="GT3514" s="155"/>
      <c r="GU3514" s="155"/>
      <c r="GV3514" s="155"/>
      <c r="GW3514" s="155"/>
      <c r="GX3514" s="155"/>
      <c r="GY3514" s="155"/>
      <c r="GZ3514" s="155"/>
      <c r="HA3514" s="155"/>
      <c r="HB3514" s="155"/>
      <c r="HC3514" s="155"/>
      <c r="HD3514" s="155"/>
      <c r="HE3514" s="155"/>
    </row>
    <row r="3515" spans="2:213" s="156" customFormat="1" hidden="1">
      <c r="B3515" s="155"/>
      <c r="C3515" s="155"/>
      <c r="D3515" s="155"/>
      <c r="E3515" s="155"/>
      <c r="F3515" s="155"/>
      <c r="G3515" s="155"/>
      <c r="H3515" s="155"/>
      <c r="I3515" s="155"/>
      <c r="J3515" s="155"/>
      <c r="K3515" s="155"/>
      <c r="L3515" s="155"/>
      <c r="M3515" s="155"/>
      <c r="N3515" s="155"/>
      <c r="O3515" s="155"/>
      <c r="P3515" s="155"/>
      <c r="Q3515" s="155"/>
      <c r="R3515" s="155"/>
      <c r="S3515" s="155"/>
      <c r="T3515" s="155"/>
      <c r="U3515" s="155"/>
      <c r="V3515" s="155"/>
      <c r="W3515" s="155"/>
      <c r="GL3515" s="155"/>
      <c r="GM3515" s="155"/>
      <c r="GN3515" s="155"/>
      <c r="GO3515" s="155"/>
      <c r="GP3515" s="155"/>
      <c r="GQ3515" s="155"/>
      <c r="GR3515" s="155"/>
      <c r="GS3515" s="155"/>
      <c r="GT3515" s="155"/>
      <c r="GU3515" s="155"/>
      <c r="GV3515" s="155"/>
      <c r="GW3515" s="155"/>
      <c r="GX3515" s="155"/>
      <c r="GY3515" s="155"/>
      <c r="GZ3515" s="155"/>
      <c r="HA3515" s="155"/>
      <c r="HB3515" s="155"/>
      <c r="HC3515" s="155"/>
      <c r="HD3515" s="155"/>
      <c r="HE3515" s="155"/>
    </row>
    <row r="3516" spans="2:213" s="156" customFormat="1" hidden="1">
      <c r="B3516" s="155"/>
      <c r="C3516" s="155"/>
      <c r="D3516" s="155"/>
      <c r="E3516" s="155"/>
      <c r="F3516" s="155"/>
      <c r="G3516" s="155"/>
      <c r="H3516" s="155"/>
      <c r="I3516" s="155"/>
      <c r="J3516" s="155"/>
      <c r="K3516" s="155"/>
      <c r="L3516" s="155"/>
      <c r="M3516" s="155"/>
      <c r="N3516" s="155"/>
      <c r="O3516" s="155"/>
      <c r="P3516" s="155"/>
      <c r="Q3516" s="155"/>
      <c r="R3516" s="155"/>
      <c r="S3516" s="155"/>
      <c r="T3516" s="155"/>
      <c r="U3516" s="155"/>
      <c r="V3516" s="155"/>
      <c r="W3516" s="155"/>
      <c r="GL3516" s="155"/>
      <c r="GM3516" s="155"/>
      <c r="GN3516" s="155"/>
      <c r="GO3516" s="155"/>
      <c r="GP3516" s="155"/>
      <c r="GQ3516" s="155"/>
      <c r="GR3516" s="155"/>
      <c r="GS3516" s="155"/>
      <c r="GT3516" s="155"/>
      <c r="GU3516" s="155"/>
      <c r="GV3516" s="155"/>
      <c r="GW3516" s="155"/>
      <c r="GX3516" s="155"/>
      <c r="GY3516" s="155"/>
      <c r="GZ3516" s="155"/>
      <c r="HA3516" s="155"/>
      <c r="HB3516" s="155"/>
      <c r="HC3516" s="155"/>
      <c r="HD3516" s="155"/>
      <c r="HE3516" s="155"/>
    </row>
    <row r="3517" spans="2:213" s="156" customFormat="1" hidden="1">
      <c r="B3517" s="155"/>
      <c r="C3517" s="155"/>
      <c r="D3517" s="155"/>
      <c r="E3517" s="155"/>
      <c r="F3517" s="155"/>
      <c r="G3517" s="155"/>
      <c r="H3517" s="155"/>
      <c r="I3517" s="155"/>
      <c r="J3517" s="155"/>
      <c r="K3517" s="155"/>
      <c r="L3517" s="155"/>
      <c r="M3517" s="155"/>
      <c r="N3517" s="155"/>
      <c r="O3517" s="155"/>
      <c r="P3517" s="155"/>
      <c r="Q3517" s="155"/>
      <c r="R3517" s="155"/>
      <c r="S3517" s="155"/>
      <c r="T3517" s="155"/>
      <c r="U3517" s="155"/>
      <c r="V3517" s="155"/>
      <c r="W3517" s="155"/>
      <c r="GL3517" s="155"/>
      <c r="GM3517" s="155"/>
      <c r="GN3517" s="155"/>
      <c r="GO3517" s="155"/>
      <c r="GP3517" s="155"/>
      <c r="GQ3517" s="155"/>
      <c r="GR3517" s="155"/>
      <c r="GS3517" s="155"/>
      <c r="GT3517" s="155"/>
      <c r="GU3517" s="155"/>
      <c r="GV3517" s="155"/>
      <c r="GW3517" s="155"/>
      <c r="GX3517" s="155"/>
      <c r="GY3517" s="155"/>
      <c r="GZ3517" s="155"/>
      <c r="HA3517" s="155"/>
      <c r="HB3517" s="155"/>
      <c r="HC3517" s="155"/>
      <c r="HD3517" s="155"/>
      <c r="HE3517" s="155"/>
    </row>
    <row r="3518" spans="2:213" s="156" customFormat="1" hidden="1">
      <c r="B3518" s="155"/>
      <c r="C3518" s="155"/>
      <c r="D3518" s="155"/>
      <c r="E3518" s="155"/>
      <c r="F3518" s="155"/>
      <c r="G3518" s="155"/>
      <c r="H3518" s="155"/>
      <c r="I3518" s="155"/>
      <c r="J3518" s="155"/>
      <c r="K3518" s="155"/>
      <c r="L3518" s="155"/>
      <c r="M3518" s="155"/>
      <c r="N3518" s="155"/>
      <c r="O3518" s="155"/>
      <c r="P3518" s="155"/>
      <c r="Q3518" s="155"/>
      <c r="R3518" s="155"/>
      <c r="S3518" s="155"/>
      <c r="T3518" s="155"/>
      <c r="U3518" s="155"/>
      <c r="V3518" s="155"/>
      <c r="W3518" s="155"/>
      <c r="GL3518" s="155"/>
      <c r="GM3518" s="155"/>
      <c r="GN3518" s="155"/>
      <c r="GO3518" s="155"/>
      <c r="GP3518" s="155"/>
      <c r="GQ3518" s="155"/>
      <c r="GR3518" s="155"/>
      <c r="GS3518" s="155"/>
      <c r="GT3518" s="155"/>
      <c r="GU3518" s="155"/>
      <c r="GV3518" s="155"/>
      <c r="GW3518" s="155"/>
      <c r="GX3518" s="155"/>
      <c r="GY3518" s="155"/>
      <c r="GZ3518" s="155"/>
      <c r="HA3518" s="155"/>
      <c r="HB3518" s="155"/>
      <c r="HC3518" s="155"/>
      <c r="HD3518" s="155"/>
      <c r="HE3518" s="155"/>
    </row>
    <row r="3519" spans="2:213" s="156" customFormat="1" hidden="1">
      <c r="B3519" s="155"/>
      <c r="C3519" s="155"/>
      <c r="D3519" s="155"/>
      <c r="E3519" s="155"/>
      <c r="F3519" s="155"/>
      <c r="G3519" s="155"/>
      <c r="H3519" s="155"/>
      <c r="I3519" s="155"/>
      <c r="J3519" s="155"/>
      <c r="K3519" s="155"/>
      <c r="L3519" s="155"/>
      <c r="M3519" s="155"/>
      <c r="N3519" s="155"/>
      <c r="O3519" s="155"/>
      <c r="P3519" s="155"/>
      <c r="Q3519" s="155"/>
      <c r="R3519" s="155"/>
      <c r="S3519" s="155"/>
      <c r="T3519" s="155"/>
      <c r="U3519" s="155"/>
      <c r="V3519" s="155"/>
      <c r="W3519" s="155"/>
      <c r="GL3519" s="155"/>
      <c r="GM3519" s="155"/>
      <c r="GN3519" s="155"/>
      <c r="GO3519" s="155"/>
      <c r="GP3519" s="155"/>
      <c r="GQ3519" s="155"/>
      <c r="GR3519" s="155"/>
      <c r="GS3519" s="155"/>
      <c r="GT3519" s="155"/>
      <c r="GU3519" s="155"/>
      <c r="GV3519" s="155"/>
      <c r="GW3519" s="155"/>
      <c r="GX3519" s="155"/>
      <c r="GY3519" s="155"/>
      <c r="GZ3519" s="155"/>
      <c r="HA3519" s="155"/>
      <c r="HB3519" s="155"/>
      <c r="HC3519" s="155"/>
      <c r="HD3519" s="155"/>
      <c r="HE3519" s="155"/>
    </row>
    <row r="3520" spans="2:213" s="156" customFormat="1" hidden="1">
      <c r="B3520" s="155"/>
      <c r="C3520" s="155"/>
      <c r="D3520" s="155"/>
      <c r="E3520" s="155"/>
      <c r="F3520" s="155"/>
      <c r="G3520" s="155"/>
      <c r="H3520" s="155"/>
      <c r="I3520" s="155"/>
      <c r="J3520" s="155"/>
      <c r="K3520" s="155"/>
      <c r="L3520" s="155"/>
      <c r="M3520" s="155"/>
      <c r="N3520" s="155"/>
      <c r="O3520" s="155"/>
      <c r="P3520" s="155"/>
      <c r="Q3520" s="155"/>
      <c r="R3520" s="155"/>
      <c r="S3520" s="155"/>
      <c r="T3520" s="155"/>
      <c r="U3520" s="155"/>
      <c r="V3520" s="155"/>
      <c r="W3520" s="155"/>
      <c r="GL3520" s="155"/>
      <c r="GM3520" s="155"/>
      <c r="GN3520" s="155"/>
      <c r="GO3520" s="155"/>
      <c r="GP3520" s="155"/>
      <c r="GQ3520" s="155"/>
      <c r="GR3520" s="155"/>
      <c r="GS3520" s="155"/>
      <c r="GT3520" s="155"/>
      <c r="GU3520" s="155"/>
      <c r="GV3520" s="155"/>
      <c r="GW3520" s="155"/>
      <c r="GX3520" s="155"/>
      <c r="GY3520" s="155"/>
      <c r="GZ3520" s="155"/>
      <c r="HA3520" s="155"/>
      <c r="HB3520" s="155"/>
      <c r="HC3520" s="155"/>
      <c r="HD3520" s="155"/>
      <c r="HE3520" s="155"/>
    </row>
    <row r="3521" spans="2:213" s="156" customFormat="1" hidden="1">
      <c r="B3521" s="155"/>
      <c r="C3521" s="155"/>
      <c r="D3521" s="155"/>
      <c r="E3521" s="155"/>
      <c r="F3521" s="155"/>
      <c r="G3521" s="155"/>
      <c r="H3521" s="155"/>
      <c r="I3521" s="155"/>
      <c r="J3521" s="155"/>
      <c r="K3521" s="155"/>
      <c r="L3521" s="155"/>
      <c r="M3521" s="155"/>
      <c r="N3521" s="155"/>
      <c r="O3521" s="155"/>
      <c r="P3521" s="155"/>
      <c r="Q3521" s="155"/>
      <c r="R3521" s="155"/>
      <c r="S3521" s="155"/>
      <c r="T3521" s="155"/>
      <c r="U3521" s="155"/>
      <c r="V3521" s="155"/>
      <c r="W3521" s="155"/>
      <c r="GL3521" s="155"/>
      <c r="GM3521" s="155"/>
      <c r="GN3521" s="155"/>
      <c r="GO3521" s="155"/>
      <c r="GP3521" s="155"/>
      <c r="GQ3521" s="155"/>
      <c r="GR3521" s="155"/>
      <c r="GS3521" s="155"/>
      <c r="GT3521" s="155"/>
      <c r="GU3521" s="155"/>
      <c r="GV3521" s="155"/>
      <c r="GW3521" s="155"/>
      <c r="GX3521" s="155"/>
      <c r="GY3521" s="155"/>
      <c r="GZ3521" s="155"/>
      <c r="HA3521" s="155"/>
      <c r="HB3521" s="155"/>
      <c r="HC3521" s="155"/>
      <c r="HD3521" s="155"/>
      <c r="HE3521" s="155"/>
    </row>
    <row r="3522" spans="2:213" s="156" customFormat="1" hidden="1">
      <c r="B3522" s="155"/>
      <c r="C3522" s="155"/>
      <c r="D3522" s="155"/>
      <c r="E3522" s="155"/>
      <c r="F3522" s="155"/>
      <c r="G3522" s="155"/>
      <c r="H3522" s="155"/>
      <c r="I3522" s="155"/>
      <c r="J3522" s="155"/>
      <c r="K3522" s="155"/>
      <c r="L3522" s="155"/>
      <c r="M3522" s="155"/>
      <c r="N3522" s="155"/>
      <c r="O3522" s="155"/>
      <c r="P3522" s="155"/>
      <c r="Q3522" s="155"/>
      <c r="R3522" s="155"/>
      <c r="S3522" s="155"/>
      <c r="T3522" s="155"/>
      <c r="U3522" s="155"/>
      <c r="V3522" s="155"/>
      <c r="W3522" s="155"/>
      <c r="GL3522" s="155"/>
      <c r="GM3522" s="155"/>
      <c r="GN3522" s="155"/>
      <c r="GO3522" s="155"/>
      <c r="GP3522" s="155"/>
      <c r="GQ3522" s="155"/>
      <c r="GR3522" s="155"/>
      <c r="GS3522" s="155"/>
      <c r="GT3522" s="155"/>
      <c r="GU3522" s="155"/>
      <c r="GV3522" s="155"/>
      <c r="GW3522" s="155"/>
      <c r="GX3522" s="155"/>
      <c r="GY3522" s="155"/>
      <c r="GZ3522" s="155"/>
      <c r="HA3522" s="155"/>
      <c r="HB3522" s="155"/>
      <c r="HC3522" s="155"/>
      <c r="HD3522" s="155"/>
      <c r="HE3522" s="155"/>
    </row>
    <row r="3523" spans="2:213" s="156" customFormat="1" hidden="1">
      <c r="B3523" s="155"/>
      <c r="C3523" s="155"/>
      <c r="D3523" s="155"/>
      <c r="E3523" s="155"/>
      <c r="F3523" s="155"/>
      <c r="G3523" s="155"/>
      <c r="H3523" s="155"/>
      <c r="I3523" s="155"/>
      <c r="J3523" s="155"/>
      <c r="K3523" s="155"/>
      <c r="L3523" s="155"/>
      <c r="M3523" s="155"/>
      <c r="N3523" s="155"/>
      <c r="O3523" s="155"/>
      <c r="P3523" s="155"/>
      <c r="Q3523" s="155"/>
      <c r="R3523" s="155"/>
      <c r="S3523" s="155"/>
      <c r="T3523" s="155"/>
      <c r="U3523" s="155"/>
      <c r="V3523" s="155"/>
      <c r="W3523" s="155"/>
      <c r="GL3523" s="155"/>
      <c r="GM3523" s="155"/>
      <c r="GN3523" s="155"/>
      <c r="GO3523" s="155"/>
      <c r="GP3523" s="155"/>
      <c r="GQ3523" s="155"/>
      <c r="GR3523" s="155"/>
      <c r="GS3523" s="155"/>
      <c r="GT3523" s="155"/>
      <c r="GU3523" s="155"/>
      <c r="GV3523" s="155"/>
      <c r="GW3523" s="155"/>
      <c r="GX3523" s="155"/>
      <c r="GY3523" s="155"/>
      <c r="GZ3523" s="155"/>
      <c r="HA3523" s="155"/>
      <c r="HB3523" s="155"/>
      <c r="HC3523" s="155"/>
      <c r="HD3523" s="155"/>
      <c r="HE3523" s="155"/>
    </row>
    <row r="3524" spans="2:213" s="156" customFormat="1" hidden="1">
      <c r="B3524" s="155"/>
      <c r="C3524" s="155"/>
      <c r="D3524" s="155"/>
      <c r="E3524" s="155"/>
      <c r="F3524" s="155"/>
      <c r="G3524" s="155"/>
      <c r="H3524" s="155"/>
      <c r="I3524" s="155"/>
      <c r="J3524" s="155"/>
      <c r="K3524" s="155"/>
      <c r="L3524" s="155"/>
      <c r="M3524" s="155"/>
      <c r="N3524" s="155"/>
      <c r="O3524" s="155"/>
      <c r="P3524" s="155"/>
      <c r="Q3524" s="155"/>
      <c r="R3524" s="155"/>
      <c r="S3524" s="155"/>
      <c r="T3524" s="155"/>
      <c r="U3524" s="155"/>
      <c r="V3524" s="155"/>
      <c r="W3524" s="155"/>
      <c r="GL3524" s="155"/>
      <c r="GM3524" s="155"/>
      <c r="GN3524" s="155"/>
      <c r="GO3524" s="155"/>
      <c r="GP3524" s="155"/>
      <c r="GQ3524" s="155"/>
      <c r="GR3524" s="155"/>
      <c r="GS3524" s="155"/>
      <c r="GT3524" s="155"/>
      <c r="GU3524" s="155"/>
      <c r="GV3524" s="155"/>
      <c r="GW3524" s="155"/>
      <c r="GX3524" s="155"/>
      <c r="GY3524" s="155"/>
      <c r="GZ3524" s="155"/>
      <c r="HA3524" s="155"/>
      <c r="HB3524" s="155"/>
      <c r="HC3524" s="155"/>
      <c r="HD3524" s="155"/>
      <c r="HE3524" s="155"/>
    </row>
    <row r="3525" spans="2:213" s="156" customFormat="1" hidden="1">
      <c r="B3525" s="155"/>
      <c r="C3525" s="155"/>
      <c r="D3525" s="155"/>
      <c r="E3525" s="155"/>
      <c r="F3525" s="155"/>
      <c r="G3525" s="155"/>
      <c r="H3525" s="155"/>
      <c r="I3525" s="155"/>
      <c r="J3525" s="155"/>
      <c r="K3525" s="155"/>
      <c r="L3525" s="155"/>
      <c r="M3525" s="155"/>
      <c r="N3525" s="155"/>
      <c r="O3525" s="155"/>
      <c r="P3525" s="155"/>
      <c r="Q3525" s="155"/>
      <c r="R3525" s="155"/>
      <c r="S3525" s="155"/>
      <c r="T3525" s="155"/>
      <c r="U3525" s="155"/>
      <c r="V3525" s="155"/>
      <c r="W3525" s="155"/>
      <c r="GL3525" s="155"/>
      <c r="GM3525" s="155"/>
      <c r="GN3525" s="155"/>
      <c r="GO3525" s="155"/>
      <c r="GP3525" s="155"/>
      <c r="GQ3525" s="155"/>
      <c r="GR3525" s="155"/>
      <c r="GS3525" s="155"/>
      <c r="GT3525" s="155"/>
      <c r="GU3525" s="155"/>
      <c r="GV3525" s="155"/>
      <c r="GW3525" s="155"/>
      <c r="GX3525" s="155"/>
      <c r="GY3525" s="155"/>
      <c r="GZ3525" s="155"/>
      <c r="HA3525" s="155"/>
      <c r="HB3525" s="155"/>
      <c r="HC3525" s="155"/>
      <c r="HD3525" s="155"/>
      <c r="HE3525" s="155"/>
    </row>
    <row r="3526" spans="2:213" s="156" customFormat="1" hidden="1">
      <c r="B3526" s="155"/>
      <c r="C3526" s="155"/>
      <c r="D3526" s="155"/>
      <c r="E3526" s="155"/>
      <c r="F3526" s="155"/>
      <c r="G3526" s="155"/>
      <c r="H3526" s="155"/>
      <c r="I3526" s="155"/>
      <c r="J3526" s="155"/>
      <c r="K3526" s="155"/>
      <c r="L3526" s="155"/>
      <c r="M3526" s="155"/>
      <c r="N3526" s="155"/>
      <c r="O3526" s="155"/>
      <c r="P3526" s="155"/>
      <c r="Q3526" s="155"/>
      <c r="R3526" s="155"/>
      <c r="S3526" s="155"/>
      <c r="T3526" s="155"/>
      <c r="U3526" s="155"/>
      <c r="V3526" s="155"/>
      <c r="W3526" s="155"/>
      <c r="GL3526" s="155"/>
      <c r="GM3526" s="155"/>
      <c r="GN3526" s="155"/>
      <c r="GO3526" s="155"/>
      <c r="GP3526" s="155"/>
      <c r="GQ3526" s="155"/>
      <c r="GR3526" s="155"/>
      <c r="GS3526" s="155"/>
      <c r="GT3526" s="155"/>
      <c r="GU3526" s="155"/>
      <c r="GV3526" s="155"/>
      <c r="GW3526" s="155"/>
      <c r="GX3526" s="155"/>
      <c r="GY3526" s="155"/>
      <c r="GZ3526" s="155"/>
      <c r="HA3526" s="155"/>
      <c r="HB3526" s="155"/>
      <c r="HC3526" s="155"/>
      <c r="HD3526" s="155"/>
      <c r="HE3526" s="155"/>
    </row>
    <row r="3527" spans="2:213" s="156" customFormat="1" hidden="1">
      <c r="B3527" s="155"/>
      <c r="C3527" s="155"/>
      <c r="D3527" s="155"/>
      <c r="E3527" s="155"/>
      <c r="F3527" s="155"/>
      <c r="G3527" s="155"/>
      <c r="H3527" s="155"/>
      <c r="I3527" s="155"/>
      <c r="J3527" s="155"/>
      <c r="K3527" s="155"/>
      <c r="L3527" s="155"/>
      <c r="M3527" s="155"/>
      <c r="N3527" s="155"/>
      <c r="O3527" s="155"/>
      <c r="P3527" s="155"/>
      <c r="Q3527" s="155"/>
      <c r="R3527" s="155"/>
      <c r="S3527" s="155"/>
      <c r="T3527" s="155"/>
      <c r="U3527" s="155"/>
      <c r="V3527" s="155"/>
      <c r="W3527" s="155"/>
      <c r="GL3527" s="155"/>
      <c r="GM3527" s="155"/>
      <c r="GN3527" s="155"/>
      <c r="GO3527" s="155"/>
      <c r="GP3527" s="155"/>
      <c r="GQ3527" s="155"/>
      <c r="GR3527" s="155"/>
      <c r="GS3527" s="155"/>
      <c r="GT3527" s="155"/>
      <c r="GU3527" s="155"/>
      <c r="GV3527" s="155"/>
      <c r="GW3527" s="155"/>
      <c r="GX3527" s="155"/>
      <c r="GY3527" s="155"/>
      <c r="GZ3527" s="155"/>
      <c r="HA3527" s="155"/>
      <c r="HB3527" s="155"/>
      <c r="HC3527" s="155"/>
      <c r="HD3527" s="155"/>
      <c r="HE3527" s="155"/>
    </row>
    <row r="3528" spans="2:213" s="156" customFormat="1" hidden="1">
      <c r="B3528" s="155"/>
      <c r="C3528" s="155"/>
      <c r="D3528" s="155"/>
      <c r="E3528" s="155"/>
      <c r="F3528" s="155"/>
      <c r="G3528" s="155"/>
      <c r="H3528" s="155"/>
      <c r="I3528" s="155"/>
      <c r="J3528" s="155"/>
      <c r="K3528" s="155"/>
      <c r="L3528" s="155"/>
      <c r="M3528" s="155"/>
      <c r="N3528" s="155"/>
      <c r="O3528" s="155"/>
      <c r="P3528" s="155"/>
      <c r="Q3528" s="155"/>
      <c r="R3528" s="155"/>
      <c r="S3528" s="155"/>
      <c r="T3528" s="155"/>
      <c r="U3528" s="155"/>
      <c r="V3528" s="155"/>
      <c r="W3528" s="155"/>
      <c r="GL3528" s="155"/>
      <c r="GM3528" s="155"/>
      <c r="GN3528" s="155"/>
      <c r="GO3528" s="155"/>
      <c r="GP3528" s="155"/>
      <c r="GQ3528" s="155"/>
      <c r="GR3528" s="155"/>
      <c r="GS3528" s="155"/>
      <c r="GT3528" s="155"/>
      <c r="GU3528" s="155"/>
      <c r="GV3528" s="155"/>
      <c r="GW3528" s="155"/>
      <c r="GX3528" s="155"/>
      <c r="GY3528" s="155"/>
      <c r="GZ3528" s="155"/>
      <c r="HA3528" s="155"/>
      <c r="HB3528" s="155"/>
      <c r="HC3528" s="155"/>
      <c r="HD3528" s="155"/>
      <c r="HE3528" s="155"/>
    </row>
    <row r="3529" spans="2:213" s="156" customFormat="1" hidden="1">
      <c r="B3529" s="155"/>
      <c r="C3529" s="155"/>
      <c r="D3529" s="155"/>
      <c r="E3529" s="155"/>
      <c r="F3529" s="155"/>
      <c r="G3529" s="155"/>
      <c r="H3529" s="155"/>
      <c r="I3529" s="155"/>
      <c r="J3529" s="155"/>
      <c r="K3529" s="155"/>
      <c r="L3529" s="155"/>
      <c r="M3529" s="155"/>
      <c r="N3529" s="155"/>
      <c r="O3529" s="155"/>
      <c r="P3529" s="155"/>
      <c r="Q3529" s="155"/>
      <c r="R3529" s="155"/>
      <c r="S3529" s="155"/>
      <c r="T3529" s="155"/>
      <c r="U3529" s="155"/>
      <c r="V3529" s="155"/>
      <c r="W3529" s="155"/>
      <c r="GL3529" s="155"/>
      <c r="GM3529" s="155"/>
      <c r="GN3529" s="155"/>
      <c r="GO3529" s="155"/>
      <c r="GP3529" s="155"/>
      <c r="GQ3529" s="155"/>
      <c r="GR3529" s="155"/>
      <c r="GS3529" s="155"/>
      <c r="GT3529" s="155"/>
      <c r="GU3529" s="155"/>
      <c r="GV3529" s="155"/>
      <c r="GW3529" s="155"/>
      <c r="GX3529" s="155"/>
      <c r="GY3529" s="155"/>
      <c r="GZ3529" s="155"/>
      <c r="HA3529" s="155"/>
      <c r="HB3529" s="155"/>
      <c r="HC3529" s="155"/>
      <c r="HD3529" s="155"/>
      <c r="HE3529" s="155"/>
    </row>
    <row r="3530" spans="2:213" s="156" customFormat="1" hidden="1">
      <c r="B3530" s="155"/>
      <c r="C3530" s="155"/>
      <c r="D3530" s="155"/>
      <c r="E3530" s="155"/>
      <c r="F3530" s="155"/>
      <c r="G3530" s="155"/>
      <c r="H3530" s="155"/>
      <c r="I3530" s="155"/>
      <c r="J3530" s="155"/>
      <c r="K3530" s="155"/>
      <c r="L3530" s="155"/>
      <c r="M3530" s="155"/>
      <c r="N3530" s="155"/>
      <c r="O3530" s="155"/>
      <c r="P3530" s="155"/>
      <c r="Q3530" s="155"/>
      <c r="R3530" s="155"/>
      <c r="S3530" s="155"/>
      <c r="T3530" s="155"/>
      <c r="U3530" s="155"/>
      <c r="V3530" s="155"/>
      <c r="W3530" s="155"/>
      <c r="GL3530" s="155"/>
      <c r="GM3530" s="155"/>
      <c r="GN3530" s="155"/>
      <c r="GO3530" s="155"/>
      <c r="GP3530" s="155"/>
      <c r="GQ3530" s="155"/>
      <c r="GR3530" s="155"/>
      <c r="GS3530" s="155"/>
      <c r="GT3530" s="155"/>
      <c r="GU3530" s="155"/>
      <c r="GV3530" s="155"/>
      <c r="GW3530" s="155"/>
      <c r="GX3530" s="155"/>
      <c r="GY3530" s="155"/>
      <c r="GZ3530" s="155"/>
      <c r="HA3530" s="155"/>
      <c r="HB3530" s="155"/>
      <c r="HC3530" s="155"/>
      <c r="HD3530" s="155"/>
      <c r="HE3530" s="155"/>
    </row>
    <row r="3531" spans="2:213" s="156" customFormat="1" hidden="1">
      <c r="B3531" s="155"/>
      <c r="C3531" s="155"/>
      <c r="D3531" s="155"/>
      <c r="E3531" s="155"/>
      <c r="F3531" s="155"/>
      <c r="G3531" s="155"/>
      <c r="H3531" s="155"/>
      <c r="I3531" s="155"/>
      <c r="J3531" s="155"/>
      <c r="K3531" s="155"/>
      <c r="L3531" s="155"/>
      <c r="M3531" s="155"/>
      <c r="N3531" s="155"/>
      <c r="O3531" s="155"/>
      <c r="P3531" s="155"/>
      <c r="Q3531" s="155"/>
      <c r="R3531" s="155"/>
      <c r="S3531" s="155"/>
      <c r="T3531" s="155"/>
      <c r="U3531" s="155"/>
      <c r="V3531" s="155"/>
      <c r="W3531" s="155"/>
      <c r="GL3531" s="155"/>
      <c r="GM3531" s="155"/>
      <c r="GN3531" s="155"/>
      <c r="GO3531" s="155"/>
      <c r="GP3531" s="155"/>
      <c r="GQ3531" s="155"/>
      <c r="GR3531" s="155"/>
      <c r="GS3531" s="155"/>
      <c r="GT3531" s="155"/>
      <c r="GU3531" s="155"/>
      <c r="GV3531" s="155"/>
      <c r="GW3531" s="155"/>
      <c r="GX3531" s="155"/>
      <c r="GY3531" s="155"/>
      <c r="GZ3531" s="155"/>
      <c r="HA3531" s="155"/>
      <c r="HB3531" s="155"/>
      <c r="HC3531" s="155"/>
      <c r="HD3531" s="155"/>
      <c r="HE3531" s="155"/>
    </row>
    <row r="3532" spans="2:213" s="156" customFormat="1" hidden="1">
      <c r="B3532" s="155"/>
      <c r="C3532" s="155"/>
      <c r="D3532" s="155"/>
      <c r="E3532" s="155"/>
      <c r="F3532" s="155"/>
      <c r="G3532" s="155"/>
      <c r="H3532" s="155"/>
      <c r="I3532" s="155"/>
      <c r="J3532" s="155"/>
      <c r="K3532" s="155"/>
      <c r="L3532" s="155"/>
      <c r="M3532" s="155"/>
      <c r="N3532" s="155"/>
      <c r="O3532" s="155"/>
      <c r="P3532" s="155"/>
      <c r="Q3532" s="155"/>
      <c r="R3532" s="155"/>
      <c r="S3532" s="155"/>
      <c r="T3532" s="155"/>
      <c r="U3532" s="155"/>
      <c r="V3532" s="155"/>
      <c r="W3532" s="155"/>
      <c r="GL3532" s="155"/>
      <c r="GM3532" s="155"/>
      <c r="GN3532" s="155"/>
      <c r="GO3532" s="155"/>
      <c r="GP3532" s="155"/>
      <c r="GQ3532" s="155"/>
      <c r="GR3532" s="155"/>
      <c r="GS3532" s="155"/>
      <c r="GT3532" s="155"/>
      <c r="GU3532" s="155"/>
      <c r="GV3532" s="155"/>
      <c r="GW3532" s="155"/>
      <c r="GX3532" s="155"/>
      <c r="GY3532" s="155"/>
      <c r="GZ3532" s="155"/>
      <c r="HA3532" s="155"/>
      <c r="HB3532" s="155"/>
      <c r="HC3532" s="155"/>
      <c r="HD3532" s="155"/>
      <c r="HE3532" s="155"/>
    </row>
    <row r="3533" spans="2:213" s="156" customFormat="1" hidden="1">
      <c r="B3533" s="155"/>
      <c r="C3533" s="155"/>
      <c r="D3533" s="155"/>
      <c r="E3533" s="155"/>
      <c r="F3533" s="155"/>
      <c r="G3533" s="155"/>
      <c r="H3533" s="155"/>
      <c r="I3533" s="155"/>
      <c r="J3533" s="155"/>
      <c r="K3533" s="155"/>
      <c r="L3533" s="155"/>
      <c r="M3533" s="155"/>
      <c r="N3533" s="155"/>
      <c r="O3533" s="155"/>
      <c r="P3533" s="155"/>
      <c r="Q3533" s="155"/>
      <c r="R3533" s="155"/>
      <c r="S3533" s="155"/>
      <c r="T3533" s="155"/>
      <c r="U3533" s="155"/>
      <c r="V3533" s="155"/>
      <c r="W3533" s="155"/>
      <c r="GL3533" s="155"/>
      <c r="GM3533" s="155"/>
      <c r="GN3533" s="155"/>
      <c r="GO3533" s="155"/>
      <c r="GP3533" s="155"/>
      <c r="GQ3533" s="155"/>
      <c r="GR3533" s="155"/>
      <c r="GS3533" s="155"/>
      <c r="GT3533" s="155"/>
      <c r="GU3533" s="155"/>
      <c r="GV3533" s="155"/>
      <c r="GW3533" s="155"/>
      <c r="GX3533" s="155"/>
      <c r="GY3533" s="155"/>
      <c r="GZ3533" s="155"/>
      <c r="HA3533" s="155"/>
      <c r="HB3533" s="155"/>
      <c r="HC3533" s="155"/>
      <c r="HD3533" s="155"/>
      <c r="HE3533" s="155"/>
    </row>
    <row r="3534" spans="2:213" s="156" customFormat="1" hidden="1">
      <c r="B3534" s="155"/>
      <c r="C3534" s="155"/>
      <c r="D3534" s="155"/>
      <c r="E3534" s="155"/>
      <c r="F3534" s="155"/>
      <c r="G3534" s="155"/>
      <c r="H3534" s="155"/>
      <c r="I3534" s="155"/>
      <c r="J3534" s="155"/>
      <c r="K3534" s="155"/>
      <c r="L3534" s="155"/>
      <c r="M3534" s="155"/>
      <c r="N3534" s="155"/>
      <c r="O3534" s="155"/>
      <c r="P3534" s="155"/>
      <c r="Q3534" s="155"/>
      <c r="R3534" s="155"/>
      <c r="S3534" s="155"/>
      <c r="T3534" s="155"/>
      <c r="U3534" s="155"/>
      <c r="V3534" s="155"/>
      <c r="W3534" s="155"/>
      <c r="GL3534" s="155"/>
      <c r="GM3534" s="155"/>
      <c r="GN3534" s="155"/>
      <c r="GO3534" s="155"/>
      <c r="GP3534" s="155"/>
      <c r="GQ3534" s="155"/>
      <c r="GR3534" s="155"/>
      <c r="GS3534" s="155"/>
      <c r="GT3534" s="155"/>
      <c r="GU3534" s="155"/>
      <c r="GV3534" s="155"/>
      <c r="GW3534" s="155"/>
      <c r="GX3534" s="155"/>
      <c r="GY3534" s="155"/>
      <c r="GZ3534" s="155"/>
      <c r="HA3534" s="155"/>
      <c r="HB3534" s="155"/>
      <c r="HC3534" s="155"/>
      <c r="HD3534" s="155"/>
      <c r="HE3534" s="155"/>
    </row>
    <row r="3535" spans="2:213" s="156" customFormat="1" hidden="1">
      <c r="B3535" s="155"/>
      <c r="C3535" s="155"/>
      <c r="D3535" s="155"/>
      <c r="E3535" s="155"/>
      <c r="F3535" s="155"/>
      <c r="G3535" s="155"/>
      <c r="H3535" s="155"/>
      <c r="I3535" s="155"/>
      <c r="J3535" s="155"/>
      <c r="K3535" s="155"/>
      <c r="L3535" s="155"/>
      <c r="M3535" s="155"/>
      <c r="N3535" s="155"/>
      <c r="O3535" s="155"/>
      <c r="P3535" s="155"/>
      <c r="Q3535" s="155"/>
      <c r="R3535" s="155"/>
      <c r="S3535" s="155"/>
      <c r="T3535" s="155"/>
      <c r="U3535" s="155"/>
      <c r="V3535" s="155"/>
      <c r="W3535" s="155"/>
      <c r="GL3535" s="155"/>
      <c r="GM3535" s="155"/>
      <c r="GN3535" s="155"/>
      <c r="GO3535" s="155"/>
      <c r="GP3535" s="155"/>
      <c r="GQ3535" s="155"/>
      <c r="GR3535" s="155"/>
      <c r="GS3535" s="155"/>
      <c r="GT3535" s="155"/>
      <c r="GU3535" s="155"/>
      <c r="GV3535" s="155"/>
      <c r="GW3535" s="155"/>
      <c r="GX3535" s="155"/>
      <c r="GY3535" s="155"/>
      <c r="GZ3535" s="155"/>
      <c r="HA3535" s="155"/>
      <c r="HB3535" s="155"/>
      <c r="HC3535" s="155"/>
      <c r="HD3535" s="155"/>
      <c r="HE3535" s="155"/>
    </row>
    <row r="3536" spans="2:213" s="156" customFormat="1" hidden="1">
      <c r="B3536" s="155"/>
      <c r="C3536" s="155"/>
      <c r="D3536" s="155"/>
      <c r="E3536" s="155"/>
      <c r="F3536" s="155"/>
      <c r="G3536" s="155"/>
      <c r="H3536" s="155"/>
      <c r="I3536" s="155"/>
      <c r="J3536" s="155"/>
      <c r="K3536" s="155"/>
      <c r="L3536" s="155"/>
      <c r="M3536" s="155"/>
      <c r="N3536" s="155"/>
      <c r="O3536" s="155"/>
      <c r="P3536" s="155"/>
      <c r="Q3536" s="155"/>
      <c r="R3536" s="155"/>
      <c r="S3536" s="155"/>
      <c r="T3536" s="155"/>
      <c r="U3536" s="155"/>
      <c r="V3536" s="155"/>
      <c r="W3536" s="155"/>
      <c r="GL3536" s="155"/>
      <c r="GM3536" s="155"/>
      <c r="GN3536" s="155"/>
      <c r="GO3536" s="155"/>
      <c r="GP3536" s="155"/>
      <c r="GQ3536" s="155"/>
      <c r="GR3536" s="155"/>
      <c r="GS3536" s="155"/>
      <c r="GT3536" s="155"/>
      <c r="GU3536" s="155"/>
      <c r="GV3536" s="155"/>
      <c r="GW3536" s="155"/>
      <c r="GX3536" s="155"/>
      <c r="GY3536" s="155"/>
      <c r="GZ3536" s="155"/>
      <c r="HA3536" s="155"/>
      <c r="HB3536" s="155"/>
      <c r="HC3536" s="155"/>
      <c r="HD3536" s="155"/>
      <c r="HE3536" s="155"/>
    </row>
    <row r="3537" spans="2:213" s="156" customFormat="1" hidden="1">
      <c r="B3537" s="155"/>
      <c r="C3537" s="155"/>
      <c r="D3537" s="155"/>
      <c r="E3537" s="155"/>
      <c r="F3537" s="155"/>
      <c r="G3537" s="155"/>
      <c r="H3537" s="155"/>
      <c r="I3537" s="155"/>
      <c r="J3537" s="155"/>
      <c r="K3537" s="155"/>
      <c r="L3537" s="155"/>
      <c r="M3537" s="155"/>
      <c r="N3537" s="155"/>
      <c r="O3537" s="155"/>
      <c r="P3537" s="155"/>
      <c r="Q3537" s="155"/>
      <c r="R3537" s="155"/>
      <c r="S3537" s="155"/>
      <c r="T3537" s="155"/>
      <c r="U3537" s="155"/>
      <c r="V3537" s="155"/>
      <c r="W3537" s="155"/>
      <c r="GL3537" s="155"/>
      <c r="GM3537" s="155"/>
      <c r="GN3537" s="155"/>
      <c r="GO3537" s="155"/>
      <c r="GP3537" s="155"/>
      <c r="GQ3537" s="155"/>
      <c r="GR3537" s="155"/>
      <c r="GS3537" s="155"/>
      <c r="GT3537" s="155"/>
      <c r="GU3537" s="155"/>
      <c r="GV3537" s="155"/>
      <c r="GW3537" s="155"/>
      <c r="GX3537" s="155"/>
      <c r="GY3537" s="155"/>
      <c r="GZ3537" s="155"/>
      <c r="HA3537" s="155"/>
      <c r="HB3537" s="155"/>
      <c r="HC3537" s="155"/>
      <c r="HD3537" s="155"/>
      <c r="HE3537" s="155"/>
    </row>
    <row r="3538" spans="2:213" s="156" customFormat="1" hidden="1">
      <c r="B3538" s="155"/>
      <c r="C3538" s="155"/>
      <c r="D3538" s="155"/>
      <c r="E3538" s="155"/>
      <c r="F3538" s="155"/>
      <c r="G3538" s="155"/>
      <c r="H3538" s="155"/>
      <c r="I3538" s="155"/>
      <c r="J3538" s="155"/>
      <c r="K3538" s="155"/>
      <c r="L3538" s="155"/>
      <c r="M3538" s="155"/>
      <c r="N3538" s="155"/>
      <c r="O3538" s="155"/>
      <c r="P3538" s="155"/>
      <c r="Q3538" s="155"/>
      <c r="R3538" s="155"/>
      <c r="S3538" s="155"/>
      <c r="T3538" s="155"/>
      <c r="U3538" s="155"/>
      <c r="V3538" s="155"/>
      <c r="W3538" s="155"/>
      <c r="GL3538" s="155"/>
      <c r="GM3538" s="155"/>
      <c r="GN3538" s="155"/>
      <c r="GO3538" s="155"/>
      <c r="GP3538" s="155"/>
      <c r="GQ3538" s="155"/>
      <c r="GR3538" s="155"/>
      <c r="GS3538" s="155"/>
      <c r="GT3538" s="155"/>
      <c r="GU3538" s="155"/>
      <c r="GV3538" s="155"/>
      <c r="GW3538" s="155"/>
      <c r="GX3538" s="155"/>
      <c r="GY3538" s="155"/>
      <c r="GZ3538" s="155"/>
      <c r="HA3538" s="155"/>
      <c r="HB3538" s="155"/>
      <c r="HC3538" s="155"/>
      <c r="HD3538" s="155"/>
      <c r="HE3538" s="155"/>
    </row>
    <row r="3539" spans="2:213" s="156" customFormat="1" hidden="1">
      <c r="B3539" s="155"/>
      <c r="C3539" s="155"/>
      <c r="D3539" s="155"/>
      <c r="E3539" s="155"/>
      <c r="F3539" s="155"/>
      <c r="G3539" s="155"/>
      <c r="H3539" s="155"/>
      <c r="I3539" s="155"/>
      <c r="J3539" s="155"/>
      <c r="K3539" s="155"/>
      <c r="L3539" s="155"/>
      <c r="M3539" s="155"/>
      <c r="N3539" s="155"/>
      <c r="O3539" s="155"/>
      <c r="P3539" s="155"/>
      <c r="Q3539" s="155"/>
      <c r="R3539" s="155"/>
      <c r="S3539" s="155"/>
      <c r="T3539" s="155"/>
      <c r="U3539" s="155"/>
      <c r="V3539" s="155"/>
      <c r="W3539" s="155"/>
      <c r="GL3539" s="155"/>
      <c r="GM3539" s="155"/>
      <c r="GN3539" s="155"/>
      <c r="GO3539" s="155"/>
      <c r="GP3539" s="155"/>
      <c r="GQ3539" s="155"/>
      <c r="GR3539" s="155"/>
      <c r="GS3539" s="155"/>
      <c r="GT3539" s="155"/>
      <c r="GU3539" s="155"/>
      <c r="GV3539" s="155"/>
      <c r="GW3539" s="155"/>
      <c r="GX3539" s="155"/>
      <c r="GY3539" s="155"/>
      <c r="GZ3539" s="155"/>
      <c r="HA3539" s="155"/>
      <c r="HB3539" s="155"/>
      <c r="HC3539" s="155"/>
      <c r="HD3539" s="155"/>
      <c r="HE3539" s="155"/>
    </row>
    <row r="3540" spans="2:213" s="156" customFormat="1" hidden="1">
      <c r="B3540" s="155"/>
      <c r="C3540" s="155"/>
      <c r="D3540" s="155"/>
      <c r="E3540" s="155"/>
      <c r="F3540" s="155"/>
      <c r="G3540" s="155"/>
      <c r="H3540" s="155"/>
      <c r="I3540" s="155"/>
      <c r="J3540" s="155"/>
      <c r="K3540" s="155"/>
      <c r="L3540" s="155"/>
      <c r="M3540" s="155"/>
      <c r="N3540" s="155"/>
      <c r="O3540" s="155"/>
      <c r="P3540" s="155"/>
      <c r="Q3540" s="155"/>
      <c r="R3540" s="155"/>
      <c r="S3540" s="155"/>
      <c r="T3540" s="155"/>
      <c r="U3540" s="155"/>
      <c r="V3540" s="155"/>
      <c r="W3540" s="155"/>
      <c r="GL3540" s="155"/>
      <c r="GM3540" s="155"/>
      <c r="GN3540" s="155"/>
      <c r="GO3540" s="155"/>
      <c r="GP3540" s="155"/>
      <c r="GQ3540" s="155"/>
      <c r="GR3540" s="155"/>
      <c r="GS3540" s="155"/>
      <c r="GT3540" s="155"/>
      <c r="GU3540" s="155"/>
      <c r="GV3540" s="155"/>
      <c r="GW3540" s="155"/>
      <c r="GX3540" s="155"/>
      <c r="GY3540" s="155"/>
      <c r="GZ3540" s="155"/>
      <c r="HA3540" s="155"/>
      <c r="HB3540" s="155"/>
      <c r="HC3540" s="155"/>
      <c r="HD3540" s="155"/>
      <c r="HE3540" s="155"/>
    </row>
    <row r="3541" spans="2:213" s="156" customFormat="1" hidden="1">
      <c r="B3541" s="155"/>
      <c r="C3541" s="155"/>
      <c r="D3541" s="155"/>
      <c r="E3541" s="155"/>
      <c r="F3541" s="155"/>
      <c r="G3541" s="155"/>
      <c r="H3541" s="155"/>
      <c r="I3541" s="155"/>
      <c r="J3541" s="155"/>
      <c r="K3541" s="155"/>
      <c r="L3541" s="155"/>
      <c r="M3541" s="155"/>
      <c r="N3541" s="155"/>
      <c r="O3541" s="155"/>
      <c r="P3541" s="155"/>
      <c r="Q3541" s="155"/>
      <c r="R3541" s="155"/>
      <c r="S3541" s="155"/>
      <c r="T3541" s="155"/>
      <c r="U3541" s="155"/>
      <c r="V3541" s="155"/>
      <c r="W3541" s="155"/>
      <c r="GL3541" s="155"/>
      <c r="GM3541" s="155"/>
      <c r="GN3541" s="155"/>
      <c r="GO3541" s="155"/>
      <c r="GP3541" s="155"/>
      <c r="GQ3541" s="155"/>
      <c r="GR3541" s="155"/>
      <c r="GS3541" s="155"/>
      <c r="GT3541" s="155"/>
      <c r="GU3541" s="155"/>
      <c r="GV3541" s="155"/>
      <c r="GW3541" s="155"/>
      <c r="GX3541" s="155"/>
      <c r="GY3541" s="155"/>
      <c r="GZ3541" s="155"/>
      <c r="HA3541" s="155"/>
      <c r="HB3541" s="155"/>
      <c r="HC3541" s="155"/>
      <c r="HD3541" s="155"/>
      <c r="HE3541" s="155"/>
    </row>
    <row r="3542" spans="2:213" s="156" customFormat="1" hidden="1">
      <c r="B3542" s="155"/>
      <c r="C3542" s="155"/>
      <c r="D3542" s="155"/>
      <c r="E3542" s="155"/>
      <c r="F3542" s="155"/>
      <c r="G3542" s="155"/>
      <c r="H3542" s="155"/>
      <c r="I3542" s="155"/>
      <c r="J3542" s="155"/>
      <c r="K3542" s="155"/>
      <c r="L3542" s="155"/>
      <c r="M3542" s="155"/>
      <c r="N3542" s="155"/>
      <c r="O3542" s="155"/>
      <c r="P3542" s="155"/>
      <c r="Q3542" s="155"/>
      <c r="R3542" s="155"/>
      <c r="S3542" s="155"/>
      <c r="T3542" s="155"/>
      <c r="U3542" s="155"/>
      <c r="V3542" s="155"/>
      <c r="W3542" s="155"/>
      <c r="GL3542" s="155"/>
      <c r="GM3542" s="155"/>
      <c r="GN3542" s="155"/>
      <c r="GO3542" s="155"/>
      <c r="GP3542" s="155"/>
      <c r="GQ3542" s="155"/>
      <c r="GR3542" s="155"/>
      <c r="GS3542" s="155"/>
      <c r="GT3542" s="155"/>
      <c r="GU3542" s="155"/>
      <c r="GV3542" s="155"/>
      <c r="GW3542" s="155"/>
      <c r="GX3542" s="155"/>
      <c r="GY3542" s="155"/>
      <c r="GZ3542" s="155"/>
      <c r="HA3542" s="155"/>
      <c r="HB3542" s="155"/>
      <c r="HC3542" s="155"/>
      <c r="HD3542" s="155"/>
      <c r="HE3542" s="155"/>
    </row>
    <row r="3543" spans="2:213" s="156" customFormat="1" hidden="1">
      <c r="B3543" s="155"/>
      <c r="C3543" s="155"/>
      <c r="D3543" s="155"/>
      <c r="E3543" s="155"/>
      <c r="F3543" s="155"/>
      <c r="G3543" s="155"/>
      <c r="H3543" s="155"/>
      <c r="I3543" s="155"/>
      <c r="J3543" s="155"/>
      <c r="K3543" s="155"/>
      <c r="L3543" s="155"/>
      <c r="M3543" s="155"/>
      <c r="N3543" s="155"/>
      <c r="O3543" s="155"/>
      <c r="P3543" s="155"/>
      <c r="Q3543" s="155"/>
      <c r="R3543" s="155"/>
      <c r="S3543" s="155"/>
      <c r="T3543" s="155"/>
      <c r="U3543" s="155"/>
      <c r="V3543" s="155"/>
      <c r="W3543" s="155"/>
      <c r="GL3543" s="155"/>
      <c r="GM3543" s="155"/>
      <c r="GN3543" s="155"/>
      <c r="GO3543" s="155"/>
      <c r="GP3543" s="155"/>
      <c r="GQ3543" s="155"/>
      <c r="GR3543" s="155"/>
      <c r="GS3543" s="155"/>
      <c r="GT3543" s="155"/>
      <c r="GU3543" s="155"/>
      <c r="GV3543" s="155"/>
      <c r="GW3543" s="155"/>
      <c r="GX3543" s="155"/>
      <c r="GY3543" s="155"/>
      <c r="GZ3543" s="155"/>
      <c r="HA3543" s="155"/>
      <c r="HB3543" s="155"/>
      <c r="HC3543" s="155"/>
      <c r="HD3543" s="155"/>
      <c r="HE3543" s="155"/>
    </row>
    <row r="3544" spans="2:213" s="156" customFormat="1" hidden="1">
      <c r="B3544" s="155"/>
      <c r="C3544" s="155"/>
      <c r="D3544" s="155"/>
      <c r="E3544" s="155"/>
      <c r="F3544" s="155"/>
      <c r="G3544" s="155"/>
      <c r="H3544" s="155"/>
      <c r="I3544" s="155"/>
      <c r="J3544" s="155"/>
      <c r="K3544" s="155"/>
      <c r="L3544" s="155"/>
      <c r="M3544" s="155"/>
      <c r="N3544" s="155"/>
      <c r="O3544" s="155"/>
      <c r="P3544" s="155"/>
      <c r="Q3544" s="155"/>
      <c r="R3544" s="155"/>
      <c r="S3544" s="155"/>
      <c r="T3544" s="155"/>
      <c r="U3544" s="155"/>
      <c r="V3544" s="155"/>
      <c r="W3544" s="155"/>
      <c r="GL3544" s="155"/>
      <c r="GM3544" s="155"/>
      <c r="GN3544" s="155"/>
      <c r="GO3544" s="155"/>
      <c r="GP3544" s="155"/>
      <c r="GQ3544" s="155"/>
      <c r="GR3544" s="155"/>
      <c r="GS3544" s="155"/>
      <c r="GT3544" s="155"/>
      <c r="GU3544" s="155"/>
      <c r="GV3544" s="155"/>
      <c r="GW3544" s="155"/>
      <c r="GX3544" s="155"/>
      <c r="GY3544" s="155"/>
      <c r="GZ3544" s="155"/>
      <c r="HA3544" s="155"/>
      <c r="HB3544" s="155"/>
      <c r="HC3544" s="155"/>
      <c r="HD3544" s="155"/>
      <c r="HE3544" s="155"/>
    </row>
    <row r="3545" spans="2:213" s="156" customFormat="1" hidden="1">
      <c r="B3545" s="155"/>
      <c r="C3545" s="155"/>
      <c r="D3545" s="155"/>
      <c r="E3545" s="155"/>
      <c r="F3545" s="155"/>
      <c r="G3545" s="155"/>
      <c r="H3545" s="155"/>
      <c r="I3545" s="155"/>
      <c r="J3545" s="155"/>
      <c r="K3545" s="155"/>
      <c r="L3545" s="155"/>
      <c r="M3545" s="155"/>
      <c r="N3545" s="155"/>
      <c r="O3545" s="155"/>
      <c r="P3545" s="155"/>
      <c r="Q3545" s="155"/>
      <c r="R3545" s="155"/>
      <c r="S3545" s="155"/>
      <c r="T3545" s="155"/>
      <c r="U3545" s="155"/>
      <c r="V3545" s="155"/>
      <c r="W3545" s="155"/>
      <c r="GL3545" s="155"/>
      <c r="GM3545" s="155"/>
      <c r="GN3545" s="155"/>
      <c r="GO3545" s="155"/>
      <c r="GP3545" s="155"/>
      <c r="GQ3545" s="155"/>
      <c r="GR3545" s="155"/>
      <c r="GS3545" s="155"/>
      <c r="GT3545" s="155"/>
      <c r="GU3545" s="155"/>
      <c r="GV3545" s="155"/>
      <c r="GW3545" s="155"/>
      <c r="GX3545" s="155"/>
      <c r="GY3545" s="155"/>
      <c r="GZ3545" s="155"/>
      <c r="HA3545" s="155"/>
      <c r="HB3545" s="155"/>
      <c r="HC3545" s="155"/>
      <c r="HD3545" s="155"/>
      <c r="HE3545" s="155"/>
    </row>
    <row r="3546" spans="2:213" s="156" customFormat="1" hidden="1">
      <c r="B3546" s="155"/>
      <c r="C3546" s="155"/>
      <c r="D3546" s="155"/>
      <c r="E3546" s="155"/>
      <c r="F3546" s="155"/>
      <c r="G3546" s="155"/>
      <c r="H3546" s="155"/>
      <c r="I3546" s="155"/>
      <c r="J3546" s="155"/>
      <c r="K3546" s="155"/>
      <c r="L3546" s="155"/>
      <c r="M3546" s="155"/>
      <c r="N3546" s="155"/>
      <c r="O3546" s="155"/>
      <c r="P3546" s="155"/>
      <c r="Q3546" s="155"/>
      <c r="R3546" s="155"/>
      <c r="S3546" s="155"/>
      <c r="T3546" s="155"/>
      <c r="U3546" s="155"/>
      <c r="V3546" s="155"/>
      <c r="W3546" s="155"/>
      <c r="GL3546" s="155"/>
      <c r="GM3546" s="155"/>
      <c r="GN3546" s="155"/>
      <c r="GO3546" s="155"/>
      <c r="GP3546" s="155"/>
      <c r="GQ3546" s="155"/>
      <c r="GR3546" s="155"/>
      <c r="GS3546" s="155"/>
      <c r="GT3546" s="155"/>
      <c r="GU3546" s="155"/>
      <c r="GV3546" s="155"/>
      <c r="GW3546" s="155"/>
      <c r="GX3546" s="155"/>
      <c r="GY3546" s="155"/>
      <c r="GZ3546" s="155"/>
      <c r="HA3546" s="155"/>
      <c r="HB3546" s="155"/>
      <c r="HC3546" s="155"/>
      <c r="HD3546" s="155"/>
      <c r="HE3546" s="155"/>
    </row>
    <row r="3547" spans="2:213" s="156" customFormat="1" hidden="1">
      <c r="B3547" s="155"/>
      <c r="C3547" s="155"/>
      <c r="D3547" s="155"/>
      <c r="E3547" s="155"/>
      <c r="F3547" s="155"/>
      <c r="G3547" s="155"/>
      <c r="H3547" s="155"/>
      <c r="I3547" s="155"/>
      <c r="J3547" s="155"/>
      <c r="K3547" s="155"/>
      <c r="L3547" s="155"/>
      <c r="M3547" s="155"/>
      <c r="N3547" s="155"/>
      <c r="O3547" s="155"/>
      <c r="P3547" s="155"/>
      <c r="Q3547" s="155"/>
      <c r="R3547" s="155"/>
      <c r="S3547" s="155"/>
      <c r="T3547" s="155"/>
      <c r="U3547" s="155"/>
      <c r="V3547" s="155"/>
      <c r="W3547" s="155"/>
      <c r="GL3547" s="155"/>
      <c r="GM3547" s="155"/>
      <c r="GN3547" s="155"/>
      <c r="GO3547" s="155"/>
      <c r="GP3547" s="155"/>
      <c r="GQ3547" s="155"/>
      <c r="GR3547" s="155"/>
      <c r="GS3547" s="155"/>
      <c r="GT3547" s="155"/>
      <c r="GU3547" s="155"/>
      <c r="GV3547" s="155"/>
      <c r="GW3547" s="155"/>
      <c r="GX3547" s="155"/>
      <c r="GY3547" s="155"/>
      <c r="GZ3547" s="155"/>
      <c r="HA3547" s="155"/>
      <c r="HB3547" s="155"/>
      <c r="HC3547" s="155"/>
      <c r="HD3547" s="155"/>
      <c r="HE3547" s="155"/>
    </row>
    <row r="3548" spans="2:213" s="156" customFormat="1" hidden="1">
      <c r="B3548" s="155"/>
      <c r="C3548" s="155"/>
      <c r="D3548" s="155"/>
      <c r="E3548" s="155"/>
      <c r="F3548" s="155"/>
      <c r="G3548" s="155"/>
      <c r="H3548" s="155"/>
      <c r="I3548" s="155"/>
      <c r="J3548" s="155"/>
      <c r="K3548" s="155"/>
      <c r="L3548" s="155"/>
      <c r="M3548" s="155"/>
      <c r="N3548" s="155"/>
      <c r="O3548" s="155"/>
      <c r="P3548" s="155"/>
      <c r="Q3548" s="155"/>
      <c r="R3548" s="155"/>
      <c r="S3548" s="155"/>
      <c r="T3548" s="155"/>
      <c r="U3548" s="155"/>
      <c r="V3548" s="155"/>
      <c r="W3548" s="155"/>
      <c r="GL3548" s="155"/>
      <c r="GM3548" s="155"/>
      <c r="GN3548" s="155"/>
      <c r="GO3548" s="155"/>
      <c r="GP3548" s="155"/>
      <c r="GQ3548" s="155"/>
      <c r="GR3548" s="155"/>
      <c r="GS3548" s="155"/>
      <c r="GT3548" s="155"/>
      <c r="GU3548" s="155"/>
      <c r="GV3548" s="155"/>
      <c r="GW3548" s="155"/>
      <c r="GX3548" s="155"/>
      <c r="GY3548" s="155"/>
      <c r="GZ3548" s="155"/>
      <c r="HA3548" s="155"/>
      <c r="HB3548" s="155"/>
      <c r="HC3548" s="155"/>
      <c r="HD3548" s="155"/>
      <c r="HE3548" s="155"/>
    </row>
    <row r="3549" spans="2:213" s="156" customFormat="1" hidden="1">
      <c r="B3549" s="155"/>
      <c r="C3549" s="155"/>
      <c r="D3549" s="155"/>
      <c r="E3549" s="155"/>
      <c r="F3549" s="155"/>
      <c r="G3549" s="155"/>
      <c r="H3549" s="155"/>
      <c r="I3549" s="155"/>
      <c r="J3549" s="155"/>
      <c r="K3549" s="155"/>
      <c r="L3549" s="155"/>
      <c r="M3549" s="155"/>
      <c r="N3549" s="155"/>
      <c r="O3549" s="155"/>
      <c r="P3549" s="155"/>
      <c r="Q3549" s="155"/>
      <c r="R3549" s="155"/>
      <c r="S3549" s="155"/>
      <c r="T3549" s="155"/>
      <c r="U3549" s="155"/>
      <c r="V3549" s="155"/>
      <c r="W3549" s="155"/>
      <c r="GL3549" s="155"/>
      <c r="GM3549" s="155"/>
      <c r="GN3549" s="155"/>
      <c r="GO3549" s="155"/>
      <c r="GP3549" s="155"/>
      <c r="GQ3549" s="155"/>
      <c r="GR3549" s="155"/>
      <c r="GS3549" s="155"/>
      <c r="GT3549" s="155"/>
      <c r="GU3549" s="155"/>
      <c r="GV3549" s="155"/>
      <c r="GW3549" s="155"/>
      <c r="GX3549" s="155"/>
      <c r="GY3549" s="155"/>
      <c r="GZ3549" s="155"/>
      <c r="HA3549" s="155"/>
      <c r="HB3549" s="155"/>
      <c r="HC3549" s="155"/>
      <c r="HD3549" s="155"/>
      <c r="HE3549" s="155"/>
    </row>
    <row r="3550" spans="2:213" s="156" customFormat="1" hidden="1">
      <c r="B3550" s="155"/>
      <c r="C3550" s="155"/>
      <c r="D3550" s="155"/>
      <c r="E3550" s="155"/>
      <c r="F3550" s="155"/>
      <c r="G3550" s="155"/>
      <c r="H3550" s="155"/>
      <c r="I3550" s="155"/>
      <c r="J3550" s="155"/>
      <c r="K3550" s="155"/>
      <c r="L3550" s="155"/>
      <c r="M3550" s="155"/>
      <c r="N3550" s="155"/>
      <c r="O3550" s="155"/>
      <c r="P3550" s="155"/>
      <c r="Q3550" s="155"/>
      <c r="R3550" s="155"/>
      <c r="S3550" s="155"/>
      <c r="T3550" s="155"/>
      <c r="U3550" s="155"/>
      <c r="V3550" s="155"/>
      <c r="W3550" s="155"/>
      <c r="GL3550" s="155"/>
      <c r="GM3550" s="155"/>
      <c r="GN3550" s="155"/>
      <c r="GO3550" s="155"/>
      <c r="GP3550" s="155"/>
      <c r="GQ3550" s="155"/>
      <c r="GR3550" s="155"/>
      <c r="GS3550" s="155"/>
      <c r="GT3550" s="155"/>
      <c r="GU3550" s="155"/>
      <c r="GV3550" s="155"/>
      <c r="GW3550" s="155"/>
      <c r="GX3550" s="155"/>
      <c r="GY3550" s="155"/>
      <c r="GZ3550" s="155"/>
      <c r="HA3550" s="155"/>
      <c r="HB3550" s="155"/>
      <c r="HC3550" s="155"/>
      <c r="HD3550" s="155"/>
      <c r="HE3550" s="155"/>
    </row>
    <row r="3551" spans="2:213" s="156" customFormat="1" hidden="1">
      <c r="B3551" s="155"/>
      <c r="C3551" s="155"/>
      <c r="D3551" s="155"/>
      <c r="E3551" s="155"/>
      <c r="F3551" s="155"/>
      <c r="G3551" s="155"/>
      <c r="H3551" s="155"/>
      <c r="I3551" s="155"/>
      <c r="J3551" s="155"/>
      <c r="K3551" s="155"/>
      <c r="L3551" s="155"/>
      <c r="M3551" s="155"/>
      <c r="N3551" s="155"/>
      <c r="O3551" s="155"/>
      <c r="P3551" s="155"/>
      <c r="Q3551" s="155"/>
      <c r="R3551" s="155"/>
      <c r="S3551" s="155"/>
      <c r="T3551" s="155"/>
      <c r="U3551" s="155"/>
      <c r="V3551" s="155"/>
      <c r="W3551" s="155"/>
      <c r="GL3551" s="155"/>
      <c r="GM3551" s="155"/>
      <c r="GN3551" s="155"/>
      <c r="GO3551" s="155"/>
      <c r="GP3551" s="155"/>
      <c r="GQ3551" s="155"/>
      <c r="GR3551" s="155"/>
      <c r="GS3551" s="155"/>
      <c r="GT3551" s="155"/>
      <c r="GU3551" s="155"/>
      <c r="GV3551" s="155"/>
      <c r="GW3551" s="155"/>
      <c r="GX3551" s="155"/>
      <c r="GY3551" s="155"/>
      <c r="GZ3551" s="155"/>
      <c r="HA3551" s="155"/>
      <c r="HB3551" s="155"/>
      <c r="HC3551" s="155"/>
      <c r="HD3551" s="155"/>
      <c r="HE3551" s="155"/>
    </row>
    <row r="3552" spans="2:213" s="156" customFormat="1" hidden="1">
      <c r="B3552" s="155"/>
      <c r="C3552" s="155"/>
      <c r="D3552" s="155"/>
      <c r="E3552" s="155"/>
      <c r="F3552" s="155"/>
      <c r="G3552" s="155"/>
      <c r="H3552" s="155"/>
      <c r="I3552" s="155"/>
      <c r="J3552" s="155"/>
      <c r="K3552" s="155"/>
      <c r="L3552" s="155"/>
      <c r="M3552" s="155"/>
      <c r="N3552" s="155"/>
      <c r="O3552" s="155"/>
      <c r="P3552" s="155"/>
      <c r="Q3552" s="155"/>
      <c r="R3552" s="155"/>
      <c r="S3552" s="155"/>
      <c r="T3552" s="155"/>
      <c r="U3552" s="155"/>
      <c r="V3552" s="155"/>
      <c r="W3552" s="155"/>
      <c r="GL3552" s="155"/>
      <c r="GM3552" s="155"/>
      <c r="GN3552" s="155"/>
      <c r="GO3552" s="155"/>
      <c r="GP3552" s="155"/>
      <c r="GQ3552" s="155"/>
      <c r="GR3552" s="155"/>
      <c r="GS3552" s="155"/>
      <c r="GT3552" s="155"/>
      <c r="GU3552" s="155"/>
      <c r="GV3552" s="155"/>
      <c r="GW3552" s="155"/>
      <c r="GX3552" s="155"/>
      <c r="GY3552" s="155"/>
      <c r="GZ3552" s="155"/>
      <c r="HA3552" s="155"/>
      <c r="HB3552" s="155"/>
      <c r="HC3552" s="155"/>
      <c r="HD3552" s="155"/>
      <c r="HE3552" s="155"/>
    </row>
    <row r="3553" spans="2:213" s="156" customFormat="1" hidden="1">
      <c r="B3553" s="155"/>
      <c r="C3553" s="155"/>
      <c r="D3553" s="155"/>
      <c r="E3553" s="155"/>
      <c r="F3553" s="155"/>
      <c r="G3553" s="155"/>
      <c r="H3553" s="155"/>
      <c r="I3553" s="155"/>
      <c r="J3553" s="155"/>
      <c r="K3553" s="155"/>
      <c r="L3553" s="155"/>
      <c r="M3553" s="155"/>
      <c r="N3553" s="155"/>
      <c r="O3553" s="155"/>
      <c r="P3553" s="155"/>
      <c r="Q3553" s="155"/>
      <c r="R3553" s="155"/>
      <c r="S3553" s="155"/>
      <c r="T3553" s="155"/>
      <c r="U3553" s="155"/>
      <c r="V3553" s="155"/>
      <c r="W3553" s="155"/>
      <c r="GL3553" s="155"/>
      <c r="GM3553" s="155"/>
      <c r="GN3553" s="155"/>
      <c r="GO3553" s="155"/>
      <c r="GP3553" s="155"/>
      <c r="GQ3553" s="155"/>
      <c r="GR3553" s="155"/>
      <c r="GS3553" s="155"/>
      <c r="GT3553" s="155"/>
      <c r="GU3553" s="155"/>
      <c r="GV3553" s="155"/>
      <c r="GW3553" s="155"/>
      <c r="GX3553" s="155"/>
      <c r="GY3553" s="155"/>
      <c r="GZ3553" s="155"/>
      <c r="HA3553" s="155"/>
      <c r="HB3553" s="155"/>
      <c r="HC3553" s="155"/>
      <c r="HD3553" s="155"/>
      <c r="HE3553" s="155"/>
    </row>
    <row r="3554" spans="2:213" s="156" customFormat="1" hidden="1">
      <c r="B3554" s="155"/>
      <c r="C3554" s="155"/>
      <c r="D3554" s="155"/>
      <c r="E3554" s="155"/>
      <c r="F3554" s="155"/>
      <c r="G3554" s="155"/>
      <c r="H3554" s="155"/>
      <c r="I3554" s="155"/>
      <c r="J3554" s="155"/>
      <c r="K3554" s="155"/>
      <c r="L3554" s="155"/>
      <c r="M3554" s="155"/>
      <c r="N3554" s="155"/>
      <c r="O3554" s="155"/>
      <c r="P3554" s="155"/>
      <c r="Q3554" s="155"/>
      <c r="R3554" s="155"/>
      <c r="S3554" s="155"/>
      <c r="T3554" s="155"/>
      <c r="U3554" s="155"/>
      <c r="V3554" s="155"/>
      <c r="W3554" s="155"/>
      <c r="GL3554" s="155"/>
      <c r="GM3554" s="155"/>
      <c r="GN3554" s="155"/>
      <c r="GO3554" s="155"/>
      <c r="GP3554" s="155"/>
      <c r="GQ3554" s="155"/>
      <c r="GR3554" s="155"/>
      <c r="GS3554" s="155"/>
      <c r="GT3554" s="155"/>
      <c r="GU3554" s="155"/>
      <c r="GV3554" s="155"/>
      <c r="GW3554" s="155"/>
      <c r="GX3554" s="155"/>
      <c r="GY3554" s="155"/>
      <c r="GZ3554" s="155"/>
      <c r="HA3554" s="155"/>
      <c r="HB3554" s="155"/>
      <c r="HC3554" s="155"/>
      <c r="HD3554" s="155"/>
      <c r="HE3554" s="155"/>
    </row>
    <row r="3555" spans="2:213" s="156" customFormat="1" hidden="1">
      <c r="B3555" s="155"/>
      <c r="C3555" s="155"/>
      <c r="D3555" s="155"/>
      <c r="E3555" s="155"/>
      <c r="F3555" s="155"/>
      <c r="G3555" s="155"/>
      <c r="H3555" s="155"/>
      <c r="I3555" s="155"/>
      <c r="J3555" s="155"/>
      <c r="K3555" s="155"/>
      <c r="L3555" s="155"/>
      <c r="M3555" s="155"/>
      <c r="N3555" s="155"/>
      <c r="O3555" s="155"/>
      <c r="P3555" s="155"/>
      <c r="Q3555" s="155"/>
      <c r="R3555" s="155"/>
      <c r="S3555" s="155"/>
      <c r="T3555" s="155"/>
      <c r="U3555" s="155"/>
      <c r="V3555" s="155"/>
      <c r="W3555" s="155"/>
      <c r="GL3555" s="155"/>
      <c r="GM3555" s="155"/>
      <c r="GN3555" s="155"/>
      <c r="GO3555" s="155"/>
      <c r="GP3555" s="155"/>
      <c r="GQ3555" s="155"/>
      <c r="GR3555" s="155"/>
      <c r="GS3555" s="155"/>
      <c r="GT3555" s="155"/>
      <c r="GU3555" s="155"/>
      <c r="GV3555" s="155"/>
      <c r="GW3555" s="155"/>
      <c r="GX3555" s="155"/>
      <c r="GY3555" s="155"/>
      <c r="GZ3555" s="155"/>
      <c r="HA3555" s="155"/>
      <c r="HB3555" s="155"/>
      <c r="HC3555" s="155"/>
      <c r="HD3555" s="155"/>
      <c r="HE3555" s="155"/>
    </row>
    <row r="3556" spans="2:213" s="156" customFormat="1" hidden="1">
      <c r="B3556" s="155"/>
      <c r="C3556" s="155"/>
      <c r="D3556" s="155"/>
      <c r="E3556" s="155"/>
      <c r="F3556" s="155"/>
      <c r="G3556" s="155"/>
      <c r="H3556" s="155"/>
      <c r="I3556" s="155"/>
      <c r="J3556" s="155"/>
      <c r="K3556" s="155"/>
      <c r="L3556" s="155"/>
      <c r="M3556" s="155"/>
      <c r="N3556" s="155"/>
      <c r="O3556" s="155"/>
      <c r="P3556" s="155"/>
      <c r="Q3556" s="155"/>
      <c r="R3556" s="155"/>
      <c r="S3556" s="155"/>
      <c r="T3556" s="155"/>
      <c r="U3556" s="155"/>
      <c r="V3556" s="155"/>
      <c r="W3556" s="155"/>
      <c r="GL3556" s="155"/>
      <c r="GM3556" s="155"/>
      <c r="GN3556" s="155"/>
      <c r="GO3556" s="155"/>
      <c r="GP3556" s="155"/>
      <c r="GQ3556" s="155"/>
      <c r="GR3556" s="155"/>
      <c r="GS3556" s="155"/>
      <c r="GT3556" s="155"/>
      <c r="GU3556" s="155"/>
      <c r="GV3556" s="155"/>
      <c r="GW3556" s="155"/>
      <c r="GX3556" s="155"/>
      <c r="GY3556" s="155"/>
      <c r="GZ3556" s="155"/>
      <c r="HA3556" s="155"/>
      <c r="HB3556" s="155"/>
      <c r="HC3556" s="155"/>
      <c r="HD3556" s="155"/>
      <c r="HE3556" s="155"/>
    </row>
    <row r="3557" spans="2:213" s="156" customFormat="1" hidden="1">
      <c r="B3557" s="155"/>
      <c r="C3557" s="155"/>
      <c r="D3557" s="155"/>
      <c r="E3557" s="155"/>
      <c r="F3557" s="155"/>
      <c r="G3557" s="155"/>
      <c r="H3557" s="155"/>
      <c r="I3557" s="155"/>
      <c r="J3557" s="155"/>
      <c r="K3557" s="155"/>
      <c r="L3557" s="155"/>
      <c r="M3557" s="155"/>
      <c r="N3557" s="155"/>
      <c r="O3557" s="155"/>
      <c r="P3557" s="155"/>
      <c r="Q3557" s="155"/>
      <c r="R3557" s="155"/>
      <c r="S3557" s="155"/>
      <c r="T3557" s="155"/>
      <c r="U3557" s="155"/>
      <c r="V3557" s="155"/>
      <c r="W3557" s="155"/>
      <c r="GL3557" s="155"/>
      <c r="GM3557" s="155"/>
      <c r="GN3557" s="155"/>
      <c r="GO3557" s="155"/>
      <c r="GP3557" s="155"/>
      <c r="GQ3557" s="155"/>
      <c r="GR3557" s="155"/>
      <c r="GS3557" s="155"/>
      <c r="GT3557" s="155"/>
      <c r="GU3557" s="155"/>
      <c r="GV3557" s="155"/>
      <c r="GW3557" s="155"/>
      <c r="GX3557" s="155"/>
      <c r="GY3557" s="155"/>
      <c r="GZ3557" s="155"/>
      <c r="HA3557" s="155"/>
      <c r="HB3557" s="155"/>
      <c r="HC3557" s="155"/>
      <c r="HD3557" s="155"/>
      <c r="HE3557" s="155"/>
    </row>
    <row r="3558" spans="2:213" s="156" customFormat="1" hidden="1">
      <c r="B3558" s="155"/>
      <c r="C3558" s="155"/>
      <c r="D3558" s="155"/>
      <c r="E3558" s="155"/>
      <c r="F3558" s="155"/>
      <c r="G3558" s="155"/>
      <c r="H3558" s="155"/>
      <c r="I3558" s="155"/>
      <c r="J3558" s="155"/>
      <c r="K3558" s="155"/>
      <c r="L3558" s="155"/>
      <c r="M3558" s="155"/>
      <c r="N3558" s="155"/>
      <c r="O3558" s="155"/>
      <c r="P3558" s="155"/>
      <c r="Q3558" s="155"/>
      <c r="R3558" s="155"/>
      <c r="S3558" s="155"/>
      <c r="T3558" s="155"/>
      <c r="U3558" s="155"/>
      <c r="V3558" s="155"/>
      <c r="W3558" s="155"/>
      <c r="GL3558" s="155"/>
      <c r="GM3558" s="155"/>
      <c r="GN3558" s="155"/>
      <c r="GO3558" s="155"/>
      <c r="GP3558" s="155"/>
      <c r="GQ3558" s="155"/>
      <c r="GR3558" s="155"/>
      <c r="GS3558" s="155"/>
      <c r="GT3558" s="155"/>
      <c r="GU3558" s="155"/>
      <c r="GV3558" s="155"/>
      <c r="GW3558" s="155"/>
      <c r="GX3558" s="155"/>
      <c r="GY3558" s="155"/>
      <c r="GZ3558" s="155"/>
      <c r="HA3558" s="155"/>
      <c r="HB3558" s="155"/>
      <c r="HC3558" s="155"/>
      <c r="HD3558" s="155"/>
      <c r="HE3558" s="155"/>
    </row>
    <row r="3559" spans="2:213" s="156" customFormat="1" hidden="1">
      <c r="B3559" s="155"/>
      <c r="C3559" s="155"/>
      <c r="D3559" s="155"/>
      <c r="E3559" s="155"/>
      <c r="F3559" s="155"/>
      <c r="G3559" s="155"/>
      <c r="H3559" s="155"/>
      <c r="I3559" s="155"/>
      <c r="J3559" s="155"/>
      <c r="K3559" s="155"/>
      <c r="L3559" s="155"/>
      <c r="M3559" s="155"/>
      <c r="N3559" s="155"/>
      <c r="O3559" s="155"/>
      <c r="P3559" s="155"/>
      <c r="Q3559" s="155"/>
      <c r="R3559" s="155"/>
      <c r="S3559" s="155"/>
      <c r="T3559" s="155"/>
      <c r="U3559" s="155"/>
      <c r="V3559" s="155"/>
      <c r="W3559" s="155"/>
      <c r="GL3559" s="155"/>
      <c r="GM3559" s="155"/>
      <c r="GN3559" s="155"/>
      <c r="GO3559" s="155"/>
      <c r="GP3559" s="155"/>
      <c r="GQ3559" s="155"/>
      <c r="GR3559" s="155"/>
      <c r="GS3559" s="155"/>
      <c r="GT3559" s="155"/>
      <c r="GU3559" s="155"/>
      <c r="GV3559" s="155"/>
      <c r="GW3559" s="155"/>
      <c r="GX3559" s="155"/>
      <c r="GY3559" s="155"/>
      <c r="GZ3559" s="155"/>
      <c r="HA3559" s="155"/>
      <c r="HB3559" s="155"/>
      <c r="HC3559" s="155"/>
      <c r="HD3559" s="155"/>
      <c r="HE3559" s="155"/>
    </row>
    <row r="3560" spans="2:213" s="156" customFormat="1" hidden="1">
      <c r="B3560" s="155"/>
      <c r="C3560" s="155"/>
      <c r="D3560" s="155"/>
      <c r="E3560" s="155"/>
      <c r="F3560" s="155"/>
      <c r="G3560" s="155"/>
      <c r="H3560" s="155"/>
      <c r="I3560" s="155"/>
      <c r="J3560" s="155"/>
      <c r="K3560" s="155"/>
      <c r="L3560" s="155"/>
      <c r="M3560" s="155"/>
      <c r="N3560" s="155"/>
      <c r="O3560" s="155"/>
      <c r="P3560" s="155"/>
      <c r="Q3560" s="155"/>
      <c r="R3560" s="155"/>
      <c r="S3560" s="155"/>
      <c r="T3560" s="155"/>
      <c r="U3560" s="155"/>
      <c r="V3560" s="155"/>
      <c r="W3560" s="155"/>
      <c r="GL3560" s="155"/>
      <c r="GM3560" s="155"/>
      <c r="GN3560" s="155"/>
      <c r="GO3560" s="155"/>
      <c r="GP3560" s="155"/>
      <c r="GQ3560" s="155"/>
      <c r="GR3560" s="155"/>
      <c r="GS3560" s="155"/>
      <c r="GT3560" s="155"/>
      <c r="GU3560" s="155"/>
      <c r="GV3560" s="155"/>
      <c r="GW3560" s="155"/>
      <c r="GX3560" s="155"/>
      <c r="GY3560" s="155"/>
      <c r="GZ3560" s="155"/>
      <c r="HA3560" s="155"/>
      <c r="HB3560" s="155"/>
      <c r="HC3560" s="155"/>
      <c r="HD3560" s="155"/>
      <c r="HE3560" s="155"/>
    </row>
    <row r="3561" spans="2:213" s="156" customFormat="1" hidden="1">
      <c r="B3561" s="155"/>
      <c r="C3561" s="155"/>
      <c r="D3561" s="155"/>
      <c r="E3561" s="155"/>
      <c r="F3561" s="155"/>
      <c r="G3561" s="155"/>
      <c r="H3561" s="155"/>
      <c r="I3561" s="155"/>
      <c r="J3561" s="155"/>
      <c r="K3561" s="155"/>
      <c r="L3561" s="155"/>
      <c r="M3561" s="155"/>
      <c r="N3561" s="155"/>
      <c r="O3561" s="155"/>
      <c r="P3561" s="155"/>
      <c r="Q3561" s="155"/>
      <c r="R3561" s="155"/>
      <c r="S3561" s="155"/>
      <c r="T3561" s="155"/>
      <c r="U3561" s="155"/>
      <c r="V3561" s="155"/>
      <c r="W3561" s="155"/>
      <c r="GL3561" s="155"/>
      <c r="GM3561" s="155"/>
      <c r="GN3561" s="155"/>
      <c r="GO3561" s="155"/>
      <c r="GP3561" s="155"/>
      <c r="GQ3561" s="155"/>
      <c r="GR3561" s="155"/>
      <c r="GS3561" s="155"/>
      <c r="GT3561" s="155"/>
      <c r="GU3561" s="155"/>
      <c r="GV3561" s="155"/>
      <c r="GW3561" s="155"/>
      <c r="GX3561" s="155"/>
      <c r="GY3561" s="155"/>
      <c r="GZ3561" s="155"/>
      <c r="HA3561" s="155"/>
      <c r="HB3561" s="155"/>
      <c r="HC3561" s="155"/>
      <c r="HD3561" s="155"/>
      <c r="HE3561" s="155"/>
    </row>
    <row r="3562" spans="2:213" s="156" customFormat="1" hidden="1">
      <c r="B3562" s="155"/>
      <c r="C3562" s="155"/>
      <c r="D3562" s="155"/>
      <c r="E3562" s="155"/>
      <c r="F3562" s="155"/>
      <c r="G3562" s="155"/>
      <c r="H3562" s="155"/>
      <c r="I3562" s="155"/>
      <c r="J3562" s="155"/>
      <c r="K3562" s="155"/>
      <c r="L3562" s="155"/>
      <c r="M3562" s="155"/>
      <c r="N3562" s="155"/>
      <c r="O3562" s="155"/>
      <c r="P3562" s="155"/>
      <c r="Q3562" s="155"/>
      <c r="R3562" s="155"/>
      <c r="S3562" s="155"/>
      <c r="T3562" s="155"/>
      <c r="U3562" s="155"/>
      <c r="V3562" s="155"/>
      <c r="W3562" s="155"/>
      <c r="GL3562" s="155"/>
      <c r="GM3562" s="155"/>
      <c r="GN3562" s="155"/>
      <c r="GO3562" s="155"/>
      <c r="GP3562" s="155"/>
      <c r="GQ3562" s="155"/>
      <c r="GR3562" s="155"/>
      <c r="GS3562" s="155"/>
      <c r="GT3562" s="155"/>
      <c r="GU3562" s="155"/>
      <c r="GV3562" s="155"/>
      <c r="GW3562" s="155"/>
      <c r="GX3562" s="155"/>
      <c r="GY3562" s="155"/>
      <c r="GZ3562" s="155"/>
      <c r="HA3562" s="155"/>
      <c r="HB3562" s="155"/>
      <c r="HC3562" s="155"/>
      <c r="HD3562" s="155"/>
      <c r="HE3562" s="155"/>
    </row>
    <row r="3563" spans="2:213" s="156" customFormat="1" hidden="1">
      <c r="B3563" s="155"/>
      <c r="C3563" s="155"/>
      <c r="D3563" s="155"/>
      <c r="E3563" s="155"/>
      <c r="F3563" s="155"/>
      <c r="G3563" s="155"/>
      <c r="H3563" s="155"/>
      <c r="I3563" s="155"/>
      <c r="J3563" s="155"/>
      <c r="K3563" s="155"/>
      <c r="L3563" s="155"/>
      <c r="M3563" s="155"/>
      <c r="N3563" s="155"/>
      <c r="O3563" s="155"/>
      <c r="P3563" s="155"/>
      <c r="Q3563" s="155"/>
      <c r="R3563" s="155"/>
      <c r="S3563" s="155"/>
      <c r="T3563" s="155"/>
      <c r="U3563" s="155"/>
      <c r="V3563" s="155"/>
      <c r="W3563" s="155"/>
      <c r="GL3563" s="155"/>
      <c r="GM3563" s="155"/>
      <c r="GN3563" s="155"/>
      <c r="GO3563" s="155"/>
      <c r="GP3563" s="155"/>
      <c r="GQ3563" s="155"/>
      <c r="GR3563" s="155"/>
      <c r="GS3563" s="155"/>
      <c r="GT3563" s="155"/>
      <c r="GU3563" s="155"/>
      <c r="GV3563" s="155"/>
      <c r="GW3563" s="155"/>
      <c r="GX3563" s="155"/>
      <c r="GY3563" s="155"/>
      <c r="GZ3563" s="155"/>
      <c r="HA3563" s="155"/>
      <c r="HB3563" s="155"/>
      <c r="HC3563" s="155"/>
      <c r="HD3563" s="155"/>
      <c r="HE3563" s="155"/>
    </row>
    <row r="3564" spans="2:213" s="156" customFormat="1" hidden="1">
      <c r="B3564" s="155"/>
      <c r="C3564" s="155"/>
      <c r="D3564" s="155"/>
      <c r="E3564" s="155"/>
      <c r="F3564" s="155"/>
      <c r="G3564" s="155"/>
      <c r="H3564" s="155"/>
      <c r="I3564" s="155"/>
      <c r="J3564" s="155"/>
      <c r="K3564" s="155"/>
      <c r="L3564" s="155"/>
      <c r="M3564" s="155"/>
      <c r="N3564" s="155"/>
      <c r="O3564" s="155"/>
      <c r="P3564" s="155"/>
      <c r="Q3564" s="155"/>
      <c r="R3564" s="155"/>
      <c r="S3564" s="155"/>
      <c r="T3564" s="155"/>
      <c r="U3564" s="155"/>
      <c r="V3564" s="155"/>
      <c r="W3564" s="155"/>
      <c r="GL3564" s="155"/>
      <c r="GM3564" s="155"/>
      <c r="GN3564" s="155"/>
      <c r="GO3564" s="155"/>
      <c r="GP3564" s="155"/>
      <c r="GQ3564" s="155"/>
      <c r="GR3564" s="155"/>
      <c r="GS3564" s="155"/>
      <c r="GT3564" s="155"/>
      <c r="GU3564" s="155"/>
      <c r="GV3564" s="155"/>
      <c r="GW3564" s="155"/>
      <c r="GX3564" s="155"/>
      <c r="GY3564" s="155"/>
      <c r="GZ3564" s="155"/>
      <c r="HA3564" s="155"/>
      <c r="HB3564" s="155"/>
      <c r="HC3564" s="155"/>
      <c r="HD3564" s="155"/>
      <c r="HE3564" s="155"/>
    </row>
    <row r="3565" spans="2:213" s="156" customFormat="1" hidden="1">
      <c r="B3565" s="155"/>
      <c r="C3565" s="155"/>
      <c r="D3565" s="155"/>
      <c r="E3565" s="155"/>
      <c r="F3565" s="155"/>
      <c r="G3565" s="155"/>
      <c r="H3565" s="155"/>
      <c r="I3565" s="155"/>
      <c r="J3565" s="155"/>
      <c r="K3565" s="155"/>
      <c r="L3565" s="155"/>
      <c r="M3565" s="155"/>
      <c r="N3565" s="155"/>
      <c r="O3565" s="155"/>
      <c r="P3565" s="155"/>
      <c r="Q3565" s="155"/>
      <c r="R3565" s="155"/>
      <c r="S3565" s="155"/>
      <c r="T3565" s="155"/>
      <c r="U3565" s="155"/>
      <c r="V3565" s="155"/>
      <c r="W3565" s="155"/>
      <c r="GL3565" s="155"/>
      <c r="GM3565" s="155"/>
      <c r="GN3565" s="155"/>
      <c r="GO3565" s="155"/>
      <c r="GP3565" s="155"/>
      <c r="GQ3565" s="155"/>
      <c r="GR3565" s="155"/>
      <c r="GS3565" s="155"/>
      <c r="GT3565" s="155"/>
      <c r="GU3565" s="155"/>
      <c r="GV3565" s="155"/>
      <c r="GW3565" s="155"/>
      <c r="GX3565" s="155"/>
      <c r="GY3565" s="155"/>
      <c r="GZ3565" s="155"/>
      <c r="HA3565" s="155"/>
      <c r="HB3565" s="155"/>
      <c r="HC3565" s="155"/>
      <c r="HD3565" s="155"/>
      <c r="HE3565" s="155"/>
    </row>
    <row r="3566" spans="2:213" s="156" customFormat="1" hidden="1">
      <c r="B3566" s="155"/>
      <c r="C3566" s="155"/>
      <c r="D3566" s="155"/>
      <c r="E3566" s="155"/>
      <c r="F3566" s="155"/>
      <c r="G3566" s="155"/>
      <c r="H3566" s="155"/>
      <c r="I3566" s="155"/>
      <c r="J3566" s="155"/>
      <c r="K3566" s="155"/>
      <c r="L3566" s="155"/>
      <c r="M3566" s="155"/>
      <c r="N3566" s="155"/>
      <c r="O3566" s="155"/>
      <c r="P3566" s="155"/>
      <c r="Q3566" s="155"/>
      <c r="R3566" s="155"/>
      <c r="S3566" s="155"/>
      <c r="T3566" s="155"/>
      <c r="U3566" s="155"/>
      <c r="V3566" s="155"/>
      <c r="W3566" s="155"/>
      <c r="GL3566" s="155"/>
      <c r="GM3566" s="155"/>
      <c r="GN3566" s="155"/>
      <c r="GO3566" s="155"/>
      <c r="GP3566" s="155"/>
      <c r="GQ3566" s="155"/>
      <c r="GR3566" s="155"/>
      <c r="GS3566" s="155"/>
      <c r="GT3566" s="155"/>
      <c r="GU3566" s="155"/>
      <c r="GV3566" s="155"/>
      <c r="GW3566" s="155"/>
      <c r="GX3566" s="155"/>
      <c r="GY3566" s="155"/>
      <c r="GZ3566" s="155"/>
      <c r="HA3566" s="155"/>
      <c r="HB3566" s="155"/>
      <c r="HC3566" s="155"/>
      <c r="HD3566" s="155"/>
      <c r="HE3566" s="155"/>
    </row>
    <row r="3567" spans="2:213" s="156" customFormat="1" hidden="1">
      <c r="B3567" s="155"/>
      <c r="C3567" s="155"/>
      <c r="D3567" s="155"/>
      <c r="E3567" s="155"/>
      <c r="F3567" s="155"/>
      <c r="G3567" s="155"/>
      <c r="H3567" s="155"/>
      <c r="I3567" s="155"/>
      <c r="J3567" s="155"/>
      <c r="K3567" s="155"/>
      <c r="L3567" s="155"/>
      <c r="M3567" s="155"/>
      <c r="N3567" s="155"/>
      <c r="O3567" s="155"/>
      <c r="P3567" s="155"/>
      <c r="Q3567" s="155"/>
      <c r="R3567" s="155"/>
      <c r="S3567" s="155"/>
      <c r="T3567" s="155"/>
      <c r="U3567" s="155"/>
      <c r="V3567" s="155"/>
      <c r="W3567" s="155"/>
      <c r="GL3567" s="155"/>
      <c r="GM3567" s="155"/>
      <c r="GN3567" s="155"/>
      <c r="GO3567" s="155"/>
      <c r="GP3567" s="155"/>
      <c r="GQ3567" s="155"/>
      <c r="GR3567" s="155"/>
      <c r="GS3567" s="155"/>
      <c r="GT3567" s="155"/>
      <c r="GU3567" s="155"/>
      <c r="GV3567" s="155"/>
      <c r="GW3567" s="155"/>
      <c r="GX3567" s="155"/>
      <c r="GY3567" s="155"/>
      <c r="GZ3567" s="155"/>
      <c r="HA3567" s="155"/>
      <c r="HB3567" s="155"/>
      <c r="HC3567" s="155"/>
      <c r="HD3567" s="155"/>
      <c r="HE3567" s="155"/>
    </row>
    <row r="3568" spans="2:213" s="156" customFormat="1" hidden="1">
      <c r="B3568" s="155"/>
      <c r="C3568" s="155"/>
      <c r="D3568" s="155"/>
      <c r="E3568" s="155"/>
      <c r="F3568" s="155"/>
      <c r="G3568" s="155"/>
      <c r="H3568" s="155"/>
      <c r="I3568" s="155"/>
      <c r="J3568" s="155"/>
      <c r="K3568" s="155"/>
      <c r="L3568" s="155"/>
      <c r="M3568" s="155"/>
      <c r="N3568" s="155"/>
      <c r="O3568" s="155"/>
      <c r="P3568" s="155"/>
      <c r="Q3568" s="155"/>
      <c r="R3568" s="155"/>
      <c r="S3568" s="155"/>
      <c r="T3568" s="155"/>
      <c r="U3568" s="155"/>
      <c r="V3568" s="155"/>
      <c r="W3568" s="155"/>
      <c r="GL3568" s="155"/>
      <c r="GM3568" s="155"/>
      <c r="GN3568" s="155"/>
      <c r="GO3568" s="155"/>
      <c r="GP3568" s="155"/>
      <c r="GQ3568" s="155"/>
      <c r="GR3568" s="155"/>
      <c r="GS3568" s="155"/>
      <c r="GT3568" s="155"/>
      <c r="GU3568" s="155"/>
      <c r="GV3568" s="155"/>
      <c r="GW3568" s="155"/>
      <c r="GX3568" s="155"/>
      <c r="GY3568" s="155"/>
      <c r="GZ3568" s="155"/>
      <c r="HA3568" s="155"/>
      <c r="HB3568" s="155"/>
      <c r="HC3568" s="155"/>
      <c r="HD3568" s="155"/>
      <c r="HE3568" s="155"/>
    </row>
    <row r="3569" spans="2:213" s="156" customFormat="1" hidden="1">
      <c r="B3569" s="155"/>
      <c r="C3569" s="155"/>
      <c r="D3569" s="155"/>
      <c r="E3569" s="155"/>
      <c r="F3569" s="155"/>
      <c r="G3569" s="155"/>
      <c r="H3569" s="155"/>
      <c r="I3569" s="155"/>
      <c r="J3569" s="155"/>
      <c r="K3569" s="155"/>
      <c r="L3569" s="155"/>
      <c r="M3569" s="155"/>
      <c r="N3569" s="155"/>
      <c r="O3569" s="155"/>
      <c r="P3569" s="155"/>
      <c r="Q3569" s="155"/>
      <c r="R3569" s="155"/>
      <c r="S3569" s="155"/>
      <c r="T3569" s="155"/>
      <c r="U3569" s="155"/>
      <c r="V3569" s="155"/>
      <c r="W3569" s="155"/>
      <c r="GL3569" s="155"/>
      <c r="GM3569" s="155"/>
      <c r="GN3569" s="155"/>
      <c r="GO3569" s="155"/>
      <c r="GP3569" s="155"/>
      <c r="GQ3569" s="155"/>
      <c r="GR3569" s="155"/>
      <c r="GS3569" s="155"/>
      <c r="GT3569" s="155"/>
      <c r="GU3569" s="155"/>
      <c r="GV3569" s="155"/>
      <c r="GW3569" s="155"/>
      <c r="GX3569" s="155"/>
      <c r="GY3569" s="155"/>
      <c r="GZ3569" s="155"/>
      <c r="HA3569" s="155"/>
      <c r="HB3569" s="155"/>
      <c r="HC3569" s="155"/>
      <c r="HD3569" s="155"/>
      <c r="HE3569" s="155"/>
    </row>
    <row r="3570" spans="2:213" s="156" customFormat="1" hidden="1">
      <c r="B3570" s="155"/>
      <c r="C3570" s="155"/>
      <c r="D3570" s="155"/>
      <c r="E3570" s="155"/>
      <c r="F3570" s="155"/>
      <c r="G3570" s="155"/>
      <c r="H3570" s="155"/>
      <c r="I3570" s="155"/>
      <c r="J3570" s="155"/>
      <c r="K3570" s="155"/>
      <c r="L3570" s="155"/>
      <c r="M3570" s="155"/>
      <c r="N3570" s="155"/>
      <c r="O3570" s="155"/>
      <c r="P3570" s="155"/>
      <c r="Q3570" s="155"/>
      <c r="R3570" s="155"/>
      <c r="S3570" s="155"/>
      <c r="T3570" s="155"/>
      <c r="U3570" s="155"/>
      <c r="V3570" s="155"/>
      <c r="W3570" s="155"/>
      <c r="GL3570" s="155"/>
      <c r="GM3570" s="155"/>
      <c r="GN3570" s="155"/>
      <c r="GO3570" s="155"/>
      <c r="GP3570" s="155"/>
      <c r="GQ3570" s="155"/>
      <c r="GR3570" s="155"/>
      <c r="GS3570" s="155"/>
      <c r="GT3570" s="155"/>
      <c r="GU3570" s="155"/>
      <c r="GV3570" s="155"/>
      <c r="GW3570" s="155"/>
      <c r="GX3570" s="155"/>
      <c r="GY3570" s="155"/>
      <c r="GZ3570" s="155"/>
      <c r="HA3570" s="155"/>
      <c r="HB3570" s="155"/>
      <c r="HC3570" s="155"/>
      <c r="HD3570" s="155"/>
      <c r="HE3570" s="155"/>
    </row>
    <row r="3571" spans="2:213" s="156" customFormat="1" hidden="1">
      <c r="B3571" s="155"/>
      <c r="C3571" s="155"/>
      <c r="D3571" s="155"/>
      <c r="E3571" s="155"/>
      <c r="F3571" s="155"/>
      <c r="G3571" s="155"/>
      <c r="H3571" s="155"/>
      <c r="I3571" s="155"/>
      <c r="J3571" s="155"/>
      <c r="K3571" s="155"/>
      <c r="L3571" s="155"/>
      <c r="M3571" s="155"/>
      <c r="N3571" s="155"/>
      <c r="O3571" s="155"/>
      <c r="P3571" s="155"/>
      <c r="Q3571" s="155"/>
      <c r="R3571" s="155"/>
      <c r="S3571" s="155"/>
      <c r="T3571" s="155"/>
      <c r="U3571" s="155"/>
      <c r="V3571" s="155"/>
      <c r="W3571" s="155"/>
      <c r="GL3571" s="155"/>
      <c r="GM3571" s="155"/>
      <c r="GN3571" s="155"/>
      <c r="GO3571" s="155"/>
      <c r="GP3571" s="155"/>
      <c r="GQ3571" s="155"/>
      <c r="GR3571" s="155"/>
      <c r="GS3571" s="155"/>
      <c r="GT3571" s="155"/>
      <c r="GU3571" s="155"/>
      <c r="GV3571" s="155"/>
      <c r="GW3571" s="155"/>
      <c r="GX3571" s="155"/>
      <c r="GY3571" s="155"/>
      <c r="GZ3571" s="155"/>
      <c r="HA3571" s="155"/>
      <c r="HB3571" s="155"/>
      <c r="HC3571" s="155"/>
      <c r="HD3571" s="155"/>
      <c r="HE3571" s="155"/>
    </row>
    <row r="3572" spans="2:213" s="156" customFormat="1" hidden="1">
      <c r="B3572" s="155"/>
      <c r="C3572" s="155"/>
      <c r="D3572" s="155"/>
      <c r="E3572" s="155"/>
      <c r="F3572" s="155"/>
      <c r="G3572" s="155"/>
      <c r="H3572" s="155"/>
      <c r="I3572" s="155"/>
      <c r="J3572" s="155"/>
      <c r="K3572" s="155"/>
      <c r="L3572" s="155"/>
      <c r="M3572" s="155"/>
      <c r="N3572" s="155"/>
      <c r="O3572" s="155"/>
      <c r="P3572" s="155"/>
      <c r="Q3572" s="155"/>
      <c r="R3572" s="155"/>
      <c r="S3572" s="155"/>
      <c r="T3572" s="155"/>
      <c r="U3572" s="155"/>
      <c r="V3572" s="155"/>
      <c r="W3572" s="155"/>
      <c r="GL3572" s="155"/>
      <c r="GM3572" s="155"/>
      <c r="GN3572" s="155"/>
      <c r="GO3572" s="155"/>
      <c r="GP3572" s="155"/>
      <c r="GQ3572" s="155"/>
      <c r="GR3572" s="155"/>
      <c r="GS3572" s="155"/>
      <c r="GT3572" s="155"/>
      <c r="GU3572" s="155"/>
      <c r="GV3572" s="155"/>
      <c r="GW3572" s="155"/>
      <c r="GX3572" s="155"/>
      <c r="GY3572" s="155"/>
      <c r="GZ3572" s="155"/>
      <c r="HA3572" s="155"/>
      <c r="HB3572" s="155"/>
      <c r="HC3572" s="155"/>
      <c r="HD3572" s="155"/>
      <c r="HE3572" s="155"/>
    </row>
    <row r="3573" spans="2:213" s="156" customFormat="1" hidden="1">
      <c r="B3573" s="155"/>
      <c r="C3573" s="155"/>
      <c r="D3573" s="155"/>
      <c r="E3573" s="155"/>
      <c r="F3573" s="155"/>
      <c r="G3573" s="155"/>
      <c r="H3573" s="155"/>
      <c r="I3573" s="155"/>
      <c r="J3573" s="155"/>
      <c r="K3573" s="155"/>
      <c r="L3573" s="155"/>
      <c r="M3573" s="155"/>
      <c r="N3573" s="155"/>
      <c r="O3573" s="155"/>
      <c r="P3573" s="155"/>
      <c r="Q3573" s="155"/>
      <c r="R3573" s="155"/>
      <c r="S3573" s="155"/>
      <c r="T3573" s="155"/>
      <c r="U3573" s="155"/>
      <c r="V3573" s="155"/>
      <c r="W3573" s="155"/>
      <c r="GL3573" s="155"/>
      <c r="GM3573" s="155"/>
      <c r="GN3573" s="155"/>
      <c r="GO3573" s="155"/>
      <c r="GP3573" s="155"/>
      <c r="GQ3573" s="155"/>
      <c r="GR3573" s="155"/>
      <c r="GS3573" s="155"/>
      <c r="GT3573" s="155"/>
      <c r="GU3573" s="155"/>
      <c r="GV3573" s="155"/>
      <c r="GW3573" s="155"/>
      <c r="GX3573" s="155"/>
      <c r="GY3573" s="155"/>
      <c r="GZ3573" s="155"/>
      <c r="HA3573" s="155"/>
      <c r="HB3573" s="155"/>
      <c r="HC3573" s="155"/>
      <c r="HD3573" s="155"/>
      <c r="HE3573" s="155"/>
    </row>
    <row r="3574" spans="2:213" s="156" customFormat="1" hidden="1">
      <c r="B3574" s="155"/>
      <c r="C3574" s="155"/>
      <c r="D3574" s="155"/>
      <c r="E3574" s="155"/>
      <c r="F3574" s="155"/>
      <c r="G3574" s="155"/>
      <c r="H3574" s="155"/>
      <c r="I3574" s="155"/>
      <c r="J3574" s="155"/>
      <c r="K3574" s="155"/>
      <c r="L3574" s="155"/>
      <c r="M3574" s="155"/>
      <c r="N3574" s="155"/>
      <c r="O3574" s="155"/>
      <c r="P3574" s="155"/>
      <c r="Q3574" s="155"/>
      <c r="R3574" s="155"/>
      <c r="S3574" s="155"/>
      <c r="T3574" s="155"/>
      <c r="U3574" s="155"/>
      <c r="V3574" s="155"/>
      <c r="W3574" s="155"/>
      <c r="GL3574" s="155"/>
      <c r="GM3574" s="155"/>
      <c r="GN3574" s="155"/>
      <c r="GO3574" s="155"/>
      <c r="GP3574" s="155"/>
      <c r="GQ3574" s="155"/>
      <c r="GR3574" s="155"/>
      <c r="GS3574" s="155"/>
      <c r="GT3574" s="155"/>
      <c r="GU3574" s="155"/>
      <c r="GV3574" s="155"/>
      <c r="GW3574" s="155"/>
      <c r="GX3574" s="155"/>
      <c r="GY3574" s="155"/>
      <c r="GZ3574" s="155"/>
      <c r="HA3574" s="155"/>
      <c r="HB3574" s="155"/>
      <c r="HC3574" s="155"/>
      <c r="HD3574" s="155"/>
      <c r="HE3574" s="155"/>
    </row>
    <row r="3575" spans="2:213" s="156" customFormat="1" hidden="1">
      <c r="B3575" s="155"/>
      <c r="C3575" s="155"/>
      <c r="D3575" s="155"/>
      <c r="E3575" s="155"/>
      <c r="F3575" s="155"/>
      <c r="G3575" s="155"/>
      <c r="H3575" s="155"/>
      <c r="I3575" s="155"/>
      <c r="J3575" s="155"/>
      <c r="K3575" s="155"/>
      <c r="L3575" s="155"/>
      <c r="M3575" s="155"/>
      <c r="N3575" s="155"/>
      <c r="O3575" s="155"/>
      <c r="P3575" s="155"/>
      <c r="Q3575" s="155"/>
      <c r="R3575" s="155"/>
      <c r="S3575" s="155"/>
      <c r="T3575" s="155"/>
      <c r="U3575" s="155"/>
      <c r="V3575" s="155"/>
      <c r="W3575" s="155"/>
      <c r="GL3575" s="155"/>
      <c r="GM3575" s="155"/>
      <c r="GN3575" s="155"/>
      <c r="GO3575" s="155"/>
      <c r="GP3575" s="155"/>
      <c r="GQ3575" s="155"/>
      <c r="GR3575" s="155"/>
      <c r="GS3575" s="155"/>
      <c r="GT3575" s="155"/>
      <c r="GU3575" s="155"/>
      <c r="GV3575" s="155"/>
      <c r="GW3575" s="155"/>
      <c r="GX3575" s="155"/>
      <c r="GY3575" s="155"/>
      <c r="GZ3575" s="155"/>
      <c r="HA3575" s="155"/>
      <c r="HB3575" s="155"/>
      <c r="HC3575" s="155"/>
      <c r="HD3575" s="155"/>
      <c r="HE3575" s="155"/>
    </row>
    <row r="3576" spans="2:213" s="156" customFormat="1" hidden="1">
      <c r="B3576" s="155"/>
      <c r="C3576" s="155"/>
      <c r="D3576" s="155"/>
      <c r="E3576" s="155"/>
      <c r="F3576" s="155"/>
      <c r="G3576" s="155"/>
      <c r="H3576" s="155"/>
      <c r="I3576" s="155"/>
      <c r="J3576" s="155"/>
      <c r="K3576" s="155"/>
      <c r="L3576" s="155"/>
      <c r="M3576" s="155"/>
      <c r="N3576" s="155"/>
      <c r="O3576" s="155"/>
      <c r="P3576" s="155"/>
      <c r="Q3576" s="155"/>
      <c r="R3576" s="155"/>
      <c r="S3576" s="155"/>
      <c r="T3576" s="155"/>
      <c r="U3576" s="155"/>
      <c r="V3576" s="155"/>
      <c r="W3576" s="155"/>
      <c r="GL3576" s="155"/>
      <c r="GM3576" s="155"/>
      <c r="GN3576" s="155"/>
      <c r="GO3576" s="155"/>
      <c r="GP3576" s="155"/>
      <c r="GQ3576" s="155"/>
      <c r="GR3576" s="155"/>
      <c r="GS3576" s="155"/>
      <c r="GT3576" s="155"/>
      <c r="GU3576" s="155"/>
      <c r="GV3576" s="155"/>
      <c r="GW3576" s="155"/>
      <c r="GX3576" s="155"/>
      <c r="GY3576" s="155"/>
      <c r="GZ3576" s="155"/>
      <c r="HA3576" s="155"/>
      <c r="HB3576" s="155"/>
      <c r="HC3576" s="155"/>
      <c r="HD3576" s="155"/>
      <c r="HE3576" s="155"/>
    </row>
    <row r="3577" spans="2:213" s="156" customFormat="1" hidden="1">
      <c r="B3577" s="155"/>
      <c r="C3577" s="155"/>
      <c r="D3577" s="155"/>
      <c r="E3577" s="155"/>
      <c r="F3577" s="155"/>
      <c r="G3577" s="155"/>
      <c r="H3577" s="155"/>
      <c r="I3577" s="155"/>
      <c r="J3577" s="155"/>
      <c r="K3577" s="155"/>
      <c r="L3577" s="155"/>
      <c r="M3577" s="155"/>
      <c r="N3577" s="155"/>
      <c r="O3577" s="155"/>
      <c r="P3577" s="155"/>
      <c r="Q3577" s="155"/>
      <c r="R3577" s="155"/>
      <c r="S3577" s="155"/>
      <c r="T3577" s="155"/>
      <c r="U3577" s="155"/>
      <c r="V3577" s="155"/>
      <c r="W3577" s="155"/>
      <c r="GL3577" s="155"/>
      <c r="GM3577" s="155"/>
      <c r="GN3577" s="155"/>
      <c r="GO3577" s="155"/>
      <c r="GP3577" s="155"/>
      <c r="GQ3577" s="155"/>
      <c r="GR3577" s="155"/>
      <c r="GS3577" s="155"/>
      <c r="GT3577" s="155"/>
      <c r="GU3577" s="155"/>
      <c r="GV3577" s="155"/>
      <c r="GW3577" s="155"/>
      <c r="GX3577" s="155"/>
      <c r="GY3577" s="155"/>
      <c r="GZ3577" s="155"/>
      <c r="HA3577" s="155"/>
      <c r="HB3577" s="155"/>
      <c r="HC3577" s="155"/>
      <c r="HD3577" s="155"/>
      <c r="HE3577" s="155"/>
    </row>
    <row r="3578" spans="2:213" s="156" customFormat="1" hidden="1">
      <c r="B3578" s="155"/>
      <c r="C3578" s="155"/>
      <c r="D3578" s="155"/>
      <c r="E3578" s="155"/>
      <c r="F3578" s="155"/>
      <c r="G3578" s="155"/>
      <c r="H3578" s="155"/>
      <c r="I3578" s="155"/>
      <c r="J3578" s="155"/>
      <c r="K3578" s="155"/>
      <c r="L3578" s="155"/>
      <c r="M3578" s="155"/>
      <c r="N3578" s="155"/>
      <c r="O3578" s="155"/>
      <c r="P3578" s="155"/>
      <c r="Q3578" s="155"/>
      <c r="R3578" s="155"/>
      <c r="S3578" s="155"/>
      <c r="T3578" s="155"/>
      <c r="U3578" s="155"/>
      <c r="V3578" s="155"/>
      <c r="W3578" s="155"/>
      <c r="GL3578" s="155"/>
      <c r="GM3578" s="155"/>
      <c r="GN3578" s="155"/>
      <c r="GO3578" s="155"/>
      <c r="GP3578" s="155"/>
      <c r="GQ3578" s="155"/>
      <c r="GR3578" s="155"/>
      <c r="GS3578" s="155"/>
      <c r="GT3578" s="155"/>
      <c r="GU3578" s="155"/>
      <c r="GV3578" s="155"/>
      <c r="GW3578" s="155"/>
      <c r="GX3578" s="155"/>
      <c r="GY3578" s="155"/>
      <c r="GZ3578" s="155"/>
      <c r="HA3578" s="155"/>
      <c r="HB3578" s="155"/>
      <c r="HC3578" s="155"/>
      <c r="HD3578" s="155"/>
      <c r="HE3578" s="155"/>
    </row>
    <row r="3579" spans="2:213" s="156" customFormat="1" hidden="1">
      <c r="B3579" s="155"/>
      <c r="C3579" s="155"/>
      <c r="D3579" s="155"/>
      <c r="E3579" s="155"/>
      <c r="F3579" s="155"/>
      <c r="G3579" s="155"/>
      <c r="H3579" s="155"/>
      <c r="I3579" s="155"/>
      <c r="J3579" s="155"/>
      <c r="K3579" s="155"/>
      <c r="L3579" s="155"/>
      <c r="M3579" s="155"/>
      <c r="N3579" s="155"/>
      <c r="O3579" s="155"/>
      <c r="P3579" s="155"/>
      <c r="Q3579" s="155"/>
      <c r="R3579" s="155"/>
      <c r="S3579" s="155"/>
      <c r="T3579" s="155"/>
      <c r="U3579" s="155"/>
      <c r="V3579" s="155"/>
      <c r="W3579" s="155"/>
      <c r="GL3579" s="155"/>
      <c r="GM3579" s="155"/>
      <c r="GN3579" s="155"/>
      <c r="GO3579" s="155"/>
      <c r="GP3579" s="155"/>
      <c r="GQ3579" s="155"/>
      <c r="GR3579" s="155"/>
      <c r="GS3579" s="155"/>
      <c r="GT3579" s="155"/>
      <c r="GU3579" s="155"/>
      <c r="GV3579" s="155"/>
      <c r="GW3579" s="155"/>
      <c r="GX3579" s="155"/>
      <c r="GY3579" s="155"/>
      <c r="GZ3579" s="155"/>
      <c r="HA3579" s="155"/>
      <c r="HB3579" s="155"/>
      <c r="HC3579" s="155"/>
      <c r="HD3579" s="155"/>
      <c r="HE3579" s="155"/>
    </row>
    <row r="3580" spans="2:213" s="156" customFormat="1" hidden="1">
      <c r="B3580" s="155"/>
      <c r="C3580" s="155"/>
      <c r="D3580" s="155"/>
      <c r="E3580" s="155"/>
      <c r="F3580" s="155"/>
      <c r="G3580" s="155"/>
      <c r="H3580" s="155"/>
      <c r="I3580" s="155"/>
      <c r="J3580" s="155"/>
      <c r="K3580" s="155"/>
      <c r="L3580" s="155"/>
      <c r="M3580" s="155"/>
      <c r="N3580" s="155"/>
      <c r="O3580" s="155"/>
      <c r="P3580" s="155"/>
      <c r="Q3580" s="155"/>
      <c r="R3580" s="155"/>
      <c r="S3580" s="155"/>
      <c r="T3580" s="155"/>
      <c r="U3580" s="155"/>
      <c r="V3580" s="155"/>
      <c r="W3580" s="155"/>
      <c r="GL3580" s="155"/>
      <c r="GM3580" s="155"/>
      <c r="GN3580" s="155"/>
      <c r="GO3580" s="155"/>
      <c r="GP3580" s="155"/>
      <c r="GQ3580" s="155"/>
      <c r="GR3580" s="155"/>
      <c r="GS3580" s="155"/>
      <c r="GT3580" s="155"/>
      <c r="GU3580" s="155"/>
      <c r="GV3580" s="155"/>
      <c r="GW3580" s="155"/>
      <c r="GX3580" s="155"/>
      <c r="GY3580" s="155"/>
      <c r="GZ3580" s="155"/>
      <c r="HA3580" s="155"/>
      <c r="HB3580" s="155"/>
      <c r="HC3580" s="155"/>
      <c r="HD3580" s="155"/>
      <c r="HE3580" s="155"/>
    </row>
    <row r="3581" spans="2:213" s="156" customFormat="1" hidden="1">
      <c r="B3581" s="155"/>
      <c r="C3581" s="155"/>
      <c r="D3581" s="155"/>
      <c r="E3581" s="155"/>
      <c r="F3581" s="155"/>
      <c r="G3581" s="155"/>
      <c r="H3581" s="155"/>
      <c r="I3581" s="155"/>
      <c r="J3581" s="155"/>
      <c r="K3581" s="155"/>
      <c r="L3581" s="155"/>
      <c r="M3581" s="155"/>
      <c r="N3581" s="155"/>
      <c r="O3581" s="155"/>
      <c r="P3581" s="155"/>
      <c r="Q3581" s="155"/>
      <c r="R3581" s="155"/>
      <c r="S3581" s="155"/>
      <c r="T3581" s="155"/>
      <c r="U3581" s="155"/>
      <c r="V3581" s="155"/>
      <c r="W3581" s="155"/>
      <c r="GL3581" s="155"/>
      <c r="GM3581" s="155"/>
      <c r="GN3581" s="155"/>
      <c r="GO3581" s="155"/>
      <c r="GP3581" s="155"/>
      <c r="GQ3581" s="155"/>
      <c r="GR3581" s="155"/>
      <c r="GS3581" s="155"/>
      <c r="GT3581" s="155"/>
      <c r="GU3581" s="155"/>
      <c r="GV3581" s="155"/>
      <c r="GW3581" s="155"/>
      <c r="GX3581" s="155"/>
      <c r="GY3581" s="155"/>
      <c r="GZ3581" s="155"/>
      <c r="HA3581" s="155"/>
      <c r="HB3581" s="155"/>
      <c r="HC3581" s="155"/>
      <c r="HD3581" s="155"/>
      <c r="HE3581" s="155"/>
    </row>
    <row r="3582" spans="2:213" s="156" customFormat="1" hidden="1">
      <c r="B3582" s="155"/>
      <c r="C3582" s="155"/>
      <c r="D3582" s="155"/>
      <c r="E3582" s="155"/>
      <c r="F3582" s="155"/>
      <c r="G3582" s="155"/>
      <c r="H3582" s="155"/>
      <c r="I3582" s="155"/>
      <c r="J3582" s="155"/>
      <c r="K3582" s="155"/>
      <c r="L3582" s="155"/>
      <c r="M3582" s="155"/>
      <c r="N3582" s="155"/>
      <c r="O3582" s="155"/>
      <c r="P3582" s="155"/>
      <c r="Q3582" s="155"/>
      <c r="R3582" s="155"/>
      <c r="S3582" s="155"/>
      <c r="T3582" s="155"/>
      <c r="U3582" s="155"/>
      <c r="V3582" s="155"/>
      <c r="W3582" s="155"/>
      <c r="GL3582" s="155"/>
      <c r="GM3582" s="155"/>
      <c r="GN3582" s="155"/>
      <c r="GO3582" s="155"/>
      <c r="GP3582" s="155"/>
      <c r="GQ3582" s="155"/>
      <c r="GR3582" s="155"/>
      <c r="GS3582" s="155"/>
      <c r="GT3582" s="155"/>
      <c r="GU3582" s="155"/>
      <c r="GV3582" s="155"/>
      <c r="GW3582" s="155"/>
      <c r="GX3582" s="155"/>
      <c r="GY3582" s="155"/>
      <c r="GZ3582" s="155"/>
      <c r="HA3582" s="155"/>
      <c r="HB3582" s="155"/>
      <c r="HC3582" s="155"/>
      <c r="HD3582" s="155"/>
      <c r="HE3582" s="155"/>
    </row>
    <row r="3583" spans="2:213" s="156" customFormat="1" hidden="1">
      <c r="B3583" s="155"/>
      <c r="C3583" s="155"/>
      <c r="D3583" s="155"/>
      <c r="E3583" s="155"/>
      <c r="F3583" s="155"/>
      <c r="G3583" s="155"/>
      <c r="H3583" s="155"/>
      <c r="I3583" s="155"/>
      <c r="J3583" s="155"/>
      <c r="K3583" s="155"/>
      <c r="L3583" s="155"/>
      <c r="M3583" s="155"/>
      <c r="N3583" s="155"/>
      <c r="O3583" s="155"/>
      <c r="P3583" s="155"/>
      <c r="Q3583" s="155"/>
      <c r="R3583" s="155"/>
      <c r="S3583" s="155"/>
      <c r="T3583" s="155"/>
      <c r="U3583" s="155"/>
      <c r="V3583" s="155"/>
      <c r="W3583" s="155"/>
      <c r="GL3583" s="155"/>
      <c r="GM3583" s="155"/>
      <c r="GN3583" s="155"/>
      <c r="GO3583" s="155"/>
      <c r="GP3583" s="155"/>
      <c r="GQ3583" s="155"/>
      <c r="GR3583" s="155"/>
      <c r="GS3583" s="155"/>
      <c r="GT3583" s="155"/>
      <c r="GU3583" s="155"/>
      <c r="GV3583" s="155"/>
      <c r="GW3583" s="155"/>
      <c r="GX3583" s="155"/>
      <c r="GY3583" s="155"/>
      <c r="GZ3583" s="155"/>
      <c r="HA3583" s="155"/>
      <c r="HB3583" s="155"/>
      <c r="HC3583" s="155"/>
      <c r="HD3583" s="155"/>
      <c r="HE3583" s="155"/>
    </row>
    <row r="3584" spans="2:213" s="156" customFormat="1" hidden="1">
      <c r="B3584" s="155"/>
      <c r="C3584" s="155"/>
      <c r="D3584" s="155"/>
      <c r="E3584" s="155"/>
      <c r="F3584" s="155"/>
      <c r="G3584" s="155"/>
      <c r="H3584" s="155"/>
      <c r="I3584" s="155"/>
      <c r="J3584" s="155"/>
      <c r="K3584" s="155"/>
      <c r="L3584" s="155"/>
      <c r="M3584" s="155"/>
      <c r="N3584" s="155"/>
      <c r="O3584" s="155"/>
      <c r="P3584" s="155"/>
      <c r="Q3584" s="155"/>
      <c r="R3584" s="155"/>
      <c r="S3584" s="155"/>
      <c r="T3584" s="155"/>
      <c r="U3584" s="155"/>
      <c r="V3584" s="155"/>
      <c r="W3584" s="155"/>
      <c r="GL3584" s="155"/>
      <c r="GM3584" s="155"/>
      <c r="GN3584" s="155"/>
      <c r="GO3584" s="155"/>
      <c r="GP3584" s="155"/>
      <c r="GQ3584" s="155"/>
      <c r="GR3584" s="155"/>
      <c r="GS3584" s="155"/>
      <c r="GT3584" s="155"/>
      <c r="GU3584" s="155"/>
      <c r="GV3584" s="155"/>
      <c r="GW3584" s="155"/>
      <c r="GX3584" s="155"/>
      <c r="GY3584" s="155"/>
      <c r="GZ3584" s="155"/>
      <c r="HA3584" s="155"/>
      <c r="HB3584" s="155"/>
      <c r="HC3584" s="155"/>
      <c r="HD3584" s="155"/>
      <c r="HE3584" s="155"/>
    </row>
    <row r="3585" spans="2:213" s="156" customFormat="1" hidden="1">
      <c r="B3585" s="155"/>
      <c r="C3585" s="155"/>
      <c r="D3585" s="155"/>
      <c r="E3585" s="155"/>
      <c r="F3585" s="155"/>
      <c r="G3585" s="155"/>
      <c r="H3585" s="155"/>
      <c r="I3585" s="155"/>
      <c r="J3585" s="155"/>
      <c r="K3585" s="155"/>
      <c r="L3585" s="155"/>
      <c r="M3585" s="155"/>
      <c r="N3585" s="155"/>
      <c r="O3585" s="155"/>
      <c r="P3585" s="155"/>
      <c r="Q3585" s="155"/>
      <c r="R3585" s="155"/>
      <c r="S3585" s="155"/>
      <c r="T3585" s="155"/>
      <c r="U3585" s="155"/>
      <c r="V3585" s="155"/>
      <c r="W3585" s="155"/>
      <c r="GL3585" s="155"/>
      <c r="GM3585" s="155"/>
      <c r="GN3585" s="155"/>
      <c r="GO3585" s="155"/>
      <c r="GP3585" s="155"/>
      <c r="GQ3585" s="155"/>
      <c r="GR3585" s="155"/>
      <c r="GS3585" s="155"/>
      <c r="GT3585" s="155"/>
      <c r="GU3585" s="155"/>
      <c r="GV3585" s="155"/>
      <c r="GW3585" s="155"/>
      <c r="GX3585" s="155"/>
      <c r="GY3585" s="155"/>
      <c r="GZ3585" s="155"/>
      <c r="HA3585" s="155"/>
      <c r="HB3585" s="155"/>
      <c r="HC3585" s="155"/>
      <c r="HD3585" s="155"/>
      <c r="HE3585" s="155"/>
    </row>
    <row r="3586" spans="2:213" s="156" customFormat="1" hidden="1">
      <c r="B3586" s="155"/>
      <c r="C3586" s="155"/>
      <c r="D3586" s="155"/>
      <c r="E3586" s="155"/>
      <c r="F3586" s="155"/>
      <c r="G3586" s="155"/>
      <c r="H3586" s="155"/>
      <c r="I3586" s="155"/>
      <c r="J3586" s="155"/>
      <c r="K3586" s="155"/>
      <c r="L3586" s="155"/>
      <c r="M3586" s="155"/>
      <c r="N3586" s="155"/>
      <c r="O3586" s="155"/>
      <c r="P3586" s="155"/>
      <c r="Q3586" s="155"/>
      <c r="R3586" s="155"/>
      <c r="S3586" s="155"/>
      <c r="T3586" s="155"/>
      <c r="U3586" s="155"/>
      <c r="V3586" s="155"/>
      <c r="W3586" s="155"/>
      <c r="GL3586" s="155"/>
      <c r="GM3586" s="155"/>
      <c r="GN3586" s="155"/>
      <c r="GO3586" s="155"/>
      <c r="GP3586" s="155"/>
      <c r="GQ3586" s="155"/>
      <c r="GR3586" s="155"/>
      <c r="GS3586" s="155"/>
      <c r="GT3586" s="155"/>
      <c r="GU3586" s="155"/>
      <c r="GV3586" s="155"/>
      <c r="GW3586" s="155"/>
      <c r="GX3586" s="155"/>
      <c r="GY3586" s="155"/>
      <c r="GZ3586" s="155"/>
      <c r="HA3586" s="155"/>
      <c r="HB3586" s="155"/>
      <c r="HC3586" s="155"/>
      <c r="HD3586" s="155"/>
      <c r="HE3586" s="155"/>
    </row>
    <row r="3587" spans="2:213" s="156" customFormat="1" hidden="1">
      <c r="B3587" s="155"/>
      <c r="C3587" s="155"/>
      <c r="D3587" s="155"/>
      <c r="E3587" s="155"/>
      <c r="F3587" s="155"/>
      <c r="G3587" s="155"/>
      <c r="H3587" s="155"/>
      <c r="I3587" s="155"/>
      <c r="J3587" s="155"/>
      <c r="K3587" s="155"/>
      <c r="L3587" s="155"/>
      <c r="M3587" s="155"/>
      <c r="N3587" s="155"/>
      <c r="O3587" s="155"/>
      <c r="P3587" s="155"/>
      <c r="Q3587" s="155"/>
      <c r="R3587" s="155"/>
      <c r="S3587" s="155"/>
      <c r="T3587" s="155"/>
      <c r="U3587" s="155"/>
      <c r="V3587" s="155"/>
      <c r="W3587" s="155"/>
      <c r="GL3587" s="155"/>
      <c r="GM3587" s="155"/>
      <c r="GN3587" s="155"/>
      <c r="GO3587" s="155"/>
      <c r="GP3587" s="155"/>
      <c r="GQ3587" s="155"/>
      <c r="GR3587" s="155"/>
      <c r="GS3587" s="155"/>
      <c r="GT3587" s="155"/>
      <c r="GU3587" s="155"/>
      <c r="GV3587" s="155"/>
      <c r="GW3587" s="155"/>
      <c r="GX3587" s="155"/>
      <c r="GY3587" s="155"/>
      <c r="GZ3587" s="155"/>
      <c r="HA3587" s="155"/>
      <c r="HB3587" s="155"/>
      <c r="HC3587" s="155"/>
      <c r="HD3587" s="155"/>
      <c r="HE3587" s="155"/>
    </row>
    <row r="3588" spans="2:213" s="156" customFormat="1" hidden="1">
      <c r="B3588" s="155"/>
      <c r="C3588" s="155"/>
      <c r="D3588" s="155"/>
      <c r="E3588" s="155"/>
      <c r="F3588" s="155"/>
      <c r="G3588" s="155"/>
      <c r="H3588" s="155"/>
      <c r="I3588" s="155"/>
      <c r="J3588" s="155"/>
      <c r="K3588" s="155"/>
      <c r="L3588" s="155"/>
      <c r="M3588" s="155"/>
      <c r="N3588" s="155"/>
      <c r="O3588" s="155"/>
      <c r="P3588" s="155"/>
      <c r="Q3588" s="155"/>
      <c r="R3588" s="155"/>
      <c r="S3588" s="155"/>
      <c r="T3588" s="155"/>
      <c r="U3588" s="155"/>
      <c r="V3588" s="155"/>
      <c r="W3588" s="155"/>
      <c r="GL3588" s="155"/>
      <c r="GM3588" s="155"/>
      <c r="GN3588" s="155"/>
      <c r="GO3588" s="155"/>
      <c r="GP3588" s="155"/>
      <c r="GQ3588" s="155"/>
      <c r="GR3588" s="155"/>
      <c r="GS3588" s="155"/>
      <c r="GT3588" s="155"/>
      <c r="GU3588" s="155"/>
      <c r="GV3588" s="155"/>
      <c r="GW3588" s="155"/>
      <c r="GX3588" s="155"/>
      <c r="GY3588" s="155"/>
      <c r="GZ3588" s="155"/>
      <c r="HA3588" s="155"/>
      <c r="HB3588" s="155"/>
      <c r="HC3588" s="155"/>
      <c r="HD3588" s="155"/>
      <c r="HE3588" s="155"/>
    </row>
    <row r="3589" spans="2:213" s="156" customFormat="1" hidden="1">
      <c r="B3589" s="155"/>
      <c r="C3589" s="155"/>
      <c r="D3589" s="155"/>
      <c r="E3589" s="155"/>
      <c r="F3589" s="155"/>
      <c r="G3589" s="155"/>
      <c r="H3589" s="155"/>
      <c r="I3589" s="155"/>
      <c r="J3589" s="155"/>
      <c r="K3589" s="155"/>
      <c r="L3589" s="155"/>
      <c r="M3589" s="155"/>
      <c r="N3589" s="155"/>
      <c r="O3589" s="155"/>
      <c r="P3589" s="155"/>
      <c r="Q3589" s="155"/>
      <c r="R3589" s="155"/>
      <c r="S3589" s="155"/>
      <c r="T3589" s="155"/>
      <c r="U3589" s="155"/>
      <c r="V3589" s="155"/>
      <c r="W3589" s="155"/>
      <c r="GL3589" s="155"/>
      <c r="GM3589" s="155"/>
      <c r="GN3589" s="155"/>
      <c r="GO3589" s="155"/>
      <c r="GP3589" s="155"/>
      <c r="GQ3589" s="155"/>
      <c r="GR3589" s="155"/>
      <c r="GS3589" s="155"/>
      <c r="GT3589" s="155"/>
      <c r="GU3589" s="155"/>
      <c r="GV3589" s="155"/>
      <c r="GW3589" s="155"/>
      <c r="GX3589" s="155"/>
      <c r="GY3589" s="155"/>
      <c r="GZ3589" s="155"/>
      <c r="HA3589" s="155"/>
      <c r="HB3589" s="155"/>
      <c r="HC3589" s="155"/>
      <c r="HD3589" s="155"/>
      <c r="HE3589" s="155"/>
    </row>
    <row r="3590" spans="2:213" s="156" customFormat="1" hidden="1">
      <c r="B3590" s="155"/>
      <c r="C3590" s="155"/>
      <c r="D3590" s="155"/>
      <c r="E3590" s="155"/>
      <c r="F3590" s="155"/>
      <c r="G3590" s="155"/>
      <c r="H3590" s="155"/>
      <c r="I3590" s="155"/>
      <c r="J3590" s="155"/>
      <c r="K3590" s="155"/>
      <c r="L3590" s="155"/>
      <c r="M3590" s="155"/>
      <c r="N3590" s="155"/>
      <c r="O3590" s="155"/>
      <c r="P3590" s="155"/>
      <c r="Q3590" s="155"/>
      <c r="R3590" s="155"/>
      <c r="S3590" s="155"/>
      <c r="T3590" s="155"/>
      <c r="U3590" s="155"/>
      <c r="V3590" s="155"/>
      <c r="W3590" s="155"/>
      <c r="GL3590" s="155"/>
      <c r="GM3590" s="155"/>
      <c r="GN3590" s="155"/>
      <c r="GO3590" s="155"/>
      <c r="GP3590" s="155"/>
      <c r="GQ3590" s="155"/>
      <c r="GR3590" s="155"/>
      <c r="GS3590" s="155"/>
      <c r="GT3590" s="155"/>
      <c r="GU3590" s="155"/>
      <c r="GV3590" s="155"/>
      <c r="GW3590" s="155"/>
      <c r="GX3590" s="155"/>
      <c r="GY3590" s="155"/>
      <c r="GZ3590" s="155"/>
      <c r="HA3590" s="155"/>
      <c r="HB3590" s="155"/>
      <c r="HC3590" s="155"/>
      <c r="HD3590" s="155"/>
      <c r="HE3590" s="155"/>
    </row>
    <row r="3591" spans="2:213" s="156" customFormat="1" hidden="1">
      <c r="B3591" s="155"/>
      <c r="C3591" s="155"/>
      <c r="D3591" s="155"/>
      <c r="E3591" s="155"/>
      <c r="F3591" s="155"/>
      <c r="G3591" s="155"/>
      <c r="H3591" s="155"/>
      <c r="I3591" s="155"/>
      <c r="J3591" s="155"/>
      <c r="K3591" s="155"/>
      <c r="L3591" s="155"/>
      <c r="M3591" s="155"/>
      <c r="N3591" s="155"/>
      <c r="O3591" s="155"/>
      <c r="P3591" s="155"/>
      <c r="Q3591" s="155"/>
      <c r="R3591" s="155"/>
      <c r="S3591" s="155"/>
      <c r="T3591" s="155"/>
      <c r="U3591" s="155"/>
      <c r="V3591" s="155"/>
      <c r="W3591" s="155"/>
      <c r="GL3591" s="155"/>
      <c r="GM3591" s="155"/>
      <c r="GN3591" s="155"/>
      <c r="GO3591" s="155"/>
      <c r="GP3591" s="155"/>
      <c r="GQ3591" s="155"/>
      <c r="GR3591" s="155"/>
      <c r="GS3591" s="155"/>
      <c r="GT3591" s="155"/>
      <c r="GU3591" s="155"/>
      <c r="GV3591" s="155"/>
      <c r="GW3591" s="155"/>
      <c r="GX3591" s="155"/>
      <c r="GY3591" s="155"/>
      <c r="GZ3591" s="155"/>
      <c r="HA3591" s="155"/>
      <c r="HB3591" s="155"/>
      <c r="HC3591" s="155"/>
      <c r="HD3591" s="155"/>
      <c r="HE3591" s="155"/>
    </row>
    <row r="3592" spans="2:213" s="156" customFormat="1" hidden="1">
      <c r="B3592" s="155"/>
      <c r="C3592" s="155"/>
      <c r="D3592" s="155"/>
      <c r="E3592" s="155"/>
      <c r="F3592" s="155"/>
      <c r="G3592" s="155"/>
      <c r="H3592" s="155"/>
      <c r="I3592" s="155"/>
      <c r="J3592" s="155"/>
      <c r="K3592" s="155"/>
      <c r="L3592" s="155"/>
      <c r="M3592" s="155"/>
      <c r="N3592" s="155"/>
      <c r="O3592" s="155"/>
      <c r="P3592" s="155"/>
      <c r="Q3592" s="155"/>
      <c r="R3592" s="155"/>
      <c r="S3592" s="155"/>
      <c r="T3592" s="155"/>
      <c r="U3592" s="155"/>
      <c r="V3592" s="155"/>
      <c r="W3592" s="155"/>
      <c r="GL3592" s="155"/>
      <c r="GM3592" s="155"/>
      <c r="GN3592" s="155"/>
      <c r="GO3592" s="155"/>
      <c r="GP3592" s="155"/>
      <c r="GQ3592" s="155"/>
      <c r="GR3592" s="155"/>
      <c r="GS3592" s="155"/>
      <c r="GT3592" s="155"/>
      <c r="GU3592" s="155"/>
      <c r="GV3592" s="155"/>
      <c r="GW3592" s="155"/>
      <c r="GX3592" s="155"/>
      <c r="GY3592" s="155"/>
      <c r="GZ3592" s="155"/>
      <c r="HA3592" s="155"/>
      <c r="HB3592" s="155"/>
      <c r="HC3592" s="155"/>
      <c r="HD3592" s="155"/>
      <c r="HE3592" s="155"/>
    </row>
    <row r="3593" spans="2:213" s="156" customFormat="1" hidden="1">
      <c r="B3593" s="155"/>
      <c r="C3593" s="155"/>
      <c r="D3593" s="155"/>
      <c r="E3593" s="155"/>
      <c r="F3593" s="155"/>
      <c r="G3593" s="155"/>
      <c r="H3593" s="155"/>
      <c r="I3593" s="155"/>
      <c r="J3593" s="155"/>
      <c r="K3593" s="155"/>
      <c r="L3593" s="155"/>
      <c r="M3593" s="155"/>
      <c r="N3593" s="155"/>
      <c r="O3593" s="155"/>
      <c r="P3593" s="155"/>
      <c r="Q3593" s="155"/>
      <c r="R3593" s="155"/>
      <c r="S3593" s="155"/>
      <c r="T3593" s="155"/>
      <c r="U3593" s="155"/>
      <c r="V3593" s="155"/>
      <c r="W3593" s="155"/>
      <c r="GL3593" s="155"/>
      <c r="GM3593" s="155"/>
      <c r="GN3593" s="155"/>
      <c r="GO3593" s="155"/>
      <c r="GP3593" s="155"/>
      <c r="GQ3593" s="155"/>
      <c r="GR3593" s="155"/>
      <c r="GS3593" s="155"/>
      <c r="GT3593" s="155"/>
      <c r="GU3593" s="155"/>
      <c r="GV3593" s="155"/>
      <c r="GW3593" s="155"/>
      <c r="GX3593" s="155"/>
      <c r="GY3593" s="155"/>
      <c r="GZ3593" s="155"/>
      <c r="HA3593" s="155"/>
      <c r="HB3593" s="155"/>
      <c r="HC3593" s="155"/>
      <c r="HD3593" s="155"/>
      <c r="HE3593" s="155"/>
    </row>
    <row r="3594" spans="2:213" s="156" customFormat="1" hidden="1">
      <c r="B3594" s="155"/>
      <c r="C3594" s="155"/>
      <c r="D3594" s="155"/>
      <c r="E3594" s="155"/>
      <c r="F3594" s="155"/>
      <c r="G3594" s="155"/>
      <c r="H3594" s="155"/>
      <c r="I3594" s="155"/>
      <c r="J3594" s="155"/>
      <c r="K3594" s="155"/>
      <c r="L3594" s="155"/>
      <c r="M3594" s="155"/>
      <c r="N3594" s="155"/>
      <c r="O3594" s="155"/>
      <c r="P3594" s="155"/>
      <c r="Q3594" s="155"/>
      <c r="R3594" s="155"/>
      <c r="S3594" s="155"/>
      <c r="T3594" s="155"/>
      <c r="U3594" s="155"/>
      <c r="V3594" s="155"/>
      <c r="W3594" s="155"/>
      <c r="GL3594" s="155"/>
      <c r="GM3594" s="155"/>
      <c r="GN3594" s="155"/>
      <c r="GO3594" s="155"/>
      <c r="GP3594" s="155"/>
      <c r="GQ3594" s="155"/>
      <c r="GR3594" s="155"/>
      <c r="GS3594" s="155"/>
      <c r="GT3594" s="155"/>
      <c r="GU3594" s="155"/>
      <c r="GV3594" s="155"/>
      <c r="GW3594" s="155"/>
      <c r="GX3594" s="155"/>
      <c r="GY3594" s="155"/>
      <c r="GZ3594" s="155"/>
      <c r="HA3594" s="155"/>
      <c r="HB3594" s="155"/>
      <c r="HC3594" s="155"/>
      <c r="HD3594" s="155"/>
      <c r="HE3594" s="155"/>
    </row>
    <row r="3595" spans="2:213" s="156" customFormat="1" hidden="1">
      <c r="B3595" s="155"/>
      <c r="C3595" s="155"/>
      <c r="D3595" s="155"/>
      <c r="E3595" s="155"/>
      <c r="F3595" s="155"/>
      <c r="G3595" s="155"/>
      <c r="H3595" s="155"/>
      <c r="I3595" s="155"/>
      <c r="J3595" s="155"/>
      <c r="K3595" s="155"/>
      <c r="L3595" s="155"/>
      <c r="M3595" s="155"/>
      <c r="N3595" s="155"/>
      <c r="O3595" s="155"/>
      <c r="P3595" s="155"/>
      <c r="Q3595" s="155"/>
      <c r="R3595" s="155"/>
      <c r="S3595" s="155"/>
      <c r="T3595" s="155"/>
      <c r="U3595" s="155"/>
      <c r="V3595" s="155"/>
      <c r="W3595" s="155"/>
      <c r="GL3595" s="155"/>
      <c r="GM3595" s="155"/>
      <c r="GN3595" s="155"/>
      <c r="GO3595" s="155"/>
      <c r="GP3595" s="155"/>
      <c r="GQ3595" s="155"/>
      <c r="GR3595" s="155"/>
      <c r="GS3595" s="155"/>
      <c r="GT3595" s="155"/>
      <c r="GU3595" s="155"/>
      <c r="GV3595" s="155"/>
      <c r="GW3595" s="155"/>
      <c r="GX3595" s="155"/>
      <c r="GY3595" s="155"/>
      <c r="GZ3595" s="155"/>
      <c r="HA3595" s="155"/>
      <c r="HB3595" s="155"/>
      <c r="HC3595" s="155"/>
      <c r="HD3595" s="155"/>
      <c r="HE3595" s="155"/>
    </row>
    <row r="3596" spans="2:213" s="156" customFormat="1" hidden="1">
      <c r="B3596" s="155"/>
      <c r="C3596" s="155"/>
      <c r="D3596" s="155"/>
      <c r="E3596" s="155"/>
      <c r="F3596" s="155"/>
      <c r="G3596" s="155"/>
      <c r="H3596" s="155"/>
      <c r="I3596" s="155"/>
      <c r="J3596" s="155"/>
      <c r="K3596" s="155"/>
      <c r="L3596" s="155"/>
      <c r="M3596" s="155"/>
      <c r="N3596" s="155"/>
      <c r="O3596" s="155"/>
      <c r="P3596" s="155"/>
      <c r="Q3596" s="155"/>
      <c r="R3596" s="155"/>
      <c r="S3596" s="155"/>
      <c r="T3596" s="155"/>
      <c r="U3596" s="155"/>
      <c r="V3596" s="155"/>
      <c r="W3596" s="155"/>
      <c r="GL3596" s="155"/>
      <c r="GM3596" s="155"/>
      <c r="GN3596" s="155"/>
      <c r="GO3596" s="155"/>
      <c r="GP3596" s="155"/>
      <c r="GQ3596" s="155"/>
      <c r="GR3596" s="155"/>
      <c r="GS3596" s="155"/>
      <c r="GT3596" s="155"/>
      <c r="GU3596" s="155"/>
      <c r="GV3596" s="155"/>
      <c r="GW3596" s="155"/>
      <c r="GX3596" s="155"/>
      <c r="GY3596" s="155"/>
      <c r="GZ3596" s="155"/>
      <c r="HA3596" s="155"/>
      <c r="HB3596" s="155"/>
      <c r="HC3596" s="155"/>
      <c r="HD3596" s="155"/>
      <c r="HE3596" s="155"/>
    </row>
    <row r="3597" spans="2:213" s="156" customFormat="1" hidden="1">
      <c r="B3597" s="155"/>
      <c r="C3597" s="155"/>
      <c r="D3597" s="155"/>
      <c r="E3597" s="155"/>
      <c r="F3597" s="155"/>
      <c r="G3597" s="155"/>
      <c r="H3597" s="155"/>
      <c r="I3597" s="155"/>
      <c r="J3597" s="155"/>
      <c r="K3597" s="155"/>
      <c r="L3597" s="155"/>
      <c r="M3597" s="155"/>
      <c r="N3597" s="155"/>
      <c r="O3597" s="155"/>
      <c r="P3597" s="155"/>
      <c r="Q3597" s="155"/>
      <c r="R3597" s="155"/>
      <c r="S3597" s="155"/>
      <c r="T3597" s="155"/>
      <c r="U3597" s="155"/>
      <c r="V3597" s="155"/>
      <c r="W3597" s="155"/>
      <c r="GL3597" s="155"/>
      <c r="GM3597" s="155"/>
      <c r="GN3597" s="155"/>
      <c r="GO3597" s="155"/>
      <c r="GP3597" s="155"/>
      <c r="GQ3597" s="155"/>
      <c r="GR3597" s="155"/>
      <c r="GS3597" s="155"/>
      <c r="GT3597" s="155"/>
      <c r="GU3597" s="155"/>
      <c r="GV3597" s="155"/>
      <c r="GW3597" s="155"/>
      <c r="GX3597" s="155"/>
      <c r="GY3597" s="155"/>
      <c r="GZ3597" s="155"/>
      <c r="HA3597" s="155"/>
      <c r="HB3597" s="155"/>
      <c r="HC3597" s="155"/>
      <c r="HD3597" s="155"/>
      <c r="HE3597" s="155"/>
    </row>
    <row r="3598" spans="2:213" s="156" customFormat="1" hidden="1">
      <c r="B3598" s="155"/>
      <c r="C3598" s="155"/>
      <c r="D3598" s="155"/>
      <c r="E3598" s="155"/>
      <c r="F3598" s="155"/>
      <c r="G3598" s="155"/>
      <c r="H3598" s="155"/>
      <c r="I3598" s="155"/>
      <c r="J3598" s="155"/>
      <c r="K3598" s="155"/>
      <c r="L3598" s="155"/>
      <c r="M3598" s="155"/>
      <c r="N3598" s="155"/>
      <c r="O3598" s="155"/>
      <c r="P3598" s="155"/>
      <c r="Q3598" s="155"/>
      <c r="R3598" s="155"/>
      <c r="S3598" s="155"/>
      <c r="T3598" s="155"/>
      <c r="U3598" s="155"/>
      <c r="V3598" s="155"/>
      <c r="W3598" s="155"/>
      <c r="GL3598" s="155"/>
      <c r="GM3598" s="155"/>
      <c r="GN3598" s="155"/>
      <c r="GO3598" s="155"/>
      <c r="GP3598" s="155"/>
      <c r="GQ3598" s="155"/>
      <c r="GR3598" s="155"/>
      <c r="GS3598" s="155"/>
      <c r="GT3598" s="155"/>
      <c r="GU3598" s="155"/>
      <c r="GV3598" s="155"/>
      <c r="GW3598" s="155"/>
      <c r="GX3598" s="155"/>
      <c r="GY3598" s="155"/>
      <c r="GZ3598" s="155"/>
      <c r="HA3598" s="155"/>
      <c r="HB3598" s="155"/>
      <c r="HC3598" s="155"/>
      <c r="HD3598" s="155"/>
      <c r="HE3598" s="155"/>
    </row>
    <row r="3599" spans="2:213" s="156" customFormat="1" hidden="1">
      <c r="B3599" s="155"/>
      <c r="C3599" s="155"/>
      <c r="D3599" s="155"/>
      <c r="E3599" s="155"/>
      <c r="F3599" s="155"/>
      <c r="G3599" s="155"/>
      <c r="H3599" s="155"/>
      <c r="I3599" s="155"/>
      <c r="J3599" s="155"/>
      <c r="K3599" s="155"/>
      <c r="L3599" s="155"/>
      <c r="M3599" s="155"/>
      <c r="N3599" s="155"/>
      <c r="O3599" s="155"/>
      <c r="P3599" s="155"/>
      <c r="Q3599" s="155"/>
      <c r="R3599" s="155"/>
      <c r="S3599" s="155"/>
      <c r="T3599" s="155"/>
      <c r="U3599" s="155"/>
      <c r="V3599" s="155"/>
      <c r="W3599" s="155"/>
      <c r="GL3599" s="155"/>
      <c r="GM3599" s="155"/>
      <c r="GN3599" s="155"/>
      <c r="GO3599" s="155"/>
      <c r="GP3599" s="155"/>
      <c r="GQ3599" s="155"/>
      <c r="GR3599" s="155"/>
      <c r="GS3599" s="155"/>
      <c r="GT3599" s="155"/>
      <c r="GU3599" s="155"/>
      <c r="GV3599" s="155"/>
      <c r="GW3599" s="155"/>
      <c r="GX3599" s="155"/>
      <c r="GY3599" s="155"/>
      <c r="GZ3599" s="155"/>
      <c r="HA3599" s="155"/>
      <c r="HB3599" s="155"/>
      <c r="HC3599" s="155"/>
      <c r="HD3599" s="155"/>
      <c r="HE3599" s="155"/>
    </row>
    <row r="3600" spans="2:213" s="156" customFormat="1" hidden="1">
      <c r="B3600" s="155"/>
      <c r="C3600" s="155"/>
      <c r="D3600" s="155"/>
      <c r="E3600" s="155"/>
      <c r="F3600" s="155"/>
      <c r="G3600" s="155"/>
      <c r="H3600" s="155"/>
      <c r="I3600" s="155"/>
      <c r="J3600" s="155"/>
      <c r="K3600" s="155"/>
      <c r="L3600" s="155"/>
      <c r="M3600" s="155"/>
      <c r="N3600" s="155"/>
      <c r="O3600" s="155"/>
      <c r="P3600" s="155"/>
      <c r="Q3600" s="155"/>
      <c r="R3600" s="155"/>
      <c r="S3600" s="155"/>
      <c r="T3600" s="155"/>
      <c r="U3600" s="155"/>
      <c r="V3600" s="155"/>
      <c r="W3600" s="155"/>
      <c r="GL3600" s="155"/>
      <c r="GM3600" s="155"/>
      <c r="GN3600" s="155"/>
      <c r="GO3600" s="155"/>
      <c r="GP3600" s="155"/>
      <c r="GQ3600" s="155"/>
      <c r="GR3600" s="155"/>
      <c r="GS3600" s="155"/>
      <c r="GT3600" s="155"/>
      <c r="GU3600" s="155"/>
      <c r="GV3600" s="155"/>
      <c r="GW3600" s="155"/>
      <c r="GX3600" s="155"/>
      <c r="GY3600" s="155"/>
      <c r="GZ3600" s="155"/>
      <c r="HA3600" s="155"/>
      <c r="HB3600" s="155"/>
      <c r="HC3600" s="155"/>
      <c r="HD3600" s="155"/>
      <c r="HE3600" s="155"/>
    </row>
    <row r="3601" spans="2:213" s="156" customFormat="1" hidden="1">
      <c r="B3601" s="155"/>
      <c r="C3601" s="155"/>
      <c r="D3601" s="155"/>
      <c r="E3601" s="155"/>
      <c r="F3601" s="155"/>
      <c r="G3601" s="155"/>
      <c r="H3601" s="155"/>
      <c r="I3601" s="155"/>
      <c r="J3601" s="155"/>
      <c r="K3601" s="155"/>
      <c r="L3601" s="155"/>
      <c r="M3601" s="155"/>
      <c r="N3601" s="155"/>
      <c r="O3601" s="155"/>
      <c r="P3601" s="155"/>
      <c r="Q3601" s="155"/>
      <c r="R3601" s="155"/>
      <c r="S3601" s="155"/>
      <c r="T3601" s="155"/>
      <c r="U3601" s="155"/>
      <c r="V3601" s="155"/>
      <c r="W3601" s="155"/>
      <c r="GL3601" s="155"/>
      <c r="GM3601" s="155"/>
      <c r="GN3601" s="155"/>
      <c r="GO3601" s="155"/>
      <c r="GP3601" s="155"/>
      <c r="GQ3601" s="155"/>
      <c r="GR3601" s="155"/>
      <c r="GS3601" s="155"/>
      <c r="GT3601" s="155"/>
      <c r="GU3601" s="155"/>
      <c r="GV3601" s="155"/>
      <c r="GW3601" s="155"/>
      <c r="GX3601" s="155"/>
      <c r="GY3601" s="155"/>
      <c r="GZ3601" s="155"/>
      <c r="HA3601" s="155"/>
      <c r="HB3601" s="155"/>
      <c r="HC3601" s="155"/>
      <c r="HD3601" s="155"/>
      <c r="HE3601" s="155"/>
    </row>
    <row r="3602" spans="2:213" s="156" customFormat="1" hidden="1">
      <c r="B3602" s="155"/>
      <c r="C3602" s="155"/>
      <c r="D3602" s="155"/>
      <c r="E3602" s="155"/>
      <c r="F3602" s="155"/>
      <c r="G3602" s="155"/>
      <c r="H3602" s="155"/>
      <c r="I3602" s="155"/>
      <c r="J3602" s="155"/>
      <c r="K3602" s="155"/>
      <c r="L3602" s="155"/>
      <c r="M3602" s="155"/>
      <c r="N3602" s="155"/>
      <c r="O3602" s="155"/>
      <c r="P3602" s="155"/>
      <c r="Q3602" s="155"/>
      <c r="R3602" s="155"/>
      <c r="S3602" s="155"/>
      <c r="T3602" s="155"/>
      <c r="U3602" s="155"/>
      <c r="V3602" s="155"/>
      <c r="W3602" s="155"/>
      <c r="GL3602" s="155"/>
      <c r="GM3602" s="155"/>
      <c r="GN3602" s="155"/>
      <c r="GO3602" s="155"/>
      <c r="GP3602" s="155"/>
      <c r="GQ3602" s="155"/>
      <c r="GR3602" s="155"/>
      <c r="GS3602" s="155"/>
      <c r="GT3602" s="155"/>
      <c r="GU3602" s="155"/>
      <c r="GV3602" s="155"/>
      <c r="GW3602" s="155"/>
      <c r="GX3602" s="155"/>
      <c r="GY3602" s="155"/>
      <c r="GZ3602" s="155"/>
      <c r="HA3602" s="155"/>
      <c r="HB3602" s="155"/>
      <c r="HC3602" s="155"/>
      <c r="HD3602" s="155"/>
      <c r="HE3602" s="155"/>
    </row>
    <row r="3603" spans="2:213" s="156" customFormat="1" hidden="1">
      <c r="B3603" s="155"/>
      <c r="C3603" s="155"/>
      <c r="D3603" s="155"/>
      <c r="E3603" s="155"/>
      <c r="F3603" s="155"/>
      <c r="G3603" s="155"/>
      <c r="H3603" s="155"/>
      <c r="I3603" s="155"/>
      <c r="J3603" s="155"/>
      <c r="K3603" s="155"/>
      <c r="L3603" s="155"/>
      <c r="M3603" s="155"/>
      <c r="N3603" s="155"/>
      <c r="O3603" s="155"/>
      <c r="P3603" s="155"/>
      <c r="Q3603" s="155"/>
      <c r="R3603" s="155"/>
      <c r="S3603" s="155"/>
      <c r="T3603" s="155"/>
      <c r="U3603" s="155"/>
      <c r="V3603" s="155"/>
      <c r="W3603" s="155"/>
      <c r="GL3603" s="155"/>
      <c r="GM3603" s="155"/>
      <c r="GN3603" s="155"/>
      <c r="GO3603" s="155"/>
      <c r="GP3603" s="155"/>
      <c r="GQ3603" s="155"/>
      <c r="GR3603" s="155"/>
      <c r="GS3603" s="155"/>
      <c r="GT3603" s="155"/>
      <c r="GU3603" s="155"/>
      <c r="GV3603" s="155"/>
      <c r="GW3603" s="155"/>
      <c r="GX3603" s="155"/>
      <c r="GY3603" s="155"/>
      <c r="GZ3603" s="155"/>
      <c r="HA3603" s="155"/>
      <c r="HB3603" s="155"/>
      <c r="HC3603" s="155"/>
      <c r="HD3603" s="155"/>
      <c r="HE3603" s="155"/>
    </row>
    <row r="3604" spans="2:213" s="156" customFormat="1" hidden="1">
      <c r="B3604" s="155"/>
      <c r="C3604" s="155"/>
      <c r="D3604" s="155"/>
      <c r="E3604" s="155"/>
      <c r="F3604" s="155"/>
      <c r="G3604" s="155"/>
      <c r="H3604" s="155"/>
      <c r="I3604" s="155"/>
      <c r="J3604" s="155"/>
      <c r="K3604" s="155"/>
      <c r="L3604" s="155"/>
      <c r="M3604" s="155"/>
      <c r="N3604" s="155"/>
      <c r="O3604" s="155"/>
      <c r="P3604" s="155"/>
      <c r="Q3604" s="155"/>
      <c r="R3604" s="155"/>
      <c r="S3604" s="155"/>
      <c r="T3604" s="155"/>
      <c r="U3604" s="155"/>
      <c r="V3604" s="155"/>
      <c r="W3604" s="155"/>
      <c r="GL3604" s="155"/>
      <c r="GM3604" s="155"/>
      <c r="GN3604" s="155"/>
      <c r="GO3604" s="155"/>
      <c r="GP3604" s="155"/>
      <c r="GQ3604" s="155"/>
      <c r="GR3604" s="155"/>
      <c r="GS3604" s="155"/>
      <c r="GT3604" s="155"/>
      <c r="GU3604" s="155"/>
      <c r="GV3604" s="155"/>
      <c r="GW3604" s="155"/>
      <c r="GX3604" s="155"/>
      <c r="GY3604" s="155"/>
      <c r="GZ3604" s="155"/>
      <c r="HA3604" s="155"/>
      <c r="HB3604" s="155"/>
      <c r="HC3604" s="155"/>
      <c r="HD3604" s="155"/>
      <c r="HE3604" s="155"/>
    </row>
    <row r="3605" spans="2:213" s="156" customFormat="1" hidden="1">
      <c r="B3605" s="155"/>
      <c r="C3605" s="155"/>
      <c r="D3605" s="155"/>
      <c r="E3605" s="155"/>
      <c r="F3605" s="155"/>
      <c r="G3605" s="155"/>
      <c r="H3605" s="155"/>
      <c r="I3605" s="155"/>
      <c r="J3605" s="155"/>
      <c r="K3605" s="155"/>
      <c r="L3605" s="155"/>
      <c r="M3605" s="155"/>
      <c r="N3605" s="155"/>
      <c r="O3605" s="155"/>
      <c r="P3605" s="155"/>
      <c r="Q3605" s="155"/>
      <c r="R3605" s="155"/>
      <c r="S3605" s="155"/>
      <c r="T3605" s="155"/>
      <c r="U3605" s="155"/>
      <c r="V3605" s="155"/>
      <c r="W3605" s="155"/>
      <c r="GL3605" s="155"/>
      <c r="GM3605" s="155"/>
      <c r="GN3605" s="155"/>
      <c r="GO3605" s="155"/>
      <c r="GP3605" s="155"/>
      <c r="GQ3605" s="155"/>
      <c r="GR3605" s="155"/>
      <c r="GS3605" s="155"/>
      <c r="GT3605" s="155"/>
      <c r="GU3605" s="155"/>
      <c r="GV3605" s="155"/>
      <c r="GW3605" s="155"/>
      <c r="GX3605" s="155"/>
      <c r="GY3605" s="155"/>
      <c r="GZ3605" s="155"/>
      <c r="HA3605" s="155"/>
      <c r="HB3605" s="155"/>
      <c r="HC3605" s="155"/>
      <c r="HD3605" s="155"/>
      <c r="HE3605" s="155"/>
    </row>
    <row r="3606" spans="2:213" s="156" customFormat="1" hidden="1">
      <c r="B3606" s="155"/>
      <c r="C3606" s="155"/>
      <c r="D3606" s="155"/>
      <c r="E3606" s="155"/>
      <c r="F3606" s="155"/>
      <c r="G3606" s="155"/>
      <c r="H3606" s="155"/>
      <c r="I3606" s="155"/>
      <c r="J3606" s="155"/>
      <c r="K3606" s="155"/>
      <c r="L3606" s="155"/>
      <c r="M3606" s="155"/>
      <c r="N3606" s="155"/>
      <c r="O3606" s="155"/>
      <c r="P3606" s="155"/>
      <c r="Q3606" s="155"/>
      <c r="R3606" s="155"/>
      <c r="S3606" s="155"/>
      <c r="T3606" s="155"/>
      <c r="U3606" s="155"/>
      <c r="V3606" s="155"/>
      <c r="W3606" s="155"/>
      <c r="GL3606" s="155"/>
      <c r="GM3606" s="155"/>
      <c r="GN3606" s="155"/>
      <c r="GO3606" s="155"/>
      <c r="GP3606" s="155"/>
      <c r="GQ3606" s="155"/>
      <c r="GR3606" s="155"/>
      <c r="GS3606" s="155"/>
      <c r="GT3606" s="155"/>
      <c r="GU3606" s="155"/>
      <c r="GV3606" s="155"/>
      <c r="GW3606" s="155"/>
      <c r="GX3606" s="155"/>
      <c r="GY3606" s="155"/>
      <c r="GZ3606" s="155"/>
      <c r="HA3606" s="155"/>
      <c r="HB3606" s="155"/>
      <c r="HC3606" s="155"/>
      <c r="HD3606" s="155"/>
      <c r="HE3606" s="155"/>
    </row>
    <row r="3607" spans="2:213" s="156" customFormat="1" hidden="1">
      <c r="B3607" s="155"/>
      <c r="C3607" s="155"/>
      <c r="D3607" s="155"/>
      <c r="E3607" s="155"/>
      <c r="F3607" s="155"/>
      <c r="G3607" s="155"/>
      <c r="H3607" s="155"/>
      <c r="I3607" s="155"/>
      <c r="J3607" s="155"/>
      <c r="K3607" s="155"/>
      <c r="L3607" s="155"/>
      <c r="M3607" s="155"/>
      <c r="N3607" s="155"/>
      <c r="O3607" s="155"/>
      <c r="P3607" s="155"/>
      <c r="Q3607" s="155"/>
      <c r="R3607" s="155"/>
      <c r="S3607" s="155"/>
      <c r="T3607" s="155"/>
      <c r="U3607" s="155"/>
      <c r="V3607" s="155"/>
      <c r="W3607" s="155"/>
      <c r="GL3607" s="155"/>
      <c r="GM3607" s="155"/>
      <c r="GN3607" s="155"/>
      <c r="GO3607" s="155"/>
      <c r="GP3607" s="155"/>
      <c r="GQ3607" s="155"/>
      <c r="GR3607" s="155"/>
      <c r="GS3607" s="155"/>
      <c r="GT3607" s="155"/>
      <c r="GU3607" s="155"/>
      <c r="GV3607" s="155"/>
      <c r="GW3607" s="155"/>
      <c r="GX3607" s="155"/>
      <c r="GY3607" s="155"/>
      <c r="GZ3607" s="155"/>
      <c r="HA3607" s="155"/>
      <c r="HB3607" s="155"/>
      <c r="HC3607" s="155"/>
      <c r="HD3607" s="155"/>
      <c r="HE3607" s="155"/>
    </row>
    <row r="3608" spans="2:213" s="156" customFormat="1" hidden="1">
      <c r="B3608" s="155"/>
      <c r="C3608" s="155"/>
      <c r="D3608" s="155"/>
      <c r="E3608" s="155"/>
      <c r="F3608" s="155"/>
      <c r="G3608" s="155"/>
      <c r="H3608" s="155"/>
      <c r="I3608" s="155"/>
      <c r="J3608" s="155"/>
      <c r="K3608" s="155"/>
      <c r="L3608" s="155"/>
      <c r="M3608" s="155"/>
      <c r="N3608" s="155"/>
      <c r="O3608" s="155"/>
      <c r="P3608" s="155"/>
      <c r="Q3608" s="155"/>
      <c r="R3608" s="155"/>
      <c r="S3608" s="155"/>
      <c r="T3608" s="155"/>
      <c r="U3608" s="155"/>
      <c r="V3608" s="155"/>
      <c r="W3608" s="155"/>
      <c r="GL3608" s="155"/>
      <c r="GM3608" s="155"/>
      <c r="GN3608" s="155"/>
      <c r="GO3608" s="155"/>
      <c r="GP3608" s="155"/>
      <c r="GQ3608" s="155"/>
      <c r="GR3608" s="155"/>
      <c r="GS3608" s="155"/>
      <c r="GT3608" s="155"/>
      <c r="GU3608" s="155"/>
      <c r="GV3608" s="155"/>
      <c r="GW3608" s="155"/>
      <c r="GX3608" s="155"/>
      <c r="GY3608" s="155"/>
      <c r="GZ3608" s="155"/>
      <c r="HA3608" s="155"/>
      <c r="HB3608" s="155"/>
      <c r="HC3608" s="155"/>
      <c r="HD3608" s="155"/>
      <c r="HE3608" s="155"/>
    </row>
    <row r="3609" spans="2:213" s="156" customFormat="1" hidden="1">
      <c r="B3609" s="155"/>
      <c r="C3609" s="155"/>
      <c r="D3609" s="155"/>
      <c r="E3609" s="155"/>
      <c r="F3609" s="155"/>
      <c r="G3609" s="155"/>
      <c r="H3609" s="155"/>
      <c r="I3609" s="155"/>
      <c r="J3609" s="155"/>
      <c r="K3609" s="155"/>
      <c r="L3609" s="155"/>
      <c r="M3609" s="155"/>
      <c r="N3609" s="155"/>
      <c r="O3609" s="155"/>
      <c r="P3609" s="155"/>
      <c r="Q3609" s="155"/>
      <c r="R3609" s="155"/>
      <c r="S3609" s="155"/>
      <c r="T3609" s="155"/>
      <c r="U3609" s="155"/>
      <c r="V3609" s="155"/>
      <c r="W3609" s="155"/>
      <c r="GL3609" s="155"/>
      <c r="GM3609" s="155"/>
      <c r="GN3609" s="155"/>
      <c r="GO3609" s="155"/>
      <c r="GP3609" s="155"/>
      <c r="GQ3609" s="155"/>
      <c r="GR3609" s="155"/>
      <c r="GS3609" s="155"/>
      <c r="GT3609" s="155"/>
      <c r="GU3609" s="155"/>
      <c r="GV3609" s="155"/>
      <c r="GW3609" s="155"/>
      <c r="GX3609" s="155"/>
      <c r="GY3609" s="155"/>
      <c r="GZ3609" s="155"/>
      <c r="HA3609" s="155"/>
      <c r="HB3609" s="155"/>
      <c r="HC3609" s="155"/>
      <c r="HD3609" s="155"/>
      <c r="HE3609" s="155"/>
    </row>
    <row r="3610" spans="2:213" s="156" customFormat="1" hidden="1">
      <c r="B3610" s="155"/>
      <c r="C3610" s="155"/>
      <c r="D3610" s="155"/>
      <c r="E3610" s="155"/>
      <c r="F3610" s="155"/>
      <c r="G3610" s="155"/>
      <c r="H3610" s="155"/>
      <c r="I3610" s="155"/>
      <c r="J3610" s="155"/>
      <c r="K3610" s="155"/>
      <c r="L3610" s="155"/>
      <c r="M3610" s="155"/>
      <c r="N3610" s="155"/>
      <c r="O3610" s="155"/>
      <c r="P3610" s="155"/>
      <c r="Q3610" s="155"/>
      <c r="R3610" s="155"/>
      <c r="S3610" s="155"/>
      <c r="T3610" s="155"/>
      <c r="U3610" s="155"/>
      <c r="V3610" s="155"/>
      <c r="W3610" s="155"/>
      <c r="GL3610" s="155"/>
      <c r="GM3610" s="155"/>
      <c r="GN3610" s="155"/>
      <c r="GO3610" s="155"/>
      <c r="GP3610" s="155"/>
      <c r="GQ3610" s="155"/>
      <c r="GR3610" s="155"/>
      <c r="GS3610" s="155"/>
      <c r="GT3610" s="155"/>
      <c r="GU3610" s="155"/>
      <c r="GV3610" s="155"/>
      <c r="GW3610" s="155"/>
      <c r="GX3610" s="155"/>
      <c r="GY3610" s="155"/>
      <c r="GZ3610" s="155"/>
      <c r="HA3610" s="155"/>
      <c r="HB3610" s="155"/>
      <c r="HC3610" s="155"/>
      <c r="HD3610" s="155"/>
      <c r="HE3610" s="155"/>
    </row>
    <row r="3611" spans="2:213" s="156" customFormat="1" hidden="1">
      <c r="B3611" s="155"/>
      <c r="C3611" s="155"/>
      <c r="D3611" s="155"/>
      <c r="E3611" s="155"/>
      <c r="F3611" s="155"/>
      <c r="G3611" s="155"/>
      <c r="H3611" s="155"/>
      <c r="I3611" s="155"/>
      <c r="J3611" s="155"/>
      <c r="K3611" s="155"/>
      <c r="L3611" s="155"/>
      <c r="M3611" s="155"/>
      <c r="N3611" s="155"/>
      <c r="O3611" s="155"/>
      <c r="P3611" s="155"/>
      <c r="Q3611" s="155"/>
      <c r="R3611" s="155"/>
      <c r="S3611" s="155"/>
      <c r="T3611" s="155"/>
      <c r="U3611" s="155"/>
      <c r="V3611" s="155"/>
      <c r="W3611" s="155"/>
      <c r="GL3611" s="155"/>
      <c r="GM3611" s="155"/>
      <c r="GN3611" s="155"/>
      <c r="GO3611" s="155"/>
      <c r="GP3611" s="155"/>
      <c r="GQ3611" s="155"/>
      <c r="GR3611" s="155"/>
      <c r="GS3611" s="155"/>
      <c r="GT3611" s="155"/>
      <c r="GU3611" s="155"/>
      <c r="GV3611" s="155"/>
      <c r="GW3611" s="155"/>
      <c r="GX3611" s="155"/>
      <c r="GY3611" s="155"/>
      <c r="GZ3611" s="155"/>
      <c r="HA3611" s="155"/>
      <c r="HB3611" s="155"/>
      <c r="HC3611" s="155"/>
      <c r="HD3611" s="155"/>
      <c r="HE3611" s="155"/>
    </row>
    <row r="3612" spans="2:213" s="156" customFormat="1" hidden="1">
      <c r="B3612" s="155"/>
      <c r="C3612" s="155"/>
      <c r="D3612" s="155"/>
      <c r="E3612" s="155"/>
      <c r="F3612" s="155"/>
      <c r="G3612" s="155"/>
      <c r="H3612" s="155"/>
      <c r="I3612" s="155"/>
      <c r="J3612" s="155"/>
      <c r="K3612" s="155"/>
      <c r="L3612" s="155"/>
      <c r="M3612" s="155"/>
      <c r="N3612" s="155"/>
      <c r="O3612" s="155"/>
      <c r="P3612" s="155"/>
      <c r="Q3612" s="155"/>
      <c r="R3612" s="155"/>
      <c r="S3612" s="155"/>
      <c r="T3612" s="155"/>
      <c r="U3612" s="155"/>
      <c r="V3612" s="155"/>
      <c r="W3612" s="155"/>
      <c r="GL3612" s="155"/>
      <c r="GM3612" s="155"/>
      <c r="GN3612" s="155"/>
      <c r="GO3612" s="155"/>
      <c r="GP3612" s="155"/>
      <c r="GQ3612" s="155"/>
      <c r="GR3612" s="155"/>
      <c r="GS3612" s="155"/>
      <c r="GT3612" s="155"/>
      <c r="GU3612" s="155"/>
      <c r="GV3612" s="155"/>
      <c r="GW3612" s="155"/>
      <c r="GX3612" s="155"/>
      <c r="GY3612" s="155"/>
      <c r="GZ3612" s="155"/>
      <c r="HA3612" s="155"/>
      <c r="HB3612" s="155"/>
      <c r="HC3612" s="155"/>
      <c r="HD3612" s="155"/>
      <c r="HE3612" s="155"/>
    </row>
    <row r="3613" spans="2:213" s="156" customFormat="1" hidden="1">
      <c r="B3613" s="155"/>
      <c r="C3613" s="155"/>
      <c r="D3613" s="155"/>
      <c r="E3613" s="155"/>
      <c r="F3613" s="155"/>
      <c r="G3613" s="155"/>
      <c r="H3613" s="155"/>
      <c r="I3613" s="155"/>
      <c r="J3613" s="155"/>
      <c r="K3613" s="155"/>
      <c r="L3613" s="155"/>
      <c r="M3613" s="155"/>
      <c r="N3613" s="155"/>
      <c r="O3613" s="155"/>
      <c r="P3613" s="155"/>
      <c r="Q3613" s="155"/>
      <c r="R3613" s="155"/>
      <c r="S3613" s="155"/>
      <c r="T3613" s="155"/>
      <c r="U3613" s="155"/>
      <c r="V3613" s="155"/>
      <c r="W3613" s="155"/>
      <c r="GL3613" s="155"/>
      <c r="GM3613" s="155"/>
      <c r="GN3613" s="155"/>
      <c r="GO3613" s="155"/>
      <c r="GP3613" s="155"/>
      <c r="GQ3613" s="155"/>
      <c r="GR3613" s="155"/>
      <c r="GS3613" s="155"/>
      <c r="GT3613" s="155"/>
      <c r="GU3613" s="155"/>
      <c r="GV3613" s="155"/>
      <c r="GW3613" s="155"/>
      <c r="GX3613" s="155"/>
      <c r="GY3613" s="155"/>
      <c r="GZ3613" s="155"/>
      <c r="HA3613" s="155"/>
      <c r="HB3613" s="155"/>
      <c r="HC3613" s="155"/>
      <c r="HD3613" s="155"/>
      <c r="HE3613" s="155"/>
    </row>
    <row r="3614" spans="2:213" s="156" customFormat="1" hidden="1">
      <c r="B3614" s="155"/>
      <c r="C3614" s="155"/>
      <c r="D3614" s="155"/>
      <c r="E3614" s="155"/>
      <c r="F3614" s="155"/>
      <c r="G3614" s="155"/>
      <c r="H3614" s="155"/>
      <c r="I3614" s="155"/>
      <c r="J3614" s="155"/>
      <c r="K3614" s="155"/>
      <c r="L3614" s="155"/>
      <c r="M3614" s="155"/>
      <c r="N3614" s="155"/>
      <c r="O3614" s="155"/>
      <c r="P3614" s="155"/>
      <c r="Q3614" s="155"/>
      <c r="R3614" s="155"/>
      <c r="S3614" s="155"/>
      <c r="T3614" s="155"/>
      <c r="U3614" s="155"/>
      <c r="V3614" s="155"/>
      <c r="W3614" s="155"/>
      <c r="GL3614" s="155"/>
      <c r="GM3614" s="155"/>
      <c r="GN3614" s="155"/>
      <c r="GO3614" s="155"/>
      <c r="GP3614" s="155"/>
      <c r="GQ3614" s="155"/>
      <c r="GR3614" s="155"/>
      <c r="GS3614" s="155"/>
      <c r="GT3614" s="155"/>
      <c r="GU3614" s="155"/>
      <c r="GV3614" s="155"/>
      <c r="GW3614" s="155"/>
      <c r="GX3614" s="155"/>
      <c r="GY3614" s="155"/>
      <c r="GZ3614" s="155"/>
      <c r="HA3614" s="155"/>
      <c r="HB3614" s="155"/>
      <c r="HC3614" s="155"/>
      <c r="HD3614" s="155"/>
      <c r="HE3614" s="155"/>
    </row>
    <row r="3615" spans="2:213" s="156" customFormat="1" hidden="1">
      <c r="B3615" s="155"/>
      <c r="C3615" s="155"/>
      <c r="D3615" s="155"/>
      <c r="E3615" s="155"/>
      <c r="F3615" s="155"/>
      <c r="G3615" s="155"/>
      <c r="H3615" s="155"/>
      <c r="I3615" s="155"/>
      <c r="J3615" s="155"/>
      <c r="K3615" s="155"/>
      <c r="L3615" s="155"/>
      <c r="M3615" s="155"/>
      <c r="N3615" s="155"/>
      <c r="O3615" s="155"/>
      <c r="P3615" s="155"/>
      <c r="Q3615" s="155"/>
      <c r="R3615" s="155"/>
      <c r="S3615" s="155"/>
      <c r="T3615" s="155"/>
      <c r="U3615" s="155"/>
      <c r="V3615" s="155"/>
      <c r="W3615" s="155"/>
      <c r="GL3615" s="155"/>
      <c r="GM3615" s="155"/>
      <c r="GN3615" s="155"/>
      <c r="GO3615" s="155"/>
      <c r="GP3615" s="155"/>
      <c r="GQ3615" s="155"/>
      <c r="GR3615" s="155"/>
      <c r="GS3615" s="155"/>
      <c r="GT3615" s="155"/>
      <c r="GU3615" s="155"/>
      <c r="GV3615" s="155"/>
      <c r="GW3615" s="155"/>
      <c r="GX3615" s="155"/>
      <c r="GY3615" s="155"/>
      <c r="GZ3615" s="155"/>
      <c r="HA3615" s="155"/>
      <c r="HB3615" s="155"/>
      <c r="HC3615" s="155"/>
      <c r="HD3615" s="155"/>
      <c r="HE3615" s="155"/>
    </row>
    <row r="3616" spans="2:213" s="156" customFormat="1" hidden="1">
      <c r="B3616" s="155"/>
      <c r="C3616" s="155"/>
      <c r="D3616" s="155"/>
      <c r="E3616" s="155"/>
      <c r="F3616" s="155"/>
      <c r="G3616" s="155"/>
      <c r="H3616" s="155"/>
      <c r="I3616" s="155"/>
      <c r="J3616" s="155"/>
      <c r="K3616" s="155"/>
      <c r="L3616" s="155"/>
      <c r="M3616" s="155"/>
      <c r="N3616" s="155"/>
      <c r="O3616" s="155"/>
      <c r="P3616" s="155"/>
      <c r="Q3616" s="155"/>
      <c r="R3616" s="155"/>
      <c r="S3616" s="155"/>
      <c r="T3616" s="155"/>
      <c r="U3616" s="155"/>
      <c r="V3616" s="155"/>
      <c r="W3616" s="155"/>
      <c r="GL3616" s="155"/>
      <c r="GM3616" s="155"/>
      <c r="GN3616" s="155"/>
      <c r="GO3616" s="155"/>
      <c r="GP3616" s="155"/>
      <c r="GQ3616" s="155"/>
      <c r="GR3616" s="155"/>
      <c r="GS3616" s="155"/>
      <c r="GT3616" s="155"/>
      <c r="GU3616" s="155"/>
      <c r="GV3616" s="155"/>
      <c r="GW3616" s="155"/>
      <c r="GX3616" s="155"/>
      <c r="GY3616" s="155"/>
      <c r="GZ3616" s="155"/>
      <c r="HA3616" s="155"/>
      <c r="HB3616" s="155"/>
      <c r="HC3616" s="155"/>
      <c r="HD3616" s="155"/>
      <c r="HE3616" s="155"/>
    </row>
    <row r="3617" spans="2:213" s="156" customFormat="1" hidden="1">
      <c r="B3617" s="155"/>
      <c r="C3617" s="155"/>
      <c r="D3617" s="155"/>
      <c r="E3617" s="155"/>
      <c r="F3617" s="155"/>
      <c r="G3617" s="155"/>
      <c r="H3617" s="155"/>
      <c r="I3617" s="155"/>
      <c r="J3617" s="155"/>
      <c r="K3617" s="155"/>
      <c r="L3617" s="155"/>
      <c r="M3617" s="155"/>
      <c r="N3617" s="155"/>
      <c r="O3617" s="155"/>
      <c r="P3617" s="155"/>
      <c r="Q3617" s="155"/>
      <c r="R3617" s="155"/>
      <c r="S3617" s="155"/>
      <c r="T3617" s="155"/>
      <c r="U3617" s="155"/>
      <c r="V3617" s="155"/>
      <c r="W3617" s="155"/>
      <c r="GL3617" s="155"/>
      <c r="GM3617" s="155"/>
      <c r="GN3617" s="155"/>
      <c r="GO3617" s="155"/>
      <c r="GP3617" s="155"/>
      <c r="GQ3617" s="155"/>
      <c r="GR3617" s="155"/>
      <c r="GS3617" s="155"/>
      <c r="GT3617" s="155"/>
      <c r="GU3617" s="155"/>
      <c r="GV3617" s="155"/>
      <c r="GW3617" s="155"/>
      <c r="GX3617" s="155"/>
      <c r="GY3617" s="155"/>
      <c r="GZ3617" s="155"/>
      <c r="HA3617" s="155"/>
      <c r="HB3617" s="155"/>
      <c r="HC3617" s="155"/>
      <c r="HD3617" s="155"/>
      <c r="HE3617" s="155"/>
    </row>
    <row r="3618" spans="2:213" s="156" customFormat="1" hidden="1">
      <c r="B3618" s="155"/>
      <c r="C3618" s="155"/>
      <c r="D3618" s="155"/>
      <c r="E3618" s="155"/>
      <c r="F3618" s="155"/>
      <c r="G3618" s="155"/>
      <c r="H3618" s="155"/>
      <c r="I3618" s="155"/>
      <c r="J3618" s="155"/>
      <c r="K3618" s="155"/>
      <c r="L3618" s="155"/>
      <c r="M3618" s="155"/>
      <c r="N3618" s="155"/>
      <c r="O3618" s="155"/>
      <c r="P3618" s="155"/>
      <c r="Q3618" s="155"/>
      <c r="R3618" s="155"/>
      <c r="S3618" s="155"/>
      <c r="T3618" s="155"/>
      <c r="U3618" s="155"/>
      <c r="V3618" s="155"/>
      <c r="W3618" s="155"/>
      <c r="GL3618" s="155"/>
      <c r="GM3618" s="155"/>
      <c r="GN3618" s="155"/>
      <c r="GO3618" s="155"/>
      <c r="GP3618" s="155"/>
      <c r="GQ3618" s="155"/>
      <c r="GR3618" s="155"/>
      <c r="GS3618" s="155"/>
      <c r="GT3618" s="155"/>
      <c r="GU3618" s="155"/>
      <c r="GV3618" s="155"/>
      <c r="GW3618" s="155"/>
      <c r="GX3618" s="155"/>
      <c r="GY3618" s="155"/>
      <c r="GZ3618" s="155"/>
      <c r="HA3618" s="155"/>
      <c r="HB3618" s="155"/>
      <c r="HC3618" s="155"/>
      <c r="HD3618" s="155"/>
      <c r="HE3618" s="155"/>
    </row>
    <row r="3619" spans="2:213" s="156" customFormat="1" hidden="1">
      <c r="B3619" s="155"/>
      <c r="C3619" s="155"/>
      <c r="D3619" s="155"/>
      <c r="E3619" s="155"/>
      <c r="F3619" s="155"/>
      <c r="G3619" s="155"/>
      <c r="H3619" s="155"/>
      <c r="I3619" s="155"/>
      <c r="J3619" s="155"/>
      <c r="K3619" s="155"/>
      <c r="L3619" s="155"/>
      <c r="M3619" s="155"/>
      <c r="N3619" s="155"/>
      <c r="O3619" s="155"/>
      <c r="P3619" s="155"/>
      <c r="Q3619" s="155"/>
      <c r="R3619" s="155"/>
      <c r="S3619" s="155"/>
      <c r="T3619" s="155"/>
      <c r="U3619" s="155"/>
      <c r="V3619" s="155"/>
      <c r="W3619" s="155"/>
      <c r="GL3619" s="155"/>
      <c r="GM3619" s="155"/>
      <c r="GN3619" s="155"/>
      <c r="GO3619" s="155"/>
      <c r="GP3619" s="155"/>
      <c r="GQ3619" s="155"/>
      <c r="GR3619" s="155"/>
      <c r="GS3619" s="155"/>
      <c r="GT3619" s="155"/>
      <c r="GU3619" s="155"/>
      <c r="GV3619" s="155"/>
      <c r="GW3619" s="155"/>
      <c r="GX3619" s="155"/>
      <c r="GY3619" s="155"/>
      <c r="GZ3619" s="155"/>
      <c r="HA3619" s="155"/>
      <c r="HB3619" s="155"/>
      <c r="HC3619" s="155"/>
      <c r="HD3619" s="155"/>
      <c r="HE3619" s="155"/>
    </row>
    <row r="3620" spans="2:213" s="156" customFormat="1" hidden="1">
      <c r="B3620" s="155"/>
      <c r="C3620" s="155"/>
      <c r="D3620" s="155"/>
      <c r="E3620" s="155"/>
      <c r="F3620" s="155"/>
      <c r="G3620" s="155"/>
      <c r="H3620" s="155"/>
      <c r="I3620" s="155"/>
      <c r="J3620" s="155"/>
      <c r="K3620" s="155"/>
      <c r="L3620" s="155"/>
      <c r="M3620" s="155"/>
      <c r="N3620" s="155"/>
      <c r="O3620" s="155"/>
      <c r="P3620" s="155"/>
      <c r="Q3620" s="155"/>
      <c r="R3620" s="155"/>
      <c r="S3620" s="155"/>
      <c r="T3620" s="155"/>
      <c r="U3620" s="155"/>
      <c r="V3620" s="155"/>
      <c r="W3620" s="155"/>
      <c r="GL3620" s="155"/>
      <c r="GM3620" s="155"/>
      <c r="GN3620" s="155"/>
      <c r="GO3620" s="155"/>
      <c r="GP3620" s="155"/>
      <c r="GQ3620" s="155"/>
      <c r="GR3620" s="155"/>
      <c r="GS3620" s="155"/>
      <c r="GT3620" s="155"/>
      <c r="GU3620" s="155"/>
      <c r="GV3620" s="155"/>
      <c r="GW3620" s="155"/>
      <c r="GX3620" s="155"/>
      <c r="GY3620" s="155"/>
      <c r="GZ3620" s="155"/>
      <c r="HA3620" s="155"/>
      <c r="HB3620" s="155"/>
      <c r="HC3620" s="155"/>
      <c r="HD3620" s="155"/>
      <c r="HE3620" s="155"/>
    </row>
    <row r="3621" spans="2:213" s="156" customFormat="1" hidden="1">
      <c r="B3621" s="155"/>
      <c r="C3621" s="155"/>
      <c r="D3621" s="155"/>
      <c r="E3621" s="155"/>
      <c r="F3621" s="155"/>
      <c r="G3621" s="155"/>
      <c r="H3621" s="155"/>
      <c r="I3621" s="155"/>
      <c r="J3621" s="155"/>
      <c r="K3621" s="155"/>
      <c r="L3621" s="155"/>
      <c r="M3621" s="155"/>
      <c r="N3621" s="155"/>
      <c r="O3621" s="155"/>
      <c r="P3621" s="155"/>
      <c r="Q3621" s="155"/>
      <c r="R3621" s="155"/>
      <c r="S3621" s="155"/>
      <c r="T3621" s="155"/>
      <c r="U3621" s="155"/>
      <c r="V3621" s="155"/>
      <c r="W3621" s="155"/>
      <c r="GL3621" s="155"/>
      <c r="GM3621" s="155"/>
      <c r="GN3621" s="155"/>
      <c r="GO3621" s="155"/>
      <c r="GP3621" s="155"/>
      <c r="GQ3621" s="155"/>
      <c r="GR3621" s="155"/>
      <c r="GS3621" s="155"/>
      <c r="GT3621" s="155"/>
      <c r="GU3621" s="155"/>
      <c r="GV3621" s="155"/>
      <c r="GW3621" s="155"/>
      <c r="GX3621" s="155"/>
      <c r="GY3621" s="155"/>
      <c r="GZ3621" s="155"/>
      <c r="HA3621" s="155"/>
      <c r="HB3621" s="155"/>
      <c r="HC3621" s="155"/>
      <c r="HD3621" s="155"/>
      <c r="HE3621" s="155"/>
    </row>
    <row r="3622" spans="2:213" s="156" customFormat="1" hidden="1">
      <c r="B3622" s="155"/>
      <c r="C3622" s="155"/>
      <c r="D3622" s="155"/>
      <c r="E3622" s="155"/>
      <c r="F3622" s="155"/>
      <c r="G3622" s="155"/>
      <c r="H3622" s="155"/>
      <c r="I3622" s="155"/>
      <c r="J3622" s="155"/>
      <c r="K3622" s="155"/>
      <c r="L3622" s="155"/>
      <c r="M3622" s="155"/>
      <c r="N3622" s="155"/>
      <c r="O3622" s="155"/>
      <c r="P3622" s="155"/>
      <c r="Q3622" s="155"/>
      <c r="R3622" s="155"/>
      <c r="S3622" s="155"/>
      <c r="T3622" s="155"/>
      <c r="U3622" s="155"/>
      <c r="V3622" s="155"/>
      <c r="W3622" s="155"/>
      <c r="GL3622" s="155"/>
      <c r="GM3622" s="155"/>
      <c r="GN3622" s="155"/>
      <c r="GO3622" s="155"/>
      <c r="GP3622" s="155"/>
      <c r="GQ3622" s="155"/>
      <c r="GR3622" s="155"/>
      <c r="GS3622" s="155"/>
      <c r="GT3622" s="155"/>
      <c r="GU3622" s="155"/>
      <c r="GV3622" s="155"/>
      <c r="GW3622" s="155"/>
      <c r="GX3622" s="155"/>
      <c r="GY3622" s="155"/>
      <c r="GZ3622" s="155"/>
      <c r="HA3622" s="155"/>
      <c r="HB3622" s="155"/>
      <c r="HC3622" s="155"/>
      <c r="HD3622" s="155"/>
      <c r="HE3622" s="155"/>
    </row>
    <row r="3623" spans="2:213" s="156" customFormat="1" hidden="1">
      <c r="B3623" s="155"/>
      <c r="C3623" s="155"/>
      <c r="D3623" s="155"/>
      <c r="E3623" s="155"/>
      <c r="F3623" s="155"/>
      <c r="G3623" s="155"/>
      <c r="H3623" s="155"/>
      <c r="I3623" s="155"/>
      <c r="J3623" s="155"/>
      <c r="K3623" s="155"/>
      <c r="L3623" s="155"/>
      <c r="M3623" s="155"/>
      <c r="N3623" s="155"/>
      <c r="O3623" s="155"/>
      <c r="P3623" s="155"/>
      <c r="Q3623" s="155"/>
      <c r="R3623" s="155"/>
      <c r="S3623" s="155"/>
      <c r="T3623" s="155"/>
      <c r="U3623" s="155"/>
      <c r="V3623" s="155"/>
      <c r="W3623" s="155"/>
      <c r="GL3623" s="155"/>
      <c r="GM3623" s="155"/>
      <c r="GN3623" s="155"/>
      <c r="GO3623" s="155"/>
      <c r="GP3623" s="155"/>
      <c r="GQ3623" s="155"/>
      <c r="GR3623" s="155"/>
      <c r="GS3623" s="155"/>
      <c r="GT3623" s="155"/>
      <c r="GU3623" s="155"/>
      <c r="GV3623" s="155"/>
      <c r="GW3623" s="155"/>
      <c r="GX3623" s="155"/>
      <c r="GY3623" s="155"/>
      <c r="GZ3623" s="155"/>
      <c r="HA3623" s="155"/>
      <c r="HB3623" s="155"/>
      <c r="HC3623" s="155"/>
      <c r="HD3623" s="155"/>
      <c r="HE3623" s="155"/>
    </row>
    <row r="3624" spans="2:213" s="156" customFormat="1" hidden="1">
      <c r="B3624" s="155"/>
      <c r="C3624" s="155"/>
      <c r="D3624" s="155"/>
      <c r="E3624" s="155"/>
      <c r="F3624" s="155"/>
      <c r="G3624" s="155"/>
      <c r="H3624" s="155"/>
      <c r="I3624" s="155"/>
      <c r="J3624" s="155"/>
      <c r="K3624" s="155"/>
      <c r="L3624" s="155"/>
      <c r="M3624" s="155"/>
      <c r="N3624" s="155"/>
      <c r="O3624" s="155"/>
      <c r="P3624" s="155"/>
      <c r="Q3624" s="155"/>
      <c r="R3624" s="155"/>
      <c r="S3624" s="155"/>
      <c r="T3624" s="155"/>
      <c r="U3624" s="155"/>
      <c r="V3624" s="155"/>
      <c r="W3624" s="155"/>
      <c r="GL3624" s="155"/>
      <c r="GM3624" s="155"/>
      <c r="GN3624" s="155"/>
      <c r="GO3624" s="155"/>
      <c r="GP3624" s="155"/>
      <c r="GQ3624" s="155"/>
      <c r="GR3624" s="155"/>
      <c r="GS3624" s="155"/>
      <c r="GT3624" s="155"/>
      <c r="GU3624" s="155"/>
      <c r="GV3624" s="155"/>
      <c r="GW3624" s="155"/>
      <c r="GX3624" s="155"/>
      <c r="GY3624" s="155"/>
      <c r="GZ3624" s="155"/>
      <c r="HA3624" s="155"/>
      <c r="HB3624" s="155"/>
      <c r="HC3624" s="155"/>
      <c r="HD3624" s="155"/>
      <c r="HE3624" s="155"/>
    </row>
    <row r="3625" spans="2:213" s="156" customFormat="1" hidden="1">
      <c r="B3625" s="155"/>
      <c r="C3625" s="155"/>
      <c r="D3625" s="155"/>
      <c r="E3625" s="155"/>
      <c r="F3625" s="155"/>
      <c r="G3625" s="155"/>
      <c r="H3625" s="155"/>
      <c r="I3625" s="155"/>
      <c r="J3625" s="155"/>
      <c r="K3625" s="155"/>
      <c r="L3625" s="155"/>
      <c r="M3625" s="155"/>
      <c r="N3625" s="155"/>
      <c r="O3625" s="155"/>
      <c r="P3625" s="155"/>
      <c r="Q3625" s="155"/>
      <c r="R3625" s="155"/>
      <c r="S3625" s="155"/>
      <c r="T3625" s="155"/>
      <c r="U3625" s="155"/>
      <c r="V3625" s="155"/>
      <c r="W3625" s="155"/>
      <c r="GL3625" s="155"/>
      <c r="GM3625" s="155"/>
      <c r="GN3625" s="155"/>
      <c r="GO3625" s="155"/>
      <c r="GP3625" s="155"/>
      <c r="GQ3625" s="155"/>
      <c r="GR3625" s="155"/>
      <c r="GS3625" s="155"/>
      <c r="GT3625" s="155"/>
      <c r="GU3625" s="155"/>
      <c r="GV3625" s="155"/>
      <c r="GW3625" s="155"/>
      <c r="GX3625" s="155"/>
      <c r="GY3625" s="155"/>
      <c r="GZ3625" s="155"/>
      <c r="HA3625" s="155"/>
      <c r="HB3625" s="155"/>
      <c r="HC3625" s="155"/>
      <c r="HD3625" s="155"/>
      <c r="HE3625" s="155"/>
    </row>
    <row r="3626" spans="2:213" s="156" customFormat="1" hidden="1">
      <c r="B3626" s="155"/>
      <c r="C3626" s="155"/>
      <c r="D3626" s="155"/>
      <c r="E3626" s="155"/>
      <c r="F3626" s="155"/>
      <c r="G3626" s="155"/>
      <c r="H3626" s="155"/>
      <c r="I3626" s="155"/>
      <c r="J3626" s="155"/>
      <c r="K3626" s="155"/>
      <c r="L3626" s="155"/>
      <c r="M3626" s="155"/>
      <c r="N3626" s="155"/>
      <c r="O3626" s="155"/>
      <c r="P3626" s="155"/>
      <c r="Q3626" s="155"/>
      <c r="R3626" s="155"/>
      <c r="S3626" s="155"/>
      <c r="T3626" s="155"/>
      <c r="U3626" s="155"/>
      <c r="V3626" s="155"/>
      <c r="W3626" s="155"/>
      <c r="GL3626" s="155"/>
      <c r="GM3626" s="155"/>
      <c r="GN3626" s="155"/>
      <c r="GO3626" s="155"/>
      <c r="GP3626" s="155"/>
      <c r="GQ3626" s="155"/>
      <c r="GR3626" s="155"/>
      <c r="GS3626" s="155"/>
      <c r="GT3626" s="155"/>
      <c r="GU3626" s="155"/>
      <c r="GV3626" s="155"/>
      <c r="GW3626" s="155"/>
      <c r="GX3626" s="155"/>
      <c r="GY3626" s="155"/>
      <c r="GZ3626" s="155"/>
      <c r="HA3626" s="155"/>
      <c r="HB3626" s="155"/>
      <c r="HC3626" s="155"/>
      <c r="HD3626" s="155"/>
      <c r="HE3626" s="155"/>
    </row>
    <row r="3627" spans="2:213" s="156" customFormat="1" hidden="1">
      <c r="B3627" s="155"/>
      <c r="C3627" s="155"/>
      <c r="D3627" s="155"/>
      <c r="E3627" s="155"/>
      <c r="F3627" s="155"/>
      <c r="G3627" s="155"/>
      <c r="H3627" s="155"/>
      <c r="I3627" s="155"/>
      <c r="J3627" s="155"/>
      <c r="K3627" s="155"/>
      <c r="L3627" s="155"/>
      <c r="M3627" s="155"/>
      <c r="N3627" s="155"/>
      <c r="O3627" s="155"/>
      <c r="P3627" s="155"/>
      <c r="Q3627" s="155"/>
      <c r="R3627" s="155"/>
      <c r="S3627" s="155"/>
      <c r="T3627" s="155"/>
      <c r="U3627" s="155"/>
      <c r="V3627" s="155"/>
      <c r="W3627" s="155"/>
      <c r="GL3627" s="155"/>
      <c r="GM3627" s="155"/>
      <c r="GN3627" s="155"/>
      <c r="GO3627" s="155"/>
      <c r="GP3627" s="155"/>
      <c r="GQ3627" s="155"/>
      <c r="GR3627" s="155"/>
      <c r="GS3627" s="155"/>
      <c r="GT3627" s="155"/>
      <c r="GU3627" s="155"/>
      <c r="GV3627" s="155"/>
      <c r="GW3627" s="155"/>
      <c r="GX3627" s="155"/>
      <c r="GY3627" s="155"/>
      <c r="GZ3627" s="155"/>
      <c r="HA3627" s="155"/>
      <c r="HB3627" s="155"/>
      <c r="HC3627" s="155"/>
      <c r="HD3627" s="155"/>
      <c r="HE3627" s="155"/>
    </row>
    <row r="3628" spans="2:213" s="156" customFormat="1" hidden="1">
      <c r="B3628" s="155"/>
      <c r="C3628" s="155"/>
      <c r="D3628" s="155"/>
      <c r="E3628" s="155"/>
      <c r="F3628" s="155"/>
      <c r="G3628" s="155"/>
      <c r="H3628" s="155"/>
      <c r="I3628" s="155"/>
      <c r="J3628" s="155"/>
      <c r="K3628" s="155"/>
      <c r="L3628" s="155"/>
      <c r="M3628" s="155"/>
      <c r="N3628" s="155"/>
      <c r="O3628" s="155"/>
      <c r="P3628" s="155"/>
      <c r="Q3628" s="155"/>
      <c r="R3628" s="155"/>
      <c r="S3628" s="155"/>
      <c r="T3628" s="155"/>
      <c r="U3628" s="155"/>
      <c r="V3628" s="155"/>
      <c r="W3628" s="155"/>
      <c r="GL3628" s="155"/>
      <c r="GM3628" s="155"/>
      <c r="GN3628" s="155"/>
      <c r="GO3628" s="155"/>
      <c r="GP3628" s="155"/>
      <c r="GQ3628" s="155"/>
      <c r="GR3628" s="155"/>
      <c r="GS3628" s="155"/>
      <c r="GT3628" s="155"/>
      <c r="GU3628" s="155"/>
      <c r="GV3628" s="155"/>
      <c r="GW3628" s="155"/>
      <c r="GX3628" s="155"/>
      <c r="GY3628" s="155"/>
      <c r="GZ3628" s="155"/>
      <c r="HA3628" s="155"/>
      <c r="HB3628" s="155"/>
      <c r="HC3628" s="155"/>
      <c r="HD3628" s="155"/>
      <c r="HE3628" s="155"/>
    </row>
  </sheetData>
  <sheetProtection algorithmName="SHA-512" hashValue="m+88P2Zr4fUy9FFUvJ9HkULGSy8PB9tlgdVPM7Z+EnrPq5Bft/HwiAZRXBQo9FNNt83rT4PSUYXAkg614xpbSg==" saltValue="EPKrrUEWMhxQWuG+kYU0HA==" spinCount="100000" sheet="1" objects="1" scenarios="1"/>
  <mergeCells count="1">
    <mergeCell ref="B1:W1"/>
  </mergeCells>
  <pageMargins left="0.7" right="0.7" top="0.75" bottom="0.75" header="0.3" footer="0.3"/>
  <pageSetup paperSize="9" scale="4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5BE4F-5796-4FF5-B000-CD6304196860}">
  <sheetPr codeName="Sheet9">
    <pageSetUpPr fitToPage="1"/>
  </sheetPr>
  <dimension ref="A1:GK35"/>
  <sheetViews>
    <sheetView showGridLines="0" workbookViewId="0">
      <selection activeCell="F4" sqref="F4"/>
    </sheetView>
  </sheetViews>
  <sheetFormatPr defaultColWidth="0" defaultRowHeight="14.4" zeroHeight="1"/>
  <cols>
    <col min="1" max="1" width="9.109375" style="23" customWidth="1"/>
    <col min="2" max="2" width="34" customWidth="1"/>
    <col min="3" max="5" width="14.109375" customWidth="1"/>
    <col min="6" max="6" width="9.109375" customWidth="1"/>
    <col min="7" max="193" width="0" hidden="1" customWidth="1"/>
    <col min="194" max="16384" width="9.109375" hidden="1"/>
  </cols>
  <sheetData>
    <row r="1" spans="1:193" s="155" customFormat="1" ht="21">
      <c r="A1" s="307" t="s">
        <v>3258</v>
      </c>
      <c r="B1" s="307"/>
      <c r="C1" s="307"/>
      <c r="D1" s="307"/>
      <c r="E1" s="307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156"/>
      <c r="BO1" s="156"/>
      <c r="BP1" s="156"/>
      <c r="BQ1" s="156"/>
      <c r="BR1" s="156"/>
      <c r="BS1" s="156"/>
      <c r="BT1" s="156"/>
      <c r="BU1" s="156"/>
      <c r="BV1" s="156"/>
      <c r="BW1" s="156"/>
      <c r="BX1" s="156"/>
      <c r="BY1" s="156"/>
      <c r="BZ1" s="156"/>
      <c r="CA1" s="156"/>
      <c r="CB1" s="156"/>
      <c r="CC1" s="156"/>
      <c r="CD1" s="156"/>
      <c r="CE1" s="156"/>
      <c r="CF1" s="156"/>
      <c r="CG1" s="156"/>
      <c r="CH1" s="156"/>
      <c r="CI1" s="156"/>
      <c r="CJ1" s="156"/>
      <c r="CK1" s="156"/>
      <c r="CL1" s="156"/>
      <c r="CM1" s="156"/>
      <c r="CN1" s="156"/>
      <c r="CO1" s="156"/>
      <c r="CP1" s="156"/>
      <c r="CQ1" s="156"/>
      <c r="CR1" s="156"/>
      <c r="CS1" s="156"/>
      <c r="CT1" s="156"/>
      <c r="CU1" s="156"/>
      <c r="CV1" s="156"/>
      <c r="CW1" s="156"/>
      <c r="CX1" s="156"/>
      <c r="CY1" s="156"/>
      <c r="CZ1" s="156"/>
      <c r="DA1" s="156"/>
      <c r="DB1" s="156"/>
      <c r="DC1" s="156"/>
      <c r="DD1" s="156"/>
      <c r="DE1" s="156"/>
      <c r="DF1" s="156"/>
      <c r="DG1" s="156"/>
      <c r="DH1" s="156"/>
      <c r="DI1" s="156"/>
      <c r="DJ1" s="156"/>
      <c r="DK1" s="156"/>
      <c r="DL1" s="156"/>
      <c r="DM1" s="156"/>
      <c r="DN1" s="156"/>
      <c r="DO1" s="156"/>
      <c r="DP1" s="156"/>
      <c r="DQ1" s="156"/>
      <c r="DR1" s="156"/>
      <c r="DS1" s="156"/>
      <c r="DT1" s="156"/>
      <c r="DU1" s="156"/>
      <c r="DV1" s="156"/>
      <c r="DW1" s="156"/>
      <c r="DX1" s="156"/>
      <c r="DY1" s="156"/>
      <c r="DZ1" s="156"/>
      <c r="EA1" s="156"/>
      <c r="EB1" s="156"/>
      <c r="EC1" s="156"/>
      <c r="ED1" s="156"/>
      <c r="EE1" s="156"/>
      <c r="EF1" s="156"/>
      <c r="EG1" s="156"/>
      <c r="EH1" s="156"/>
      <c r="EI1" s="156"/>
      <c r="EJ1" s="156"/>
      <c r="EK1" s="156"/>
      <c r="EL1" s="156"/>
      <c r="EM1" s="156"/>
      <c r="EN1" s="156"/>
      <c r="EO1" s="156"/>
      <c r="EP1" s="156"/>
      <c r="EQ1" s="156"/>
      <c r="ER1" s="156"/>
      <c r="ES1" s="156"/>
      <c r="ET1" s="156"/>
      <c r="EU1" s="156"/>
      <c r="EV1" s="156"/>
      <c r="EW1" s="156"/>
      <c r="EX1" s="156"/>
      <c r="EY1" s="156"/>
      <c r="EZ1" s="156"/>
      <c r="FA1" s="156"/>
      <c r="FB1" s="156"/>
      <c r="FC1" s="156"/>
      <c r="FD1" s="156"/>
      <c r="FE1" s="156"/>
      <c r="FF1" s="156"/>
      <c r="FG1" s="156"/>
      <c r="FH1" s="156"/>
      <c r="FI1" s="156"/>
      <c r="FJ1" s="156"/>
      <c r="FK1" s="156"/>
      <c r="FL1" s="156"/>
      <c r="FM1" s="156"/>
      <c r="FN1" s="156"/>
      <c r="FO1" s="156"/>
      <c r="FP1" s="156"/>
      <c r="FQ1" s="156"/>
      <c r="FR1" s="156"/>
      <c r="FS1" s="156"/>
      <c r="FT1" s="156"/>
      <c r="FU1" s="156"/>
      <c r="FV1" s="156"/>
      <c r="FW1" s="156"/>
      <c r="FX1" s="156"/>
      <c r="FY1" s="156"/>
      <c r="FZ1" s="156"/>
      <c r="GA1" s="156"/>
      <c r="GB1" s="156"/>
      <c r="GC1" s="156"/>
      <c r="GD1" s="156"/>
      <c r="GE1" s="156"/>
      <c r="GF1" s="156"/>
      <c r="GG1" s="156"/>
      <c r="GH1" s="156"/>
      <c r="GI1" s="156"/>
      <c r="GJ1" s="156"/>
      <c r="GK1" s="156"/>
    </row>
    <row r="2" spans="1:193"/>
    <row r="3" spans="1:193">
      <c r="E3" s="23" t="s">
        <v>38</v>
      </c>
    </row>
    <row r="4" spans="1:193" ht="72">
      <c r="A4" s="192" t="s">
        <v>3259</v>
      </c>
      <c r="B4" s="117" t="s">
        <v>3260</v>
      </c>
      <c r="C4" s="24" t="s">
        <v>43</v>
      </c>
      <c r="D4" s="24" t="s">
        <v>44</v>
      </c>
      <c r="E4" s="24" t="s">
        <v>45</v>
      </c>
    </row>
    <row r="5" spans="1:193">
      <c r="A5" s="193"/>
      <c r="B5" s="193" t="s">
        <v>3261</v>
      </c>
      <c r="C5" s="194">
        <f>+C6+C9+C11+C14+C25+C28+C30</f>
        <v>6260783</v>
      </c>
      <c r="D5" s="194">
        <f t="shared" ref="D5:E5" si="0">+D6+D9+D11+D14+D25+D28+D30</f>
        <v>6420263</v>
      </c>
      <c r="E5" s="194">
        <f t="shared" si="0"/>
        <v>159480</v>
      </c>
    </row>
    <row r="6" spans="1:193">
      <c r="A6" s="195">
        <v>1</v>
      </c>
      <c r="B6" s="124" t="s">
        <v>3262</v>
      </c>
      <c r="C6" s="196">
        <f>+C7+C8</f>
        <v>4077829</v>
      </c>
      <c r="D6" s="196">
        <f t="shared" ref="D6:E6" si="1">+D7+D8</f>
        <v>3776143</v>
      </c>
      <c r="E6" s="196">
        <f t="shared" si="1"/>
        <v>-301686</v>
      </c>
    </row>
    <row r="7" spans="1:193">
      <c r="A7" s="197">
        <v>11</v>
      </c>
      <c r="B7" s="120" t="s">
        <v>3263</v>
      </c>
      <c r="C7" s="198">
        <f>+'A.2 RASHODI'!E4</f>
        <v>4058907</v>
      </c>
      <c r="D7" s="198">
        <f>+'A.2 RASHODI'!E21</f>
        <v>3761898</v>
      </c>
      <c r="E7" s="198">
        <f>+'A.2 RASHODI'!E38</f>
        <v>-297009</v>
      </c>
    </row>
    <row r="8" spans="1:193">
      <c r="A8" s="197">
        <v>12</v>
      </c>
      <c r="B8" s="120" t="s">
        <v>125</v>
      </c>
      <c r="C8" s="198">
        <f>+'A.2 RASHODI'!F4</f>
        <v>18922</v>
      </c>
      <c r="D8" s="198">
        <f>+'A.2 RASHODI'!F21</f>
        <v>14245</v>
      </c>
      <c r="E8" s="198">
        <f>+'A.2 RASHODI'!F38</f>
        <v>-4677</v>
      </c>
    </row>
    <row r="9" spans="1:193">
      <c r="A9" s="195">
        <v>3</v>
      </c>
      <c r="B9" s="124" t="s">
        <v>3264</v>
      </c>
      <c r="C9" s="196">
        <f>+C10</f>
        <v>841135</v>
      </c>
      <c r="D9" s="196">
        <f t="shared" ref="D9:E9" si="2">+D10</f>
        <v>884690</v>
      </c>
      <c r="E9" s="196">
        <f t="shared" si="2"/>
        <v>43555</v>
      </c>
    </row>
    <row r="10" spans="1:193">
      <c r="A10" s="197">
        <v>31</v>
      </c>
      <c r="B10" s="120" t="s">
        <v>3265</v>
      </c>
      <c r="C10" s="198">
        <f>+'A.2 RASHODI'!G4</f>
        <v>841135</v>
      </c>
      <c r="D10" s="198">
        <f>+'A.2 RASHODI'!G21</f>
        <v>884690</v>
      </c>
      <c r="E10" s="198">
        <f>+'A.2 RASHODI'!G38</f>
        <v>43555</v>
      </c>
    </row>
    <row r="11" spans="1:193">
      <c r="A11" s="195">
        <v>4</v>
      </c>
      <c r="B11" s="124" t="s">
        <v>3266</v>
      </c>
      <c r="C11" s="196">
        <f>+C12+C13</f>
        <v>750798</v>
      </c>
      <c r="D11" s="196">
        <f t="shared" ref="D11:E11" si="3">+D12+D13</f>
        <v>800082</v>
      </c>
      <c r="E11" s="196">
        <f t="shared" si="3"/>
        <v>49284</v>
      </c>
    </row>
    <row r="12" spans="1:193">
      <c r="A12" s="197">
        <v>41</v>
      </c>
      <c r="B12" s="120" t="s">
        <v>128</v>
      </c>
      <c r="C12" s="198">
        <f>+'A.2 RASHODI'!H4</f>
        <v>0</v>
      </c>
      <c r="D12" s="198">
        <f>+'A.2 RASHODI'!H21</f>
        <v>0</v>
      </c>
      <c r="E12" s="198">
        <f>+'A.2 RASHODI'!H38</f>
        <v>0</v>
      </c>
    </row>
    <row r="13" spans="1:193">
      <c r="A13" s="197">
        <v>43</v>
      </c>
      <c r="B13" s="120" t="s">
        <v>3267</v>
      </c>
      <c r="C13" s="198">
        <f>+'A.2 RASHODI'!I4</f>
        <v>750798</v>
      </c>
      <c r="D13" s="198">
        <f>+'A.2 RASHODI'!I21</f>
        <v>800082</v>
      </c>
      <c r="E13" s="198">
        <f>+'A.2 RASHODI'!I38</f>
        <v>49284</v>
      </c>
    </row>
    <row r="14" spans="1:193">
      <c r="A14" s="195">
        <v>5</v>
      </c>
      <c r="B14" s="124" t="s">
        <v>3268</v>
      </c>
      <c r="C14" s="196">
        <f>SUM(C15:C24)</f>
        <v>582013</v>
      </c>
      <c r="D14" s="196">
        <f t="shared" ref="D14:E14" si="4">SUM(D15:D24)</f>
        <v>938039</v>
      </c>
      <c r="E14" s="196">
        <f t="shared" si="4"/>
        <v>356026</v>
      </c>
    </row>
    <row r="15" spans="1:193">
      <c r="A15" s="197">
        <v>51</v>
      </c>
      <c r="B15" s="120" t="s">
        <v>3269</v>
      </c>
      <c r="C15" s="198">
        <f>+'A.2 RASHODI'!J4</f>
        <v>352512</v>
      </c>
      <c r="D15" s="198">
        <f>+'A.2 RASHODI'!J21</f>
        <v>671268</v>
      </c>
      <c r="E15" s="198">
        <f>+'A.2 RASHODI'!J38</f>
        <v>318756</v>
      </c>
    </row>
    <row r="16" spans="1:193">
      <c r="A16" s="197">
        <v>52</v>
      </c>
      <c r="B16" s="120" t="s">
        <v>3270</v>
      </c>
      <c r="C16" s="198">
        <f>+'A.2 RASHODI'!K4</f>
        <v>122277</v>
      </c>
      <c r="D16" s="198">
        <f>+'A.2 RASHODI'!K21</f>
        <v>186054</v>
      </c>
      <c r="E16" s="198">
        <f>+'A.2 RASHODI'!K38</f>
        <v>63777</v>
      </c>
    </row>
    <row r="17" spans="1:5">
      <c r="A17" s="197">
        <v>552</v>
      </c>
      <c r="B17" s="120" t="s">
        <v>3271</v>
      </c>
      <c r="C17" s="198">
        <f>+'A.2 RASHODI'!L4</f>
        <v>0</v>
      </c>
      <c r="D17" s="198">
        <f>+'A.2 RASHODI'!L21</f>
        <v>0</v>
      </c>
      <c r="E17" s="198">
        <f>+'A.2 RASHODI'!L38</f>
        <v>0</v>
      </c>
    </row>
    <row r="18" spans="1:5">
      <c r="A18" s="197">
        <v>559</v>
      </c>
      <c r="B18" s="120" t="s">
        <v>3272</v>
      </c>
      <c r="C18" s="198">
        <f>+'A.2 RASHODI'!M4</f>
        <v>0</v>
      </c>
      <c r="D18" s="198">
        <f>+'A.2 RASHODI'!M21</f>
        <v>0</v>
      </c>
      <c r="E18" s="198">
        <f>+'A.2 RASHODI'!M38</f>
        <v>0</v>
      </c>
    </row>
    <row r="19" spans="1:5">
      <c r="A19" s="197">
        <v>561</v>
      </c>
      <c r="B19" s="120" t="s">
        <v>141</v>
      </c>
      <c r="C19" s="198">
        <f>+'A.2 RASHODI'!N4</f>
        <v>107224</v>
      </c>
      <c r="D19" s="198">
        <f>+'A.2 RASHODI'!N21</f>
        <v>80717</v>
      </c>
      <c r="E19" s="198">
        <f>+'A.2 RASHODI'!N38</f>
        <v>-26507</v>
      </c>
    </row>
    <row r="20" spans="1:5">
      <c r="A20" s="197">
        <v>563</v>
      </c>
      <c r="B20" s="120" t="s">
        <v>156</v>
      </c>
      <c r="C20" s="198">
        <f>+'A.2 RASHODI'!O4</f>
        <v>0</v>
      </c>
      <c r="D20" s="198">
        <f>+'A.2 RASHODI'!O21</f>
        <v>0</v>
      </c>
      <c r="E20" s="198">
        <f>+'A.2 RASHODI'!O38</f>
        <v>0</v>
      </c>
    </row>
    <row r="21" spans="1:5" ht="27.6">
      <c r="A21" s="197">
        <v>573</v>
      </c>
      <c r="B21" s="120" t="s">
        <v>146</v>
      </c>
      <c r="C21" s="198">
        <f>+'A.2 RASHODI'!P4</f>
        <v>0</v>
      </c>
      <c r="D21" s="198">
        <f>+'A.2 RASHODI'!P21</f>
        <v>0</v>
      </c>
      <c r="E21" s="198">
        <f>+'A.2 RASHODI'!P38</f>
        <v>0</v>
      </c>
    </row>
    <row r="22" spans="1:5">
      <c r="A22" s="197">
        <v>575</v>
      </c>
      <c r="B22" s="120" t="s">
        <v>149</v>
      </c>
      <c r="C22" s="198">
        <f>+'A.2 RASHODI'!Q4</f>
        <v>0</v>
      </c>
      <c r="D22" s="198">
        <f>+'A.2 RASHODI'!Q21</f>
        <v>0</v>
      </c>
      <c r="E22" s="198">
        <f>+'A.2 RASHODI'!Q38</f>
        <v>0</v>
      </c>
    </row>
    <row r="23" spans="1:5">
      <c r="A23" s="197">
        <v>576</v>
      </c>
      <c r="B23" s="120" t="s">
        <v>1066</v>
      </c>
      <c r="C23" s="198">
        <f>+'A.2 RASHODI'!R4</f>
        <v>0</v>
      </c>
      <c r="D23" s="198">
        <f>+'A.2 RASHODI'!R21</f>
        <v>0</v>
      </c>
      <c r="E23" s="198">
        <f>+'A.2 RASHODI'!R38</f>
        <v>0</v>
      </c>
    </row>
    <row r="24" spans="1:5">
      <c r="A24" s="197">
        <v>581</v>
      </c>
      <c r="B24" s="120" t="s">
        <v>155</v>
      </c>
      <c r="C24" s="198">
        <f>+'A.2 RASHODI'!S4</f>
        <v>0</v>
      </c>
      <c r="D24" s="198">
        <f>+'A.2 RASHODI'!S21</f>
        <v>0</v>
      </c>
      <c r="E24" s="198">
        <f>+'A.2 RASHODI'!S38</f>
        <v>0</v>
      </c>
    </row>
    <row r="25" spans="1:5">
      <c r="A25" s="195">
        <v>6</v>
      </c>
      <c r="B25" s="124" t="s">
        <v>3273</v>
      </c>
      <c r="C25" s="196">
        <f>+C26+C27</f>
        <v>8212</v>
      </c>
      <c r="D25" s="196">
        <f t="shared" ref="D25:E25" si="5">+D26+D27</f>
        <v>20587</v>
      </c>
      <c r="E25" s="196">
        <f t="shared" si="5"/>
        <v>12375</v>
      </c>
    </row>
    <row r="26" spans="1:5">
      <c r="A26" s="197">
        <v>61</v>
      </c>
      <c r="B26" s="120" t="s">
        <v>209</v>
      </c>
      <c r="C26" s="198">
        <f>+'A.2 RASHODI'!T4</f>
        <v>8212</v>
      </c>
      <c r="D26" s="198">
        <f>+'A.2 RASHODI'!T21</f>
        <v>20587</v>
      </c>
      <c r="E26" s="198">
        <f>+'A.2 RASHODI'!T38</f>
        <v>12375</v>
      </c>
    </row>
    <row r="27" spans="1:5">
      <c r="A27" s="197">
        <v>63</v>
      </c>
      <c r="B27" s="120" t="s">
        <v>3274</v>
      </c>
      <c r="C27" s="198">
        <f>+'A.2 RASHODI'!U4</f>
        <v>0</v>
      </c>
      <c r="D27" s="198">
        <f>+'A.2 RASHODI'!U21</f>
        <v>0</v>
      </c>
      <c r="E27" s="198">
        <f>+'A.2 RASHODI'!U38</f>
        <v>0</v>
      </c>
    </row>
    <row r="28" spans="1:5" ht="41.4">
      <c r="A28" s="195">
        <v>7</v>
      </c>
      <c r="B28" s="124" t="s">
        <v>3275</v>
      </c>
      <c r="C28" s="196">
        <f>+C29</f>
        <v>796</v>
      </c>
      <c r="D28" s="196">
        <f t="shared" ref="D28:E28" si="6">+D29</f>
        <v>722</v>
      </c>
      <c r="E28" s="196">
        <f t="shared" si="6"/>
        <v>-74</v>
      </c>
    </row>
    <row r="29" spans="1:5" ht="27.6">
      <c r="A29" s="197">
        <v>71</v>
      </c>
      <c r="B29" s="120" t="s">
        <v>3276</v>
      </c>
      <c r="C29" s="198">
        <f>+'A.2 RASHODI'!V4</f>
        <v>796</v>
      </c>
      <c r="D29" s="198">
        <f>+'A.2 RASHODI'!V21</f>
        <v>722</v>
      </c>
      <c r="E29" s="198">
        <f>+'A.2 RASHODI'!V38</f>
        <v>-74</v>
      </c>
    </row>
    <row r="30" spans="1:5">
      <c r="A30" s="195">
        <v>8</v>
      </c>
      <c r="B30" s="124" t="s">
        <v>3277</v>
      </c>
      <c r="C30" s="196">
        <f>+C31</f>
        <v>0</v>
      </c>
      <c r="D30" s="196">
        <f t="shared" ref="D30:E30" si="7">+D31</f>
        <v>0</v>
      </c>
      <c r="E30" s="196">
        <f t="shared" si="7"/>
        <v>0</v>
      </c>
    </row>
    <row r="31" spans="1:5">
      <c r="A31" s="197">
        <v>81</v>
      </c>
      <c r="B31" s="120" t="s">
        <v>164</v>
      </c>
      <c r="C31" s="198">
        <f>+'A.2 RASHODI'!W4</f>
        <v>0</v>
      </c>
      <c r="D31" s="198">
        <f>+'A.2 RASHODI'!W21</f>
        <v>0</v>
      </c>
      <c r="E31" s="198">
        <f>+'A.2 RASHODI'!W38</f>
        <v>0</v>
      </c>
    </row>
    <row r="32" spans="1:5">
      <c r="B32" s="199"/>
    </row>
    <row r="33" spans="2:2">
      <c r="B33" s="199"/>
    </row>
    <row r="34" spans="2:2" ht="18" hidden="1" customHeight="1">
      <c r="B34" s="199"/>
    </row>
    <row r="35" spans="2:2" hidden="1">
      <c r="B35" s="199"/>
    </row>
  </sheetData>
  <sheetProtection algorithmName="SHA-512" hashValue="0pagnGTIOB/kZBKdl6dYWy2Zm8UVkPAtbCTD1nGH0+Plx3fFF8ulRVy2cIjlai0Nz6HDJf7erRQ21D628CjZ4A==" saltValue="cEwqaz4lzbyMs8tpMH4Fww==" spinCount="100000" sheet="1" objects="1" scenarios="1"/>
  <mergeCells count="1">
    <mergeCell ref="A1:E1"/>
  </mergeCells>
  <pageMargins left="0.7" right="0.7" top="0.75" bottom="0.75" header="0.3" footer="0.3"/>
  <pageSetup paperSize="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869B9-36C2-4759-A613-F204114EA5D4}">
  <sheetPr codeName="Sheet10"/>
  <dimension ref="A1:GK87"/>
  <sheetViews>
    <sheetView showGridLines="0" topLeftCell="A37" workbookViewId="0">
      <selection activeCell="C70" sqref="C70"/>
    </sheetView>
  </sheetViews>
  <sheetFormatPr defaultColWidth="0" defaultRowHeight="14.4" zeroHeight="1"/>
  <cols>
    <col min="1" max="1" width="9.33203125" style="200" bestFit="1" customWidth="1"/>
    <col min="2" max="2" width="41.88671875" style="199" customWidth="1"/>
    <col min="3" max="5" width="15.88671875" customWidth="1"/>
    <col min="6" max="8" width="9.109375" customWidth="1"/>
    <col min="9" max="193" width="0" hidden="1" customWidth="1"/>
    <col min="194" max="16384" width="9.109375" hidden="1"/>
  </cols>
  <sheetData>
    <row r="1" spans="1:193" s="155" customFormat="1" ht="24" customHeight="1">
      <c r="A1" s="307" t="s">
        <v>3278</v>
      </c>
      <c r="B1" s="307"/>
      <c r="C1" s="307"/>
      <c r="D1" s="307"/>
      <c r="E1" s="307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156"/>
      <c r="BO1" s="156"/>
      <c r="BP1" s="156"/>
      <c r="BQ1" s="156"/>
      <c r="BR1" s="156"/>
      <c r="BS1" s="156"/>
      <c r="BT1" s="156"/>
      <c r="BU1" s="156"/>
      <c r="BV1" s="156"/>
      <c r="BW1" s="156"/>
      <c r="BX1" s="156"/>
      <c r="BY1" s="156"/>
      <c r="BZ1" s="156"/>
      <c r="CA1" s="156"/>
      <c r="CB1" s="156"/>
      <c r="CC1" s="156"/>
      <c r="CD1" s="156"/>
      <c r="CE1" s="156"/>
      <c r="CF1" s="156"/>
      <c r="CG1" s="156"/>
      <c r="CH1" s="156"/>
      <c r="CI1" s="156"/>
      <c r="CJ1" s="156"/>
      <c r="CK1" s="156"/>
      <c r="CL1" s="156"/>
      <c r="CM1" s="156"/>
      <c r="CN1" s="156"/>
      <c r="CO1" s="156"/>
      <c r="CP1" s="156"/>
      <c r="CQ1" s="156"/>
      <c r="CR1" s="156"/>
      <c r="CS1" s="156"/>
      <c r="CT1" s="156"/>
      <c r="CU1" s="156"/>
      <c r="CV1" s="156"/>
      <c r="CW1" s="156"/>
      <c r="CX1" s="156"/>
      <c r="CY1" s="156"/>
      <c r="CZ1" s="156"/>
      <c r="DA1" s="156"/>
      <c r="DB1" s="156"/>
      <c r="DC1" s="156"/>
      <c r="DD1" s="156"/>
      <c r="DE1" s="156"/>
      <c r="DF1" s="156"/>
      <c r="DG1" s="156"/>
      <c r="DH1" s="156"/>
      <c r="DI1" s="156"/>
      <c r="DJ1" s="156"/>
      <c r="DK1" s="156"/>
      <c r="DL1" s="156"/>
      <c r="DM1" s="156"/>
      <c r="DN1" s="156"/>
      <c r="DO1" s="156"/>
      <c r="DP1" s="156"/>
      <c r="DQ1" s="156"/>
      <c r="DR1" s="156"/>
      <c r="DS1" s="156"/>
      <c r="DT1" s="156"/>
      <c r="DU1" s="156"/>
      <c r="DV1" s="156"/>
      <c r="DW1" s="156"/>
      <c r="DX1" s="156"/>
      <c r="DY1" s="156"/>
      <c r="DZ1" s="156"/>
      <c r="EA1" s="156"/>
      <c r="EB1" s="156"/>
      <c r="EC1" s="156"/>
      <c r="ED1" s="156"/>
      <c r="EE1" s="156"/>
      <c r="EF1" s="156"/>
      <c r="EG1" s="156"/>
      <c r="EH1" s="156"/>
      <c r="EI1" s="156"/>
      <c r="EJ1" s="156"/>
      <c r="EK1" s="156"/>
      <c r="EL1" s="156"/>
      <c r="EM1" s="156"/>
      <c r="EN1" s="156"/>
      <c r="EO1" s="156"/>
      <c r="EP1" s="156"/>
      <c r="EQ1" s="156"/>
      <c r="ER1" s="156"/>
      <c r="ES1" s="156"/>
      <c r="ET1" s="156"/>
      <c r="EU1" s="156"/>
      <c r="EV1" s="156"/>
      <c r="EW1" s="156"/>
      <c r="EX1" s="156"/>
      <c r="EY1" s="156"/>
      <c r="EZ1" s="156"/>
      <c r="FA1" s="156"/>
      <c r="FB1" s="156"/>
      <c r="FC1" s="156"/>
      <c r="FD1" s="156"/>
      <c r="FE1" s="156"/>
      <c r="FF1" s="156"/>
      <c r="FG1" s="156"/>
      <c r="FH1" s="156"/>
      <c r="FI1" s="156"/>
      <c r="FJ1" s="156"/>
      <c r="FK1" s="156"/>
      <c r="FL1" s="156"/>
      <c r="FM1" s="156"/>
      <c r="FN1" s="156"/>
      <c r="FO1" s="156"/>
      <c r="FP1" s="156"/>
      <c r="FQ1" s="156"/>
      <c r="FR1" s="156"/>
      <c r="FS1" s="156"/>
      <c r="FT1" s="156"/>
      <c r="FU1" s="156"/>
      <c r="FV1" s="156"/>
      <c r="FW1" s="156"/>
      <c r="FX1" s="156"/>
      <c r="FY1" s="156"/>
      <c r="FZ1" s="156"/>
      <c r="GA1" s="156"/>
      <c r="GB1" s="156"/>
      <c r="GC1" s="156"/>
      <c r="GD1" s="156"/>
      <c r="GE1" s="156"/>
      <c r="GF1" s="156"/>
      <c r="GG1" s="156"/>
      <c r="GH1" s="156"/>
      <c r="GI1" s="156"/>
      <c r="GJ1" s="156"/>
      <c r="GK1" s="156"/>
    </row>
    <row r="2" spans="1:193" s="155" customFormat="1" ht="24" customHeight="1">
      <c r="A2" s="109"/>
      <c r="B2" s="109"/>
      <c r="C2" s="109"/>
      <c r="D2" s="109"/>
      <c r="E2" s="10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/>
      <c r="CL2" s="156"/>
      <c r="CM2" s="156"/>
      <c r="CN2" s="156"/>
      <c r="CO2" s="156"/>
      <c r="CP2" s="156"/>
      <c r="CQ2" s="156"/>
      <c r="CR2" s="156"/>
      <c r="CS2" s="156"/>
      <c r="CT2" s="156"/>
      <c r="CU2" s="156"/>
      <c r="CV2" s="156"/>
      <c r="CW2" s="156"/>
      <c r="CX2" s="156"/>
      <c r="CY2" s="156"/>
      <c r="CZ2" s="156"/>
      <c r="DA2" s="156"/>
      <c r="DB2" s="156"/>
      <c r="DC2" s="156"/>
      <c r="DD2" s="156"/>
      <c r="DE2" s="156"/>
      <c r="DF2" s="156"/>
      <c r="DG2" s="156"/>
      <c r="DH2" s="156"/>
      <c r="DI2" s="156"/>
      <c r="DJ2" s="156"/>
      <c r="DK2" s="156"/>
      <c r="DL2" s="156"/>
      <c r="DM2" s="156"/>
      <c r="DN2" s="156"/>
      <c r="DO2" s="156"/>
      <c r="DP2" s="156"/>
      <c r="DQ2" s="156"/>
      <c r="DR2" s="156"/>
      <c r="DS2" s="156"/>
      <c r="DT2" s="156"/>
      <c r="DU2" s="156"/>
      <c r="DV2" s="156"/>
      <c r="DW2" s="156"/>
      <c r="DX2" s="156"/>
      <c r="DY2" s="156"/>
      <c r="DZ2" s="156"/>
      <c r="EA2" s="156"/>
      <c r="EB2" s="156"/>
      <c r="EC2" s="156"/>
      <c r="ED2" s="156"/>
      <c r="EE2" s="156"/>
      <c r="EF2" s="156"/>
      <c r="EG2" s="156"/>
      <c r="EH2" s="156"/>
      <c r="EI2" s="156"/>
      <c r="EJ2" s="156"/>
      <c r="EK2" s="156"/>
      <c r="EL2" s="156"/>
      <c r="EM2" s="156"/>
      <c r="EN2" s="156"/>
      <c r="EO2" s="156"/>
      <c r="EP2" s="156"/>
      <c r="EQ2" s="156"/>
      <c r="ER2" s="156"/>
      <c r="ES2" s="156"/>
      <c r="ET2" s="156"/>
      <c r="EU2" s="156"/>
      <c r="EV2" s="156"/>
      <c r="EW2" s="156"/>
      <c r="EX2" s="156"/>
      <c r="EY2" s="156"/>
      <c r="EZ2" s="156"/>
      <c r="FA2" s="156"/>
      <c r="FB2" s="156"/>
      <c r="FC2" s="156"/>
      <c r="FD2" s="156"/>
      <c r="FE2" s="156"/>
      <c r="FF2" s="156"/>
      <c r="FG2" s="156"/>
      <c r="FH2" s="156"/>
      <c r="FI2" s="156"/>
      <c r="FJ2" s="156"/>
      <c r="FK2" s="156"/>
      <c r="FL2" s="156"/>
      <c r="FM2" s="156"/>
      <c r="FN2" s="156"/>
      <c r="FO2" s="156"/>
      <c r="FP2" s="156"/>
      <c r="FQ2" s="156"/>
      <c r="FR2" s="156"/>
      <c r="FS2" s="156"/>
      <c r="FT2" s="156"/>
      <c r="FU2" s="156"/>
      <c r="FV2" s="156"/>
      <c r="FW2" s="156"/>
      <c r="FX2" s="156"/>
      <c r="FY2" s="156"/>
      <c r="FZ2" s="156"/>
      <c r="GA2" s="156"/>
      <c r="GB2" s="156"/>
      <c r="GC2" s="156"/>
      <c r="GD2" s="156"/>
      <c r="GE2" s="156"/>
      <c r="GF2" s="156"/>
      <c r="GG2" s="156"/>
      <c r="GH2" s="156"/>
      <c r="GI2" s="156"/>
      <c r="GJ2" s="156"/>
      <c r="GK2" s="156"/>
    </row>
    <row r="3" spans="1:193">
      <c r="E3" s="23" t="s">
        <v>38</v>
      </c>
    </row>
    <row r="4" spans="1:193" ht="57.6">
      <c r="A4" s="117" t="s">
        <v>3259</v>
      </c>
      <c r="B4" s="117" t="s">
        <v>3279</v>
      </c>
      <c r="C4" s="24" t="s">
        <v>43</v>
      </c>
      <c r="D4" s="24" t="s">
        <v>44</v>
      </c>
      <c r="E4" s="24" t="s">
        <v>45</v>
      </c>
    </row>
    <row r="5" spans="1:193" ht="28.5" customHeight="1">
      <c r="A5" s="201"/>
      <c r="B5" s="193" t="s">
        <v>3261</v>
      </c>
      <c r="C5" s="161">
        <f>+C6+C15+C21+C28+C38+C45+C52+C59+C66+C75</f>
        <v>6120343</v>
      </c>
      <c r="D5" s="161">
        <f t="shared" ref="D5:E5" si="0">+D6+D15+D21+D28+D38+D45+D52+D59+D66+D75</f>
        <v>6203106</v>
      </c>
      <c r="E5" s="161">
        <f t="shared" si="0"/>
        <v>82763</v>
      </c>
    </row>
    <row r="6" spans="1:193">
      <c r="A6" s="202">
        <v>1</v>
      </c>
      <c r="B6" s="124" t="s">
        <v>3280</v>
      </c>
      <c r="C6" s="196">
        <f>SUM(C7:C14)</f>
        <v>0</v>
      </c>
      <c r="D6" s="196">
        <f>SUM(D7:D14)</f>
        <v>0</v>
      </c>
      <c r="E6" s="196">
        <f>SUM(E7:E14)</f>
        <v>0</v>
      </c>
    </row>
    <row r="7" spans="1:193" ht="27.6">
      <c r="A7" s="203">
        <v>11</v>
      </c>
      <c r="B7" s="120" t="s">
        <v>3281</v>
      </c>
      <c r="C7" s="198">
        <v>0</v>
      </c>
      <c r="D7" s="198">
        <v>0</v>
      </c>
      <c r="E7" s="198">
        <f>SUMIF('Unos rashoda i izdataka'!$R$3:$R$501,'A.4 RASHODI FUNK'!$A7,'Unos rashoda i izdataka'!$L$3:$L$501)+SUMIF('Unos rashoda P4'!$T$3:$T$501,'A.4 RASHODI FUNK'!$A7,'Unos rashoda P4'!$J$3:$J$501)</f>
        <v>0</v>
      </c>
    </row>
    <row r="8" spans="1:193">
      <c r="A8" s="203">
        <v>12</v>
      </c>
      <c r="B8" s="120" t="s">
        <v>3282</v>
      </c>
      <c r="C8" s="198">
        <f>SUMIF('Unos rashoda i izdataka'!$R$3:$R$501,'A.4 RASHODI FUNK'!$A8,'Unos rashoda i izdataka'!$J$3:$J$501)+SUMIF('Unos rashoda P4'!$T$3:$T$501,'A.4 RASHODI FUNK'!$A8,'Unos rashoda P4'!$H$3:$H$501)</f>
        <v>0</v>
      </c>
      <c r="D8" s="198">
        <f>SUMIF('Unos rashoda i izdataka'!$R$3:$R$501,'A.4 RASHODI FUNK'!$A8,'Unos rashoda i izdataka'!$K$3:$K$501)+SUMIF('Unos rashoda P4'!$T$3:$T$501,'A.4 RASHODI FUNK'!$A8,'Unos rashoda P4'!$I$3:$I$501)</f>
        <v>0</v>
      </c>
      <c r="E8" s="198">
        <f>SUMIF('Unos rashoda i izdataka'!$R$3:$R$501,'A.4 RASHODI FUNK'!$A8,'Unos rashoda i izdataka'!$L$3:$L$501)+SUMIF('Unos rashoda P4'!$T$3:$T$501,'A.4 RASHODI FUNK'!$A8,'Unos rashoda P4'!$J$3:$J$501)</f>
        <v>0</v>
      </c>
    </row>
    <row r="9" spans="1:193">
      <c r="A9" s="203">
        <v>13</v>
      </c>
      <c r="B9" s="120" t="s">
        <v>3283</v>
      </c>
      <c r="C9" s="198">
        <f>SUMIF('Unos rashoda i izdataka'!$R$3:$R$501,'A.4 RASHODI FUNK'!$A9,'Unos rashoda i izdataka'!$J$3:$J$501)+SUMIF('Unos rashoda P4'!$T$3:$T$501,'A.4 RASHODI FUNK'!$A9,'Unos rashoda P4'!$H$3:$H$501)</f>
        <v>0</v>
      </c>
      <c r="D9" s="198">
        <f>SUMIF('Unos rashoda i izdataka'!$R$3:$R$501,'A.4 RASHODI FUNK'!$A9,'Unos rashoda i izdataka'!$K$3:$K$501)+SUMIF('Unos rashoda P4'!$T$3:$T$501,'A.4 RASHODI FUNK'!$A9,'Unos rashoda P4'!$I$3:$I$501)</f>
        <v>0</v>
      </c>
      <c r="E9" s="198">
        <f>SUMIF('Unos rashoda i izdataka'!$R$3:$R$501,'A.4 RASHODI FUNK'!$A9,'Unos rashoda i izdataka'!$L$3:$L$501)+SUMIF('Unos rashoda P4'!$T$3:$T$501,'A.4 RASHODI FUNK'!$A9,'Unos rashoda P4'!$J$3:$J$501)</f>
        <v>0</v>
      </c>
    </row>
    <row r="10" spans="1:193">
      <c r="A10" s="203">
        <v>14</v>
      </c>
      <c r="B10" s="120" t="s">
        <v>3284</v>
      </c>
      <c r="C10" s="198">
        <f>SUMIF('Unos rashoda i izdataka'!$R$3:$R$501,'A.4 RASHODI FUNK'!$A10,'Unos rashoda i izdataka'!$J$3:$J$501)+SUMIF('Unos rashoda P4'!$T$3:$T$501,'A.4 RASHODI FUNK'!$A10,'Unos rashoda P4'!$H$3:$H$501)</f>
        <v>0</v>
      </c>
      <c r="D10" s="198">
        <f>SUMIF('Unos rashoda i izdataka'!$R$3:$R$501,'A.4 RASHODI FUNK'!$A10,'Unos rashoda i izdataka'!$K$3:$K$501)+SUMIF('Unos rashoda P4'!$T$3:$T$501,'A.4 RASHODI FUNK'!$A10,'Unos rashoda P4'!$I$3:$I$501)</f>
        <v>0</v>
      </c>
      <c r="E10" s="198">
        <f>SUMIF('Unos rashoda i izdataka'!$R$3:$R$501,'A.4 RASHODI FUNK'!$A10,'Unos rashoda i izdataka'!$L$3:$L$501)+SUMIF('Unos rashoda P4'!$T$3:$T$501,'A.4 RASHODI FUNK'!$A10,'Unos rashoda P4'!$J$3:$J$501)</f>
        <v>0</v>
      </c>
    </row>
    <row r="11" spans="1:193">
      <c r="A11" s="203">
        <v>15</v>
      </c>
      <c r="B11" s="120" t="s">
        <v>274</v>
      </c>
      <c r="C11" s="198">
        <f>SUMIF('Unos rashoda i izdataka'!$R$3:$R$501,'A.4 RASHODI FUNK'!$A11,'Unos rashoda i izdataka'!$J$3:$J$501)+SUMIF('Unos rashoda P4'!$T$3:$T$501,'A.4 RASHODI FUNK'!$A11,'Unos rashoda P4'!$H$3:$H$501)</f>
        <v>0</v>
      </c>
      <c r="D11" s="198">
        <f>SUMIF('Unos rashoda i izdataka'!$R$3:$R$501,'A.4 RASHODI FUNK'!$A11,'Unos rashoda i izdataka'!$K$3:$K$501)+SUMIF('Unos rashoda P4'!$T$3:$T$501,'A.4 RASHODI FUNK'!$A11,'Unos rashoda P4'!$I$3:$I$501)</f>
        <v>0</v>
      </c>
      <c r="E11" s="198">
        <f>SUMIF('Unos rashoda i izdataka'!$R$3:$R$501,'A.4 RASHODI FUNK'!$A11,'Unos rashoda i izdataka'!$L$3:$L$501)+SUMIF('Unos rashoda P4'!$T$3:$T$501,'A.4 RASHODI FUNK'!$A11,'Unos rashoda P4'!$J$3:$J$501)</f>
        <v>0</v>
      </c>
    </row>
    <row r="12" spans="1:193">
      <c r="A12" s="203">
        <v>16</v>
      </c>
      <c r="B12" s="120" t="s">
        <v>3285</v>
      </c>
      <c r="C12" s="198">
        <f>SUMIF('Unos rashoda i izdataka'!$R$3:$R$501,'A.4 RASHODI FUNK'!$A12,'Unos rashoda i izdataka'!$J$3:$J$501)+SUMIF('Unos rashoda P4'!$T$3:$T$501,'A.4 RASHODI FUNK'!$A12,'Unos rashoda P4'!$H$3:$H$501)</f>
        <v>0</v>
      </c>
      <c r="D12" s="198">
        <f>SUMIF('Unos rashoda i izdataka'!$R$3:$R$501,'A.4 RASHODI FUNK'!$A12,'Unos rashoda i izdataka'!$K$3:$K$501)+SUMIF('Unos rashoda P4'!$T$3:$T$501,'A.4 RASHODI FUNK'!$A12,'Unos rashoda P4'!$I$3:$I$501)</f>
        <v>0</v>
      </c>
      <c r="E12" s="198">
        <f>SUMIF('Unos rashoda i izdataka'!$R$3:$R$501,'A.4 RASHODI FUNK'!$A12,'Unos rashoda i izdataka'!$L$3:$L$501)+SUMIF('Unos rashoda P4'!$T$3:$T$501,'A.4 RASHODI FUNK'!$A12,'Unos rashoda P4'!$J$3:$J$501)</f>
        <v>0</v>
      </c>
    </row>
    <row r="13" spans="1:193">
      <c r="A13" s="203">
        <v>17</v>
      </c>
      <c r="B13" s="120" t="s">
        <v>3286</v>
      </c>
      <c r="C13" s="198">
        <f>SUMIF('Unos rashoda i izdataka'!$R$3:$R$501,'A.4 RASHODI FUNK'!$A13,'Unos rashoda i izdataka'!$J$3:$J$501)+SUMIF('Unos rashoda P4'!$T$3:$T$501,'A.4 RASHODI FUNK'!$A13,'Unos rashoda P4'!$H$3:$H$501)</f>
        <v>0</v>
      </c>
      <c r="D13" s="198">
        <f>SUMIF('Unos rashoda i izdataka'!$R$3:$R$501,'A.4 RASHODI FUNK'!$A13,'Unos rashoda i izdataka'!$K$3:$K$501)+SUMIF('Unos rashoda P4'!$T$3:$T$501,'A.4 RASHODI FUNK'!$A13,'Unos rashoda P4'!$I$3:$I$501)</f>
        <v>0</v>
      </c>
      <c r="E13" s="198">
        <f>SUMIF('Unos rashoda i izdataka'!$R$3:$R$501,'A.4 RASHODI FUNK'!$A13,'Unos rashoda i izdataka'!$L$3:$L$501)+SUMIF('Unos rashoda P4'!$T$3:$T$501,'A.4 RASHODI FUNK'!$A13,'Unos rashoda P4'!$J$3:$J$501)</f>
        <v>0</v>
      </c>
    </row>
    <row r="14" spans="1:193" ht="27.6">
      <c r="A14" s="203">
        <v>18</v>
      </c>
      <c r="B14" s="120" t="s">
        <v>383</v>
      </c>
      <c r="C14" s="198">
        <f>SUMIF('Unos rashoda i izdataka'!$R$3:$R$501,'A.4 RASHODI FUNK'!$A14,'Unos rashoda i izdataka'!$J$3:$J$501)+SUMIF('Unos rashoda P4'!$T$3:$T$501,'A.4 RASHODI FUNK'!$A14,'Unos rashoda P4'!$H$3:$H$501)</f>
        <v>0</v>
      </c>
      <c r="D14" s="198">
        <f>SUMIF('Unos rashoda i izdataka'!$R$3:$R$501,'A.4 RASHODI FUNK'!$A14,'Unos rashoda i izdataka'!$K$3:$K$501)+SUMIF('Unos rashoda P4'!$T$3:$T$501,'A.4 RASHODI FUNK'!$A14,'Unos rashoda P4'!$I$3:$I$501)</f>
        <v>0</v>
      </c>
      <c r="E14" s="198">
        <f>SUMIF('Unos rashoda i izdataka'!$R$3:$R$501,'A.4 RASHODI FUNK'!$A14,'Unos rashoda i izdataka'!$L$3:$L$501)+SUMIF('Unos rashoda P4'!$T$3:$T$501,'A.4 RASHODI FUNK'!$A14,'Unos rashoda P4'!$J$3:$J$501)</f>
        <v>0</v>
      </c>
    </row>
    <row r="15" spans="1:193">
      <c r="A15" s="202">
        <v>2</v>
      </c>
      <c r="B15" s="124" t="s">
        <v>3287</v>
      </c>
      <c r="C15" s="196">
        <f>SUM(C16:C20)</f>
        <v>0</v>
      </c>
      <c r="D15" s="196">
        <f>SUM(D16:D20)</f>
        <v>0</v>
      </c>
      <c r="E15" s="196">
        <f>SUM(E16:E20)</f>
        <v>0</v>
      </c>
    </row>
    <row r="16" spans="1:193">
      <c r="A16" s="203">
        <v>21</v>
      </c>
      <c r="B16" s="120" t="s">
        <v>3288</v>
      </c>
      <c r="C16" s="198">
        <f>SUMIF('Unos rashoda i izdataka'!$R$3:$R$501,'A.4 RASHODI FUNK'!$A16,'Unos rashoda i izdataka'!$J$3:$J$501)+SUMIF('Unos rashoda P4'!$T$3:$T$501,'A.4 RASHODI FUNK'!$A16,'Unos rashoda P4'!$H$3:$H$501)</f>
        <v>0</v>
      </c>
      <c r="D16" s="198">
        <f>SUMIF('Unos rashoda i izdataka'!$R$3:$R$501,'A.4 RASHODI FUNK'!$A16,'Unos rashoda i izdataka'!$K$3:$K$501)+SUMIF('Unos rashoda P4'!$T$3:$T$501,'A.4 RASHODI FUNK'!$A16,'Unos rashoda P4'!$I$3:$I$501)</f>
        <v>0</v>
      </c>
      <c r="E16" s="198">
        <f>SUMIF('Unos rashoda i izdataka'!$R$3:$R$501,'A.4 RASHODI FUNK'!$A16,'Unos rashoda i izdataka'!$L$3:$L$501)+SUMIF('Unos rashoda P4'!$T$3:$T$501,'A.4 RASHODI FUNK'!$A16,'Unos rashoda P4'!$J$3:$J$501)</f>
        <v>0</v>
      </c>
    </row>
    <row r="17" spans="1:5">
      <c r="A17" s="203">
        <v>22</v>
      </c>
      <c r="B17" s="120" t="s">
        <v>3289</v>
      </c>
      <c r="C17" s="198">
        <f>SUMIF('Unos rashoda i izdataka'!$R$3:$R$501,'A.4 RASHODI FUNK'!$A17,'Unos rashoda i izdataka'!$J$3:$J$501)+SUMIF('Unos rashoda P4'!$T$3:$T$501,'A.4 RASHODI FUNK'!$A17,'Unos rashoda P4'!$H$3:$H$501)</f>
        <v>0</v>
      </c>
      <c r="D17" s="198">
        <f>SUMIF('Unos rashoda i izdataka'!$R$3:$R$501,'A.4 RASHODI FUNK'!$A17,'Unos rashoda i izdataka'!$K$3:$K$501)+SUMIF('Unos rashoda P4'!$T$3:$T$501,'A.4 RASHODI FUNK'!$A17,'Unos rashoda P4'!$I$3:$I$501)</f>
        <v>0</v>
      </c>
      <c r="E17" s="198">
        <f>SUMIF('Unos rashoda i izdataka'!$R$3:$R$501,'A.4 RASHODI FUNK'!$A17,'Unos rashoda i izdataka'!$L$3:$L$501)+SUMIF('Unos rashoda P4'!$T$3:$T$501,'A.4 RASHODI FUNK'!$A17,'Unos rashoda P4'!$J$3:$J$501)</f>
        <v>0</v>
      </c>
    </row>
    <row r="18" spans="1:5">
      <c r="A18" s="203">
        <v>23</v>
      </c>
      <c r="B18" s="120" t="s">
        <v>3290</v>
      </c>
      <c r="C18" s="198">
        <f>SUMIF('Unos rashoda i izdataka'!$R$3:$R$501,'A.4 RASHODI FUNK'!$A18,'Unos rashoda i izdataka'!$J$3:$J$501)+SUMIF('Unos rashoda P4'!$T$3:$T$501,'A.4 RASHODI FUNK'!$A18,'Unos rashoda P4'!$H$3:$H$501)</f>
        <v>0</v>
      </c>
      <c r="D18" s="198">
        <f>SUMIF('Unos rashoda i izdataka'!$R$3:$R$501,'A.4 RASHODI FUNK'!$A18,'Unos rashoda i izdataka'!$K$3:$K$501)+SUMIF('Unos rashoda P4'!$T$3:$T$501,'A.4 RASHODI FUNK'!$A18,'Unos rashoda P4'!$I$3:$I$501)</f>
        <v>0</v>
      </c>
      <c r="E18" s="198">
        <f>SUMIF('Unos rashoda i izdataka'!$R$3:$R$501,'A.4 RASHODI FUNK'!$A18,'Unos rashoda i izdataka'!$L$3:$L$501)+SUMIF('Unos rashoda P4'!$T$3:$T$501,'A.4 RASHODI FUNK'!$A18,'Unos rashoda P4'!$J$3:$J$501)</f>
        <v>0</v>
      </c>
    </row>
    <row r="19" spans="1:5">
      <c r="A19" s="203">
        <v>24</v>
      </c>
      <c r="B19" s="120" t="s">
        <v>3291</v>
      </c>
      <c r="C19" s="198">
        <f>SUMIF('Unos rashoda i izdataka'!$R$3:$R$501,'A.4 RASHODI FUNK'!$A19,'Unos rashoda i izdataka'!$J$3:$J$501)+SUMIF('Unos rashoda P4'!$T$3:$T$501,'A.4 RASHODI FUNK'!$A19,'Unos rashoda P4'!$H$3:$H$501)</f>
        <v>0</v>
      </c>
      <c r="D19" s="198">
        <f>SUMIF('Unos rashoda i izdataka'!$R$3:$R$501,'A.4 RASHODI FUNK'!$A19,'Unos rashoda i izdataka'!$K$3:$K$501)+SUMIF('Unos rashoda P4'!$T$3:$T$501,'A.4 RASHODI FUNK'!$A19,'Unos rashoda P4'!$I$3:$I$501)</f>
        <v>0</v>
      </c>
      <c r="E19" s="198">
        <f>SUMIF('Unos rashoda i izdataka'!$R$3:$R$501,'A.4 RASHODI FUNK'!$A19,'Unos rashoda i izdataka'!$L$3:$L$501)+SUMIF('Unos rashoda P4'!$T$3:$T$501,'A.4 RASHODI FUNK'!$A19,'Unos rashoda P4'!$J$3:$J$501)</f>
        <v>0</v>
      </c>
    </row>
    <row r="20" spans="1:5">
      <c r="A20" s="203">
        <v>25</v>
      </c>
      <c r="B20" s="120" t="s">
        <v>3292</v>
      </c>
      <c r="C20" s="198">
        <f>SUMIF('Unos rashoda i izdataka'!$R$3:$R$501,'A.4 RASHODI FUNK'!$A20,'Unos rashoda i izdataka'!$J$3:$J$501)+SUMIF('Unos rashoda P4'!$T$3:$T$501,'A.4 RASHODI FUNK'!$A20,'Unos rashoda P4'!$H$3:$H$501)</f>
        <v>0</v>
      </c>
      <c r="D20" s="198">
        <f>SUMIF('Unos rashoda i izdataka'!$R$3:$R$501,'A.4 RASHODI FUNK'!$A20,'Unos rashoda i izdataka'!$K$3:$K$501)+SUMIF('Unos rashoda P4'!$T$3:$T$501,'A.4 RASHODI FUNK'!$A20,'Unos rashoda P4'!$I$3:$I$501)</f>
        <v>0</v>
      </c>
      <c r="E20" s="198">
        <f>SUMIF('Unos rashoda i izdataka'!$R$3:$R$501,'A.4 RASHODI FUNK'!$A20,'Unos rashoda i izdataka'!$L$3:$L$501)+SUMIF('Unos rashoda P4'!$T$3:$T$501,'A.4 RASHODI FUNK'!$A20,'Unos rashoda P4'!$J$3:$J$501)</f>
        <v>0</v>
      </c>
    </row>
    <row r="21" spans="1:5">
      <c r="A21" s="202">
        <v>3</v>
      </c>
      <c r="B21" s="124" t="s">
        <v>3293</v>
      </c>
      <c r="C21" s="204">
        <f>SUM(C22:C27)</f>
        <v>0</v>
      </c>
      <c r="D21" s="204">
        <f>SUM(D22:D27)</f>
        <v>0</v>
      </c>
      <c r="E21" s="204">
        <f>SUM(E22:E27)</f>
        <v>0</v>
      </c>
    </row>
    <row r="22" spans="1:5">
      <c r="A22" s="203">
        <v>31</v>
      </c>
      <c r="B22" s="120" t="s">
        <v>3294</v>
      </c>
      <c r="C22" s="198">
        <f>SUMIF('Unos rashoda i izdataka'!$R$3:$R$501,'A.4 RASHODI FUNK'!$A22,'Unos rashoda i izdataka'!$J$3:$J$501)+SUMIF('Unos rashoda P4'!$T$3:$T$501,'A.4 RASHODI FUNK'!$A22,'Unos rashoda P4'!$H$3:$H$501)</f>
        <v>0</v>
      </c>
      <c r="D22" s="198">
        <f>SUMIF('Unos rashoda i izdataka'!$R$3:$R$501,'A.4 RASHODI FUNK'!$A22,'Unos rashoda i izdataka'!$K$3:$K$501)+SUMIF('Unos rashoda P4'!$T$3:$T$501,'A.4 RASHODI FUNK'!$A22,'Unos rashoda P4'!$I$3:$I$501)</f>
        <v>0</v>
      </c>
      <c r="E22" s="198">
        <f>SUMIF('Unos rashoda i izdataka'!$R$3:$R$501,'A.4 RASHODI FUNK'!$A22,'Unos rashoda i izdataka'!$L$3:$L$501)+SUMIF('Unos rashoda P4'!$T$3:$T$501,'A.4 RASHODI FUNK'!$A22,'Unos rashoda P4'!$J$3:$J$501)</f>
        <v>0</v>
      </c>
    </row>
    <row r="23" spans="1:5">
      <c r="A23" s="203">
        <v>32</v>
      </c>
      <c r="B23" s="120" t="s">
        <v>3295</v>
      </c>
      <c r="C23" s="198">
        <f>SUMIF('Unos rashoda i izdataka'!$R$3:$R$501,'A.4 RASHODI FUNK'!$A23,'Unos rashoda i izdataka'!$J$3:$J$501)+SUMIF('Unos rashoda P4'!$T$3:$T$501,'A.4 RASHODI FUNK'!$A23,'Unos rashoda P4'!$H$3:$H$501)</f>
        <v>0</v>
      </c>
      <c r="D23" s="198">
        <f>SUMIF('Unos rashoda i izdataka'!$R$3:$R$501,'A.4 RASHODI FUNK'!$A23,'Unos rashoda i izdataka'!$K$3:$K$501)+SUMIF('Unos rashoda P4'!$T$3:$T$501,'A.4 RASHODI FUNK'!$A23,'Unos rashoda P4'!$I$3:$I$501)</f>
        <v>0</v>
      </c>
      <c r="E23" s="198">
        <f>SUMIF('Unos rashoda i izdataka'!$R$3:$R$501,'A.4 RASHODI FUNK'!$A23,'Unos rashoda i izdataka'!$L$3:$L$501)+SUMIF('Unos rashoda P4'!$T$3:$T$501,'A.4 RASHODI FUNK'!$A23,'Unos rashoda P4'!$J$3:$J$501)</f>
        <v>0</v>
      </c>
    </row>
    <row r="24" spans="1:5">
      <c r="A24" s="203">
        <v>33</v>
      </c>
      <c r="B24" s="120" t="s">
        <v>3296</v>
      </c>
      <c r="C24" s="198">
        <f>SUMIF('Unos rashoda i izdataka'!$R$3:$R$501,'A.4 RASHODI FUNK'!$A24,'Unos rashoda i izdataka'!$J$3:$J$501)+SUMIF('Unos rashoda P4'!$T$3:$T$501,'A.4 RASHODI FUNK'!$A24,'Unos rashoda P4'!$H$3:$H$501)</f>
        <v>0</v>
      </c>
      <c r="D24" s="198">
        <f>SUMIF('Unos rashoda i izdataka'!$R$3:$R$501,'A.4 RASHODI FUNK'!$A24,'Unos rashoda i izdataka'!$K$3:$K$501)+SUMIF('Unos rashoda P4'!$T$3:$T$501,'A.4 RASHODI FUNK'!$A24,'Unos rashoda P4'!$I$3:$I$501)</f>
        <v>0</v>
      </c>
      <c r="E24" s="198">
        <f>SUMIF('Unos rashoda i izdataka'!$R$3:$R$501,'A.4 RASHODI FUNK'!$A24,'Unos rashoda i izdataka'!$L$3:$L$501)+SUMIF('Unos rashoda P4'!$T$3:$T$501,'A.4 RASHODI FUNK'!$A24,'Unos rashoda P4'!$J$3:$J$501)</f>
        <v>0</v>
      </c>
    </row>
    <row r="25" spans="1:5">
      <c r="A25" s="203">
        <v>34</v>
      </c>
      <c r="B25" s="120" t="s">
        <v>3297</v>
      </c>
      <c r="C25" s="198">
        <f>SUMIF('Unos rashoda i izdataka'!$R$3:$R$501,'A.4 RASHODI FUNK'!$A25,'Unos rashoda i izdataka'!$J$3:$J$501)+SUMIF('Unos rashoda P4'!$T$3:$T$501,'A.4 RASHODI FUNK'!$A25,'Unos rashoda P4'!$H$3:$H$501)</f>
        <v>0</v>
      </c>
      <c r="D25" s="198">
        <f>SUMIF('Unos rashoda i izdataka'!$R$3:$R$501,'A.4 RASHODI FUNK'!$A25,'Unos rashoda i izdataka'!$K$3:$K$501)+SUMIF('Unos rashoda P4'!$T$3:$T$501,'A.4 RASHODI FUNK'!$A25,'Unos rashoda P4'!$I$3:$I$501)</f>
        <v>0</v>
      </c>
      <c r="E25" s="198">
        <f>SUMIF('Unos rashoda i izdataka'!$R$3:$R$501,'A.4 RASHODI FUNK'!$A25,'Unos rashoda i izdataka'!$L$3:$L$501)+SUMIF('Unos rashoda P4'!$T$3:$T$501,'A.4 RASHODI FUNK'!$A25,'Unos rashoda P4'!$J$3:$J$501)</f>
        <v>0</v>
      </c>
    </row>
    <row r="26" spans="1:5">
      <c r="A26" s="203">
        <v>35</v>
      </c>
      <c r="B26" s="120" t="s">
        <v>3298</v>
      </c>
      <c r="C26" s="198">
        <f>SUMIF('Unos rashoda i izdataka'!$R$3:$R$501,'A.4 RASHODI FUNK'!$A26,'Unos rashoda i izdataka'!$J$3:$J$501)+SUMIF('Unos rashoda P4'!$T$3:$T$501,'A.4 RASHODI FUNK'!$A26,'Unos rashoda P4'!$H$3:$H$501)</f>
        <v>0</v>
      </c>
      <c r="D26" s="198">
        <f>SUMIF('Unos rashoda i izdataka'!$R$3:$R$501,'A.4 RASHODI FUNK'!$A26,'Unos rashoda i izdataka'!$K$3:$K$501)+SUMIF('Unos rashoda P4'!$T$3:$T$501,'A.4 RASHODI FUNK'!$A26,'Unos rashoda P4'!$I$3:$I$501)</f>
        <v>0</v>
      </c>
      <c r="E26" s="198">
        <f>SUMIF('Unos rashoda i izdataka'!$R$3:$R$501,'A.4 RASHODI FUNK'!$A26,'Unos rashoda i izdataka'!$L$3:$L$501)+SUMIF('Unos rashoda P4'!$T$3:$T$501,'A.4 RASHODI FUNK'!$A26,'Unos rashoda P4'!$J$3:$J$501)</f>
        <v>0</v>
      </c>
    </row>
    <row r="27" spans="1:5" ht="27.6">
      <c r="A27" s="203">
        <v>36</v>
      </c>
      <c r="B27" s="120" t="s">
        <v>3299</v>
      </c>
      <c r="C27" s="198">
        <f>SUMIF('Unos rashoda i izdataka'!$R$3:$R$501,'A.4 RASHODI FUNK'!$A27,'Unos rashoda i izdataka'!$J$3:$J$501)+SUMIF('Unos rashoda P4'!$T$3:$T$501,'A.4 RASHODI FUNK'!$A27,'Unos rashoda P4'!$H$3:$H$501)</f>
        <v>0</v>
      </c>
      <c r="D27" s="198">
        <f>SUMIF('Unos rashoda i izdataka'!$R$3:$R$501,'A.4 RASHODI FUNK'!$A27,'Unos rashoda i izdataka'!$K$3:$K$501)+SUMIF('Unos rashoda P4'!$T$3:$T$501,'A.4 RASHODI FUNK'!$A27,'Unos rashoda P4'!$I$3:$I$501)</f>
        <v>0</v>
      </c>
      <c r="E27" s="198">
        <f>SUMIF('Unos rashoda i izdataka'!$R$3:$R$501,'A.4 RASHODI FUNK'!$A27,'Unos rashoda i izdataka'!$L$3:$L$501)+SUMIF('Unos rashoda P4'!$T$3:$T$501,'A.4 RASHODI FUNK'!$A27,'Unos rashoda P4'!$J$3:$J$501)</f>
        <v>0</v>
      </c>
    </row>
    <row r="28" spans="1:5">
      <c r="A28" s="202">
        <v>4</v>
      </c>
      <c r="B28" s="124" t="s">
        <v>3300</v>
      </c>
      <c r="C28" s="204">
        <f>SUM(C29:C37)</f>
        <v>0</v>
      </c>
      <c r="D28" s="204">
        <f>SUM(D29:D37)</f>
        <v>0</v>
      </c>
      <c r="E28" s="204">
        <f>SUM(E29:E37)</f>
        <v>0</v>
      </c>
    </row>
    <row r="29" spans="1:5">
      <c r="A29" s="203">
        <v>41</v>
      </c>
      <c r="B29" s="120" t="s">
        <v>3301</v>
      </c>
      <c r="C29" s="198">
        <f>SUMIF('Unos rashoda i izdataka'!$R$3:$R$501,'A.4 RASHODI FUNK'!$A29,'Unos rashoda i izdataka'!$J$3:$J$501)+SUMIF('Unos rashoda P4'!$T$3:$T$501,'A.4 RASHODI FUNK'!$A29,'Unos rashoda P4'!$H$3:$H$501)</f>
        <v>0</v>
      </c>
      <c r="D29" s="198">
        <f>SUMIF('Unos rashoda i izdataka'!$R$3:$R$501,'A.4 RASHODI FUNK'!$A29,'Unos rashoda i izdataka'!$K$3:$K$501)+SUMIF('Unos rashoda P4'!$T$3:$T$501,'A.4 RASHODI FUNK'!$A29,'Unos rashoda P4'!$I$3:$I$501)</f>
        <v>0</v>
      </c>
      <c r="E29" s="198">
        <f>SUMIF('Unos rashoda i izdataka'!$R$3:$R$501,'A.4 RASHODI FUNK'!$A29,'Unos rashoda i izdataka'!$L$3:$L$501)+SUMIF('Unos rashoda P4'!$T$3:$T$501,'A.4 RASHODI FUNK'!$A29,'Unos rashoda P4'!$J$3:$J$501)</f>
        <v>0</v>
      </c>
    </row>
    <row r="30" spans="1:5">
      <c r="A30" s="203">
        <v>42</v>
      </c>
      <c r="B30" s="120" t="s">
        <v>3302</v>
      </c>
      <c r="C30" s="198">
        <f>SUMIF('Unos rashoda i izdataka'!$R$3:$R$501,'A.4 RASHODI FUNK'!$A30,'Unos rashoda i izdataka'!$J$3:$J$501)+SUMIF('Unos rashoda P4'!$T$3:$T$501,'A.4 RASHODI FUNK'!$A30,'Unos rashoda P4'!$H$3:$H$501)</f>
        <v>0</v>
      </c>
      <c r="D30" s="198">
        <f>SUMIF('Unos rashoda i izdataka'!$R$3:$R$501,'A.4 RASHODI FUNK'!$A30,'Unos rashoda i izdataka'!$K$3:$K$501)+SUMIF('Unos rashoda P4'!$T$3:$T$501,'A.4 RASHODI FUNK'!$A30,'Unos rashoda P4'!$I$3:$I$501)</f>
        <v>0</v>
      </c>
      <c r="E30" s="198">
        <f>SUMIF('Unos rashoda i izdataka'!$R$3:$R$501,'A.4 RASHODI FUNK'!$A30,'Unos rashoda i izdataka'!$L$3:$L$501)+SUMIF('Unos rashoda P4'!$T$3:$T$501,'A.4 RASHODI FUNK'!$A30,'Unos rashoda P4'!$J$3:$J$501)</f>
        <v>0</v>
      </c>
    </row>
    <row r="31" spans="1:5">
      <c r="A31" s="203">
        <v>43</v>
      </c>
      <c r="B31" s="120" t="s">
        <v>3303</v>
      </c>
      <c r="C31" s="198">
        <f>SUMIF('Unos rashoda i izdataka'!$R$3:$R$501,'A.4 RASHODI FUNK'!$A31,'Unos rashoda i izdataka'!$J$3:$J$501)+SUMIF('Unos rashoda P4'!$T$3:$T$501,'A.4 RASHODI FUNK'!$A31,'Unos rashoda P4'!$H$3:$H$501)</f>
        <v>0</v>
      </c>
      <c r="D31" s="198">
        <f>SUMIF('Unos rashoda i izdataka'!$R$3:$R$501,'A.4 RASHODI FUNK'!$A31,'Unos rashoda i izdataka'!$K$3:$K$501)+SUMIF('Unos rashoda P4'!$T$3:$T$501,'A.4 RASHODI FUNK'!$A31,'Unos rashoda P4'!$I$3:$I$501)</f>
        <v>0</v>
      </c>
      <c r="E31" s="198">
        <f>SUMIF('Unos rashoda i izdataka'!$R$3:$R$501,'A.4 RASHODI FUNK'!$A31,'Unos rashoda i izdataka'!$L$3:$L$501)+SUMIF('Unos rashoda P4'!$T$3:$T$501,'A.4 RASHODI FUNK'!$A31,'Unos rashoda P4'!$J$3:$J$501)</f>
        <v>0</v>
      </c>
    </row>
    <row r="32" spans="1:5">
      <c r="A32" s="203">
        <v>44</v>
      </c>
      <c r="B32" s="120" t="s">
        <v>3304</v>
      </c>
      <c r="C32" s="198">
        <f>SUMIF('Unos rashoda i izdataka'!$R$3:$R$501,'A.4 RASHODI FUNK'!$A32,'Unos rashoda i izdataka'!$J$3:$J$501)+SUMIF('Unos rashoda P4'!$T$3:$T$501,'A.4 RASHODI FUNK'!$A32,'Unos rashoda P4'!$H$3:$H$501)</f>
        <v>0</v>
      </c>
      <c r="D32" s="198">
        <f>SUMIF('Unos rashoda i izdataka'!$R$3:$R$501,'A.4 RASHODI FUNK'!$A32,'Unos rashoda i izdataka'!$K$3:$K$501)+SUMIF('Unos rashoda P4'!$T$3:$T$501,'A.4 RASHODI FUNK'!$A32,'Unos rashoda P4'!$I$3:$I$501)</f>
        <v>0</v>
      </c>
      <c r="E32" s="198">
        <f>SUMIF('Unos rashoda i izdataka'!$R$3:$R$501,'A.4 RASHODI FUNK'!$A32,'Unos rashoda i izdataka'!$L$3:$L$501)+SUMIF('Unos rashoda P4'!$T$3:$T$501,'A.4 RASHODI FUNK'!$A32,'Unos rashoda P4'!$J$3:$J$501)</f>
        <v>0</v>
      </c>
    </row>
    <row r="33" spans="1:5">
      <c r="A33" s="203">
        <v>45</v>
      </c>
      <c r="B33" s="120" t="s">
        <v>3305</v>
      </c>
      <c r="C33" s="198">
        <f>SUMIF('Unos rashoda i izdataka'!$R$3:$R$501,'A.4 RASHODI FUNK'!$A33,'Unos rashoda i izdataka'!$J$3:$J$501)+SUMIF('Unos rashoda P4'!$T$3:$T$501,'A.4 RASHODI FUNK'!$A33,'Unos rashoda P4'!$H$3:$H$501)</f>
        <v>0</v>
      </c>
      <c r="D33" s="198">
        <f>SUMIF('Unos rashoda i izdataka'!$R$3:$R$501,'A.4 RASHODI FUNK'!$A33,'Unos rashoda i izdataka'!$K$3:$K$501)+SUMIF('Unos rashoda P4'!$T$3:$T$501,'A.4 RASHODI FUNK'!$A33,'Unos rashoda P4'!$I$3:$I$501)</f>
        <v>0</v>
      </c>
      <c r="E33" s="198">
        <f>SUMIF('Unos rashoda i izdataka'!$R$3:$R$501,'A.4 RASHODI FUNK'!$A33,'Unos rashoda i izdataka'!$L$3:$L$501)+SUMIF('Unos rashoda P4'!$T$3:$T$501,'A.4 RASHODI FUNK'!$A33,'Unos rashoda P4'!$J$3:$J$501)</f>
        <v>0</v>
      </c>
    </row>
    <row r="34" spans="1:5">
      <c r="A34" s="203">
        <v>46</v>
      </c>
      <c r="B34" s="120" t="s">
        <v>821</v>
      </c>
      <c r="C34" s="198">
        <f>SUMIF('Unos rashoda i izdataka'!$R$3:$R$501,'A.4 RASHODI FUNK'!$A34,'Unos rashoda i izdataka'!$J$3:$J$501)+SUMIF('Unos rashoda P4'!$T$3:$T$501,'A.4 RASHODI FUNK'!$A34,'Unos rashoda P4'!$H$3:$H$501)</f>
        <v>0</v>
      </c>
      <c r="D34" s="198">
        <f>SUMIF('Unos rashoda i izdataka'!$R$3:$R$501,'A.4 RASHODI FUNK'!$A34,'Unos rashoda i izdataka'!$K$3:$K$501)+SUMIF('Unos rashoda P4'!$T$3:$T$501,'A.4 RASHODI FUNK'!$A34,'Unos rashoda P4'!$I$3:$I$501)</f>
        <v>0</v>
      </c>
      <c r="E34" s="198">
        <f>SUMIF('Unos rashoda i izdataka'!$R$3:$R$501,'A.4 RASHODI FUNK'!$A34,'Unos rashoda i izdataka'!$L$3:$L$501)+SUMIF('Unos rashoda P4'!$T$3:$T$501,'A.4 RASHODI FUNK'!$A34,'Unos rashoda P4'!$J$3:$J$501)</f>
        <v>0</v>
      </c>
    </row>
    <row r="35" spans="1:5">
      <c r="A35" s="203">
        <v>47</v>
      </c>
      <c r="B35" s="120" t="s">
        <v>3306</v>
      </c>
      <c r="C35" s="198">
        <f>SUMIF('Unos rashoda i izdataka'!$R$3:$R$501,'A.4 RASHODI FUNK'!$A35,'Unos rashoda i izdataka'!$J$3:$J$501)+SUMIF('Unos rashoda P4'!$T$3:$T$501,'A.4 RASHODI FUNK'!$A35,'Unos rashoda P4'!$H$3:$H$501)</f>
        <v>0</v>
      </c>
      <c r="D35" s="198">
        <f>SUMIF('Unos rashoda i izdataka'!$R$3:$R$501,'A.4 RASHODI FUNK'!$A35,'Unos rashoda i izdataka'!$K$3:$K$501)+SUMIF('Unos rashoda P4'!$T$3:$T$501,'A.4 RASHODI FUNK'!$A35,'Unos rashoda P4'!$I$3:$I$501)</f>
        <v>0</v>
      </c>
      <c r="E35" s="198">
        <f>SUMIF('Unos rashoda i izdataka'!$R$3:$R$501,'A.4 RASHODI FUNK'!$A35,'Unos rashoda i izdataka'!$L$3:$L$501)+SUMIF('Unos rashoda P4'!$T$3:$T$501,'A.4 RASHODI FUNK'!$A35,'Unos rashoda P4'!$J$3:$J$501)</f>
        <v>0</v>
      </c>
    </row>
    <row r="36" spans="1:5">
      <c r="A36" s="203">
        <v>48</v>
      </c>
      <c r="B36" s="120" t="s">
        <v>3307</v>
      </c>
      <c r="C36" s="198">
        <f>SUMIF('Unos rashoda i izdataka'!$R$3:$R$501,'A.4 RASHODI FUNK'!$A36,'Unos rashoda i izdataka'!$J$3:$J$501)+SUMIF('Unos rashoda P4'!$T$3:$T$501,'A.4 RASHODI FUNK'!$A36,'Unos rashoda P4'!$H$3:$H$501)</f>
        <v>0</v>
      </c>
      <c r="D36" s="198">
        <f>SUMIF('Unos rashoda i izdataka'!$R$3:$R$501,'A.4 RASHODI FUNK'!$A36,'Unos rashoda i izdataka'!$K$3:$K$501)+SUMIF('Unos rashoda P4'!$T$3:$T$501,'A.4 RASHODI FUNK'!$A36,'Unos rashoda P4'!$I$3:$I$501)</f>
        <v>0</v>
      </c>
      <c r="E36" s="198">
        <f>SUMIF('Unos rashoda i izdataka'!$R$3:$R$501,'A.4 RASHODI FUNK'!$A36,'Unos rashoda i izdataka'!$L$3:$L$501)+SUMIF('Unos rashoda P4'!$T$3:$T$501,'A.4 RASHODI FUNK'!$A36,'Unos rashoda P4'!$J$3:$J$501)</f>
        <v>0</v>
      </c>
    </row>
    <row r="37" spans="1:5">
      <c r="A37" s="203">
        <v>49</v>
      </c>
      <c r="B37" s="120" t="s">
        <v>3308</v>
      </c>
      <c r="C37" s="198">
        <f>SUMIF('Unos rashoda i izdataka'!$R$3:$R$501,'A.4 RASHODI FUNK'!$A37,'Unos rashoda i izdataka'!$J$3:$J$501)+SUMIF('Unos rashoda P4'!$T$3:$T$501,'A.4 RASHODI FUNK'!$A37,'Unos rashoda P4'!$H$3:$H$501)</f>
        <v>0</v>
      </c>
      <c r="D37" s="198">
        <f>SUMIF('Unos rashoda i izdataka'!$R$3:$R$501,'A.4 RASHODI FUNK'!$A37,'Unos rashoda i izdataka'!$K$3:$K$501)+SUMIF('Unos rashoda P4'!$T$3:$T$501,'A.4 RASHODI FUNK'!$A37,'Unos rashoda P4'!$I$3:$I$501)</f>
        <v>0</v>
      </c>
      <c r="E37" s="198">
        <f>SUMIF('Unos rashoda i izdataka'!$R$3:$R$501,'A.4 RASHODI FUNK'!$A37,'Unos rashoda i izdataka'!$L$3:$L$501)+SUMIF('Unos rashoda P4'!$T$3:$T$501,'A.4 RASHODI FUNK'!$A37,'Unos rashoda P4'!$J$3:$J$501)</f>
        <v>0</v>
      </c>
    </row>
    <row r="38" spans="1:5">
      <c r="A38" s="202">
        <v>5</v>
      </c>
      <c r="B38" s="124" t="s">
        <v>3309</v>
      </c>
      <c r="C38" s="204">
        <f>SUM(C39:C44)</f>
        <v>0</v>
      </c>
      <c r="D38" s="204">
        <f>SUM(D39:D44)</f>
        <v>0</v>
      </c>
      <c r="E38" s="204">
        <f>SUM(E39:E44)</f>
        <v>0</v>
      </c>
    </row>
    <row r="39" spans="1:5">
      <c r="A39" s="203">
        <v>51</v>
      </c>
      <c r="B39" s="120" t="s">
        <v>3310</v>
      </c>
      <c r="C39" s="198">
        <f>SUMIF('Unos rashoda i izdataka'!$R$3:$R$501,'A.4 RASHODI FUNK'!$A39,'Unos rashoda i izdataka'!$J$3:$J$501)+SUMIF('Unos rashoda P4'!$T$3:$T$501,'A.4 RASHODI FUNK'!$A39,'Unos rashoda P4'!$H$3:$H$501)</f>
        <v>0</v>
      </c>
      <c r="D39" s="198">
        <f>SUMIF('Unos rashoda i izdataka'!$R$3:$R$501,'A.4 RASHODI FUNK'!$A39,'Unos rashoda i izdataka'!$K$3:$K$501)+SUMIF('Unos rashoda P4'!$T$3:$T$501,'A.4 RASHODI FUNK'!$A39,'Unos rashoda P4'!$I$3:$I$501)</f>
        <v>0</v>
      </c>
      <c r="E39" s="198">
        <f>SUMIF('Unos rashoda i izdataka'!$R$3:$R$501,'A.4 RASHODI FUNK'!$A39,'Unos rashoda i izdataka'!$L$3:$L$501)+SUMIF('Unos rashoda P4'!$T$3:$T$501,'A.4 RASHODI FUNK'!$A39,'Unos rashoda P4'!$J$3:$J$501)</f>
        <v>0</v>
      </c>
    </row>
    <row r="40" spans="1:5">
      <c r="A40" s="203">
        <v>52</v>
      </c>
      <c r="B40" s="120" t="s">
        <v>3311</v>
      </c>
      <c r="C40" s="198">
        <f>SUMIF('Unos rashoda i izdataka'!$R$3:$R$501,'A.4 RASHODI FUNK'!$A40,'Unos rashoda i izdataka'!$J$3:$J$501)+SUMIF('Unos rashoda P4'!$T$3:$T$501,'A.4 RASHODI FUNK'!$A40,'Unos rashoda P4'!$H$3:$H$501)</f>
        <v>0</v>
      </c>
      <c r="D40" s="198">
        <f>SUMIF('Unos rashoda i izdataka'!$R$3:$R$501,'A.4 RASHODI FUNK'!$A40,'Unos rashoda i izdataka'!$K$3:$K$501)+SUMIF('Unos rashoda P4'!$T$3:$T$501,'A.4 RASHODI FUNK'!$A40,'Unos rashoda P4'!$I$3:$I$501)</f>
        <v>0</v>
      </c>
      <c r="E40" s="198">
        <f>SUMIF('Unos rashoda i izdataka'!$R$3:$R$501,'A.4 RASHODI FUNK'!$A40,'Unos rashoda i izdataka'!$L$3:$L$501)+SUMIF('Unos rashoda P4'!$T$3:$T$501,'A.4 RASHODI FUNK'!$A40,'Unos rashoda P4'!$J$3:$J$501)</f>
        <v>0</v>
      </c>
    </row>
    <row r="41" spans="1:5">
      <c r="A41" s="203">
        <v>53</v>
      </c>
      <c r="B41" s="120" t="s">
        <v>3312</v>
      </c>
      <c r="C41" s="198">
        <f>SUMIF('Unos rashoda i izdataka'!$R$3:$R$501,'A.4 RASHODI FUNK'!$A41,'Unos rashoda i izdataka'!$J$3:$J$501)+SUMIF('Unos rashoda P4'!$T$3:$T$501,'A.4 RASHODI FUNK'!$A41,'Unos rashoda P4'!$H$3:$H$501)</f>
        <v>0</v>
      </c>
      <c r="D41" s="198">
        <f>SUMIF('Unos rashoda i izdataka'!$R$3:$R$501,'A.4 RASHODI FUNK'!$A41,'Unos rashoda i izdataka'!$K$3:$K$501)+SUMIF('Unos rashoda P4'!$T$3:$T$501,'A.4 RASHODI FUNK'!$A41,'Unos rashoda P4'!$I$3:$I$501)</f>
        <v>0</v>
      </c>
      <c r="E41" s="198">
        <f>SUMIF('Unos rashoda i izdataka'!$R$3:$R$501,'A.4 RASHODI FUNK'!$A41,'Unos rashoda i izdataka'!$L$3:$L$501)+SUMIF('Unos rashoda P4'!$T$3:$T$501,'A.4 RASHODI FUNK'!$A41,'Unos rashoda P4'!$J$3:$J$501)</f>
        <v>0</v>
      </c>
    </row>
    <row r="42" spans="1:5">
      <c r="A42" s="203">
        <v>54</v>
      </c>
      <c r="B42" s="120" t="s">
        <v>3313</v>
      </c>
      <c r="C42" s="198">
        <f>SUMIF('Unos rashoda i izdataka'!$R$3:$R$501,'A.4 RASHODI FUNK'!$A42,'Unos rashoda i izdataka'!$J$3:$J$501)+SUMIF('Unos rashoda P4'!$T$3:$T$501,'A.4 RASHODI FUNK'!$A42,'Unos rashoda P4'!$H$3:$H$501)</f>
        <v>0</v>
      </c>
      <c r="D42" s="198">
        <f>SUMIF('Unos rashoda i izdataka'!$R$3:$R$501,'A.4 RASHODI FUNK'!$A42,'Unos rashoda i izdataka'!$K$3:$K$501)+SUMIF('Unos rashoda P4'!$T$3:$T$501,'A.4 RASHODI FUNK'!$A42,'Unos rashoda P4'!$I$3:$I$501)</f>
        <v>0</v>
      </c>
      <c r="E42" s="198">
        <f>SUMIF('Unos rashoda i izdataka'!$R$3:$R$501,'A.4 RASHODI FUNK'!$A42,'Unos rashoda i izdataka'!$L$3:$L$501)+SUMIF('Unos rashoda P4'!$T$3:$T$501,'A.4 RASHODI FUNK'!$A42,'Unos rashoda P4'!$J$3:$J$501)</f>
        <v>0</v>
      </c>
    </row>
    <row r="43" spans="1:5">
      <c r="A43" s="203">
        <v>55</v>
      </c>
      <c r="B43" s="120" t="s">
        <v>3314</v>
      </c>
      <c r="C43" s="198">
        <f>SUMIF('Unos rashoda i izdataka'!$R$3:$R$501,'A.4 RASHODI FUNK'!$A43,'Unos rashoda i izdataka'!$J$3:$J$501)+SUMIF('Unos rashoda P4'!$T$3:$T$501,'A.4 RASHODI FUNK'!$A43,'Unos rashoda P4'!$H$3:$H$501)</f>
        <v>0</v>
      </c>
      <c r="D43" s="198">
        <f>SUMIF('Unos rashoda i izdataka'!$R$3:$R$501,'A.4 RASHODI FUNK'!$A43,'Unos rashoda i izdataka'!$K$3:$K$501)+SUMIF('Unos rashoda P4'!$T$3:$T$501,'A.4 RASHODI FUNK'!$A43,'Unos rashoda P4'!$I$3:$I$501)</f>
        <v>0</v>
      </c>
      <c r="E43" s="198">
        <f>SUMIF('Unos rashoda i izdataka'!$R$3:$R$501,'A.4 RASHODI FUNK'!$A43,'Unos rashoda i izdataka'!$L$3:$L$501)+SUMIF('Unos rashoda P4'!$T$3:$T$501,'A.4 RASHODI FUNK'!$A43,'Unos rashoda P4'!$J$3:$J$501)</f>
        <v>0</v>
      </c>
    </row>
    <row r="44" spans="1:5" ht="27.6">
      <c r="A44" s="203">
        <v>56</v>
      </c>
      <c r="B44" s="120" t="s">
        <v>3315</v>
      </c>
      <c r="C44" s="198">
        <f>SUMIF('Unos rashoda i izdataka'!$R$3:$R$501,'A.4 RASHODI FUNK'!$A44,'Unos rashoda i izdataka'!$J$3:$J$501)+SUMIF('Unos rashoda P4'!$T$3:$T$501,'A.4 RASHODI FUNK'!$A44,'Unos rashoda P4'!$H$3:$H$501)</f>
        <v>0</v>
      </c>
      <c r="D44" s="198">
        <f>SUMIF('Unos rashoda i izdataka'!$R$3:$R$501,'A.4 RASHODI FUNK'!$A44,'Unos rashoda i izdataka'!$K$3:$K$501)+SUMIF('Unos rashoda P4'!$T$3:$T$501,'A.4 RASHODI FUNK'!$A44,'Unos rashoda P4'!$I$3:$I$501)</f>
        <v>0</v>
      </c>
      <c r="E44" s="198">
        <f>SUMIF('Unos rashoda i izdataka'!$R$3:$R$501,'A.4 RASHODI FUNK'!$A44,'Unos rashoda i izdataka'!$L$3:$L$501)+SUMIF('Unos rashoda P4'!$T$3:$T$501,'A.4 RASHODI FUNK'!$A44,'Unos rashoda P4'!$J$3:$J$501)</f>
        <v>0</v>
      </c>
    </row>
    <row r="45" spans="1:5">
      <c r="A45" s="202">
        <v>6</v>
      </c>
      <c r="B45" s="124" t="s">
        <v>3316</v>
      </c>
      <c r="C45" s="204">
        <f>SUM(C46:C51)</f>
        <v>0</v>
      </c>
      <c r="D45" s="204">
        <f>SUM(D46:D51)</f>
        <v>0</v>
      </c>
      <c r="E45" s="204">
        <f>SUM(E46:E51)</f>
        <v>0</v>
      </c>
    </row>
    <row r="46" spans="1:5">
      <c r="A46" s="203">
        <v>61</v>
      </c>
      <c r="B46" s="120" t="s">
        <v>3317</v>
      </c>
      <c r="C46" s="198">
        <f>SUMIF('Unos rashoda i izdataka'!$R$3:$R$501,'A.4 RASHODI FUNK'!$A46,'Unos rashoda i izdataka'!$J$3:$J$501)+SUMIF('Unos rashoda P4'!$T$3:$T$501,'A.4 RASHODI FUNK'!$A46,'Unos rashoda P4'!$H$3:$H$501)</f>
        <v>0</v>
      </c>
      <c r="D46" s="198">
        <f>SUMIF('Unos rashoda i izdataka'!$R$3:$R$501,'A.4 RASHODI FUNK'!$A46,'Unos rashoda i izdataka'!$K$3:$K$501)+SUMIF('Unos rashoda P4'!$T$3:$T$501,'A.4 RASHODI FUNK'!$A46,'Unos rashoda P4'!$I$3:$I$501)</f>
        <v>0</v>
      </c>
      <c r="E46" s="198">
        <f>SUMIF('Unos rashoda i izdataka'!$R$3:$R$501,'A.4 RASHODI FUNK'!$A46,'Unos rashoda i izdataka'!$L$3:$L$501)+SUMIF('Unos rashoda P4'!$T$3:$T$501,'A.4 RASHODI FUNK'!$A46,'Unos rashoda P4'!$J$3:$J$501)</f>
        <v>0</v>
      </c>
    </row>
    <row r="47" spans="1:5">
      <c r="A47" s="203">
        <v>62</v>
      </c>
      <c r="B47" s="120" t="s">
        <v>3318</v>
      </c>
      <c r="C47" s="198">
        <f>SUMIF('Unos rashoda i izdataka'!$R$3:$R$501,'A.4 RASHODI FUNK'!$A47,'Unos rashoda i izdataka'!$J$3:$J$501)+SUMIF('Unos rashoda P4'!$T$3:$T$501,'A.4 RASHODI FUNK'!$A47,'Unos rashoda P4'!$H$3:$H$501)</f>
        <v>0</v>
      </c>
      <c r="D47" s="198">
        <f>SUMIF('Unos rashoda i izdataka'!$R$3:$R$501,'A.4 RASHODI FUNK'!$A47,'Unos rashoda i izdataka'!$K$3:$K$501)+SUMIF('Unos rashoda P4'!$T$3:$T$501,'A.4 RASHODI FUNK'!$A47,'Unos rashoda P4'!$I$3:$I$501)</f>
        <v>0</v>
      </c>
      <c r="E47" s="198">
        <f>SUMIF('Unos rashoda i izdataka'!$R$3:$R$501,'A.4 RASHODI FUNK'!$A47,'Unos rashoda i izdataka'!$L$3:$L$501)+SUMIF('Unos rashoda P4'!$T$3:$T$501,'A.4 RASHODI FUNK'!$A47,'Unos rashoda P4'!$J$3:$J$501)</f>
        <v>0</v>
      </c>
    </row>
    <row r="48" spans="1:5">
      <c r="A48" s="203">
        <v>63</v>
      </c>
      <c r="B48" s="120" t="s">
        <v>3319</v>
      </c>
      <c r="C48" s="198">
        <f>SUMIF('Unos rashoda i izdataka'!$R$3:$R$501,'A.4 RASHODI FUNK'!$A48,'Unos rashoda i izdataka'!$J$3:$J$501)+SUMIF('Unos rashoda P4'!$T$3:$T$501,'A.4 RASHODI FUNK'!$A48,'Unos rashoda P4'!$H$3:$H$501)</f>
        <v>0</v>
      </c>
      <c r="D48" s="198">
        <f>SUMIF('Unos rashoda i izdataka'!$R$3:$R$501,'A.4 RASHODI FUNK'!$A48,'Unos rashoda i izdataka'!$K$3:$K$501)+SUMIF('Unos rashoda P4'!$T$3:$T$501,'A.4 RASHODI FUNK'!$A48,'Unos rashoda P4'!$I$3:$I$501)</f>
        <v>0</v>
      </c>
      <c r="E48" s="198">
        <f>SUMIF('Unos rashoda i izdataka'!$R$3:$R$501,'A.4 RASHODI FUNK'!$A48,'Unos rashoda i izdataka'!$L$3:$L$501)+SUMIF('Unos rashoda P4'!$T$3:$T$501,'A.4 RASHODI FUNK'!$A48,'Unos rashoda P4'!$J$3:$J$501)</f>
        <v>0</v>
      </c>
    </row>
    <row r="49" spans="1:5">
      <c r="A49" s="203">
        <v>64</v>
      </c>
      <c r="B49" s="120" t="s">
        <v>3320</v>
      </c>
      <c r="C49" s="198">
        <f>SUMIF('Unos rashoda i izdataka'!$R$3:$R$501,'A.4 RASHODI FUNK'!$A49,'Unos rashoda i izdataka'!$J$3:$J$501)+SUMIF('Unos rashoda P4'!$T$3:$T$501,'A.4 RASHODI FUNK'!$A49,'Unos rashoda P4'!$H$3:$H$501)</f>
        <v>0</v>
      </c>
      <c r="D49" s="198">
        <f>SUMIF('Unos rashoda i izdataka'!$R$3:$R$501,'A.4 RASHODI FUNK'!$A49,'Unos rashoda i izdataka'!$K$3:$K$501)+SUMIF('Unos rashoda P4'!$T$3:$T$501,'A.4 RASHODI FUNK'!$A49,'Unos rashoda P4'!$I$3:$I$501)</f>
        <v>0</v>
      </c>
      <c r="E49" s="198">
        <f>SUMIF('Unos rashoda i izdataka'!$R$3:$R$501,'A.4 RASHODI FUNK'!$A49,'Unos rashoda i izdataka'!$L$3:$L$501)+SUMIF('Unos rashoda P4'!$T$3:$T$501,'A.4 RASHODI FUNK'!$A49,'Unos rashoda P4'!$J$3:$J$501)</f>
        <v>0</v>
      </c>
    </row>
    <row r="50" spans="1:5" ht="27.6">
      <c r="A50" s="203">
        <v>65</v>
      </c>
      <c r="B50" s="120" t="s">
        <v>3321</v>
      </c>
      <c r="C50" s="198">
        <f>SUMIF('Unos rashoda i izdataka'!$R$3:$R$501,'A.4 RASHODI FUNK'!$A50,'Unos rashoda i izdataka'!$J$3:$J$501)+SUMIF('Unos rashoda P4'!$T$3:$T$501,'A.4 RASHODI FUNK'!$A50,'Unos rashoda P4'!$H$3:$H$501)</f>
        <v>0</v>
      </c>
      <c r="D50" s="198">
        <f>SUMIF('Unos rashoda i izdataka'!$R$3:$R$501,'A.4 RASHODI FUNK'!$A50,'Unos rashoda i izdataka'!$K$3:$K$501)+SUMIF('Unos rashoda P4'!$T$3:$T$501,'A.4 RASHODI FUNK'!$A50,'Unos rashoda P4'!$I$3:$I$501)</f>
        <v>0</v>
      </c>
      <c r="E50" s="198">
        <f>SUMIF('Unos rashoda i izdataka'!$R$3:$R$501,'A.4 RASHODI FUNK'!$A50,'Unos rashoda i izdataka'!$L$3:$L$501)+SUMIF('Unos rashoda P4'!$T$3:$T$501,'A.4 RASHODI FUNK'!$A50,'Unos rashoda P4'!$J$3:$J$501)</f>
        <v>0</v>
      </c>
    </row>
    <row r="51" spans="1:5" ht="27.6">
      <c r="A51" s="203">
        <v>66</v>
      </c>
      <c r="B51" s="120" t="s">
        <v>3322</v>
      </c>
      <c r="C51" s="198">
        <f>SUMIF('Unos rashoda i izdataka'!$R$3:$R$501,'A.4 RASHODI FUNK'!$A51,'Unos rashoda i izdataka'!$J$3:$J$501)+SUMIF('Unos rashoda P4'!$T$3:$T$501,'A.4 RASHODI FUNK'!$A51,'Unos rashoda P4'!$H$3:$H$501)</f>
        <v>0</v>
      </c>
      <c r="D51" s="198">
        <f>SUMIF('Unos rashoda i izdataka'!$R$3:$R$501,'A.4 RASHODI FUNK'!$A51,'Unos rashoda i izdataka'!$K$3:$K$501)+SUMIF('Unos rashoda P4'!$T$3:$T$501,'A.4 RASHODI FUNK'!$A51,'Unos rashoda P4'!$I$3:$I$501)</f>
        <v>0</v>
      </c>
      <c r="E51" s="198">
        <f>SUMIF('Unos rashoda i izdataka'!$R$3:$R$501,'A.4 RASHODI FUNK'!$A51,'Unos rashoda i izdataka'!$L$3:$L$501)+SUMIF('Unos rashoda P4'!$T$3:$T$501,'A.4 RASHODI FUNK'!$A51,'Unos rashoda P4'!$J$3:$J$501)</f>
        <v>0</v>
      </c>
    </row>
    <row r="52" spans="1:5">
      <c r="A52" s="202">
        <v>7</v>
      </c>
      <c r="B52" s="124" t="s">
        <v>3323</v>
      </c>
      <c r="C52" s="204">
        <f>SUM(C53:C58)</f>
        <v>0</v>
      </c>
      <c r="D52" s="204">
        <f>SUM(D53:D58)</f>
        <v>0</v>
      </c>
      <c r="E52" s="204">
        <f>SUM(E53:E58)</f>
        <v>0</v>
      </c>
    </row>
    <row r="53" spans="1:5">
      <c r="A53" s="203">
        <v>71</v>
      </c>
      <c r="B53" s="120" t="s">
        <v>3324</v>
      </c>
      <c r="C53" s="198">
        <f>SUMIF('Unos rashoda i izdataka'!$R$3:$R$501,'A.4 RASHODI FUNK'!$A53,'Unos rashoda i izdataka'!$J$3:$J$501)+SUMIF('Unos rashoda P4'!$T$3:$T$501,'A.4 RASHODI FUNK'!$A53,'Unos rashoda P4'!$H$3:$H$501)</f>
        <v>0</v>
      </c>
      <c r="D53" s="198">
        <f>SUMIF('Unos rashoda i izdataka'!$R$3:$R$501,'A.4 RASHODI FUNK'!$A53,'Unos rashoda i izdataka'!$K$3:$K$501)+SUMIF('Unos rashoda P4'!$T$3:$T$501,'A.4 RASHODI FUNK'!$A53,'Unos rashoda P4'!$I$3:$I$501)</f>
        <v>0</v>
      </c>
      <c r="E53" s="198">
        <f>SUMIF('Unos rashoda i izdataka'!$R$3:$R$501,'A.4 RASHODI FUNK'!$A53,'Unos rashoda i izdataka'!$L$3:$L$501)+SUMIF('Unos rashoda P4'!$T$3:$T$501,'A.4 RASHODI FUNK'!$A53,'Unos rashoda P4'!$J$3:$J$501)</f>
        <v>0</v>
      </c>
    </row>
    <row r="54" spans="1:5">
      <c r="A54" s="203">
        <v>72</v>
      </c>
      <c r="B54" s="120" t="s">
        <v>3325</v>
      </c>
      <c r="C54" s="198">
        <f>SUMIF('Unos rashoda i izdataka'!$R$3:$R$501,'A.4 RASHODI FUNK'!$A54,'Unos rashoda i izdataka'!$J$3:$J$501)+SUMIF('Unos rashoda P4'!$T$3:$T$501,'A.4 RASHODI FUNK'!$A54,'Unos rashoda P4'!$H$3:$H$501)</f>
        <v>0</v>
      </c>
      <c r="D54" s="198">
        <f>SUMIF('Unos rashoda i izdataka'!$R$3:$R$501,'A.4 RASHODI FUNK'!$A54,'Unos rashoda i izdataka'!$K$3:$K$501)+SUMIF('Unos rashoda P4'!$T$3:$T$501,'A.4 RASHODI FUNK'!$A54,'Unos rashoda P4'!$I$3:$I$501)</f>
        <v>0</v>
      </c>
      <c r="E54" s="198">
        <f>SUMIF('Unos rashoda i izdataka'!$R$3:$R$501,'A.4 RASHODI FUNK'!$A54,'Unos rashoda i izdataka'!$L$3:$L$501)+SUMIF('Unos rashoda P4'!$T$3:$T$501,'A.4 RASHODI FUNK'!$A54,'Unos rashoda P4'!$J$3:$J$501)</f>
        <v>0</v>
      </c>
    </row>
    <row r="55" spans="1:5">
      <c r="A55" s="203">
        <v>73</v>
      </c>
      <c r="B55" s="120" t="s">
        <v>3326</v>
      </c>
      <c r="C55" s="198">
        <f>SUMIF('Unos rashoda i izdataka'!$R$3:$R$501,'A.4 RASHODI FUNK'!$A55,'Unos rashoda i izdataka'!$J$3:$J$501)+SUMIF('Unos rashoda P4'!$T$3:$T$501,'A.4 RASHODI FUNK'!$A55,'Unos rashoda P4'!$H$3:$H$501)</f>
        <v>0</v>
      </c>
      <c r="D55" s="198">
        <f>SUMIF('Unos rashoda i izdataka'!$R$3:$R$501,'A.4 RASHODI FUNK'!$A55,'Unos rashoda i izdataka'!$K$3:$K$501)+SUMIF('Unos rashoda P4'!$T$3:$T$501,'A.4 RASHODI FUNK'!$A55,'Unos rashoda P4'!$I$3:$I$501)</f>
        <v>0</v>
      </c>
      <c r="E55" s="198">
        <f>SUMIF('Unos rashoda i izdataka'!$R$3:$R$501,'A.4 RASHODI FUNK'!$A55,'Unos rashoda i izdataka'!$L$3:$L$501)+SUMIF('Unos rashoda P4'!$T$3:$T$501,'A.4 RASHODI FUNK'!$A55,'Unos rashoda P4'!$J$3:$J$501)</f>
        <v>0</v>
      </c>
    </row>
    <row r="56" spans="1:5">
      <c r="A56" s="203">
        <v>74</v>
      </c>
      <c r="B56" s="120" t="s">
        <v>3327</v>
      </c>
      <c r="C56" s="198">
        <f>SUMIF('Unos rashoda i izdataka'!$R$3:$R$501,'A.4 RASHODI FUNK'!$A56,'Unos rashoda i izdataka'!$J$3:$J$501)+SUMIF('Unos rashoda P4'!$T$3:$T$501,'A.4 RASHODI FUNK'!$A56,'Unos rashoda P4'!$H$3:$H$501)</f>
        <v>0</v>
      </c>
      <c r="D56" s="198">
        <f>SUMIF('Unos rashoda i izdataka'!$R$3:$R$501,'A.4 RASHODI FUNK'!$A56,'Unos rashoda i izdataka'!$K$3:$K$501)+SUMIF('Unos rashoda P4'!$T$3:$T$501,'A.4 RASHODI FUNK'!$A56,'Unos rashoda P4'!$I$3:$I$501)</f>
        <v>0</v>
      </c>
      <c r="E56" s="198">
        <f>SUMIF('Unos rashoda i izdataka'!$R$3:$R$501,'A.4 RASHODI FUNK'!$A56,'Unos rashoda i izdataka'!$L$3:$L$501)+SUMIF('Unos rashoda P4'!$T$3:$T$501,'A.4 RASHODI FUNK'!$A56,'Unos rashoda P4'!$J$3:$J$501)</f>
        <v>0</v>
      </c>
    </row>
    <row r="57" spans="1:5">
      <c r="A57" s="203">
        <v>75</v>
      </c>
      <c r="B57" s="120" t="s">
        <v>3328</v>
      </c>
      <c r="C57" s="198">
        <f>SUMIF('Unos rashoda i izdataka'!$R$3:$R$501,'A.4 RASHODI FUNK'!$A57,'Unos rashoda i izdataka'!$J$3:$J$501)+SUMIF('Unos rashoda P4'!$T$3:$T$501,'A.4 RASHODI FUNK'!$A57,'Unos rashoda P4'!$H$3:$H$501)</f>
        <v>0</v>
      </c>
      <c r="D57" s="198">
        <f>SUMIF('Unos rashoda i izdataka'!$R$3:$R$501,'A.4 RASHODI FUNK'!$A57,'Unos rashoda i izdataka'!$K$3:$K$501)+SUMIF('Unos rashoda P4'!$T$3:$T$501,'A.4 RASHODI FUNK'!$A57,'Unos rashoda P4'!$I$3:$I$501)</f>
        <v>0</v>
      </c>
      <c r="E57" s="198">
        <f>SUMIF('Unos rashoda i izdataka'!$R$3:$R$501,'A.4 RASHODI FUNK'!$A57,'Unos rashoda i izdataka'!$L$3:$L$501)+SUMIF('Unos rashoda P4'!$T$3:$T$501,'A.4 RASHODI FUNK'!$A57,'Unos rashoda P4'!$J$3:$J$501)</f>
        <v>0</v>
      </c>
    </row>
    <row r="58" spans="1:5">
      <c r="A58" s="203">
        <v>76</v>
      </c>
      <c r="B58" s="120" t="s">
        <v>3329</v>
      </c>
      <c r="C58" s="198">
        <f>SUMIF('Unos rashoda i izdataka'!$R$3:$R$501,'A.4 RASHODI FUNK'!$A58,'Unos rashoda i izdataka'!$J$3:$J$501)+SUMIF('Unos rashoda P4'!$T$3:$T$501,'A.4 RASHODI FUNK'!$A58,'Unos rashoda P4'!$H$3:$H$501)</f>
        <v>0</v>
      </c>
      <c r="D58" s="198">
        <f>SUMIF('Unos rashoda i izdataka'!$R$3:$R$501,'A.4 RASHODI FUNK'!$A58,'Unos rashoda i izdataka'!$K$3:$K$501)+SUMIF('Unos rashoda P4'!$T$3:$T$501,'A.4 RASHODI FUNK'!$A58,'Unos rashoda P4'!$I$3:$I$501)</f>
        <v>0</v>
      </c>
      <c r="E58" s="198">
        <f>SUMIF('Unos rashoda i izdataka'!$R$3:$R$501,'A.4 RASHODI FUNK'!$A58,'Unos rashoda i izdataka'!$L$3:$L$501)+SUMIF('Unos rashoda P4'!$T$3:$T$501,'A.4 RASHODI FUNK'!$A58,'Unos rashoda P4'!$J$3:$J$501)</f>
        <v>0</v>
      </c>
    </row>
    <row r="59" spans="1:5">
      <c r="A59" s="202">
        <v>8</v>
      </c>
      <c r="B59" s="124" t="s">
        <v>3330</v>
      </c>
      <c r="C59" s="204">
        <f>SUM(C60:C65)</f>
        <v>0</v>
      </c>
      <c r="D59" s="204">
        <f>SUM(D60:D65)</f>
        <v>0</v>
      </c>
      <c r="E59" s="204">
        <f>SUM(E60:E65)</f>
        <v>0</v>
      </c>
    </row>
    <row r="60" spans="1:5">
      <c r="A60" s="203">
        <v>81</v>
      </c>
      <c r="B60" s="120" t="s">
        <v>3331</v>
      </c>
      <c r="C60" s="198">
        <f>SUMIF('Unos rashoda i izdataka'!$R$3:$R$501,'A.4 RASHODI FUNK'!$A60,'Unos rashoda i izdataka'!$J$3:$J$501)+SUMIF('Unos rashoda P4'!$T$3:$T$501,'A.4 RASHODI FUNK'!$A60,'Unos rashoda P4'!$H$3:$H$501)</f>
        <v>0</v>
      </c>
      <c r="D60" s="198">
        <f>SUMIF('Unos rashoda i izdataka'!$R$3:$R$501,'A.4 RASHODI FUNK'!$A60,'Unos rashoda i izdataka'!$K$3:$K$501)+SUMIF('Unos rashoda P4'!$T$3:$T$501,'A.4 RASHODI FUNK'!$A60,'Unos rashoda P4'!$I$3:$I$501)</f>
        <v>0</v>
      </c>
      <c r="E60" s="198">
        <f>SUMIF('Unos rashoda i izdataka'!$R$3:$R$501,'A.4 RASHODI FUNK'!$A60,'Unos rashoda i izdataka'!$L$3:$L$501)+SUMIF('Unos rashoda P4'!$T$3:$T$501,'A.4 RASHODI FUNK'!$A60,'Unos rashoda P4'!$J$3:$J$501)</f>
        <v>0</v>
      </c>
    </row>
    <row r="61" spans="1:5">
      <c r="A61" s="203">
        <v>82</v>
      </c>
      <c r="B61" s="120" t="s">
        <v>310</v>
      </c>
      <c r="C61" s="198">
        <f>SUMIF('Unos rashoda i izdataka'!$R$3:$R$501,'A.4 RASHODI FUNK'!$A61,'Unos rashoda i izdataka'!$J$3:$J$501)+SUMIF('Unos rashoda P4'!$T$3:$T$501,'A.4 RASHODI FUNK'!$A61,'Unos rashoda P4'!$H$3:$H$501)</f>
        <v>0</v>
      </c>
      <c r="D61" s="198">
        <f>SUMIF('Unos rashoda i izdataka'!$R$3:$R$501,'A.4 RASHODI FUNK'!$A61,'Unos rashoda i izdataka'!$K$3:$K$501)+SUMIF('Unos rashoda P4'!$T$3:$T$501,'A.4 RASHODI FUNK'!$A61,'Unos rashoda P4'!$I$3:$I$501)</f>
        <v>0</v>
      </c>
      <c r="E61" s="198">
        <f>SUMIF('Unos rashoda i izdataka'!$R$3:$R$501,'A.4 RASHODI FUNK'!$A61,'Unos rashoda i izdataka'!$L$3:$L$501)+SUMIF('Unos rashoda P4'!$T$3:$T$501,'A.4 RASHODI FUNK'!$A61,'Unos rashoda P4'!$J$3:$J$501)</f>
        <v>0</v>
      </c>
    </row>
    <row r="62" spans="1:5">
      <c r="A62" s="203">
        <v>83</v>
      </c>
      <c r="B62" s="120" t="s">
        <v>3332</v>
      </c>
      <c r="C62" s="198">
        <f>SUMIF('Unos rashoda i izdataka'!$R$3:$R$501,'A.4 RASHODI FUNK'!$A62,'Unos rashoda i izdataka'!$J$3:$J$501)+SUMIF('Unos rashoda P4'!$T$3:$T$501,'A.4 RASHODI FUNK'!$A62,'Unos rashoda P4'!$H$3:$H$501)</f>
        <v>0</v>
      </c>
      <c r="D62" s="198">
        <f>SUMIF('Unos rashoda i izdataka'!$R$3:$R$501,'A.4 RASHODI FUNK'!$A62,'Unos rashoda i izdataka'!$K$3:$K$501)+SUMIF('Unos rashoda P4'!$T$3:$T$501,'A.4 RASHODI FUNK'!$A62,'Unos rashoda P4'!$I$3:$I$501)</f>
        <v>0</v>
      </c>
      <c r="E62" s="198">
        <f>SUMIF('Unos rashoda i izdataka'!$R$3:$R$501,'A.4 RASHODI FUNK'!$A62,'Unos rashoda i izdataka'!$L$3:$L$501)+SUMIF('Unos rashoda P4'!$T$3:$T$501,'A.4 RASHODI FUNK'!$A62,'Unos rashoda P4'!$J$3:$J$501)</f>
        <v>0</v>
      </c>
    </row>
    <row r="63" spans="1:5">
      <c r="A63" s="203">
        <v>84</v>
      </c>
      <c r="B63" s="120" t="s">
        <v>3333</v>
      </c>
      <c r="C63" s="198">
        <f>SUMIF('Unos rashoda i izdataka'!$R$3:$R$501,'A.4 RASHODI FUNK'!$A63,'Unos rashoda i izdataka'!$J$3:$J$501)+SUMIF('Unos rashoda P4'!$T$3:$T$501,'A.4 RASHODI FUNK'!$A63,'Unos rashoda P4'!$H$3:$H$501)</f>
        <v>0</v>
      </c>
      <c r="D63" s="198">
        <f>SUMIF('Unos rashoda i izdataka'!$R$3:$R$501,'A.4 RASHODI FUNK'!$A63,'Unos rashoda i izdataka'!$K$3:$K$501)+SUMIF('Unos rashoda P4'!$T$3:$T$501,'A.4 RASHODI FUNK'!$A63,'Unos rashoda P4'!$I$3:$I$501)</f>
        <v>0</v>
      </c>
      <c r="E63" s="198">
        <f>SUMIF('Unos rashoda i izdataka'!$R$3:$R$501,'A.4 RASHODI FUNK'!$A63,'Unos rashoda i izdataka'!$L$3:$L$501)+SUMIF('Unos rashoda P4'!$T$3:$T$501,'A.4 RASHODI FUNK'!$A63,'Unos rashoda P4'!$J$3:$J$501)</f>
        <v>0</v>
      </c>
    </row>
    <row r="64" spans="1:5">
      <c r="A64" s="203">
        <v>85</v>
      </c>
      <c r="B64" s="120" t="s">
        <v>3334</v>
      </c>
      <c r="C64" s="198">
        <f>SUMIF('Unos rashoda i izdataka'!$R$3:$R$501,'A.4 RASHODI FUNK'!$A64,'Unos rashoda i izdataka'!$J$3:$J$501)+SUMIF('Unos rashoda P4'!$T$3:$T$501,'A.4 RASHODI FUNK'!$A64,'Unos rashoda P4'!$H$3:$H$501)</f>
        <v>0</v>
      </c>
      <c r="D64" s="198">
        <f>SUMIF('Unos rashoda i izdataka'!$R$3:$R$501,'A.4 RASHODI FUNK'!$A64,'Unos rashoda i izdataka'!$K$3:$K$501)+SUMIF('Unos rashoda P4'!$T$3:$T$501,'A.4 RASHODI FUNK'!$A64,'Unos rashoda P4'!$I$3:$I$501)</f>
        <v>0</v>
      </c>
      <c r="E64" s="198">
        <f>SUMIF('Unos rashoda i izdataka'!$R$3:$R$501,'A.4 RASHODI FUNK'!$A64,'Unos rashoda i izdataka'!$L$3:$L$501)+SUMIF('Unos rashoda P4'!$T$3:$T$501,'A.4 RASHODI FUNK'!$A64,'Unos rashoda P4'!$J$3:$J$501)</f>
        <v>0</v>
      </c>
    </row>
    <row r="65" spans="1:5" ht="27.6">
      <c r="A65" s="203">
        <v>86</v>
      </c>
      <c r="B65" s="120" t="s">
        <v>3335</v>
      </c>
      <c r="C65" s="198">
        <f>SUMIF('Unos rashoda i izdataka'!$R$3:$R$501,'A.4 RASHODI FUNK'!$A65,'Unos rashoda i izdataka'!$J$3:$J$501)+SUMIF('Unos rashoda P4'!$T$3:$T$501,'A.4 RASHODI FUNK'!$A65,'Unos rashoda P4'!$H$3:$H$501)</f>
        <v>0</v>
      </c>
      <c r="D65" s="198">
        <f>SUMIF('Unos rashoda i izdataka'!$R$3:$R$501,'A.4 RASHODI FUNK'!$A65,'Unos rashoda i izdataka'!$K$3:$K$501)+SUMIF('Unos rashoda P4'!$T$3:$T$501,'A.4 RASHODI FUNK'!$A65,'Unos rashoda P4'!$I$3:$I$501)</f>
        <v>0</v>
      </c>
      <c r="E65" s="198">
        <f>SUMIF('Unos rashoda i izdataka'!$R$3:$R$501,'A.4 RASHODI FUNK'!$A65,'Unos rashoda i izdataka'!$L$3:$L$501)+SUMIF('Unos rashoda P4'!$T$3:$T$501,'A.4 RASHODI FUNK'!$A65,'Unos rashoda P4'!$J$3:$J$501)</f>
        <v>0</v>
      </c>
    </row>
    <row r="66" spans="1:5">
      <c r="A66" s="202">
        <v>9</v>
      </c>
      <c r="B66" s="124" t="s">
        <v>3336</v>
      </c>
      <c r="C66" s="204">
        <f>SUM(C67:C74)</f>
        <v>6120343</v>
      </c>
      <c r="D66" s="204">
        <f>SUM(D67:D74)</f>
        <v>6203106</v>
      </c>
      <c r="E66" s="204">
        <f>SUM(E67:E74)</f>
        <v>82763</v>
      </c>
    </row>
    <row r="67" spans="1:5">
      <c r="A67" s="203">
        <v>91</v>
      </c>
      <c r="B67" s="120" t="s">
        <v>3337</v>
      </c>
      <c r="C67" s="198">
        <f>SUMIF('Unos rashoda i izdataka'!$R$3:$R$501,'A.4 RASHODI FUNK'!$A67,'Unos rashoda i izdataka'!$J$3:$J$501)+SUMIF('Unos rashoda P4'!$T$3:$T$501,'A.4 RASHODI FUNK'!$A67,'Unos rashoda P4'!$H$3:$H$501)</f>
        <v>0</v>
      </c>
      <c r="D67" s="198">
        <f>SUMIF('Unos rashoda i izdataka'!$R$3:$R$501,'A.4 RASHODI FUNK'!$A67,'Unos rashoda i izdataka'!$K$3:$K$501)+SUMIF('Unos rashoda P4'!$T$3:$T$501,'A.4 RASHODI FUNK'!$A67,'Unos rashoda P4'!$I$3:$I$501)</f>
        <v>0</v>
      </c>
      <c r="E67" s="198">
        <f>SUMIF('Unos rashoda i izdataka'!$R$3:$R$501,'A.4 RASHODI FUNK'!$A67,'Unos rashoda i izdataka'!$L$3:$L$501)+SUMIF('Unos rashoda P4'!$T$3:$T$501,'A.4 RASHODI FUNK'!$A67,'Unos rashoda P4'!$J$3:$J$501)</f>
        <v>0</v>
      </c>
    </row>
    <row r="68" spans="1:5">
      <c r="A68" s="203">
        <v>92</v>
      </c>
      <c r="B68" s="120" t="s">
        <v>3338</v>
      </c>
      <c r="C68" s="198">
        <f>SUMIF('Unos rashoda i izdataka'!$R$3:$R$501,'A.4 RASHODI FUNK'!$A68,'Unos rashoda i izdataka'!$J$3:$J$501)+SUMIF('Unos rashoda P4'!$T$3:$T$501,'A.4 RASHODI FUNK'!$A68,'Unos rashoda P4'!$H$3:$H$501)</f>
        <v>0</v>
      </c>
      <c r="D68" s="198">
        <f>SUMIF('Unos rashoda i izdataka'!$R$3:$R$501,'A.4 RASHODI FUNK'!$A68,'Unos rashoda i izdataka'!$K$3:$K$501)+SUMIF('Unos rashoda P4'!$T$3:$T$501,'A.4 RASHODI FUNK'!$A68,'Unos rashoda P4'!$I$3:$I$501)</f>
        <v>0</v>
      </c>
      <c r="E68" s="198">
        <f>SUMIF('Unos rashoda i izdataka'!$R$3:$R$501,'A.4 RASHODI FUNK'!$A68,'Unos rashoda i izdataka'!$L$3:$L$501)+SUMIF('Unos rashoda P4'!$T$3:$T$501,'A.4 RASHODI FUNK'!$A68,'Unos rashoda P4'!$J$3:$J$501)</f>
        <v>0</v>
      </c>
    </row>
    <row r="69" spans="1:5">
      <c r="A69" s="203">
        <v>93</v>
      </c>
      <c r="B69" s="120" t="s">
        <v>3339</v>
      </c>
      <c r="C69" s="198">
        <f>SUMIF('Unos rashoda i izdataka'!$R$3:$R$501,'A.4 RASHODI FUNK'!$A69,'Unos rashoda i izdataka'!$J$3:$J$501)+SUMIF('Unos rashoda P4'!$T$3:$T$501,'A.4 RASHODI FUNK'!$A69,'Unos rashoda P4'!$H$3:$H$501)</f>
        <v>0</v>
      </c>
      <c r="D69" s="198">
        <f>SUMIF('Unos rashoda i izdataka'!$R$3:$R$501,'A.4 RASHODI FUNK'!$A69,'Unos rashoda i izdataka'!$K$3:$K$501)+SUMIF('Unos rashoda P4'!$T$3:$T$501,'A.4 RASHODI FUNK'!$A69,'Unos rashoda P4'!$I$3:$I$501)</f>
        <v>0</v>
      </c>
      <c r="E69" s="198">
        <f>SUMIF('Unos rashoda i izdataka'!$R$3:$R$501,'A.4 RASHODI FUNK'!$A69,'Unos rashoda i izdataka'!$L$3:$L$501)+SUMIF('Unos rashoda P4'!$T$3:$T$501,'A.4 RASHODI FUNK'!$A69,'Unos rashoda P4'!$J$3:$J$501)</f>
        <v>0</v>
      </c>
    </row>
    <row r="70" spans="1:5">
      <c r="A70" s="203">
        <v>94</v>
      </c>
      <c r="B70" s="120" t="s">
        <v>3340</v>
      </c>
      <c r="C70" s="198">
        <f>SUMIF('Unos rashoda i izdataka'!$R$3:$R$501,'A.4 RASHODI FUNK'!$A70,'Unos rashoda i izdataka'!$J$3:$J$501)+SUMIF('Unos rashoda P4'!$T$3:$T$501,'A.4 RASHODI FUNK'!$A70,'Unos rashoda P4'!$H$3:$H$501)</f>
        <v>6120343</v>
      </c>
      <c r="D70" s="198">
        <f>SUMIF('Unos rashoda i izdataka'!$R$3:$R$501,'A.4 RASHODI FUNK'!$A70,'Unos rashoda i izdataka'!$K$3:$K$501)+SUMIF('Unos rashoda P4'!$T$3:$T$501,'A.4 RASHODI FUNK'!$A70,'Unos rashoda P4'!$I$3:$I$501)</f>
        <v>6203106</v>
      </c>
      <c r="E70" s="198">
        <f>SUMIF('Unos rashoda i izdataka'!$R$3:$R$501,'A.4 RASHODI FUNK'!$A70,'Unos rashoda i izdataka'!$L$3:$L$501)+SUMIF('Unos rashoda P4'!$T$3:$T$501,'A.4 RASHODI FUNK'!$A70,'Unos rashoda P4'!$J$3:$J$501)</f>
        <v>82763</v>
      </c>
    </row>
    <row r="71" spans="1:5">
      <c r="A71" s="203">
        <v>95</v>
      </c>
      <c r="B71" s="120" t="s">
        <v>674</v>
      </c>
      <c r="C71" s="198">
        <f>SUMIF('Unos rashoda i izdataka'!$R$3:$R$501,'A.4 RASHODI FUNK'!$A71,'Unos rashoda i izdataka'!$J$3:$J$501)+SUMIF('Unos rashoda P4'!$T$3:$T$501,'A.4 RASHODI FUNK'!$A71,'Unos rashoda P4'!$H$3:$H$501)</f>
        <v>0</v>
      </c>
      <c r="D71" s="198">
        <f>SUMIF('Unos rashoda i izdataka'!$R$3:$R$501,'A.4 RASHODI FUNK'!$A71,'Unos rashoda i izdataka'!$K$3:$K$501)+SUMIF('Unos rashoda P4'!$T$3:$T$501,'A.4 RASHODI FUNK'!$A71,'Unos rashoda P4'!$I$3:$I$501)</f>
        <v>0</v>
      </c>
      <c r="E71" s="198">
        <f>SUMIF('Unos rashoda i izdataka'!$R$3:$R$501,'A.4 RASHODI FUNK'!$A71,'Unos rashoda i izdataka'!$L$3:$L$501)+SUMIF('Unos rashoda P4'!$T$3:$T$501,'A.4 RASHODI FUNK'!$A71,'Unos rashoda P4'!$J$3:$J$501)</f>
        <v>0</v>
      </c>
    </row>
    <row r="72" spans="1:5">
      <c r="A72" s="203">
        <v>96</v>
      </c>
      <c r="B72" s="120" t="s">
        <v>427</v>
      </c>
      <c r="C72" s="198">
        <f>SUMIF('Unos rashoda i izdataka'!$R$3:$R$501,'A.4 RASHODI FUNK'!$A72,'Unos rashoda i izdataka'!$J$3:$J$501)+SUMIF('Unos rashoda P4'!$T$3:$T$501,'A.4 RASHODI FUNK'!$A72,'Unos rashoda P4'!$H$3:$H$501)</f>
        <v>0</v>
      </c>
      <c r="D72" s="198">
        <f>SUMIF('Unos rashoda i izdataka'!$R$3:$R$501,'A.4 RASHODI FUNK'!$A72,'Unos rashoda i izdataka'!$K$3:$K$501)+SUMIF('Unos rashoda P4'!$T$3:$T$501,'A.4 RASHODI FUNK'!$A72,'Unos rashoda P4'!$I$3:$I$501)</f>
        <v>0</v>
      </c>
      <c r="E72" s="198">
        <f>SUMIF('Unos rashoda i izdataka'!$R$3:$R$501,'A.4 RASHODI FUNK'!$A72,'Unos rashoda i izdataka'!$L$3:$L$501)+SUMIF('Unos rashoda P4'!$T$3:$T$501,'A.4 RASHODI FUNK'!$A72,'Unos rashoda P4'!$J$3:$J$501)</f>
        <v>0</v>
      </c>
    </row>
    <row r="73" spans="1:5">
      <c r="A73" s="203">
        <v>97</v>
      </c>
      <c r="B73" s="120" t="s">
        <v>281</v>
      </c>
      <c r="C73" s="198">
        <f>SUMIF('Unos rashoda i izdataka'!$R$3:$R$501,'A.4 RASHODI FUNK'!$A73,'Unos rashoda i izdataka'!$J$3:$J$501)+SUMIF('Unos rashoda P4'!$T$3:$T$501,'A.4 RASHODI FUNK'!$A73,'Unos rashoda P4'!$H$3:$H$501)</f>
        <v>0</v>
      </c>
      <c r="D73" s="198">
        <f>SUMIF('Unos rashoda i izdataka'!$R$3:$R$501,'A.4 RASHODI FUNK'!$A73,'Unos rashoda i izdataka'!$K$3:$K$501)+SUMIF('Unos rashoda P4'!$T$3:$T$501,'A.4 RASHODI FUNK'!$A73,'Unos rashoda P4'!$I$3:$I$501)</f>
        <v>0</v>
      </c>
      <c r="E73" s="198">
        <f>SUMIF('Unos rashoda i izdataka'!$R$3:$R$501,'A.4 RASHODI FUNK'!$A73,'Unos rashoda i izdataka'!$L$3:$L$501)+SUMIF('Unos rashoda P4'!$T$3:$T$501,'A.4 RASHODI FUNK'!$A73,'Unos rashoda P4'!$J$3:$J$501)</f>
        <v>0</v>
      </c>
    </row>
    <row r="74" spans="1:5">
      <c r="A74" s="203">
        <v>98</v>
      </c>
      <c r="B74" s="120" t="s">
        <v>289</v>
      </c>
      <c r="C74" s="198">
        <f>SUMIF('Unos rashoda i izdataka'!$R$3:$R$501,'A.4 RASHODI FUNK'!$A74,'Unos rashoda i izdataka'!$J$3:$J$501)+SUMIF('Unos rashoda P4'!$T$3:$T$501,'A.4 RASHODI FUNK'!$A74,'Unos rashoda P4'!$H$3:$H$501)</f>
        <v>0</v>
      </c>
      <c r="D74" s="198">
        <f>SUMIF('Unos rashoda i izdataka'!$R$3:$R$501,'A.4 RASHODI FUNK'!$A74,'Unos rashoda i izdataka'!$K$3:$K$501)+SUMIF('Unos rashoda P4'!$T$3:$T$501,'A.4 RASHODI FUNK'!$A74,'Unos rashoda P4'!$I$3:$I$501)</f>
        <v>0</v>
      </c>
      <c r="E74" s="198">
        <f>SUMIF('Unos rashoda i izdataka'!$R$3:$R$501,'A.4 RASHODI FUNK'!$A74,'Unos rashoda i izdataka'!$L$3:$L$501)+SUMIF('Unos rashoda P4'!$T$3:$T$501,'A.4 RASHODI FUNK'!$A74,'Unos rashoda P4'!$J$3:$J$501)</f>
        <v>0</v>
      </c>
    </row>
    <row r="75" spans="1:5">
      <c r="A75" s="202">
        <v>10</v>
      </c>
      <c r="B75" s="124" t="s">
        <v>3341</v>
      </c>
      <c r="C75" s="204">
        <f>SUM(C76:C84)</f>
        <v>0</v>
      </c>
      <c r="D75" s="204">
        <f>SUM(D76:D84)</f>
        <v>0</v>
      </c>
      <c r="E75" s="204">
        <f>SUM(E76:E84)</f>
        <v>0</v>
      </c>
    </row>
    <row r="76" spans="1:5">
      <c r="A76" s="203">
        <v>101</v>
      </c>
      <c r="B76" s="120" t="s">
        <v>3342</v>
      </c>
      <c r="C76" s="198">
        <f>SUMIF('Unos rashoda i izdataka'!$R$3:$R$501,'A.4 RASHODI FUNK'!$A76,'Unos rashoda i izdataka'!$J$3:$J$501)+SUMIF('Unos rashoda P4'!$T$3:$T$501,'A.4 RASHODI FUNK'!$A76,'Unos rashoda P4'!$H$3:$H$501)</f>
        <v>0</v>
      </c>
      <c r="D76" s="198">
        <f>SUMIF('Unos rashoda i izdataka'!$R$3:$R$501,'A.4 RASHODI FUNK'!$A76,'Unos rashoda i izdataka'!$K$3:$K$501)+SUMIF('Unos rashoda P4'!$T$3:$T$501,'A.4 RASHODI FUNK'!$A76,'Unos rashoda P4'!$I$3:$I$501)</f>
        <v>0</v>
      </c>
      <c r="E76" s="198">
        <f>SUMIF('Unos rashoda i izdataka'!$R$3:$R$501,'A.4 RASHODI FUNK'!$A76,'Unos rashoda i izdataka'!$L$3:$L$501)+SUMIF('Unos rashoda P4'!$T$3:$T$501,'A.4 RASHODI FUNK'!$A76,'Unos rashoda P4'!$J$3:$J$501)</f>
        <v>0</v>
      </c>
    </row>
    <row r="77" spans="1:5">
      <c r="A77" s="203">
        <v>102</v>
      </c>
      <c r="B77" s="120" t="s">
        <v>3343</v>
      </c>
      <c r="C77" s="198">
        <f>SUMIF('Unos rashoda i izdataka'!$R$3:$R$501,'A.4 RASHODI FUNK'!$A77,'Unos rashoda i izdataka'!$J$3:$J$501)+SUMIF('Unos rashoda P4'!$T$3:$T$501,'A.4 RASHODI FUNK'!$A77,'Unos rashoda P4'!$H$3:$H$501)</f>
        <v>0</v>
      </c>
      <c r="D77" s="198">
        <f>SUMIF('Unos rashoda i izdataka'!$R$3:$R$501,'A.4 RASHODI FUNK'!$A77,'Unos rashoda i izdataka'!$K$3:$K$501)+SUMIF('Unos rashoda P4'!$T$3:$T$501,'A.4 RASHODI FUNK'!$A77,'Unos rashoda P4'!$I$3:$I$501)</f>
        <v>0</v>
      </c>
      <c r="E77" s="198">
        <f>SUMIF('Unos rashoda i izdataka'!$R$3:$R$501,'A.4 RASHODI FUNK'!$A77,'Unos rashoda i izdataka'!$L$3:$L$501)+SUMIF('Unos rashoda P4'!$T$3:$T$501,'A.4 RASHODI FUNK'!$A77,'Unos rashoda P4'!$J$3:$J$501)</f>
        <v>0</v>
      </c>
    </row>
    <row r="78" spans="1:5">
      <c r="A78" s="203">
        <v>103</v>
      </c>
      <c r="B78" s="120" t="s">
        <v>3344</v>
      </c>
      <c r="C78" s="198">
        <f>SUMIF('Unos rashoda i izdataka'!$R$3:$R$501,'A.4 RASHODI FUNK'!$A78,'Unos rashoda i izdataka'!$J$3:$J$501)+SUMIF('Unos rashoda P4'!$T$3:$T$501,'A.4 RASHODI FUNK'!$A78,'Unos rashoda P4'!$H$3:$H$501)</f>
        <v>0</v>
      </c>
      <c r="D78" s="198">
        <f>SUMIF('Unos rashoda i izdataka'!$R$3:$R$501,'A.4 RASHODI FUNK'!$A78,'Unos rashoda i izdataka'!$K$3:$K$501)+SUMIF('Unos rashoda P4'!$T$3:$T$501,'A.4 RASHODI FUNK'!$A78,'Unos rashoda P4'!$I$3:$I$501)</f>
        <v>0</v>
      </c>
      <c r="E78" s="198">
        <f>SUMIF('Unos rashoda i izdataka'!$R$3:$R$501,'A.4 RASHODI FUNK'!$A78,'Unos rashoda i izdataka'!$L$3:$L$501)+SUMIF('Unos rashoda P4'!$T$3:$T$501,'A.4 RASHODI FUNK'!$A78,'Unos rashoda P4'!$J$3:$J$501)</f>
        <v>0</v>
      </c>
    </row>
    <row r="79" spans="1:5">
      <c r="A79" s="203">
        <v>104</v>
      </c>
      <c r="B79" s="120" t="s">
        <v>3345</v>
      </c>
      <c r="C79" s="198">
        <f>SUMIF('Unos rashoda i izdataka'!$R$3:$R$501,'A.4 RASHODI FUNK'!$A79,'Unos rashoda i izdataka'!$J$3:$J$501)+SUMIF('Unos rashoda P4'!$T$3:$T$501,'A.4 RASHODI FUNK'!$A79,'Unos rashoda P4'!$H$3:$H$501)</f>
        <v>0</v>
      </c>
      <c r="D79" s="198">
        <f>SUMIF('Unos rashoda i izdataka'!$R$3:$R$501,'A.4 RASHODI FUNK'!$A79,'Unos rashoda i izdataka'!$K$3:$K$501)+SUMIF('Unos rashoda P4'!$T$3:$T$501,'A.4 RASHODI FUNK'!$A79,'Unos rashoda P4'!$I$3:$I$501)</f>
        <v>0</v>
      </c>
      <c r="E79" s="198">
        <f>SUMIF('Unos rashoda i izdataka'!$R$3:$R$501,'A.4 RASHODI FUNK'!$A79,'Unos rashoda i izdataka'!$L$3:$L$501)+SUMIF('Unos rashoda P4'!$T$3:$T$501,'A.4 RASHODI FUNK'!$A79,'Unos rashoda P4'!$J$3:$J$501)</f>
        <v>0</v>
      </c>
    </row>
    <row r="80" spans="1:5">
      <c r="A80" s="203">
        <v>105</v>
      </c>
      <c r="B80" s="120" t="s">
        <v>3346</v>
      </c>
      <c r="C80" s="198">
        <f>SUMIF('Unos rashoda i izdataka'!$R$3:$R$501,'A.4 RASHODI FUNK'!$A80,'Unos rashoda i izdataka'!$J$3:$J$501)+SUMIF('Unos rashoda P4'!$T$3:$T$501,'A.4 RASHODI FUNK'!$A80,'Unos rashoda P4'!$H$3:$H$501)</f>
        <v>0</v>
      </c>
      <c r="D80" s="198">
        <f>SUMIF('Unos rashoda i izdataka'!$R$3:$R$501,'A.4 RASHODI FUNK'!$A80,'Unos rashoda i izdataka'!$K$3:$K$501)+SUMIF('Unos rashoda P4'!$T$3:$T$501,'A.4 RASHODI FUNK'!$A80,'Unos rashoda P4'!$I$3:$I$501)</f>
        <v>0</v>
      </c>
      <c r="E80" s="198">
        <f>SUMIF('Unos rashoda i izdataka'!$R$3:$R$501,'A.4 RASHODI FUNK'!$A80,'Unos rashoda i izdataka'!$L$3:$L$501)+SUMIF('Unos rashoda P4'!$T$3:$T$501,'A.4 RASHODI FUNK'!$A80,'Unos rashoda P4'!$J$3:$J$501)</f>
        <v>0</v>
      </c>
    </row>
    <row r="81" spans="1:5">
      <c r="A81" s="203">
        <v>106</v>
      </c>
      <c r="B81" s="120" t="s">
        <v>3347</v>
      </c>
      <c r="C81" s="198">
        <f>SUMIF('Unos rashoda i izdataka'!$R$3:$R$501,'A.4 RASHODI FUNK'!$A81,'Unos rashoda i izdataka'!$J$3:$J$501)+SUMIF('Unos rashoda P4'!$T$3:$T$501,'A.4 RASHODI FUNK'!$A81,'Unos rashoda P4'!$H$3:$H$501)</f>
        <v>0</v>
      </c>
      <c r="D81" s="198">
        <f>SUMIF('Unos rashoda i izdataka'!$R$3:$R$501,'A.4 RASHODI FUNK'!$A81,'Unos rashoda i izdataka'!$K$3:$K$501)+SUMIF('Unos rashoda P4'!$T$3:$T$501,'A.4 RASHODI FUNK'!$A81,'Unos rashoda P4'!$I$3:$I$501)</f>
        <v>0</v>
      </c>
      <c r="E81" s="198">
        <f>SUMIF('Unos rashoda i izdataka'!$R$3:$R$501,'A.4 RASHODI FUNK'!$A81,'Unos rashoda i izdataka'!$L$3:$L$501)+SUMIF('Unos rashoda P4'!$T$3:$T$501,'A.4 RASHODI FUNK'!$A81,'Unos rashoda P4'!$J$3:$J$501)</f>
        <v>0</v>
      </c>
    </row>
    <row r="82" spans="1:5" ht="27.6">
      <c r="A82" s="203">
        <v>107</v>
      </c>
      <c r="B82" s="120" t="s">
        <v>3348</v>
      </c>
      <c r="C82" s="198">
        <f>SUMIF('Unos rashoda i izdataka'!$R$3:$R$501,'A.4 RASHODI FUNK'!$A82,'Unos rashoda i izdataka'!$J$3:$J$501)+SUMIF('Unos rashoda P4'!$T$3:$T$501,'A.4 RASHODI FUNK'!$A82,'Unos rashoda P4'!$H$3:$H$501)</f>
        <v>0</v>
      </c>
      <c r="D82" s="198">
        <f>SUMIF('Unos rashoda i izdataka'!$R$3:$R$501,'A.4 RASHODI FUNK'!$A82,'Unos rashoda i izdataka'!$K$3:$K$501)+SUMIF('Unos rashoda P4'!$T$3:$T$501,'A.4 RASHODI FUNK'!$A82,'Unos rashoda P4'!$I$3:$I$501)</f>
        <v>0</v>
      </c>
      <c r="E82" s="198">
        <f>SUMIF('Unos rashoda i izdataka'!$R$3:$R$501,'A.4 RASHODI FUNK'!$A82,'Unos rashoda i izdataka'!$L$3:$L$501)+SUMIF('Unos rashoda P4'!$T$3:$T$501,'A.4 RASHODI FUNK'!$A82,'Unos rashoda P4'!$J$3:$J$501)</f>
        <v>0</v>
      </c>
    </row>
    <row r="83" spans="1:5">
      <c r="A83" s="203">
        <v>108</v>
      </c>
      <c r="B83" s="120" t="s">
        <v>3349</v>
      </c>
      <c r="C83" s="198">
        <f>SUMIF('Unos rashoda i izdataka'!$R$3:$R$501,'A.4 RASHODI FUNK'!$A83,'Unos rashoda i izdataka'!$J$3:$J$501)+SUMIF('Unos rashoda P4'!$T$3:$T$501,'A.4 RASHODI FUNK'!$A83,'Unos rashoda P4'!$H$3:$H$501)</f>
        <v>0</v>
      </c>
      <c r="D83" s="198">
        <f>SUMIF('Unos rashoda i izdataka'!$R$3:$R$501,'A.4 RASHODI FUNK'!$A83,'Unos rashoda i izdataka'!$K$3:$K$501)+SUMIF('Unos rashoda P4'!$T$3:$T$501,'A.4 RASHODI FUNK'!$A83,'Unos rashoda P4'!$I$3:$I$501)</f>
        <v>0</v>
      </c>
      <c r="E83" s="198">
        <f>SUMIF('Unos rashoda i izdataka'!$R$3:$R$501,'A.4 RASHODI FUNK'!$A83,'Unos rashoda i izdataka'!$L$3:$L$501)+SUMIF('Unos rashoda P4'!$T$3:$T$501,'A.4 RASHODI FUNK'!$A83,'Unos rashoda P4'!$J$3:$J$501)</f>
        <v>0</v>
      </c>
    </row>
    <row r="84" spans="1:5" ht="27.6">
      <c r="A84" s="203">
        <v>109</v>
      </c>
      <c r="B84" s="120" t="s">
        <v>3350</v>
      </c>
      <c r="C84" s="198">
        <f>SUMIF('Unos rashoda i izdataka'!$R$3:$R$501,'A.4 RASHODI FUNK'!$A84,'Unos rashoda i izdataka'!$J$3:$J$501)+SUMIF('Unos rashoda P4'!$T$3:$T$501,'A.4 RASHODI FUNK'!$A84,'Unos rashoda P4'!$H$3:$H$501)</f>
        <v>0</v>
      </c>
      <c r="D84" s="198">
        <f>SUMIF('Unos rashoda i izdataka'!$R$3:$R$501,'A.4 RASHODI FUNK'!$A84,'Unos rashoda i izdataka'!$K$3:$K$501)+SUMIF('Unos rashoda P4'!$T$3:$T$501,'A.4 RASHODI FUNK'!$A84,'Unos rashoda P4'!$I$3:$I$501)</f>
        <v>0</v>
      </c>
      <c r="E84" s="198">
        <f>SUMIF('Unos rashoda i izdataka'!$R$3:$R$501,'A.4 RASHODI FUNK'!$A84,'Unos rashoda i izdataka'!$L$3:$L$501)+SUMIF('Unos rashoda P4'!$T$3:$T$501,'A.4 RASHODI FUNK'!$A84,'Unos rashoda P4'!$J$3:$J$501)</f>
        <v>0</v>
      </c>
    </row>
    <row r="85" spans="1:5"/>
    <row r="86" spans="1:5"/>
    <row r="87" spans="1:5"/>
  </sheetData>
  <sheetProtection algorithmName="SHA-512" hashValue="CMUePe7kUTRwZCLkNte550fTOuxuiyCeEFj0O5ONnVdy0SAfPEY/7AtMmBpuMGA2Sngb5j/xWVcoPk6EVuV7kw==" saltValue="dIejkIMJKL5qimq88Id0IQ==" spinCount="100000" sheet="1" objects="1" scenarios="1"/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14</vt:i4>
      </vt:variant>
    </vt:vector>
  </HeadingPairs>
  <TitlesOfParts>
    <vt:vector size="14" baseType="lpstr">
      <vt:lpstr>OPĆI DIO</vt:lpstr>
      <vt:lpstr>Unos prihoda i primitaka</vt:lpstr>
      <vt:lpstr>Unos rashoda i izdataka</vt:lpstr>
      <vt:lpstr>Unos rashoda P4</vt:lpstr>
      <vt:lpstr>Unos prijenosa</vt:lpstr>
      <vt:lpstr>A.1 PRIHODI</vt:lpstr>
      <vt:lpstr>A.2 RASHODI</vt:lpstr>
      <vt:lpstr>A.3 RASHODI IF</vt:lpstr>
      <vt:lpstr>A.4 RASHODI FUNK</vt:lpstr>
      <vt:lpstr>B. RAČUN FIN</vt:lpstr>
      <vt:lpstr>AKT</vt:lpstr>
      <vt:lpstr>p4</vt:lpstr>
      <vt:lpstr>prihodi</vt:lpstr>
      <vt:lpstr>KORISNICI DP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ljiljana.fucak@uniri.hr</dc:creator>
  <cp:keywords/>
  <dc:description/>
  <cp:lastModifiedBy>Vladimirka Telenta</cp:lastModifiedBy>
  <cp:revision/>
  <cp:lastPrinted>2023-12-07T11:55:52Z</cp:lastPrinted>
  <dcterms:created xsi:type="dcterms:W3CDTF">2023-11-23T14:03:12Z</dcterms:created>
  <dcterms:modified xsi:type="dcterms:W3CDTF">2023-12-07T11:55:57Z</dcterms:modified>
  <cp:category/>
  <cp:contentStatus/>
</cp:coreProperties>
</file>